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ysk.mf.gov.pl/ST/Docs/ST2/2025 SPRAWOZDANIE ROCZNE/Sprawozdanie JST na RM/"/>
    </mc:Choice>
  </mc:AlternateContent>
  <xr:revisionPtr revIDLastSave="0" documentId="13_ncr:1_{772668FA-A513-4C3E-80BC-8B44CF328816}" xr6:coauthVersionLast="47" xr6:coauthVersionMax="47" xr10:uidLastSave="{00000000-0000-0000-0000-000000000000}"/>
  <bookViews>
    <workbookView xWindow="-108" yWindow="-108" windowWidth="30936" windowHeight="16776" tabRatio="786" firstSheet="57" activeTab="94" xr2:uid="{04D91655-2846-49EB-B16A-86664D469F01}"/>
  </bookViews>
  <sheets>
    <sheet name="1" sheetId="82" r:id="rId1"/>
    <sheet name="1cd" sheetId="83" r:id="rId2"/>
    <sheet name="2" sheetId="46" r:id="rId3"/>
    <sheet name="3" sheetId="103" r:id="rId4"/>
    <sheet name="4" sheetId="2" r:id="rId5"/>
    <sheet name="5" sheetId="123" r:id="rId6"/>
    <sheet name="6" sheetId="12" r:id="rId7"/>
    <sheet name="7" sheetId="14" r:id="rId8"/>
    <sheet name="8" sheetId="15" r:id="rId9"/>
    <sheet name="9" sheetId="16" r:id="rId10"/>
    <sheet name="10" sheetId="17" r:id="rId11"/>
    <sheet name="11" sheetId="18" r:id="rId12"/>
    <sheet name="12" sheetId="19" r:id="rId13"/>
    <sheet name="13" sheetId="20" r:id="rId14"/>
    <sheet name="14" sheetId="54" r:id="rId15"/>
    <sheet name="15" sheetId="55" r:id="rId16"/>
    <sheet name="16" sheetId="104" r:id="rId17"/>
    <sheet name="17" sheetId="105" r:id="rId18"/>
    <sheet name="18" sheetId="84" r:id="rId19"/>
    <sheet name="18cd" sheetId="85" r:id="rId20"/>
    <sheet name="19" sheetId="86" r:id="rId21"/>
    <sheet name="19cd" sheetId="87" r:id="rId22"/>
    <sheet name="20" sheetId="88" r:id="rId23"/>
    <sheet name="20cd" sheetId="89" r:id="rId24"/>
    <sheet name="21" sheetId="90" r:id="rId25"/>
    <sheet name="21cd" sheetId="91" r:id="rId26"/>
    <sheet name="22" sheetId="47" r:id="rId27"/>
    <sheet name="23" sheetId="51" r:id="rId28"/>
    <sheet name="24" sheetId="106" r:id="rId29"/>
    <sheet name="25" sheetId="3" r:id="rId30"/>
    <sheet name="26" sheetId="67" r:id="rId31"/>
    <sheet name="27" sheetId="1" r:id="rId32"/>
    <sheet name="28" sheetId="7" r:id="rId33"/>
    <sheet name="29" sheetId="8" r:id="rId34"/>
    <sheet name="30" sheetId="9" r:id="rId35"/>
    <sheet name="31" sheetId="13" r:id="rId36"/>
    <sheet name="32" sheetId="10" r:id="rId37"/>
    <sheet name="33" sheetId="62" r:id="rId38"/>
    <sheet name="34" sheetId="63" r:id="rId39"/>
    <sheet name="35" sheetId="71" r:id="rId40"/>
    <sheet name="36" sheetId="56" r:id="rId41"/>
    <sheet name="37" sheetId="92" r:id="rId42"/>
    <sheet name="37cd" sheetId="93" r:id="rId43"/>
    <sheet name="38" sheetId="48" r:id="rId44"/>
    <sheet name="39" sheetId="109" r:id="rId45"/>
    <sheet name="40" sheetId="4" r:id="rId46"/>
    <sheet name="41" sheetId="52" r:id="rId47"/>
    <sheet name="42" sheetId="68" r:id="rId48"/>
    <sheet name="43" sheetId="31" r:id="rId49"/>
    <sheet name="44" sheetId="32" r:id="rId50"/>
    <sheet name="45" sheetId="33" r:id="rId51"/>
    <sheet name="46" sheetId="34" r:id="rId52"/>
    <sheet name="47" sheetId="35" r:id="rId53"/>
    <sheet name="48" sheetId="36" r:id="rId54"/>
    <sheet name="49" sheetId="75" r:id="rId55"/>
    <sheet name="50" sheetId="57" r:id="rId56"/>
    <sheet name="51" sheetId="64" r:id="rId57"/>
    <sheet name="52" sheetId="94" r:id="rId58"/>
    <sheet name="52cd" sheetId="95" r:id="rId59"/>
    <sheet name="53" sheetId="49" r:id="rId60"/>
    <sheet name="54" sheetId="112" r:id="rId61"/>
    <sheet name="55" sheetId="5" r:id="rId62"/>
    <sheet name="56" sheetId="53" r:id="rId63"/>
    <sheet name="57" sheetId="69" r:id="rId64"/>
    <sheet name="58" sheetId="21" r:id="rId65"/>
    <sheet name="59" sheetId="22" r:id="rId66"/>
    <sheet name="60" sheetId="23" r:id="rId67"/>
    <sheet name="61" sheetId="24" r:id="rId68"/>
    <sheet name="62" sheetId="25" r:id="rId69"/>
    <sheet name="63" sheetId="26" r:id="rId70"/>
    <sheet name="64" sheetId="27" r:id="rId71"/>
    <sheet name="65" sheetId="28" r:id="rId72"/>
    <sheet name="66" sheetId="29" r:id="rId73"/>
    <sheet name="67" sheetId="65" r:id="rId74"/>
    <sheet name="68" sheetId="76" r:id="rId75"/>
    <sheet name="69" sheetId="58" r:id="rId76"/>
    <sheet name="70" sheetId="97" r:id="rId77"/>
    <sheet name="70cd" sheetId="98" r:id="rId78"/>
    <sheet name="71" sheetId="50" r:id="rId79"/>
    <sheet name="72" sheetId="45" r:id="rId80"/>
    <sheet name="73" sheetId="118" r:id="rId81"/>
    <sheet name="74" sheetId="6" r:id="rId82"/>
    <sheet name="75" sheetId="70" r:id="rId83"/>
    <sheet name="76" sheetId="38" r:id="rId84"/>
    <sheet name="77" sheetId="39" r:id="rId85"/>
    <sheet name="78" sheetId="40" r:id="rId86"/>
    <sheet name="79" sheetId="41" r:id="rId87"/>
    <sheet name="80" sheetId="42" r:id="rId88"/>
    <sheet name="81" sheetId="43" r:id="rId89"/>
    <sheet name="82" sheetId="66" r:id="rId90"/>
    <sheet name="83" sheetId="74" r:id="rId91"/>
    <sheet name="84" sheetId="60" r:id="rId92"/>
    <sheet name="85" sheetId="99" r:id="rId93"/>
    <sheet name="85cd" sheetId="100" r:id="rId94"/>
    <sheet name="86" sheetId="101" r:id="rId95"/>
    <sheet name="86cd" sheetId="102" r:id="rId96"/>
  </sheets>
  <definedNames>
    <definedName name="_xlnm._FilterDatabase" localSheetId="29" hidden="1">'25'!$A$6:$H$6</definedName>
    <definedName name="_xlnm._FilterDatabase" localSheetId="4" hidden="1">'4'!$A$6:$H$6</definedName>
    <definedName name="_xlnm._FilterDatabase" localSheetId="45" hidden="1">'40'!$A$6:$H$6</definedName>
    <definedName name="_xlnm._FilterDatabase" localSheetId="61" hidden="1">'55'!$A$6:$H$6</definedName>
    <definedName name="_xlnm._FilterDatabase" localSheetId="71" hidden="1">'65'!$A$6:$K$109</definedName>
    <definedName name="_xlnm._FilterDatabase" localSheetId="81" hidden="1">'74'!$A$6:$H$6</definedName>
    <definedName name="_xlnm.Database" localSheetId="5">#REF!</definedName>
    <definedName name="_xlnm.Database">#REF!</definedName>
    <definedName name="_xlnm.Print_Area" localSheetId="0">'1'!$A$1:$K$128</definedName>
    <definedName name="_xlnm.Print_Area" localSheetId="10">'10'!$A$1:$J$42</definedName>
    <definedName name="_xlnm.Print_Area" localSheetId="12">'12'!$A$1:$I$42</definedName>
    <definedName name="_xlnm.Print_Area" localSheetId="13">'13'!$A$1:$I$43</definedName>
    <definedName name="_xlnm.Print_Area" localSheetId="16">'16'!$A$1:$E$63</definedName>
    <definedName name="_xlnm.Print_Area" localSheetId="18">'18'!$A$1:$K$129</definedName>
    <definedName name="_xlnm.Print_Area" localSheetId="19">'18cd'!$A$1:$Q$66</definedName>
    <definedName name="_xlnm.Print_Area" localSheetId="20">'19'!$A$1:$K$129</definedName>
    <definedName name="_xlnm.Print_Area" localSheetId="21">'19cd'!$A$1:$Q$65</definedName>
    <definedName name="_xlnm.Print_Area" localSheetId="1">'1cd'!$A$1:$Q$67</definedName>
    <definedName name="_xlnm.Print_Area" localSheetId="2">'2'!$A$1:$H$26</definedName>
    <definedName name="_xlnm.Print_Area" localSheetId="22">'20'!$A$1:$K$129</definedName>
    <definedName name="_xlnm.Print_Area" localSheetId="23">'20cd'!$A$1:$Q$65</definedName>
    <definedName name="_xlnm.Print_Area" localSheetId="24">'21'!$A$1:$K$129</definedName>
    <definedName name="_xlnm.Print_Area" localSheetId="25">'21cd'!$A$1:$Q$66</definedName>
    <definedName name="_xlnm.Print_Area" localSheetId="27">'23'!$A$1:$K$25</definedName>
    <definedName name="_xlnm.Print_Area" localSheetId="29">'25'!$A$1:$I$42</definedName>
    <definedName name="_xlnm.Print_Area" localSheetId="30">'26'!#REF!</definedName>
    <definedName name="_xlnm.Print_Area" localSheetId="31">'27'!$A$1:$I$26</definedName>
    <definedName name="_xlnm.Print_Area" localSheetId="3">'3'!$A$1:$G$33</definedName>
    <definedName name="_xlnm.Print_Area" localSheetId="37">'33'!$A$1:$J$45</definedName>
    <definedName name="_xlnm.Print_Area" localSheetId="41">'37'!$A$1:$K$114</definedName>
    <definedName name="_xlnm.Print_Area" localSheetId="42">'37cd'!$A$1:$Q$66</definedName>
    <definedName name="_xlnm.Print_Area" localSheetId="44">'39'!$A$1:$G$20</definedName>
    <definedName name="_xlnm.Print_Area" localSheetId="4">'4'!$A$1:$H$42</definedName>
    <definedName name="_xlnm.Print_Area" localSheetId="46">'41'!$A$1:$L$322</definedName>
    <definedName name="_xlnm.Print_Area" localSheetId="47">'42'!$A$1:$I$324</definedName>
    <definedName name="_xlnm.Print_Area" localSheetId="51">'46'!$A$1:$I$42</definedName>
    <definedName name="_xlnm.Print_Area" localSheetId="54">'49'!$A$1:$M$325</definedName>
    <definedName name="_xlnm.Print_Area" localSheetId="5">'5'!$A$1:$H$27</definedName>
    <definedName name="_xlnm.Print_Area" localSheetId="57">'52'!$A$1:$K$144</definedName>
    <definedName name="_xlnm.Print_Area" localSheetId="58">'52cd'!$A$1:$Q$66</definedName>
    <definedName name="_xlnm.Print_Area" localSheetId="62">'56'!$A$1:$L$74</definedName>
    <definedName name="_xlnm.Print_Area" localSheetId="74">'68'!$A$1:$M$77</definedName>
    <definedName name="_xlnm.Print_Area" localSheetId="7">'7'!$A$1:$I$26</definedName>
    <definedName name="_xlnm.Print_Area" localSheetId="76">'70'!$A$1:$K$113</definedName>
    <definedName name="_xlnm.Print_Area" localSheetId="77">'70cd'!$A$1:$Q$66</definedName>
    <definedName name="_xlnm.Print_Area" localSheetId="80">'73'!$A$1:$G$20</definedName>
    <definedName name="_xlnm.Print_Area" localSheetId="86">'79'!$A$1:$I$42</definedName>
    <definedName name="_xlnm.Print_Area" localSheetId="92">'85'!$A$1:$K$106</definedName>
    <definedName name="_xlnm.Print_Area" localSheetId="93">'85cd'!$A$1:$Q$66</definedName>
    <definedName name="_xlnm.Print_Area" localSheetId="94">'86'!$A$1:$L$106</definedName>
    <definedName name="_xlnm.Print_Area" localSheetId="95">'86cd'!$A$1:$Q$67</definedName>
    <definedName name="_xlnm.Print_Titles" localSheetId="1">'1cd'!#REF!</definedName>
    <definedName name="_xlnm.Print_Titles" localSheetId="25">'21cd'!#REF!</definedName>
    <definedName name="_xlnm.Print_Titles" localSheetId="37">'33'!$3:$8</definedName>
    <definedName name="_xlnm.Print_Titles" localSheetId="38">'34'!$3:$8</definedName>
    <definedName name="_xlnm.Print_Titles" localSheetId="42">'37cd'!$22:$26</definedName>
    <definedName name="_xlnm.Print_Titles" localSheetId="46">'41'!$3:$6</definedName>
    <definedName name="_xlnm.Print_Titles" localSheetId="47">'42'!$2:$7</definedName>
    <definedName name="_xlnm.Print_Titles" localSheetId="54">'49'!$3:$8</definedName>
    <definedName name="_xlnm.Print_Titles" localSheetId="56">'51'!$3:$8</definedName>
    <definedName name="_xlnm.Print_Titles" localSheetId="58">'52cd'!$22:$23</definedName>
    <definedName name="_xlnm.Print_Titles" localSheetId="62">'56'!$3:$6</definedName>
    <definedName name="_xlnm.Print_Titles" localSheetId="63">'57'!$3:$8</definedName>
    <definedName name="_xlnm.Print_Titles" localSheetId="71">'65'!$3:$6</definedName>
    <definedName name="_xlnm.Print_Titles" localSheetId="72">'66'!$3:$6</definedName>
    <definedName name="_xlnm.Print_Titles" localSheetId="73">'67'!$3:$8</definedName>
    <definedName name="_xlnm.Print_Titles" localSheetId="74">'68'!$3:$8</definedName>
    <definedName name="_xlnm.Print_Titles" localSheetId="77">'70cd'!$22:$24</definedName>
    <definedName name="_xlnm.Print_Titles" localSheetId="89">'82'!$3:$8</definedName>
    <definedName name="_xlnm.Print_Titles" localSheetId="93">'85cd'!$22:$24</definedName>
    <definedName name="_xlnm.Print_Titles" localSheetId="95">'86cd'!$22:$24</definedName>
    <definedName name="XXX" localSheetId="5">#REF!</definedName>
    <definedName name="XXX">#REF!</definedName>
    <definedName name="zzz" localSheetId="5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23" l="1"/>
  <c r="G24" i="123"/>
  <c r="G23" i="123"/>
  <c r="G22" i="123"/>
  <c r="G21" i="123"/>
  <c r="G20" i="123"/>
  <c r="G19" i="123"/>
  <c r="G18" i="123"/>
  <c r="G17" i="123"/>
  <c r="F16" i="123"/>
  <c r="E16" i="123"/>
  <c r="D16" i="123"/>
  <c r="C16" i="123"/>
  <c r="G16" i="123" s="1"/>
  <c r="G15" i="123"/>
  <c r="G14" i="123"/>
  <c r="F13" i="123"/>
  <c r="E13" i="123"/>
  <c r="D13" i="123"/>
  <c r="G13" i="123" s="1"/>
  <c r="G12" i="123"/>
  <c r="G11" i="123"/>
  <c r="F10" i="123"/>
  <c r="E10" i="123"/>
  <c r="G10" i="123" s="1"/>
  <c r="D10" i="123"/>
  <c r="C10" i="123"/>
  <c r="C25" i="123" s="1"/>
  <c r="G9" i="123"/>
  <c r="G8" i="123"/>
  <c r="G6" i="123"/>
  <c r="G22" i="112"/>
  <c r="G23" i="112"/>
  <c r="G24" i="112"/>
  <c r="G25" i="112"/>
  <c r="G26" i="112"/>
  <c r="G27" i="112"/>
  <c r="F24" i="112"/>
  <c r="F25" i="112"/>
  <c r="F26" i="112"/>
  <c r="F27" i="112"/>
  <c r="E24" i="112"/>
  <c r="E25" i="112"/>
  <c r="E26" i="112"/>
  <c r="E27" i="112"/>
  <c r="G24" i="106"/>
  <c r="G25" i="106"/>
  <c r="G26" i="106"/>
  <c r="G27" i="106"/>
  <c r="F24" i="106"/>
  <c r="F25" i="106"/>
  <c r="F26" i="106"/>
  <c r="F27" i="106"/>
  <c r="E24" i="106"/>
  <c r="E25" i="106"/>
  <c r="E26" i="106"/>
  <c r="E27" i="106"/>
  <c r="G24" i="103"/>
  <c r="G25" i="103"/>
  <c r="G26" i="103"/>
  <c r="G27" i="103"/>
  <c r="F24" i="103"/>
  <c r="F25" i="103"/>
  <c r="F26" i="103"/>
  <c r="F27" i="103"/>
  <c r="E24" i="103"/>
  <c r="E25" i="103"/>
  <c r="E26" i="103"/>
  <c r="E27" i="103"/>
  <c r="H13" i="123" l="1"/>
  <c r="H20" i="123"/>
  <c r="H12" i="123"/>
  <c r="H8" i="123"/>
  <c r="H24" i="123"/>
  <c r="H14" i="123"/>
  <c r="G25" i="123"/>
  <c r="H10" i="123"/>
  <c r="H16" i="123"/>
  <c r="H22" i="123"/>
  <c r="D25" i="123"/>
  <c r="E10" i="118"/>
  <c r="E11" i="118"/>
  <c r="H25" i="123" l="1"/>
  <c r="H11" i="123"/>
  <c r="H9" i="123"/>
  <c r="H7" i="123"/>
  <c r="H21" i="123"/>
  <c r="H17" i="123"/>
  <c r="H15" i="123"/>
  <c r="H6" i="123"/>
  <c r="H18" i="123"/>
  <c r="H19" i="123"/>
  <c r="H23" i="123"/>
  <c r="D16" i="104"/>
  <c r="D17" i="104"/>
  <c r="D18" i="104"/>
  <c r="D19" i="104"/>
  <c r="D20" i="104"/>
  <c r="D21" i="104"/>
  <c r="D22" i="104"/>
  <c r="D25" i="104"/>
  <c r="D26" i="104"/>
  <c r="D27" i="104"/>
  <c r="D28" i="104"/>
  <c r="D29" i="104"/>
  <c r="D31" i="104"/>
  <c r="D34" i="104"/>
  <c r="D35" i="104"/>
  <c r="D36" i="104"/>
  <c r="D37" i="104"/>
  <c r="D38" i="104"/>
  <c r="D40" i="104"/>
  <c r="D43" i="104"/>
  <c r="D44" i="104"/>
  <c r="D45" i="104"/>
  <c r="D46" i="104"/>
  <c r="D49" i="104"/>
  <c r="D52" i="104"/>
  <c r="D53" i="104"/>
  <c r="D54" i="104"/>
  <c r="D55" i="104"/>
  <c r="D56" i="104"/>
  <c r="D57" i="104"/>
  <c r="D58" i="104"/>
  <c r="D8" i="104"/>
  <c r="D9" i="104"/>
  <c r="D10" i="104"/>
  <c r="D11" i="104"/>
  <c r="D12" i="104"/>
  <c r="D13" i="104"/>
  <c r="D7" i="104"/>
  <c r="L65" i="102" l="1"/>
  <c r="K65" i="102"/>
  <c r="J65" i="102"/>
  <c r="I65" i="102"/>
  <c r="H65" i="102"/>
  <c r="G65" i="102"/>
  <c r="F65" i="102"/>
  <c r="L64" i="102"/>
  <c r="K64" i="102"/>
  <c r="J64" i="102"/>
  <c r="I64" i="102"/>
  <c r="H64" i="102"/>
  <c r="G64" i="102"/>
  <c r="F64" i="102"/>
  <c r="L63" i="102"/>
  <c r="K63" i="102"/>
  <c r="J63" i="102"/>
  <c r="I63" i="102"/>
  <c r="H63" i="102"/>
  <c r="G63" i="102"/>
  <c r="F63" i="102"/>
  <c r="L62" i="102"/>
  <c r="K62" i="102"/>
  <c r="J62" i="102"/>
  <c r="I62" i="102"/>
  <c r="H62" i="102"/>
  <c r="G62" i="102"/>
  <c r="F62" i="102"/>
  <c r="L61" i="102"/>
  <c r="K61" i="102"/>
  <c r="J61" i="102"/>
  <c r="I61" i="102"/>
  <c r="H61" i="102"/>
  <c r="G61" i="102"/>
  <c r="F61" i="102"/>
  <c r="L60" i="102"/>
  <c r="K60" i="102"/>
  <c r="J60" i="102"/>
  <c r="I60" i="102"/>
  <c r="H60" i="102"/>
  <c r="G60" i="102"/>
  <c r="F60" i="102"/>
  <c r="L59" i="102"/>
  <c r="K59" i="102"/>
  <c r="J59" i="102"/>
  <c r="I59" i="102"/>
  <c r="H59" i="102"/>
  <c r="G59" i="102"/>
  <c r="F59" i="102"/>
  <c r="Q47" i="102"/>
  <c r="P47" i="102"/>
  <c r="O47" i="102"/>
  <c r="N47" i="102"/>
  <c r="M47" i="102"/>
  <c r="L47" i="102"/>
  <c r="K47" i="102"/>
  <c r="J47" i="102"/>
  <c r="I47" i="102"/>
  <c r="H47" i="102"/>
  <c r="G47" i="102"/>
  <c r="F47" i="102"/>
  <c r="E47" i="102"/>
  <c r="D47" i="102"/>
  <c r="C47" i="102"/>
  <c r="B47" i="102"/>
  <c r="Q46" i="102"/>
  <c r="P46" i="102"/>
  <c r="O46" i="102"/>
  <c r="N46" i="102"/>
  <c r="M46" i="102"/>
  <c r="L46" i="102"/>
  <c r="K46" i="102"/>
  <c r="J46" i="102"/>
  <c r="I46" i="102"/>
  <c r="H46" i="102"/>
  <c r="G46" i="102"/>
  <c r="F46" i="102"/>
  <c r="E46" i="102"/>
  <c r="D46" i="102"/>
  <c r="C46" i="102"/>
  <c r="B46" i="102"/>
  <c r="Q45" i="102"/>
  <c r="P45" i="102"/>
  <c r="O45" i="102"/>
  <c r="N45" i="102"/>
  <c r="M45" i="102"/>
  <c r="L45" i="102"/>
  <c r="K45" i="102"/>
  <c r="J45" i="102"/>
  <c r="I45" i="102"/>
  <c r="H45" i="102"/>
  <c r="G45" i="102"/>
  <c r="F45" i="102"/>
  <c r="E45" i="102"/>
  <c r="D45" i="102"/>
  <c r="C45" i="102"/>
  <c r="B45" i="102"/>
  <c r="Q44" i="102"/>
  <c r="P44" i="102"/>
  <c r="O44" i="102"/>
  <c r="N44" i="102"/>
  <c r="M44" i="102"/>
  <c r="L44" i="102"/>
  <c r="K44" i="102"/>
  <c r="J44" i="102"/>
  <c r="I44" i="102"/>
  <c r="H44" i="102"/>
  <c r="G44" i="102"/>
  <c r="F44" i="102"/>
  <c r="E44" i="102"/>
  <c r="D44" i="102"/>
  <c r="C44" i="102"/>
  <c r="B44" i="102"/>
  <c r="Q43" i="102"/>
  <c r="P43" i="102"/>
  <c r="O43" i="102"/>
  <c r="N43" i="102"/>
  <c r="M43" i="102"/>
  <c r="L43" i="102"/>
  <c r="K43" i="102"/>
  <c r="J43" i="102"/>
  <c r="I43" i="102"/>
  <c r="H43" i="102"/>
  <c r="G43" i="102"/>
  <c r="F43" i="102"/>
  <c r="E43" i="102"/>
  <c r="D43" i="102"/>
  <c r="C43" i="102"/>
  <c r="B43" i="102"/>
  <c r="Q42" i="102"/>
  <c r="P42" i="102"/>
  <c r="O42" i="102"/>
  <c r="N42" i="102"/>
  <c r="M42" i="102"/>
  <c r="L42" i="102"/>
  <c r="K42" i="102"/>
  <c r="J42" i="102"/>
  <c r="I42" i="102"/>
  <c r="H42" i="102"/>
  <c r="G42" i="102"/>
  <c r="F42" i="102"/>
  <c r="E42" i="102"/>
  <c r="D42" i="102"/>
  <c r="C42" i="102"/>
  <c r="B42" i="102"/>
  <c r="Q41" i="102"/>
  <c r="P41" i="102"/>
  <c r="O41" i="102"/>
  <c r="N41" i="102"/>
  <c r="M41" i="102"/>
  <c r="L41" i="102"/>
  <c r="K41" i="102"/>
  <c r="J41" i="102"/>
  <c r="I41" i="102"/>
  <c r="H41" i="102"/>
  <c r="G41" i="102"/>
  <c r="F41" i="102"/>
  <c r="E41" i="102"/>
  <c r="D41" i="102"/>
  <c r="C41" i="102"/>
  <c r="B41" i="102"/>
  <c r="Q40" i="102"/>
  <c r="P40" i="102"/>
  <c r="O40" i="102"/>
  <c r="N40" i="102"/>
  <c r="M40" i="102"/>
  <c r="L40" i="102"/>
  <c r="K40" i="102"/>
  <c r="J40" i="102"/>
  <c r="I40" i="102"/>
  <c r="H40" i="102"/>
  <c r="G40" i="102"/>
  <c r="F40" i="102"/>
  <c r="E40" i="102"/>
  <c r="D40" i="102"/>
  <c r="C40" i="102"/>
  <c r="B40" i="102"/>
  <c r="Q39" i="102"/>
  <c r="P39" i="102"/>
  <c r="O39" i="102"/>
  <c r="N39" i="102"/>
  <c r="M39" i="102"/>
  <c r="L39" i="102"/>
  <c r="K39" i="102"/>
  <c r="J39" i="102"/>
  <c r="I39" i="102"/>
  <c r="H39" i="102"/>
  <c r="G39" i="102"/>
  <c r="F39" i="102"/>
  <c r="E39" i="102"/>
  <c r="D39" i="102"/>
  <c r="C39" i="102"/>
  <c r="B39" i="102"/>
  <c r="Q38" i="102"/>
  <c r="P38" i="102"/>
  <c r="O38" i="102"/>
  <c r="N38" i="102"/>
  <c r="M38" i="102"/>
  <c r="L38" i="102"/>
  <c r="K38" i="102"/>
  <c r="J38" i="102"/>
  <c r="I38" i="102"/>
  <c r="H38" i="102"/>
  <c r="G38" i="102"/>
  <c r="F38" i="102"/>
  <c r="E38" i="102"/>
  <c r="D38" i="102"/>
  <c r="C38" i="102"/>
  <c r="B38" i="102"/>
  <c r="Q37" i="102"/>
  <c r="P37" i="102"/>
  <c r="O37" i="102"/>
  <c r="N37" i="102"/>
  <c r="M37" i="102"/>
  <c r="L37" i="102"/>
  <c r="K37" i="102"/>
  <c r="J37" i="102"/>
  <c r="I37" i="102"/>
  <c r="H37" i="102"/>
  <c r="G37" i="102"/>
  <c r="F37" i="102"/>
  <c r="E37" i="102"/>
  <c r="D37" i="102"/>
  <c r="C37" i="102"/>
  <c r="B37" i="102"/>
  <c r="Q36" i="102"/>
  <c r="P36" i="102"/>
  <c r="O36" i="102"/>
  <c r="N36" i="102"/>
  <c r="M36" i="102"/>
  <c r="L36" i="102"/>
  <c r="K36" i="102"/>
  <c r="J36" i="102"/>
  <c r="I36" i="102"/>
  <c r="H36" i="102"/>
  <c r="G36" i="102"/>
  <c r="F36" i="102"/>
  <c r="E36" i="102"/>
  <c r="D36" i="102"/>
  <c r="C36" i="102"/>
  <c r="B36" i="102"/>
  <c r="Q35" i="102"/>
  <c r="P35" i="102"/>
  <c r="O35" i="102"/>
  <c r="N35" i="102"/>
  <c r="M35" i="102"/>
  <c r="L35" i="102"/>
  <c r="K35" i="102"/>
  <c r="J35" i="102"/>
  <c r="I35" i="102"/>
  <c r="H35" i="102"/>
  <c r="G35" i="102"/>
  <c r="F35" i="102"/>
  <c r="E35" i="102"/>
  <c r="D35" i="102"/>
  <c r="C35" i="102"/>
  <c r="B35" i="102"/>
  <c r="Q34" i="102"/>
  <c r="P34" i="102"/>
  <c r="O34" i="102"/>
  <c r="N34" i="102"/>
  <c r="M34" i="102"/>
  <c r="L34" i="102"/>
  <c r="K34" i="102"/>
  <c r="J34" i="102"/>
  <c r="I34" i="102"/>
  <c r="H34" i="102"/>
  <c r="G34" i="102"/>
  <c r="F34" i="102"/>
  <c r="E34" i="102"/>
  <c r="D34" i="102"/>
  <c r="C34" i="102"/>
  <c r="B34" i="102"/>
  <c r="Q33" i="102"/>
  <c r="P33" i="102"/>
  <c r="O33" i="102"/>
  <c r="N33" i="102"/>
  <c r="M33" i="102"/>
  <c r="L33" i="102"/>
  <c r="K33" i="102"/>
  <c r="J33" i="102"/>
  <c r="I33" i="102"/>
  <c r="H33" i="102"/>
  <c r="G33" i="102"/>
  <c r="F33" i="102"/>
  <c r="E33" i="102"/>
  <c r="D33" i="102"/>
  <c r="C33" i="102"/>
  <c r="B33" i="102"/>
  <c r="Q32" i="102"/>
  <c r="P32" i="102"/>
  <c r="O32" i="102"/>
  <c r="N32" i="102"/>
  <c r="M32" i="102"/>
  <c r="L32" i="102"/>
  <c r="K32" i="102"/>
  <c r="J32" i="102"/>
  <c r="I32" i="102"/>
  <c r="H32" i="102"/>
  <c r="G32" i="102"/>
  <c r="F32" i="102"/>
  <c r="E32" i="102"/>
  <c r="D32" i="102"/>
  <c r="C32" i="102"/>
  <c r="B32" i="102"/>
  <c r="Q31" i="102"/>
  <c r="P31" i="102"/>
  <c r="O31" i="102"/>
  <c r="N31" i="102"/>
  <c r="M31" i="102"/>
  <c r="L31" i="102"/>
  <c r="K31" i="102"/>
  <c r="J31" i="102"/>
  <c r="I31" i="102"/>
  <c r="H31" i="102"/>
  <c r="G31" i="102"/>
  <c r="F31" i="102"/>
  <c r="E31" i="102"/>
  <c r="D31" i="102"/>
  <c r="C31" i="102"/>
  <c r="B31" i="102"/>
  <c r="Q20" i="102"/>
  <c r="P20" i="102"/>
  <c r="O20" i="102"/>
  <c r="N20" i="102"/>
  <c r="M20" i="102"/>
  <c r="L20" i="102"/>
  <c r="K20" i="102"/>
  <c r="J20" i="102"/>
  <c r="I20" i="102"/>
  <c r="H20" i="102"/>
  <c r="G20" i="102"/>
  <c r="F20" i="102"/>
  <c r="E20" i="102"/>
  <c r="D20" i="102"/>
  <c r="C20" i="102"/>
  <c r="B20" i="102"/>
  <c r="Q19" i="102"/>
  <c r="P19" i="102"/>
  <c r="O19" i="102"/>
  <c r="N19" i="102"/>
  <c r="M19" i="102"/>
  <c r="L19" i="102"/>
  <c r="K19" i="102"/>
  <c r="J19" i="102"/>
  <c r="I19" i="102"/>
  <c r="H19" i="102"/>
  <c r="G19" i="102"/>
  <c r="F19" i="102"/>
  <c r="E19" i="102"/>
  <c r="D19" i="102"/>
  <c r="C19" i="102"/>
  <c r="B19" i="102"/>
  <c r="Q18" i="102"/>
  <c r="P18" i="102"/>
  <c r="O18" i="102"/>
  <c r="N18" i="102"/>
  <c r="M18" i="102"/>
  <c r="L18" i="102"/>
  <c r="K18" i="102"/>
  <c r="J18" i="102"/>
  <c r="I18" i="102"/>
  <c r="H18" i="102"/>
  <c r="G18" i="102"/>
  <c r="F18" i="102"/>
  <c r="E18" i="102"/>
  <c r="D18" i="102"/>
  <c r="C18" i="102"/>
  <c r="B18" i="102"/>
  <c r="Q17" i="102"/>
  <c r="P17" i="102"/>
  <c r="O17" i="102"/>
  <c r="N17" i="102"/>
  <c r="M17" i="102"/>
  <c r="L17" i="102"/>
  <c r="K17" i="102"/>
  <c r="J17" i="102"/>
  <c r="I17" i="102"/>
  <c r="H17" i="102"/>
  <c r="G17" i="102"/>
  <c r="F17" i="102"/>
  <c r="E17" i="102"/>
  <c r="D17" i="102"/>
  <c r="C17" i="102"/>
  <c r="B17" i="102"/>
  <c r="Q16" i="102"/>
  <c r="P16" i="102"/>
  <c r="O16" i="102"/>
  <c r="N16" i="102"/>
  <c r="M16" i="102"/>
  <c r="L16" i="102"/>
  <c r="K16" i="102"/>
  <c r="J16" i="102"/>
  <c r="I16" i="102"/>
  <c r="H16" i="102"/>
  <c r="G16" i="102"/>
  <c r="F16" i="102"/>
  <c r="E16" i="102"/>
  <c r="D16" i="102"/>
  <c r="C16" i="102"/>
  <c r="B16" i="102"/>
  <c r="Q15" i="102"/>
  <c r="P15" i="102"/>
  <c r="O15" i="102"/>
  <c r="N15" i="102"/>
  <c r="M15" i="102"/>
  <c r="L15" i="102"/>
  <c r="K15" i="102"/>
  <c r="J15" i="102"/>
  <c r="I15" i="102"/>
  <c r="H15" i="102"/>
  <c r="G15" i="102"/>
  <c r="F15" i="102"/>
  <c r="E15" i="102"/>
  <c r="D15" i="102"/>
  <c r="C15" i="102"/>
  <c r="B15" i="102"/>
  <c r="Q14" i="102"/>
  <c r="P14" i="102"/>
  <c r="O14" i="102"/>
  <c r="N14" i="102"/>
  <c r="M14" i="102"/>
  <c r="L14" i="102"/>
  <c r="K14" i="102"/>
  <c r="J14" i="102"/>
  <c r="I14" i="102"/>
  <c r="H14" i="102"/>
  <c r="G14" i="102"/>
  <c r="F14" i="102"/>
  <c r="E14" i="102"/>
  <c r="D14" i="102"/>
  <c r="C14" i="102"/>
  <c r="B14" i="102"/>
  <c r="Q13" i="102"/>
  <c r="P13" i="102"/>
  <c r="O13" i="102"/>
  <c r="N13" i="102"/>
  <c r="M13" i="102"/>
  <c r="L13" i="102"/>
  <c r="K13" i="102"/>
  <c r="J13" i="102"/>
  <c r="I13" i="102"/>
  <c r="H13" i="102"/>
  <c r="G13" i="102"/>
  <c r="F13" i="102"/>
  <c r="E13" i="102"/>
  <c r="D13" i="102"/>
  <c r="C13" i="102"/>
  <c r="B13" i="102"/>
  <c r="Q12" i="102"/>
  <c r="P12" i="102"/>
  <c r="O12" i="102"/>
  <c r="N12" i="102"/>
  <c r="M12" i="102"/>
  <c r="L12" i="102"/>
  <c r="K12" i="102"/>
  <c r="J12" i="102"/>
  <c r="I12" i="102"/>
  <c r="H12" i="102"/>
  <c r="G12" i="102"/>
  <c r="F12" i="102"/>
  <c r="E12" i="102"/>
  <c r="D12" i="102"/>
  <c r="C12" i="102"/>
  <c r="B12" i="102"/>
  <c r="Q11" i="102"/>
  <c r="P11" i="102"/>
  <c r="O11" i="102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B11" i="102"/>
  <c r="Q10" i="102"/>
  <c r="P10" i="102"/>
  <c r="O10" i="102"/>
  <c r="N10" i="102"/>
  <c r="M10" i="102"/>
  <c r="L10" i="102"/>
  <c r="K10" i="102"/>
  <c r="J10" i="102"/>
  <c r="I10" i="102"/>
  <c r="H10" i="102"/>
  <c r="G10" i="102"/>
  <c r="F10" i="102"/>
  <c r="E10" i="102"/>
  <c r="D10" i="102"/>
  <c r="C10" i="102"/>
  <c r="B10" i="102"/>
  <c r="D104" i="101" l="1"/>
  <c r="C104" i="101"/>
  <c r="D103" i="101"/>
  <c r="C103" i="101"/>
  <c r="D102" i="101"/>
  <c r="C102" i="101"/>
  <c r="D101" i="101"/>
  <c r="C101" i="101"/>
  <c r="D100" i="101"/>
  <c r="C100" i="101"/>
  <c r="D99" i="101"/>
  <c r="C99" i="101"/>
  <c r="D98" i="101"/>
  <c r="C98" i="101"/>
  <c r="D97" i="101"/>
  <c r="C97" i="101"/>
  <c r="D96" i="101"/>
  <c r="C96" i="101"/>
  <c r="D91" i="101"/>
  <c r="C91" i="101"/>
  <c r="K91" i="101" s="1"/>
  <c r="D90" i="101"/>
  <c r="C90" i="101"/>
  <c r="K90" i="101" s="1"/>
  <c r="D89" i="101"/>
  <c r="C89" i="101"/>
  <c r="K89" i="101" s="1"/>
  <c r="D88" i="101"/>
  <c r="C88" i="101"/>
  <c r="K88" i="101" s="1"/>
  <c r="D87" i="101"/>
  <c r="C87" i="101"/>
  <c r="K87" i="101" s="1"/>
  <c r="D86" i="101"/>
  <c r="J86" i="101" s="1"/>
  <c r="C86" i="101"/>
  <c r="K86" i="101" s="1"/>
  <c r="D85" i="101"/>
  <c r="C85" i="101"/>
  <c r="K85" i="101" s="1"/>
  <c r="J84" i="101"/>
  <c r="D84" i="101"/>
  <c r="C84" i="101"/>
  <c r="K84" i="101" s="1"/>
  <c r="D83" i="101"/>
  <c r="C83" i="101"/>
  <c r="K83" i="101" s="1"/>
  <c r="D82" i="101"/>
  <c r="C82" i="101"/>
  <c r="K82" i="101" s="1"/>
  <c r="J81" i="101"/>
  <c r="D81" i="101"/>
  <c r="C81" i="101"/>
  <c r="K81" i="101" s="1"/>
  <c r="D80" i="101"/>
  <c r="C80" i="101"/>
  <c r="K80" i="101" s="1"/>
  <c r="D79" i="101"/>
  <c r="J79" i="101" s="1"/>
  <c r="C79" i="101"/>
  <c r="D78" i="101"/>
  <c r="C78" i="101"/>
  <c r="K78" i="101" s="1"/>
  <c r="D77" i="101"/>
  <c r="J77" i="101" s="1"/>
  <c r="C77" i="101"/>
  <c r="K77" i="101" s="1"/>
  <c r="D76" i="101"/>
  <c r="J76" i="101" s="1"/>
  <c r="C76" i="101"/>
  <c r="K76" i="101" s="1"/>
  <c r="J75" i="101"/>
  <c r="D75" i="101"/>
  <c r="J80" i="101" s="1"/>
  <c r="C75" i="101"/>
  <c r="K75" i="101" s="1"/>
  <c r="G69" i="101"/>
  <c r="F69" i="101"/>
  <c r="E69" i="101"/>
  <c r="D69" i="101"/>
  <c r="C69" i="101"/>
  <c r="G68" i="101"/>
  <c r="F68" i="101"/>
  <c r="E68" i="101"/>
  <c r="D68" i="101"/>
  <c r="C68" i="101"/>
  <c r="G64" i="101"/>
  <c r="F64" i="101"/>
  <c r="E64" i="101"/>
  <c r="D64" i="101"/>
  <c r="C64" i="101"/>
  <c r="G63" i="101"/>
  <c r="F63" i="101"/>
  <c r="E63" i="101"/>
  <c r="D63" i="101"/>
  <c r="C63" i="101"/>
  <c r="I56" i="101"/>
  <c r="H56" i="101"/>
  <c r="G56" i="101"/>
  <c r="F56" i="101"/>
  <c r="E56" i="101"/>
  <c r="D56" i="101"/>
  <c r="C56" i="101"/>
  <c r="I55" i="101"/>
  <c r="H55" i="101"/>
  <c r="G55" i="101"/>
  <c r="F55" i="101"/>
  <c r="E55" i="101"/>
  <c r="D55" i="101"/>
  <c r="C55" i="101"/>
  <c r="K55" i="101" s="1"/>
  <c r="I54" i="101"/>
  <c r="H54" i="101"/>
  <c r="G54" i="101"/>
  <c r="F54" i="101"/>
  <c r="E54" i="101"/>
  <c r="D54" i="101"/>
  <c r="C54" i="101"/>
  <c r="K54" i="101" s="1"/>
  <c r="I53" i="101"/>
  <c r="H53" i="101"/>
  <c r="G53" i="101"/>
  <c r="F53" i="101"/>
  <c r="E53" i="101"/>
  <c r="D53" i="101"/>
  <c r="C53" i="101"/>
  <c r="K53" i="101" s="1"/>
  <c r="I52" i="101"/>
  <c r="H52" i="101"/>
  <c r="G52" i="101"/>
  <c r="F52" i="101"/>
  <c r="E52" i="101"/>
  <c r="D52" i="101"/>
  <c r="C52" i="101"/>
  <c r="K52" i="101" s="1"/>
  <c r="I50" i="101"/>
  <c r="H50" i="101"/>
  <c r="G50" i="101"/>
  <c r="F50" i="101"/>
  <c r="E50" i="101"/>
  <c r="D50" i="101"/>
  <c r="C50" i="101"/>
  <c r="I49" i="101"/>
  <c r="H49" i="101"/>
  <c r="G49" i="101"/>
  <c r="F49" i="101"/>
  <c r="E49" i="101"/>
  <c r="D49" i="101"/>
  <c r="C49" i="101"/>
  <c r="I48" i="101"/>
  <c r="H48" i="101"/>
  <c r="H51" i="101" s="1"/>
  <c r="H57" i="101" s="1"/>
  <c r="G48" i="101"/>
  <c r="F48" i="101"/>
  <c r="F51" i="101" s="1"/>
  <c r="E48" i="101"/>
  <c r="D48" i="101"/>
  <c r="J55" i="101" s="1"/>
  <c r="C48" i="101"/>
  <c r="C51" i="101" s="1"/>
  <c r="D39" i="101"/>
  <c r="C39" i="101"/>
  <c r="D36" i="101"/>
  <c r="C36" i="101"/>
  <c r="K36" i="101" s="1"/>
  <c r="D35" i="101"/>
  <c r="C35" i="101"/>
  <c r="D34" i="101"/>
  <c r="C34" i="101"/>
  <c r="K34" i="101" s="1"/>
  <c r="D33" i="101"/>
  <c r="C33" i="101"/>
  <c r="K33" i="101" s="1"/>
  <c r="D32" i="101"/>
  <c r="C32" i="101"/>
  <c r="K32" i="101" s="1"/>
  <c r="D31" i="101"/>
  <c r="C31" i="101"/>
  <c r="K31" i="101" s="1"/>
  <c r="D30" i="101"/>
  <c r="C30" i="101"/>
  <c r="K30" i="101" s="1"/>
  <c r="D29" i="101"/>
  <c r="C29" i="101"/>
  <c r="D28" i="101"/>
  <c r="C28" i="101"/>
  <c r="K28" i="101" s="1"/>
  <c r="D27" i="101"/>
  <c r="C27" i="101"/>
  <c r="K27" i="101" s="1"/>
  <c r="D26" i="101"/>
  <c r="C26" i="101"/>
  <c r="D25" i="101"/>
  <c r="C25" i="101"/>
  <c r="K25" i="101" s="1"/>
  <c r="D24" i="101"/>
  <c r="C24" i="101"/>
  <c r="K24" i="101" s="1"/>
  <c r="D23" i="101"/>
  <c r="C23" i="101"/>
  <c r="K23" i="101" s="1"/>
  <c r="D22" i="101"/>
  <c r="C22" i="101"/>
  <c r="K22" i="101" s="1"/>
  <c r="D21" i="101"/>
  <c r="C21" i="101"/>
  <c r="D20" i="101"/>
  <c r="C20" i="101"/>
  <c r="K20" i="101" s="1"/>
  <c r="D19" i="101"/>
  <c r="C19" i="101"/>
  <c r="K19" i="101" s="1"/>
  <c r="D18" i="101"/>
  <c r="C18" i="101"/>
  <c r="K18" i="101" s="1"/>
  <c r="D17" i="101"/>
  <c r="C17" i="101"/>
  <c r="K17" i="101" s="1"/>
  <c r="D16" i="101"/>
  <c r="C16" i="101"/>
  <c r="K16" i="101" s="1"/>
  <c r="D15" i="101"/>
  <c r="C15" i="101"/>
  <c r="K15" i="101" s="1"/>
  <c r="D11" i="101"/>
  <c r="C11" i="101"/>
  <c r="K10" i="101"/>
  <c r="D10" i="101"/>
  <c r="C10" i="101"/>
  <c r="D9" i="101"/>
  <c r="C9" i="101"/>
  <c r="K9" i="101" s="1"/>
  <c r="D8" i="101"/>
  <c r="C8" i="101"/>
  <c r="D6" i="101"/>
  <c r="J10" i="101" s="1"/>
  <c r="C6" i="101"/>
  <c r="J6" i="101" l="1"/>
  <c r="J20" i="101"/>
  <c r="J89" i="101"/>
  <c r="K21" i="101"/>
  <c r="E51" i="101"/>
  <c r="E57" i="101" s="1"/>
  <c r="K56" i="101"/>
  <c r="J83" i="101"/>
  <c r="J11" i="101"/>
  <c r="J32" i="101"/>
  <c r="J36" i="101"/>
  <c r="G51" i="101"/>
  <c r="G57" i="101" s="1"/>
  <c r="J87" i="101"/>
  <c r="J90" i="101"/>
  <c r="J34" i="101"/>
  <c r="J8" i="101"/>
  <c r="J9" i="101"/>
  <c r="J18" i="101"/>
  <c r="J22" i="101"/>
  <c r="J26" i="101"/>
  <c r="J30" i="101"/>
  <c r="J78" i="101"/>
  <c r="D38" i="101"/>
  <c r="J38" i="101" s="1"/>
  <c r="D14" i="101"/>
  <c r="D13" i="101" s="1"/>
  <c r="J82" i="101"/>
  <c r="J85" i="101"/>
  <c r="J16" i="101"/>
  <c r="C14" i="101"/>
  <c r="C13" i="101" s="1"/>
  <c r="C7" i="101"/>
  <c r="D40" i="101"/>
  <c r="J24" i="101"/>
  <c r="K39" i="101"/>
  <c r="J56" i="101"/>
  <c r="J88" i="101"/>
  <c r="F57" i="101"/>
  <c r="I51" i="101"/>
  <c r="I57" i="101" s="1"/>
  <c r="D58" i="101"/>
  <c r="J91" i="101"/>
  <c r="K8" i="101"/>
  <c r="K11" i="101"/>
  <c r="J28" i="101"/>
  <c r="K35" i="101"/>
  <c r="J39" i="101"/>
  <c r="J48" i="101"/>
  <c r="K50" i="101"/>
  <c r="K26" i="101"/>
  <c r="K29" i="101"/>
  <c r="K48" i="101"/>
  <c r="K49" i="101"/>
  <c r="J52" i="101"/>
  <c r="K79" i="101"/>
  <c r="C12" i="101"/>
  <c r="J49" i="101"/>
  <c r="J50" i="101"/>
  <c r="C57" i="101"/>
  <c r="C58" i="101"/>
  <c r="C38" i="101"/>
  <c r="J53" i="101"/>
  <c r="K6" i="101"/>
  <c r="D51" i="101"/>
  <c r="D57" i="101" s="1"/>
  <c r="J57" i="101" s="1"/>
  <c r="J15" i="101"/>
  <c r="J17" i="101"/>
  <c r="J19" i="101"/>
  <c r="J21" i="101"/>
  <c r="J23" i="101"/>
  <c r="J25" i="101"/>
  <c r="J27" i="101"/>
  <c r="J29" i="101"/>
  <c r="J31" i="101"/>
  <c r="J33" i="101"/>
  <c r="J35" i="101"/>
  <c r="J40" i="101"/>
  <c r="J54" i="101"/>
  <c r="K13" i="101" l="1"/>
  <c r="D7" i="101"/>
  <c r="K7" i="101" s="1"/>
  <c r="J13" i="101"/>
  <c r="J14" i="101"/>
  <c r="K14" i="101"/>
  <c r="J51" i="101"/>
  <c r="K51" i="101"/>
  <c r="K57" i="101"/>
  <c r="K38" i="101"/>
  <c r="C40" i="101"/>
  <c r="K40" i="101" s="1"/>
  <c r="D12" i="101" l="1"/>
  <c r="J12" i="101" s="1"/>
  <c r="L10" i="101"/>
  <c r="L7" i="101"/>
  <c r="J7" i="101"/>
  <c r="L9" i="101"/>
  <c r="L11" i="101"/>
  <c r="L8" i="101"/>
  <c r="L64" i="100"/>
  <c r="K64" i="100"/>
  <c r="J64" i="100"/>
  <c r="I64" i="100"/>
  <c r="H64" i="100"/>
  <c r="G64" i="100"/>
  <c r="F64" i="100"/>
  <c r="L63" i="100"/>
  <c r="K63" i="100"/>
  <c r="J63" i="100"/>
  <c r="I63" i="100"/>
  <c r="H63" i="100"/>
  <c r="G63" i="100"/>
  <c r="F63" i="100"/>
  <c r="L62" i="100"/>
  <c r="K62" i="100"/>
  <c r="J62" i="100"/>
  <c r="I62" i="100"/>
  <c r="H62" i="100"/>
  <c r="G62" i="100"/>
  <c r="F62" i="100"/>
  <c r="L61" i="100"/>
  <c r="K61" i="100"/>
  <c r="J61" i="100"/>
  <c r="I61" i="100"/>
  <c r="H61" i="100"/>
  <c r="G61" i="100"/>
  <c r="F61" i="100"/>
  <c r="L60" i="100"/>
  <c r="K60" i="100"/>
  <c r="J60" i="100"/>
  <c r="I60" i="100"/>
  <c r="H60" i="100"/>
  <c r="G60" i="100"/>
  <c r="F60" i="100"/>
  <c r="L59" i="100"/>
  <c r="K59" i="100"/>
  <c r="J59" i="100"/>
  <c r="I59" i="100"/>
  <c r="H59" i="100"/>
  <c r="G59" i="100"/>
  <c r="F59" i="100"/>
  <c r="L58" i="100"/>
  <c r="K58" i="100"/>
  <c r="J58" i="100"/>
  <c r="I58" i="100"/>
  <c r="H58" i="100"/>
  <c r="G58" i="100"/>
  <c r="F58" i="100"/>
  <c r="Q47" i="100"/>
  <c r="P47" i="100"/>
  <c r="O47" i="100"/>
  <c r="N47" i="100"/>
  <c r="M47" i="100"/>
  <c r="L47" i="100"/>
  <c r="K47" i="100"/>
  <c r="J47" i="100"/>
  <c r="I47" i="100"/>
  <c r="H47" i="100"/>
  <c r="G47" i="100"/>
  <c r="F47" i="100"/>
  <c r="E47" i="100"/>
  <c r="D47" i="100"/>
  <c r="C47" i="100"/>
  <c r="B47" i="100"/>
  <c r="Q46" i="100"/>
  <c r="P46" i="100"/>
  <c r="O46" i="100"/>
  <c r="N46" i="100"/>
  <c r="M46" i="100"/>
  <c r="L46" i="100"/>
  <c r="K46" i="100"/>
  <c r="J46" i="100"/>
  <c r="I46" i="100"/>
  <c r="H46" i="100"/>
  <c r="G46" i="100"/>
  <c r="F46" i="100"/>
  <c r="E46" i="100"/>
  <c r="D46" i="100"/>
  <c r="C46" i="100"/>
  <c r="B46" i="100"/>
  <c r="Q45" i="100"/>
  <c r="P45" i="100"/>
  <c r="O45" i="100"/>
  <c r="N45" i="100"/>
  <c r="M45" i="100"/>
  <c r="L45" i="100"/>
  <c r="K45" i="100"/>
  <c r="J45" i="100"/>
  <c r="I45" i="100"/>
  <c r="H45" i="100"/>
  <c r="G45" i="100"/>
  <c r="F45" i="100"/>
  <c r="E45" i="100"/>
  <c r="D45" i="100"/>
  <c r="C45" i="100"/>
  <c r="B45" i="100"/>
  <c r="Q44" i="100"/>
  <c r="P44" i="100"/>
  <c r="O44" i="100"/>
  <c r="N44" i="100"/>
  <c r="M44" i="100"/>
  <c r="L44" i="100"/>
  <c r="K44" i="100"/>
  <c r="J44" i="100"/>
  <c r="I44" i="100"/>
  <c r="H44" i="100"/>
  <c r="G44" i="100"/>
  <c r="F44" i="100"/>
  <c r="E44" i="100"/>
  <c r="D44" i="100"/>
  <c r="C44" i="100"/>
  <c r="B44" i="100"/>
  <c r="Q43" i="100"/>
  <c r="P43" i="100"/>
  <c r="O43" i="100"/>
  <c r="N43" i="100"/>
  <c r="M43" i="100"/>
  <c r="L43" i="100"/>
  <c r="K43" i="100"/>
  <c r="J43" i="100"/>
  <c r="I43" i="100"/>
  <c r="H43" i="100"/>
  <c r="G43" i="100"/>
  <c r="F43" i="100"/>
  <c r="E43" i="100"/>
  <c r="D43" i="100"/>
  <c r="C43" i="100"/>
  <c r="B43" i="100"/>
  <c r="Q42" i="100"/>
  <c r="P42" i="100"/>
  <c r="O42" i="100"/>
  <c r="N42" i="100"/>
  <c r="M42" i="100"/>
  <c r="L42" i="100"/>
  <c r="K42" i="100"/>
  <c r="J42" i="100"/>
  <c r="I42" i="100"/>
  <c r="H42" i="100"/>
  <c r="G42" i="100"/>
  <c r="F42" i="100"/>
  <c r="E42" i="100"/>
  <c r="D42" i="100"/>
  <c r="C42" i="100"/>
  <c r="B42" i="100"/>
  <c r="Q41" i="100"/>
  <c r="P41" i="100"/>
  <c r="O41" i="100"/>
  <c r="N41" i="100"/>
  <c r="M41" i="100"/>
  <c r="L41" i="100"/>
  <c r="K41" i="100"/>
  <c r="J41" i="100"/>
  <c r="I41" i="100"/>
  <c r="H41" i="100"/>
  <c r="G41" i="100"/>
  <c r="F41" i="100"/>
  <c r="E41" i="100"/>
  <c r="D41" i="100"/>
  <c r="C41" i="100"/>
  <c r="B41" i="100"/>
  <c r="Q40" i="100"/>
  <c r="P40" i="100"/>
  <c r="O40" i="100"/>
  <c r="N40" i="100"/>
  <c r="M40" i="100"/>
  <c r="L40" i="100"/>
  <c r="K40" i="100"/>
  <c r="J40" i="100"/>
  <c r="I40" i="100"/>
  <c r="H40" i="100"/>
  <c r="G40" i="100"/>
  <c r="F40" i="100"/>
  <c r="E40" i="100"/>
  <c r="D40" i="100"/>
  <c r="C40" i="100"/>
  <c r="B40" i="100"/>
  <c r="Q39" i="100"/>
  <c r="P39" i="100"/>
  <c r="O39" i="100"/>
  <c r="N39" i="100"/>
  <c r="M39" i="100"/>
  <c r="L39" i="100"/>
  <c r="K39" i="100"/>
  <c r="J39" i="100"/>
  <c r="I39" i="100"/>
  <c r="H39" i="100"/>
  <c r="G39" i="100"/>
  <c r="F39" i="100"/>
  <c r="E39" i="100"/>
  <c r="D39" i="100"/>
  <c r="C39" i="100"/>
  <c r="B39" i="100"/>
  <c r="Q38" i="100"/>
  <c r="P38" i="100"/>
  <c r="O38" i="100"/>
  <c r="N38" i="100"/>
  <c r="M38" i="100"/>
  <c r="L38" i="100"/>
  <c r="K38" i="100"/>
  <c r="J38" i="100"/>
  <c r="I38" i="100"/>
  <c r="H38" i="100"/>
  <c r="G38" i="100"/>
  <c r="F38" i="100"/>
  <c r="E38" i="100"/>
  <c r="D38" i="100"/>
  <c r="C38" i="100"/>
  <c r="B38" i="100"/>
  <c r="Q37" i="100"/>
  <c r="P37" i="100"/>
  <c r="O37" i="100"/>
  <c r="N37" i="100"/>
  <c r="M37" i="100"/>
  <c r="L37" i="100"/>
  <c r="K37" i="100"/>
  <c r="J37" i="100"/>
  <c r="I37" i="100"/>
  <c r="H37" i="100"/>
  <c r="G37" i="100"/>
  <c r="F37" i="100"/>
  <c r="E37" i="100"/>
  <c r="D37" i="100"/>
  <c r="C37" i="100"/>
  <c r="B37" i="100"/>
  <c r="Q36" i="100"/>
  <c r="P36" i="100"/>
  <c r="O36" i="100"/>
  <c r="N36" i="100"/>
  <c r="M36" i="100"/>
  <c r="L36" i="100"/>
  <c r="K36" i="100"/>
  <c r="J36" i="100"/>
  <c r="I36" i="100"/>
  <c r="H36" i="100"/>
  <c r="G36" i="100"/>
  <c r="F36" i="100"/>
  <c r="E36" i="100"/>
  <c r="D36" i="100"/>
  <c r="C36" i="100"/>
  <c r="B36" i="100"/>
  <c r="Q35" i="100"/>
  <c r="P35" i="100"/>
  <c r="O35" i="100"/>
  <c r="N35" i="100"/>
  <c r="M35" i="100"/>
  <c r="L35" i="100"/>
  <c r="K35" i="100"/>
  <c r="J35" i="100"/>
  <c r="I35" i="100"/>
  <c r="H35" i="100"/>
  <c r="G35" i="100"/>
  <c r="F35" i="100"/>
  <c r="E35" i="100"/>
  <c r="D35" i="100"/>
  <c r="C35" i="100"/>
  <c r="B35" i="100"/>
  <c r="Q34" i="100"/>
  <c r="P34" i="100"/>
  <c r="O34" i="100"/>
  <c r="N34" i="100"/>
  <c r="M34" i="100"/>
  <c r="L34" i="100"/>
  <c r="K34" i="100"/>
  <c r="J34" i="100"/>
  <c r="I34" i="100"/>
  <c r="H34" i="100"/>
  <c r="G34" i="100"/>
  <c r="F34" i="100"/>
  <c r="E34" i="100"/>
  <c r="D34" i="100"/>
  <c r="C34" i="100"/>
  <c r="B34" i="100"/>
  <c r="Q33" i="100"/>
  <c r="P33" i="100"/>
  <c r="O33" i="100"/>
  <c r="N33" i="100"/>
  <c r="M33" i="100"/>
  <c r="L33" i="100"/>
  <c r="K33" i="100"/>
  <c r="J33" i="100"/>
  <c r="I33" i="100"/>
  <c r="H33" i="100"/>
  <c r="G33" i="100"/>
  <c r="F33" i="100"/>
  <c r="E33" i="100"/>
  <c r="D33" i="100"/>
  <c r="C33" i="100"/>
  <c r="B33" i="100"/>
  <c r="Q32" i="100"/>
  <c r="P32" i="100"/>
  <c r="O32" i="100"/>
  <c r="N32" i="100"/>
  <c r="M32" i="100"/>
  <c r="L32" i="100"/>
  <c r="K32" i="100"/>
  <c r="J32" i="100"/>
  <c r="I32" i="100"/>
  <c r="H32" i="100"/>
  <c r="G32" i="100"/>
  <c r="F32" i="100"/>
  <c r="E32" i="100"/>
  <c r="D32" i="100"/>
  <c r="C32" i="100"/>
  <c r="B32" i="100"/>
  <c r="Q31" i="100"/>
  <c r="P31" i="100"/>
  <c r="O31" i="100"/>
  <c r="N31" i="100"/>
  <c r="M31" i="100"/>
  <c r="L31" i="100"/>
  <c r="K31" i="100"/>
  <c r="J31" i="100"/>
  <c r="I31" i="100"/>
  <c r="H31" i="100"/>
  <c r="G31" i="100"/>
  <c r="F31" i="100"/>
  <c r="E31" i="100"/>
  <c r="D31" i="100"/>
  <c r="C31" i="100"/>
  <c r="B31" i="100"/>
  <c r="Q20" i="100"/>
  <c r="P20" i="100"/>
  <c r="O20" i="100"/>
  <c r="N20" i="100"/>
  <c r="M20" i="100"/>
  <c r="L20" i="100"/>
  <c r="K20" i="100"/>
  <c r="J20" i="100"/>
  <c r="I20" i="100"/>
  <c r="H20" i="100"/>
  <c r="G20" i="100"/>
  <c r="F20" i="100"/>
  <c r="E20" i="100"/>
  <c r="D20" i="100"/>
  <c r="C20" i="100"/>
  <c r="B20" i="100"/>
  <c r="Q19" i="100"/>
  <c r="P19" i="100"/>
  <c r="O19" i="100"/>
  <c r="N19" i="100"/>
  <c r="M19" i="100"/>
  <c r="L19" i="100"/>
  <c r="K19" i="100"/>
  <c r="J19" i="100"/>
  <c r="I19" i="100"/>
  <c r="H19" i="100"/>
  <c r="G19" i="100"/>
  <c r="F19" i="100"/>
  <c r="E19" i="100"/>
  <c r="D19" i="100"/>
  <c r="C19" i="100"/>
  <c r="B19" i="100"/>
  <c r="Q18" i="100"/>
  <c r="P18" i="100"/>
  <c r="O18" i="100"/>
  <c r="N18" i="100"/>
  <c r="M18" i="100"/>
  <c r="L18" i="100"/>
  <c r="K18" i="100"/>
  <c r="J18" i="100"/>
  <c r="I18" i="100"/>
  <c r="H18" i="100"/>
  <c r="G18" i="100"/>
  <c r="F18" i="100"/>
  <c r="E18" i="100"/>
  <c r="D18" i="100"/>
  <c r="C18" i="100"/>
  <c r="B18" i="100"/>
  <c r="Q17" i="100"/>
  <c r="P17" i="100"/>
  <c r="O17" i="100"/>
  <c r="N17" i="100"/>
  <c r="M17" i="100"/>
  <c r="L17" i="100"/>
  <c r="K17" i="100"/>
  <c r="J17" i="100"/>
  <c r="I17" i="100"/>
  <c r="H17" i="100"/>
  <c r="G17" i="100"/>
  <c r="F17" i="100"/>
  <c r="E17" i="100"/>
  <c r="D17" i="100"/>
  <c r="C17" i="100"/>
  <c r="B17" i="100"/>
  <c r="Q16" i="100"/>
  <c r="P16" i="100"/>
  <c r="O16" i="100"/>
  <c r="N16" i="100"/>
  <c r="M16" i="100"/>
  <c r="L16" i="100"/>
  <c r="K16" i="100"/>
  <c r="J16" i="100"/>
  <c r="I16" i="100"/>
  <c r="H16" i="100"/>
  <c r="G16" i="100"/>
  <c r="F16" i="100"/>
  <c r="E16" i="100"/>
  <c r="D16" i="100"/>
  <c r="C16" i="100"/>
  <c r="B16" i="100"/>
  <c r="Q15" i="100"/>
  <c r="P15" i="100"/>
  <c r="O15" i="100"/>
  <c r="N15" i="100"/>
  <c r="M15" i="100"/>
  <c r="L15" i="100"/>
  <c r="K15" i="100"/>
  <c r="J15" i="100"/>
  <c r="I15" i="100"/>
  <c r="H15" i="100"/>
  <c r="G15" i="100"/>
  <c r="F15" i="100"/>
  <c r="E15" i="100"/>
  <c r="D15" i="100"/>
  <c r="C15" i="100"/>
  <c r="B15" i="100"/>
  <c r="Q14" i="100"/>
  <c r="P14" i="100"/>
  <c r="O14" i="100"/>
  <c r="N14" i="100"/>
  <c r="M14" i="100"/>
  <c r="L14" i="100"/>
  <c r="K14" i="100"/>
  <c r="J14" i="100"/>
  <c r="I14" i="100"/>
  <c r="H14" i="100"/>
  <c r="G14" i="100"/>
  <c r="F14" i="100"/>
  <c r="E14" i="100"/>
  <c r="D14" i="100"/>
  <c r="C14" i="100"/>
  <c r="B14" i="100"/>
  <c r="Q13" i="100"/>
  <c r="P13" i="100"/>
  <c r="O13" i="100"/>
  <c r="N13" i="100"/>
  <c r="M13" i="100"/>
  <c r="L13" i="100"/>
  <c r="K13" i="100"/>
  <c r="J13" i="100"/>
  <c r="I13" i="100"/>
  <c r="H13" i="100"/>
  <c r="G13" i="100"/>
  <c r="F13" i="100"/>
  <c r="E13" i="100"/>
  <c r="D13" i="100"/>
  <c r="C13" i="100"/>
  <c r="B13" i="100"/>
  <c r="Q12" i="100"/>
  <c r="P12" i="100"/>
  <c r="O12" i="100"/>
  <c r="N12" i="100"/>
  <c r="M12" i="100"/>
  <c r="L12" i="100"/>
  <c r="K12" i="100"/>
  <c r="J12" i="100"/>
  <c r="I12" i="100"/>
  <c r="H12" i="100"/>
  <c r="G12" i="100"/>
  <c r="F12" i="100"/>
  <c r="E12" i="100"/>
  <c r="D12" i="100"/>
  <c r="C12" i="100"/>
  <c r="B12" i="100"/>
  <c r="Q11" i="100"/>
  <c r="P11" i="100"/>
  <c r="O11" i="100"/>
  <c r="N11" i="100"/>
  <c r="M11" i="100"/>
  <c r="L11" i="100"/>
  <c r="K11" i="100"/>
  <c r="J11" i="100"/>
  <c r="I11" i="100"/>
  <c r="H11" i="100"/>
  <c r="G11" i="100"/>
  <c r="F11" i="100"/>
  <c r="E11" i="100"/>
  <c r="D11" i="100"/>
  <c r="C11" i="100"/>
  <c r="B11" i="100"/>
  <c r="Q10" i="100"/>
  <c r="P10" i="100"/>
  <c r="O10" i="100"/>
  <c r="N10" i="100"/>
  <c r="M10" i="100"/>
  <c r="L10" i="100"/>
  <c r="K10" i="100"/>
  <c r="J10" i="100"/>
  <c r="I10" i="100"/>
  <c r="H10" i="100"/>
  <c r="G10" i="100"/>
  <c r="F10" i="100"/>
  <c r="E10" i="100"/>
  <c r="D10" i="100"/>
  <c r="C10" i="100"/>
  <c r="B10" i="100"/>
  <c r="K12" i="101" l="1"/>
  <c r="L12" i="101"/>
  <c r="C104" i="99"/>
  <c r="B104" i="99"/>
  <c r="C103" i="99"/>
  <c r="B103" i="99"/>
  <c r="C102" i="99"/>
  <c r="B102" i="99"/>
  <c r="C101" i="99"/>
  <c r="B101" i="99"/>
  <c r="C100" i="99"/>
  <c r="B100" i="99"/>
  <c r="C99" i="99"/>
  <c r="B99" i="99"/>
  <c r="C98" i="99"/>
  <c r="B98" i="99"/>
  <c r="C97" i="99"/>
  <c r="B97" i="99"/>
  <c r="C96" i="99"/>
  <c r="B96" i="99"/>
  <c r="C91" i="99"/>
  <c r="B91" i="99"/>
  <c r="C90" i="99"/>
  <c r="J90" i="99" s="1"/>
  <c r="B90" i="99"/>
  <c r="C89" i="99"/>
  <c r="B89" i="99"/>
  <c r="J89" i="99" s="1"/>
  <c r="C88" i="99"/>
  <c r="B88" i="99"/>
  <c r="J88" i="99" s="1"/>
  <c r="J87" i="99"/>
  <c r="C87" i="99"/>
  <c r="B87" i="99"/>
  <c r="C86" i="99"/>
  <c r="B86" i="99"/>
  <c r="J86" i="99" s="1"/>
  <c r="C85" i="99"/>
  <c r="I85" i="99" s="1"/>
  <c r="B85" i="99"/>
  <c r="C84" i="99"/>
  <c r="B84" i="99"/>
  <c r="J84" i="99" s="1"/>
  <c r="C83" i="99"/>
  <c r="I83" i="99" s="1"/>
  <c r="B83" i="99"/>
  <c r="J83" i="99" s="1"/>
  <c r="C82" i="99"/>
  <c r="B82" i="99"/>
  <c r="J82" i="99" s="1"/>
  <c r="C81" i="99"/>
  <c r="B81" i="99"/>
  <c r="J81" i="99" s="1"/>
  <c r="C80" i="99"/>
  <c r="I80" i="99" s="1"/>
  <c r="B80" i="99"/>
  <c r="C79" i="99"/>
  <c r="I79" i="99" s="1"/>
  <c r="B79" i="99"/>
  <c r="J79" i="99" s="1"/>
  <c r="C78" i="99"/>
  <c r="I78" i="99" s="1"/>
  <c r="B78" i="99"/>
  <c r="J78" i="99" s="1"/>
  <c r="C77" i="99"/>
  <c r="B77" i="99"/>
  <c r="J77" i="99" s="1"/>
  <c r="C76" i="99"/>
  <c r="I76" i="99" s="1"/>
  <c r="B76" i="99"/>
  <c r="J76" i="99" s="1"/>
  <c r="J75" i="99"/>
  <c r="C75" i="99"/>
  <c r="I75" i="99" s="1"/>
  <c r="B75" i="99"/>
  <c r="F69" i="99"/>
  <c r="E69" i="99"/>
  <c r="D69" i="99"/>
  <c r="C69" i="99"/>
  <c r="B69" i="99"/>
  <c r="F68" i="99"/>
  <c r="E68" i="99"/>
  <c r="D68" i="99"/>
  <c r="C68" i="99"/>
  <c r="B68" i="99"/>
  <c r="F64" i="99"/>
  <c r="E64" i="99"/>
  <c r="D64" i="99"/>
  <c r="C64" i="99"/>
  <c r="B64" i="99"/>
  <c r="F63" i="99"/>
  <c r="E63" i="99"/>
  <c r="D63" i="99"/>
  <c r="C63" i="99"/>
  <c r="B63" i="99"/>
  <c r="H56" i="99"/>
  <c r="G56" i="99"/>
  <c r="F56" i="99"/>
  <c r="E56" i="99"/>
  <c r="D56" i="99"/>
  <c r="C56" i="99"/>
  <c r="B56" i="99"/>
  <c r="J56" i="99" s="1"/>
  <c r="H55" i="99"/>
  <c r="G55" i="99"/>
  <c r="F55" i="99"/>
  <c r="E55" i="99"/>
  <c r="D55" i="99"/>
  <c r="C55" i="99"/>
  <c r="B55" i="99"/>
  <c r="J55" i="99" s="1"/>
  <c r="H54" i="99"/>
  <c r="G54" i="99"/>
  <c r="F54" i="99"/>
  <c r="E54" i="99"/>
  <c r="D54" i="99"/>
  <c r="C54" i="99"/>
  <c r="B54" i="99"/>
  <c r="J54" i="99" s="1"/>
  <c r="H53" i="99"/>
  <c r="G53" i="99"/>
  <c r="F53" i="99"/>
  <c r="E53" i="99"/>
  <c r="D53" i="99"/>
  <c r="C53" i="99"/>
  <c r="B53" i="99"/>
  <c r="J53" i="99" s="1"/>
  <c r="H52" i="99"/>
  <c r="G52" i="99"/>
  <c r="F52" i="99"/>
  <c r="E52" i="99"/>
  <c r="D52" i="99"/>
  <c r="C52" i="99"/>
  <c r="B52" i="99"/>
  <c r="H50" i="99"/>
  <c r="G50" i="99"/>
  <c r="F50" i="99"/>
  <c r="E50" i="99"/>
  <c r="D50" i="99"/>
  <c r="C50" i="99"/>
  <c r="B50" i="99"/>
  <c r="H49" i="99"/>
  <c r="G49" i="99"/>
  <c r="F49" i="99"/>
  <c r="E49" i="99"/>
  <c r="D49" i="99"/>
  <c r="C49" i="99"/>
  <c r="B49" i="99"/>
  <c r="H48" i="99"/>
  <c r="G48" i="99"/>
  <c r="G51" i="99" s="1"/>
  <c r="G57" i="99" s="1"/>
  <c r="F48" i="99"/>
  <c r="E48" i="99"/>
  <c r="D48" i="99"/>
  <c r="D51" i="99" s="1"/>
  <c r="C48" i="99"/>
  <c r="B48" i="99"/>
  <c r="C39" i="99"/>
  <c r="B39" i="99"/>
  <c r="C36" i="99"/>
  <c r="B36" i="99"/>
  <c r="J36" i="99" s="1"/>
  <c r="C35" i="99"/>
  <c r="B35" i="99"/>
  <c r="C34" i="99"/>
  <c r="B34" i="99"/>
  <c r="C33" i="99"/>
  <c r="J33" i="99" s="1"/>
  <c r="B33" i="99"/>
  <c r="C32" i="99"/>
  <c r="B32" i="99"/>
  <c r="J32" i="99" s="1"/>
  <c r="C31" i="99"/>
  <c r="I31" i="99" s="1"/>
  <c r="B31" i="99"/>
  <c r="J31" i="99" s="1"/>
  <c r="C30" i="99"/>
  <c r="B30" i="99"/>
  <c r="C29" i="99"/>
  <c r="B29" i="99"/>
  <c r="C28" i="99"/>
  <c r="B28" i="99"/>
  <c r="C27" i="99"/>
  <c r="B27" i="99"/>
  <c r="C26" i="99"/>
  <c r="B26" i="99"/>
  <c r="C25" i="99"/>
  <c r="B25" i="99"/>
  <c r="C24" i="99"/>
  <c r="B24" i="99"/>
  <c r="C23" i="99"/>
  <c r="I23" i="99" s="1"/>
  <c r="B23" i="99"/>
  <c r="C22" i="99"/>
  <c r="B22" i="99"/>
  <c r="C21" i="99"/>
  <c r="J21" i="99" s="1"/>
  <c r="B21" i="99"/>
  <c r="C20" i="99"/>
  <c r="B20" i="99"/>
  <c r="J20" i="99" s="1"/>
  <c r="J19" i="99"/>
  <c r="C19" i="99"/>
  <c r="I19" i="99" s="1"/>
  <c r="B19" i="99"/>
  <c r="C18" i="99"/>
  <c r="B18" i="99"/>
  <c r="J18" i="99" s="1"/>
  <c r="C17" i="99"/>
  <c r="B17" i="99"/>
  <c r="J17" i="99" s="1"/>
  <c r="C16" i="99"/>
  <c r="I16" i="99" s="1"/>
  <c r="B16" i="99"/>
  <c r="J16" i="99" s="1"/>
  <c r="C15" i="99"/>
  <c r="B15" i="99"/>
  <c r="B14" i="99" s="1"/>
  <c r="B13" i="99" s="1"/>
  <c r="C11" i="99"/>
  <c r="I11" i="99" s="1"/>
  <c r="B11" i="99"/>
  <c r="C10" i="99"/>
  <c r="I10" i="99" s="1"/>
  <c r="B10" i="99"/>
  <c r="C9" i="99"/>
  <c r="B9" i="99"/>
  <c r="C8" i="99"/>
  <c r="B8" i="99"/>
  <c r="J8" i="99" s="1"/>
  <c r="J6" i="99"/>
  <c r="C6" i="99"/>
  <c r="B6" i="99"/>
  <c r="B38" i="99" s="1"/>
  <c r="B51" i="99" l="1"/>
  <c r="B57" i="99" s="1"/>
  <c r="J57" i="99" s="1"/>
  <c r="I8" i="99"/>
  <c r="I22" i="99"/>
  <c r="I26" i="99"/>
  <c r="I30" i="99"/>
  <c r="I34" i="99"/>
  <c r="I52" i="99"/>
  <c r="J15" i="99"/>
  <c r="D57" i="99"/>
  <c r="J80" i="99"/>
  <c r="J91" i="99"/>
  <c r="I20" i="99"/>
  <c r="I24" i="99"/>
  <c r="I28" i="99"/>
  <c r="J11" i="99"/>
  <c r="I17" i="99"/>
  <c r="H51" i="99"/>
  <c r="H57" i="99" s="1"/>
  <c r="J52" i="99"/>
  <c r="I81" i="99"/>
  <c r="J34" i="99"/>
  <c r="I39" i="99"/>
  <c r="J49" i="99"/>
  <c r="J50" i="99"/>
  <c r="I53" i="99"/>
  <c r="I54" i="99"/>
  <c r="J27" i="99"/>
  <c r="J24" i="99"/>
  <c r="J28" i="99"/>
  <c r="I35" i="99"/>
  <c r="E51" i="99"/>
  <c r="E57" i="99" s="1"/>
  <c r="I55" i="99"/>
  <c r="J85" i="99"/>
  <c r="J9" i="99"/>
  <c r="I32" i="99"/>
  <c r="I36" i="99"/>
  <c r="F51" i="99"/>
  <c r="F57" i="99" s="1"/>
  <c r="I91" i="99"/>
  <c r="C58" i="99"/>
  <c r="I9" i="99"/>
  <c r="I25" i="99"/>
  <c r="I29" i="99"/>
  <c r="C38" i="99"/>
  <c r="I38" i="99" s="1"/>
  <c r="I77" i="99"/>
  <c r="I84" i="99"/>
  <c r="I6" i="99"/>
  <c r="J10" i="99"/>
  <c r="I15" i="99"/>
  <c r="I18" i="99"/>
  <c r="J22" i="99"/>
  <c r="J26" i="99"/>
  <c r="J30" i="99"/>
  <c r="J39" i="99"/>
  <c r="I49" i="99"/>
  <c r="C51" i="99"/>
  <c r="C57" i="99" s="1"/>
  <c r="I57" i="99" s="1"/>
  <c r="I82" i="99"/>
  <c r="J51" i="99"/>
  <c r="B40" i="99"/>
  <c r="B7" i="99"/>
  <c r="J23" i="99"/>
  <c r="J25" i="99"/>
  <c r="J29" i="99"/>
  <c r="J35" i="99"/>
  <c r="I48" i="99"/>
  <c r="I56" i="99"/>
  <c r="I86" i="99"/>
  <c r="I88" i="99"/>
  <c r="I90" i="99"/>
  <c r="I50" i="99"/>
  <c r="I51" i="99"/>
  <c r="B58" i="99"/>
  <c r="C14" i="99"/>
  <c r="J14" i="99" s="1"/>
  <c r="J48" i="99"/>
  <c r="I87" i="99"/>
  <c r="I89" i="99"/>
  <c r="I21" i="99"/>
  <c r="I33" i="99"/>
  <c r="I27" i="99"/>
  <c r="C40" i="99" l="1"/>
  <c r="I40" i="99" s="1"/>
  <c r="J38" i="99"/>
  <c r="B12" i="99"/>
  <c r="I14" i="99"/>
  <c r="C13" i="99"/>
  <c r="L64" i="98"/>
  <c r="K64" i="98"/>
  <c r="J64" i="98"/>
  <c r="I64" i="98"/>
  <c r="H64" i="98"/>
  <c r="G64" i="98"/>
  <c r="F64" i="98"/>
  <c r="L63" i="98"/>
  <c r="K63" i="98"/>
  <c r="J63" i="98"/>
  <c r="I63" i="98"/>
  <c r="H63" i="98"/>
  <c r="G63" i="98"/>
  <c r="F63" i="98"/>
  <c r="L62" i="98"/>
  <c r="K62" i="98"/>
  <c r="J62" i="98"/>
  <c r="I62" i="98"/>
  <c r="H62" i="98"/>
  <c r="G62" i="98"/>
  <c r="F62" i="98"/>
  <c r="L61" i="98"/>
  <c r="K61" i="98"/>
  <c r="J61" i="98"/>
  <c r="I61" i="98"/>
  <c r="H61" i="98"/>
  <c r="G61" i="98"/>
  <c r="F61" i="98"/>
  <c r="L60" i="98"/>
  <c r="K60" i="98"/>
  <c r="J60" i="98"/>
  <c r="I60" i="98"/>
  <c r="H60" i="98"/>
  <c r="G60" i="98"/>
  <c r="F60" i="98"/>
  <c r="L59" i="98"/>
  <c r="K59" i="98"/>
  <c r="J59" i="98"/>
  <c r="I59" i="98"/>
  <c r="H59" i="98"/>
  <c r="G59" i="98"/>
  <c r="F59" i="98"/>
  <c r="L58" i="98"/>
  <c r="K58" i="98"/>
  <c r="J58" i="98"/>
  <c r="I58" i="98"/>
  <c r="H58" i="98"/>
  <c r="G58" i="98"/>
  <c r="F58" i="98"/>
  <c r="Q47" i="98"/>
  <c r="P47" i="98"/>
  <c r="O47" i="98"/>
  <c r="N47" i="98"/>
  <c r="M47" i="98"/>
  <c r="L47" i="98"/>
  <c r="K47" i="98"/>
  <c r="J47" i="98"/>
  <c r="I47" i="98"/>
  <c r="H47" i="98"/>
  <c r="G47" i="98"/>
  <c r="F47" i="98"/>
  <c r="E47" i="98"/>
  <c r="D47" i="98"/>
  <c r="C47" i="98"/>
  <c r="B47" i="98"/>
  <c r="Q46" i="98"/>
  <c r="P46" i="98"/>
  <c r="O46" i="98"/>
  <c r="N46" i="98"/>
  <c r="M46" i="98"/>
  <c r="L46" i="98"/>
  <c r="K46" i="98"/>
  <c r="J46" i="98"/>
  <c r="I46" i="98"/>
  <c r="H46" i="98"/>
  <c r="G46" i="98"/>
  <c r="F46" i="98"/>
  <c r="E46" i="98"/>
  <c r="D46" i="98"/>
  <c r="C46" i="98"/>
  <c r="B46" i="98"/>
  <c r="Q45" i="98"/>
  <c r="P45" i="98"/>
  <c r="O45" i="98"/>
  <c r="N45" i="98"/>
  <c r="M45" i="98"/>
  <c r="L45" i="98"/>
  <c r="K45" i="98"/>
  <c r="J45" i="98"/>
  <c r="I45" i="98"/>
  <c r="H45" i="98"/>
  <c r="G45" i="98"/>
  <c r="F45" i="98"/>
  <c r="E45" i="98"/>
  <c r="D45" i="98"/>
  <c r="C45" i="98"/>
  <c r="B45" i="98"/>
  <c r="Q44" i="98"/>
  <c r="P44" i="98"/>
  <c r="O44" i="98"/>
  <c r="N44" i="98"/>
  <c r="M44" i="98"/>
  <c r="L44" i="98"/>
  <c r="K44" i="98"/>
  <c r="J44" i="98"/>
  <c r="I44" i="98"/>
  <c r="H44" i="98"/>
  <c r="G44" i="98"/>
  <c r="F44" i="98"/>
  <c r="E44" i="98"/>
  <c r="D44" i="98"/>
  <c r="C44" i="98"/>
  <c r="B44" i="98"/>
  <c r="Q43" i="98"/>
  <c r="P43" i="98"/>
  <c r="O43" i="98"/>
  <c r="N43" i="98"/>
  <c r="M43" i="98"/>
  <c r="L43" i="98"/>
  <c r="K43" i="98"/>
  <c r="J43" i="98"/>
  <c r="I43" i="98"/>
  <c r="H43" i="98"/>
  <c r="G43" i="98"/>
  <c r="F43" i="98"/>
  <c r="E43" i="98"/>
  <c r="D43" i="98"/>
  <c r="C43" i="98"/>
  <c r="B43" i="98"/>
  <c r="Q42" i="98"/>
  <c r="P42" i="98"/>
  <c r="O42" i="98"/>
  <c r="N42" i="98"/>
  <c r="M42" i="98"/>
  <c r="L42" i="98"/>
  <c r="K42" i="98"/>
  <c r="J42" i="98"/>
  <c r="I42" i="98"/>
  <c r="H42" i="98"/>
  <c r="G42" i="98"/>
  <c r="F42" i="98"/>
  <c r="E42" i="98"/>
  <c r="D42" i="98"/>
  <c r="C42" i="98"/>
  <c r="B42" i="98"/>
  <c r="Q41" i="98"/>
  <c r="P41" i="98"/>
  <c r="O41" i="98"/>
  <c r="N41" i="98"/>
  <c r="M41" i="98"/>
  <c r="L41" i="98"/>
  <c r="K41" i="98"/>
  <c r="J41" i="98"/>
  <c r="I41" i="98"/>
  <c r="H41" i="98"/>
  <c r="G41" i="98"/>
  <c r="F41" i="98"/>
  <c r="E41" i="98"/>
  <c r="D41" i="98"/>
  <c r="C41" i="98"/>
  <c r="B41" i="98"/>
  <c r="Q40" i="98"/>
  <c r="P40" i="98"/>
  <c r="O40" i="98"/>
  <c r="N40" i="98"/>
  <c r="M40" i="98"/>
  <c r="L40" i="98"/>
  <c r="K40" i="98"/>
  <c r="J40" i="98"/>
  <c r="I40" i="98"/>
  <c r="H40" i="98"/>
  <c r="G40" i="98"/>
  <c r="F40" i="98"/>
  <c r="E40" i="98"/>
  <c r="D40" i="98"/>
  <c r="C40" i="98"/>
  <c r="B40" i="98"/>
  <c r="Q39" i="98"/>
  <c r="P39" i="98"/>
  <c r="O39" i="98"/>
  <c r="N39" i="98"/>
  <c r="M39" i="98"/>
  <c r="L39" i="98"/>
  <c r="K39" i="98"/>
  <c r="J39" i="98"/>
  <c r="I39" i="98"/>
  <c r="H39" i="98"/>
  <c r="G39" i="98"/>
  <c r="F39" i="98"/>
  <c r="E39" i="98"/>
  <c r="D39" i="98"/>
  <c r="C39" i="98"/>
  <c r="B39" i="98"/>
  <c r="Q38" i="98"/>
  <c r="P38" i="98"/>
  <c r="O38" i="98"/>
  <c r="N38" i="98"/>
  <c r="M38" i="98"/>
  <c r="L38" i="98"/>
  <c r="K38" i="98"/>
  <c r="J38" i="98"/>
  <c r="I38" i="98"/>
  <c r="H38" i="98"/>
  <c r="G38" i="98"/>
  <c r="F38" i="98"/>
  <c r="E38" i="98"/>
  <c r="D38" i="98"/>
  <c r="C38" i="98"/>
  <c r="B38" i="98"/>
  <c r="Q37" i="98"/>
  <c r="P37" i="98"/>
  <c r="O37" i="98"/>
  <c r="N37" i="98"/>
  <c r="M37" i="98"/>
  <c r="L37" i="98"/>
  <c r="K37" i="98"/>
  <c r="J37" i="98"/>
  <c r="I37" i="98"/>
  <c r="H37" i="98"/>
  <c r="G37" i="98"/>
  <c r="F37" i="98"/>
  <c r="E37" i="98"/>
  <c r="D37" i="98"/>
  <c r="C37" i="98"/>
  <c r="B37" i="98"/>
  <c r="Q36" i="98"/>
  <c r="P36" i="98"/>
  <c r="O36" i="98"/>
  <c r="N36" i="98"/>
  <c r="M36" i="98"/>
  <c r="L36" i="98"/>
  <c r="K36" i="98"/>
  <c r="J36" i="98"/>
  <c r="I36" i="98"/>
  <c r="H36" i="98"/>
  <c r="G36" i="98"/>
  <c r="F36" i="98"/>
  <c r="E36" i="98"/>
  <c r="D36" i="98"/>
  <c r="C36" i="98"/>
  <c r="B36" i="98"/>
  <c r="Q35" i="98"/>
  <c r="P35" i="98"/>
  <c r="O35" i="98"/>
  <c r="N35" i="98"/>
  <c r="M35" i="98"/>
  <c r="L35" i="98"/>
  <c r="K35" i="98"/>
  <c r="J35" i="98"/>
  <c r="I35" i="98"/>
  <c r="H35" i="98"/>
  <c r="G35" i="98"/>
  <c r="F35" i="98"/>
  <c r="E35" i="98"/>
  <c r="D35" i="98"/>
  <c r="C35" i="98"/>
  <c r="B35" i="98"/>
  <c r="Q34" i="98"/>
  <c r="P34" i="98"/>
  <c r="O34" i="98"/>
  <c r="N34" i="98"/>
  <c r="M34" i="98"/>
  <c r="L34" i="98"/>
  <c r="K34" i="98"/>
  <c r="J34" i="98"/>
  <c r="I34" i="98"/>
  <c r="H34" i="98"/>
  <c r="G34" i="98"/>
  <c r="F34" i="98"/>
  <c r="E34" i="98"/>
  <c r="D34" i="98"/>
  <c r="C34" i="98"/>
  <c r="B34" i="98"/>
  <c r="Q33" i="98"/>
  <c r="P33" i="98"/>
  <c r="O33" i="98"/>
  <c r="N33" i="98"/>
  <c r="M33" i="98"/>
  <c r="L33" i="98"/>
  <c r="K33" i="98"/>
  <c r="J33" i="98"/>
  <c r="I33" i="98"/>
  <c r="H33" i="98"/>
  <c r="G33" i="98"/>
  <c r="F33" i="98"/>
  <c r="E33" i="98"/>
  <c r="D33" i="98"/>
  <c r="C33" i="98"/>
  <c r="B33" i="98"/>
  <c r="Q32" i="98"/>
  <c r="P32" i="98"/>
  <c r="O32" i="98"/>
  <c r="N32" i="98"/>
  <c r="M32" i="98"/>
  <c r="L32" i="98"/>
  <c r="K32" i="98"/>
  <c r="J32" i="98"/>
  <c r="I32" i="98"/>
  <c r="H32" i="98"/>
  <c r="G32" i="98"/>
  <c r="F32" i="98"/>
  <c r="E32" i="98"/>
  <c r="D32" i="98"/>
  <c r="C32" i="98"/>
  <c r="B32" i="98"/>
  <c r="Q31" i="98"/>
  <c r="P31" i="98"/>
  <c r="O31" i="98"/>
  <c r="N31" i="98"/>
  <c r="M31" i="98"/>
  <c r="L31" i="98"/>
  <c r="K31" i="98"/>
  <c r="J31" i="98"/>
  <c r="I31" i="98"/>
  <c r="H31" i="98"/>
  <c r="G31" i="98"/>
  <c r="F31" i="98"/>
  <c r="E31" i="98"/>
  <c r="D31" i="98"/>
  <c r="C31" i="98"/>
  <c r="B31" i="98"/>
  <c r="Q20" i="98"/>
  <c r="P20" i="98"/>
  <c r="O20" i="98"/>
  <c r="N20" i="98"/>
  <c r="M20" i="98"/>
  <c r="L20" i="98"/>
  <c r="K20" i="98"/>
  <c r="J20" i="98"/>
  <c r="I20" i="98"/>
  <c r="H20" i="98"/>
  <c r="G20" i="98"/>
  <c r="F20" i="98"/>
  <c r="E20" i="98"/>
  <c r="D20" i="98"/>
  <c r="C20" i="98"/>
  <c r="B20" i="98"/>
  <c r="Q19" i="98"/>
  <c r="P19" i="98"/>
  <c r="O19" i="98"/>
  <c r="N19" i="98"/>
  <c r="M19" i="98"/>
  <c r="L19" i="98"/>
  <c r="K19" i="98"/>
  <c r="J19" i="98"/>
  <c r="I19" i="98"/>
  <c r="H19" i="98"/>
  <c r="G19" i="98"/>
  <c r="F19" i="98"/>
  <c r="E19" i="98"/>
  <c r="D19" i="98"/>
  <c r="C19" i="98"/>
  <c r="B19" i="98"/>
  <c r="Q18" i="98"/>
  <c r="P18" i="98"/>
  <c r="O18" i="98"/>
  <c r="N18" i="98"/>
  <c r="M18" i="98"/>
  <c r="L18" i="98"/>
  <c r="K18" i="98"/>
  <c r="J18" i="98"/>
  <c r="I18" i="98"/>
  <c r="H18" i="98"/>
  <c r="G18" i="98"/>
  <c r="F18" i="98"/>
  <c r="E18" i="98"/>
  <c r="D18" i="98"/>
  <c r="C18" i="98"/>
  <c r="B18" i="98"/>
  <c r="Q17" i="98"/>
  <c r="P17" i="98"/>
  <c r="O17" i="98"/>
  <c r="N17" i="98"/>
  <c r="M17" i="98"/>
  <c r="L17" i="98"/>
  <c r="K17" i="98"/>
  <c r="J17" i="98"/>
  <c r="I17" i="98"/>
  <c r="H17" i="98"/>
  <c r="G17" i="98"/>
  <c r="F17" i="98"/>
  <c r="E17" i="98"/>
  <c r="D17" i="98"/>
  <c r="C17" i="98"/>
  <c r="B17" i="98"/>
  <c r="Q16" i="98"/>
  <c r="P16" i="98"/>
  <c r="O16" i="98"/>
  <c r="N16" i="98"/>
  <c r="M16" i="98"/>
  <c r="L16" i="98"/>
  <c r="K16" i="98"/>
  <c r="J16" i="98"/>
  <c r="I16" i="98"/>
  <c r="H16" i="98"/>
  <c r="G16" i="98"/>
  <c r="F16" i="98"/>
  <c r="E16" i="98"/>
  <c r="D16" i="98"/>
  <c r="C16" i="98"/>
  <c r="B16" i="98"/>
  <c r="Q15" i="98"/>
  <c r="P15" i="98"/>
  <c r="O15" i="98"/>
  <c r="N15" i="98"/>
  <c r="M15" i="98"/>
  <c r="L15" i="98"/>
  <c r="K15" i="98"/>
  <c r="J15" i="98"/>
  <c r="I15" i="98"/>
  <c r="H15" i="98"/>
  <c r="G15" i="98"/>
  <c r="F15" i="98"/>
  <c r="E15" i="98"/>
  <c r="D15" i="98"/>
  <c r="C15" i="98"/>
  <c r="B15" i="98"/>
  <c r="Q14" i="98"/>
  <c r="P14" i="98"/>
  <c r="O14" i="98"/>
  <c r="N14" i="98"/>
  <c r="M14" i="98"/>
  <c r="L14" i="98"/>
  <c r="K14" i="98"/>
  <c r="J14" i="98"/>
  <c r="I14" i="98"/>
  <c r="H14" i="98"/>
  <c r="G14" i="98"/>
  <c r="F14" i="98"/>
  <c r="E14" i="98"/>
  <c r="D14" i="98"/>
  <c r="C14" i="98"/>
  <c r="B14" i="98"/>
  <c r="Q13" i="98"/>
  <c r="P13" i="98"/>
  <c r="O13" i="98"/>
  <c r="N13" i="98"/>
  <c r="M13" i="98"/>
  <c r="L13" i="98"/>
  <c r="K13" i="98"/>
  <c r="J13" i="98"/>
  <c r="I13" i="98"/>
  <c r="H13" i="98"/>
  <c r="G13" i="98"/>
  <c r="F13" i="98"/>
  <c r="E13" i="98"/>
  <c r="D13" i="98"/>
  <c r="C13" i="98"/>
  <c r="B13" i="98"/>
  <c r="Q12" i="98"/>
  <c r="P12" i="98"/>
  <c r="O12" i="98"/>
  <c r="N12" i="98"/>
  <c r="M12" i="98"/>
  <c r="L12" i="98"/>
  <c r="K12" i="98"/>
  <c r="J12" i="98"/>
  <c r="I12" i="98"/>
  <c r="H12" i="98"/>
  <c r="G12" i="98"/>
  <c r="F12" i="98"/>
  <c r="E12" i="98"/>
  <c r="D12" i="98"/>
  <c r="C12" i="98"/>
  <c r="B12" i="98"/>
  <c r="Q11" i="98"/>
  <c r="P11" i="98"/>
  <c r="O11" i="98"/>
  <c r="N11" i="98"/>
  <c r="M11" i="98"/>
  <c r="L11" i="98"/>
  <c r="K11" i="98"/>
  <c r="J11" i="98"/>
  <c r="I11" i="98"/>
  <c r="H11" i="98"/>
  <c r="G11" i="98"/>
  <c r="F11" i="98"/>
  <c r="E11" i="98"/>
  <c r="D11" i="98"/>
  <c r="C11" i="98"/>
  <c r="B11" i="98"/>
  <c r="Q10" i="98"/>
  <c r="P10" i="98"/>
  <c r="O10" i="98"/>
  <c r="N10" i="98"/>
  <c r="M10" i="98"/>
  <c r="L10" i="98"/>
  <c r="K10" i="98"/>
  <c r="J10" i="98"/>
  <c r="I10" i="98"/>
  <c r="H10" i="98"/>
  <c r="G10" i="98"/>
  <c r="F10" i="98"/>
  <c r="E10" i="98"/>
  <c r="D10" i="98"/>
  <c r="C10" i="98"/>
  <c r="B10" i="98"/>
  <c r="J40" i="99" l="1"/>
  <c r="C7" i="99"/>
  <c r="I13" i="99"/>
  <c r="J13" i="99"/>
  <c r="C111" i="97"/>
  <c r="B111" i="97"/>
  <c r="C110" i="97"/>
  <c r="B110" i="97"/>
  <c r="C109" i="97"/>
  <c r="B109" i="97"/>
  <c r="C108" i="97"/>
  <c r="B108" i="97"/>
  <c r="C107" i="97"/>
  <c r="B107" i="97"/>
  <c r="C106" i="97"/>
  <c r="B106" i="97"/>
  <c r="C105" i="97"/>
  <c r="B105" i="97"/>
  <c r="C104" i="97"/>
  <c r="B104" i="97"/>
  <c r="C103" i="97"/>
  <c r="B103" i="97"/>
  <c r="C98" i="97"/>
  <c r="B98" i="97"/>
  <c r="J98" i="97" s="1"/>
  <c r="C97" i="97"/>
  <c r="B97" i="97"/>
  <c r="C96" i="97"/>
  <c r="B96" i="97"/>
  <c r="J96" i="97" s="1"/>
  <c r="J95" i="97"/>
  <c r="C95" i="97"/>
  <c r="B95" i="97"/>
  <c r="C94" i="97"/>
  <c r="J94" i="97" s="1"/>
  <c r="B94" i="97"/>
  <c r="C93" i="97"/>
  <c r="B93" i="97"/>
  <c r="C92" i="97"/>
  <c r="B92" i="97"/>
  <c r="J92" i="97" s="1"/>
  <c r="C91" i="97"/>
  <c r="B91" i="97"/>
  <c r="C90" i="97"/>
  <c r="I90" i="97" s="1"/>
  <c r="B90" i="97"/>
  <c r="J90" i="97" s="1"/>
  <c r="C89" i="97"/>
  <c r="B89" i="97"/>
  <c r="J89" i="97" s="1"/>
  <c r="I88" i="97"/>
  <c r="C88" i="97"/>
  <c r="B88" i="97"/>
  <c r="J88" i="97" s="1"/>
  <c r="C87" i="97"/>
  <c r="I87" i="97" s="1"/>
  <c r="B87" i="97"/>
  <c r="C86" i="97"/>
  <c r="B86" i="97"/>
  <c r="C85" i="97"/>
  <c r="I85" i="97" s="1"/>
  <c r="B85" i="97"/>
  <c r="J85" i="97" s="1"/>
  <c r="C84" i="97"/>
  <c r="B84" i="97"/>
  <c r="C83" i="97"/>
  <c r="I83" i="97" s="1"/>
  <c r="B83" i="97"/>
  <c r="J83" i="97" s="1"/>
  <c r="C82" i="97"/>
  <c r="B82" i="97"/>
  <c r="J82" i="97" s="1"/>
  <c r="H76" i="97"/>
  <c r="G76" i="97"/>
  <c r="F76" i="97"/>
  <c r="E76" i="97"/>
  <c r="D76" i="97"/>
  <c r="C76" i="97"/>
  <c r="B76" i="97"/>
  <c r="H75" i="97"/>
  <c r="G75" i="97"/>
  <c r="G77" i="97" s="1"/>
  <c r="F75" i="97"/>
  <c r="E75" i="97"/>
  <c r="D75" i="97"/>
  <c r="C75" i="97"/>
  <c r="I76" i="97" s="1"/>
  <c r="B75" i="97"/>
  <c r="F71" i="97"/>
  <c r="E71" i="97"/>
  <c r="D71" i="97"/>
  <c r="C71" i="97"/>
  <c r="B71" i="97"/>
  <c r="F70" i="97"/>
  <c r="E70" i="97"/>
  <c r="D70" i="97"/>
  <c r="C70" i="97"/>
  <c r="B70" i="97"/>
  <c r="F66" i="97"/>
  <c r="E66" i="97"/>
  <c r="D66" i="97"/>
  <c r="C66" i="97"/>
  <c r="B66" i="97"/>
  <c r="F65" i="97"/>
  <c r="E65" i="97"/>
  <c r="D65" i="97"/>
  <c r="C65" i="97"/>
  <c r="B65" i="97"/>
  <c r="H57" i="97"/>
  <c r="G57" i="97"/>
  <c r="F57" i="97"/>
  <c r="E57" i="97"/>
  <c r="D57" i="97"/>
  <c r="C57" i="97"/>
  <c r="B57" i="97"/>
  <c r="H56" i="97"/>
  <c r="G56" i="97"/>
  <c r="F56" i="97"/>
  <c r="E56" i="97"/>
  <c r="D56" i="97"/>
  <c r="C56" i="97"/>
  <c r="B56" i="97"/>
  <c r="J56" i="97" s="1"/>
  <c r="H55" i="97"/>
  <c r="G55" i="97"/>
  <c r="F55" i="97"/>
  <c r="E55" i="97"/>
  <c r="D55" i="97"/>
  <c r="C55" i="97"/>
  <c r="B55" i="97"/>
  <c r="J55" i="97" s="1"/>
  <c r="J54" i="97"/>
  <c r="H54" i="97"/>
  <c r="G54" i="97"/>
  <c r="F54" i="97"/>
  <c r="E54" i="97"/>
  <c r="D54" i="97"/>
  <c r="C54" i="97"/>
  <c r="B54" i="97"/>
  <c r="H53" i="97"/>
  <c r="G53" i="97"/>
  <c r="F53" i="97"/>
  <c r="E53" i="97"/>
  <c r="D53" i="97"/>
  <c r="C53" i="97"/>
  <c r="B53" i="97"/>
  <c r="H51" i="97"/>
  <c r="G51" i="97"/>
  <c r="F51" i="97"/>
  <c r="E51" i="97"/>
  <c r="D51" i="97"/>
  <c r="C51" i="97"/>
  <c r="B51" i="97"/>
  <c r="J51" i="97" s="1"/>
  <c r="H50" i="97"/>
  <c r="G50" i="97"/>
  <c r="F50" i="97"/>
  <c r="E50" i="97"/>
  <c r="D50" i="97"/>
  <c r="D52" i="97" s="1"/>
  <c r="D58" i="97" s="1"/>
  <c r="C50" i="97"/>
  <c r="B50" i="97"/>
  <c r="H49" i="97"/>
  <c r="G49" i="97"/>
  <c r="F49" i="97"/>
  <c r="F52" i="97" s="1"/>
  <c r="F58" i="97" s="1"/>
  <c r="E49" i="97"/>
  <c r="E52" i="97" s="1"/>
  <c r="D49" i="97"/>
  <c r="C49" i="97"/>
  <c r="B49" i="97"/>
  <c r="J49" i="97" s="1"/>
  <c r="C40" i="97"/>
  <c r="B40" i="97"/>
  <c r="J40" i="97" s="1"/>
  <c r="C38" i="97"/>
  <c r="B38" i="97"/>
  <c r="J38" i="97" s="1"/>
  <c r="C37" i="97"/>
  <c r="B37" i="97"/>
  <c r="J37" i="97" s="1"/>
  <c r="J36" i="97"/>
  <c r="C36" i="97"/>
  <c r="B36" i="97"/>
  <c r="C35" i="97"/>
  <c r="B35" i="97"/>
  <c r="C34" i="97"/>
  <c r="B34" i="97"/>
  <c r="C33" i="97"/>
  <c r="B33" i="97"/>
  <c r="C32" i="97"/>
  <c r="B32" i="97"/>
  <c r="J32" i="97" s="1"/>
  <c r="C31" i="97"/>
  <c r="B31" i="97"/>
  <c r="C30" i="97"/>
  <c r="B30" i="97"/>
  <c r="J30" i="97" s="1"/>
  <c r="C29" i="97"/>
  <c r="B29" i="97"/>
  <c r="J29" i="97" s="1"/>
  <c r="C28" i="97"/>
  <c r="B28" i="97"/>
  <c r="J28" i="97" s="1"/>
  <c r="C27" i="97"/>
  <c r="B27" i="97"/>
  <c r="C26" i="97"/>
  <c r="B26" i="97"/>
  <c r="J26" i="97" s="1"/>
  <c r="C25" i="97"/>
  <c r="B25" i="97"/>
  <c r="J25" i="97" s="1"/>
  <c r="C24" i="97"/>
  <c r="B24" i="97"/>
  <c r="J24" i="97" s="1"/>
  <c r="C23" i="97"/>
  <c r="B23" i="97"/>
  <c r="J23" i="97" s="1"/>
  <c r="J22" i="97"/>
  <c r="C22" i="97"/>
  <c r="B22" i="97"/>
  <c r="C21" i="97"/>
  <c r="B21" i="97"/>
  <c r="J21" i="97" s="1"/>
  <c r="C20" i="97"/>
  <c r="J20" i="97" s="1"/>
  <c r="B20" i="97"/>
  <c r="C19" i="97"/>
  <c r="B19" i="97"/>
  <c r="C18" i="97"/>
  <c r="B18" i="97"/>
  <c r="C17" i="97"/>
  <c r="B17" i="97"/>
  <c r="J17" i="97" s="1"/>
  <c r="C16" i="97"/>
  <c r="B16" i="97"/>
  <c r="C15" i="97"/>
  <c r="B15" i="97"/>
  <c r="J15" i="97" s="1"/>
  <c r="C14" i="97"/>
  <c r="B14" i="97"/>
  <c r="J14" i="97" s="1"/>
  <c r="C13" i="97"/>
  <c r="B13" i="97"/>
  <c r="C9" i="97"/>
  <c r="B9" i="97"/>
  <c r="C8" i="97"/>
  <c r="B8" i="97"/>
  <c r="C7" i="97"/>
  <c r="B7" i="97"/>
  <c r="C5" i="97"/>
  <c r="I38" i="97" s="1"/>
  <c r="B5" i="97"/>
  <c r="B59" i="97" s="1"/>
  <c r="K8" i="99" l="1"/>
  <c r="K11" i="99"/>
  <c r="K9" i="99"/>
  <c r="K7" i="99"/>
  <c r="K10" i="99"/>
  <c r="C12" i="99"/>
  <c r="I7" i="99"/>
  <c r="J7" i="99"/>
  <c r="I18" i="97"/>
  <c r="I21" i="97"/>
  <c r="I84" i="97"/>
  <c r="I92" i="97"/>
  <c r="J9" i="97"/>
  <c r="C12" i="97"/>
  <c r="C11" i="97" s="1"/>
  <c r="H52" i="97"/>
  <c r="H58" i="97" s="1"/>
  <c r="I82" i="97"/>
  <c r="J86" i="97"/>
  <c r="J93" i="97"/>
  <c r="I28" i="97"/>
  <c r="J16" i="97"/>
  <c r="J33" i="97"/>
  <c r="I36" i="97"/>
  <c r="I86" i="97"/>
  <c r="J97" i="97"/>
  <c r="I29" i="97"/>
  <c r="I20" i="97"/>
  <c r="E77" i="97"/>
  <c r="J7" i="97"/>
  <c r="I13" i="97"/>
  <c r="I27" i="97"/>
  <c r="I34" i="97"/>
  <c r="F77" i="97"/>
  <c r="J84" i="97"/>
  <c r="J91" i="97"/>
  <c r="J31" i="97"/>
  <c r="J57" i="97"/>
  <c r="J18" i="97"/>
  <c r="I25" i="97"/>
  <c r="I32" i="97"/>
  <c r="J34" i="97"/>
  <c r="I75" i="97"/>
  <c r="C77" i="97"/>
  <c r="I77" i="97" s="1"/>
  <c r="J87" i="97"/>
  <c r="I16" i="97"/>
  <c r="J5" i="97"/>
  <c r="I9" i="97"/>
  <c r="I14" i="97"/>
  <c r="J19" i="97"/>
  <c r="I23" i="97"/>
  <c r="I30" i="97"/>
  <c r="J35" i="97"/>
  <c r="B52" i="97"/>
  <c r="B58" i="97" s="1"/>
  <c r="J53" i="97"/>
  <c r="J75" i="97"/>
  <c r="J76" i="97"/>
  <c r="I19" i="97"/>
  <c r="I26" i="97"/>
  <c r="I35" i="97"/>
  <c r="D77" i="97"/>
  <c r="I98" i="97"/>
  <c r="H77" i="97"/>
  <c r="I37" i="97"/>
  <c r="I7" i="97"/>
  <c r="B12" i="97"/>
  <c r="J12" i="97" s="1"/>
  <c r="I17" i="97"/>
  <c r="I24" i="97"/>
  <c r="I33" i="97"/>
  <c r="I91" i="97"/>
  <c r="J8" i="97"/>
  <c r="G52" i="97"/>
  <c r="G58" i="97" s="1"/>
  <c r="I15" i="97"/>
  <c r="I22" i="97"/>
  <c r="J27" i="97"/>
  <c r="I31" i="97"/>
  <c r="E58" i="97"/>
  <c r="I89" i="97"/>
  <c r="I11" i="97"/>
  <c r="C6" i="97"/>
  <c r="I6" i="97" s="1"/>
  <c r="J50" i="97"/>
  <c r="B39" i="97"/>
  <c r="I53" i="97"/>
  <c r="C59" i="97"/>
  <c r="C39" i="97"/>
  <c r="C52" i="97"/>
  <c r="C58" i="97" s="1"/>
  <c r="I58" i="97" s="1"/>
  <c r="I54" i="97"/>
  <c r="B77" i="97"/>
  <c r="I93" i="97"/>
  <c r="I95" i="97"/>
  <c r="I97" i="97"/>
  <c r="I55" i="97"/>
  <c r="I8" i="97"/>
  <c r="J13" i="97"/>
  <c r="I49" i="97"/>
  <c r="I57" i="97"/>
  <c r="I56" i="97"/>
  <c r="I5" i="97"/>
  <c r="I50" i="97"/>
  <c r="I94" i="97"/>
  <c r="I96" i="97"/>
  <c r="I51" i="97"/>
  <c r="I12" i="99" l="1"/>
  <c r="J12" i="99"/>
  <c r="K12" i="99"/>
  <c r="I12" i="97"/>
  <c r="I52" i="97"/>
  <c r="B11" i="97"/>
  <c r="B6" i="97" s="1"/>
  <c r="J77" i="97"/>
  <c r="J39" i="97"/>
  <c r="B41" i="97"/>
  <c r="J52" i="97"/>
  <c r="J58" i="97"/>
  <c r="K8" i="97"/>
  <c r="C10" i="97"/>
  <c r="I10" i="97" s="1"/>
  <c r="K9" i="97"/>
  <c r="K6" i="97"/>
  <c r="K7" i="97"/>
  <c r="I39" i="97"/>
  <c r="C41" i="97"/>
  <c r="I40" i="97"/>
  <c r="J11" i="97" l="1"/>
  <c r="K10" i="97"/>
  <c r="C60" i="97"/>
  <c r="I41" i="97"/>
  <c r="B10" i="97"/>
  <c r="J10" i="97" s="1"/>
  <c r="J6" i="97"/>
  <c r="J41" i="97"/>
  <c r="B60" i="97"/>
  <c r="L64" i="95"/>
  <c r="K64" i="95"/>
  <c r="J64" i="95"/>
  <c r="I64" i="95"/>
  <c r="H64" i="95"/>
  <c r="G64" i="95"/>
  <c r="F64" i="95"/>
  <c r="L63" i="95"/>
  <c r="K63" i="95"/>
  <c r="J63" i="95"/>
  <c r="I63" i="95"/>
  <c r="H63" i="95"/>
  <c r="G63" i="95"/>
  <c r="F63" i="95"/>
  <c r="L62" i="95"/>
  <c r="K62" i="95"/>
  <c r="J62" i="95"/>
  <c r="I62" i="95"/>
  <c r="H62" i="95"/>
  <c r="G62" i="95"/>
  <c r="F62" i="95"/>
  <c r="L61" i="95"/>
  <c r="K61" i="95"/>
  <c r="J61" i="95"/>
  <c r="I61" i="95"/>
  <c r="H61" i="95"/>
  <c r="G61" i="95"/>
  <c r="F61" i="95"/>
  <c r="L60" i="95"/>
  <c r="K60" i="95"/>
  <c r="J60" i="95"/>
  <c r="I60" i="95"/>
  <c r="H60" i="95"/>
  <c r="G60" i="95"/>
  <c r="F60" i="95"/>
  <c r="L59" i="95"/>
  <c r="K59" i="95"/>
  <c r="J59" i="95"/>
  <c r="I59" i="95"/>
  <c r="H59" i="95"/>
  <c r="G59" i="95"/>
  <c r="F59" i="95"/>
  <c r="L58" i="95"/>
  <c r="K58" i="95"/>
  <c r="J58" i="95"/>
  <c r="I58" i="95"/>
  <c r="H58" i="95"/>
  <c r="G58" i="95"/>
  <c r="F58" i="95"/>
  <c r="Q47" i="95"/>
  <c r="P47" i="95"/>
  <c r="O47" i="95"/>
  <c r="N47" i="95"/>
  <c r="M47" i="95"/>
  <c r="L47" i="95"/>
  <c r="K47" i="95"/>
  <c r="J47" i="95"/>
  <c r="I47" i="95"/>
  <c r="H47" i="95"/>
  <c r="G47" i="95"/>
  <c r="F47" i="95"/>
  <c r="E47" i="95"/>
  <c r="D47" i="95"/>
  <c r="C47" i="95"/>
  <c r="B47" i="95"/>
  <c r="Q46" i="95"/>
  <c r="P46" i="95"/>
  <c r="O46" i="95"/>
  <c r="N46" i="95"/>
  <c r="M46" i="95"/>
  <c r="L46" i="95"/>
  <c r="K46" i="95"/>
  <c r="J46" i="95"/>
  <c r="I46" i="95"/>
  <c r="H46" i="95"/>
  <c r="G46" i="95"/>
  <c r="F46" i="95"/>
  <c r="E46" i="95"/>
  <c r="D46" i="95"/>
  <c r="C46" i="95"/>
  <c r="B46" i="95"/>
  <c r="Q45" i="95"/>
  <c r="P45" i="95"/>
  <c r="O45" i="95"/>
  <c r="N45" i="95"/>
  <c r="M45" i="95"/>
  <c r="L45" i="95"/>
  <c r="K45" i="95"/>
  <c r="J45" i="95"/>
  <c r="I45" i="95"/>
  <c r="H45" i="95"/>
  <c r="G45" i="95"/>
  <c r="F45" i="95"/>
  <c r="E45" i="95"/>
  <c r="D45" i="95"/>
  <c r="C45" i="95"/>
  <c r="B45" i="95"/>
  <c r="Q44" i="95"/>
  <c r="P44" i="95"/>
  <c r="O44" i="95"/>
  <c r="N44" i="95"/>
  <c r="M44" i="95"/>
  <c r="L44" i="95"/>
  <c r="K44" i="95"/>
  <c r="J44" i="95"/>
  <c r="I44" i="95"/>
  <c r="H44" i="95"/>
  <c r="G44" i="95"/>
  <c r="F44" i="95"/>
  <c r="E44" i="95"/>
  <c r="D44" i="95"/>
  <c r="C44" i="95"/>
  <c r="B44" i="95"/>
  <c r="Q43" i="95"/>
  <c r="P43" i="95"/>
  <c r="O43" i="95"/>
  <c r="N43" i="95"/>
  <c r="M43" i="95"/>
  <c r="L43" i="95"/>
  <c r="K43" i="95"/>
  <c r="J43" i="95"/>
  <c r="I43" i="95"/>
  <c r="H43" i="95"/>
  <c r="G43" i="95"/>
  <c r="F43" i="95"/>
  <c r="E43" i="95"/>
  <c r="D43" i="95"/>
  <c r="C43" i="95"/>
  <c r="B43" i="95"/>
  <c r="Q42" i="95"/>
  <c r="P42" i="95"/>
  <c r="O42" i="95"/>
  <c r="N42" i="95"/>
  <c r="M42" i="95"/>
  <c r="L42" i="95"/>
  <c r="K42" i="95"/>
  <c r="J42" i="95"/>
  <c r="I42" i="95"/>
  <c r="H42" i="95"/>
  <c r="G42" i="95"/>
  <c r="F42" i="95"/>
  <c r="E42" i="95"/>
  <c r="D42" i="95"/>
  <c r="C42" i="95"/>
  <c r="B42" i="95"/>
  <c r="Q41" i="95"/>
  <c r="P41" i="95"/>
  <c r="O41" i="95"/>
  <c r="N41" i="95"/>
  <c r="M41" i="95"/>
  <c r="L41" i="95"/>
  <c r="K41" i="95"/>
  <c r="J41" i="95"/>
  <c r="I41" i="95"/>
  <c r="H41" i="95"/>
  <c r="G41" i="95"/>
  <c r="F41" i="95"/>
  <c r="E41" i="95"/>
  <c r="D41" i="95"/>
  <c r="C41" i="95"/>
  <c r="B41" i="95"/>
  <c r="Q40" i="95"/>
  <c r="P40" i="95"/>
  <c r="O40" i="95"/>
  <c r="N40" i="95"/>
  <c r="M40" i="95"/>
  <c r="L40" i="95"/>
  <c r="K40" i="95"/>
  <c r="J40" i="95"/>
  <c r="I40" i="95"/>
  <c r="H40" i="95"/>
  <c r="G40" i="95"/>
  <c r="F40" i="95"/>
  <c r="E40" i="95"/>
  <c r="D40" i="95"/>
  <c r="C40" i="95"/>
  <c r="B40" i="95"/>
  <c r="Q39" i="95"/>
  <c r="P39" i="95"/>
  <c r="O39" i="95"/>
  <c r="N39" i="95"/>
  <c r="M39" i="95"/>
  <c r="L39" i="95"/>
  <c r="K39" i="95"/>
  <c r="J39" i="95"/>
  <c r="I39" i="95"/>
  <c r="H39" i="95"/>
  <c r="G39" i="95"/>
  <c r="F39" i="95"/>
  <c r="E39" i="95"/>
  <c r="D39" i="95"/>
  <c r="C39" i="95"/>
  <c r="B39" i="95"/>
  <c r="Q38" i="95"/>
  <c r="P38" i="95"/>
  <c r="O38" i="95"/>
  <c r="N38" i="95"/>
  <c r="M38" i="95"/>
  <c r="L38" i="95"/>
  <c r="K38" i="95"/>
  <c r="J38" i="95"/>
  <c r="I38" i="95"/>
  <c r="H38" i="95"/>
  <c r="G38" i="95"/>
  <c r="F38" i="95"/>
  <c r="E38" i="95"/>
  <c r="D38" i="95"/>
  <c r="C38" i="95"/>
  <c r="B38" i="95"/>
  <c r="Q37" i="95"/>
  <c r="P37" i="95"/>
  <c r="O37" i="95"/>
  <c r="N37" i="95"/>
  <c r="M37" i="95"/>
  <c r="L37" i="95"/>
  <c r="K37" i="95"/>
  <c r="J37" i="95"/>
  <c r="I37" i="95"/>
  <c r="H37" i="95"/>
  <c r="G37" i="95"/>
  <c r="F37" i="95"/>
  <c r="E37" i="95"/>
  <c r="D37" i="95"/>
  <c r="C37" i="95"/>
  <c r="B37" i="95"/>
  <c r="Q36" i="95"/>
  <c r="P36" i="95"/>
  <c r="O36" i="95"/>
  <c r="N36" i="95"/>
  <c r="M36" i="95"/>
  <c r="L36" i="95"/>
  <c r="K36" i="95"/>
  <c r="J36" i="95"/>
  <c r="I36" i="95"/>
  <c r="H36" i="95"/>
  <c r="G36" i="95"/>
  <c r="F36" i="95"/>
  <c r="E36" i="95"/>
  <c r="D36" i="95"/>
  <c r="C36" i="95"/>
  <c r="B36" i="95"/>
  <c r="Q35" i="95"/>
  <c r="P35" i="95"/>
  <c r="O35" i="95"/>
  <c r="N35" i="95"/>
  <c r="M35" i="95"/>
  <c r="L35" i="95"/>
  <c r="K35" i="95"/>
  <c r="J35" i="95"/>
  <c r="I35" i="95"/>
  <c r="H35" i="95"/>
  <c r="G35" i="95"/>
  <c r="F35" i="95"/>
  <c r="E35" i="95"/>
  <c r="D35" i="95"/>
  <c r="C35" i="95"/>
  <c r="B35" i="95"/>
  <c r="Q34" i="95"/>
  <c r="P34" i="95"/>
  <c r="O34" i="95"/>
  <c r="N34" i="95"/>
  <c r="M34" i="95"/>
  <c r="L34" i="95"/>
  <c r="K34" i="95"/>
  <c r="J34" i="95"/>
  <c r="I34" i="95"/>
  <c r="H34" i="95"/>
  <c r="G34" i="95"/>
  <c r="F34" i="95"/>
  <c r="E34" i="95"/>
  <c r="D34" i="95"/>
  <c r="C34" i="95"/>
  <c r="B34" i="95"/>
  <c r="Q33" i="95"/>
  <c r="P33" i="95"/>
  <c r="O33" i="95"/>
  <c r="N33" i="95"/>
  <c r="M33" i="95"/>
  <c r="L33" i="95"/>
  <c r="K33" i="95"/>
  <c r="J33" i="95"/>
  <c r="I33" i="95"/>
  <c r="H33" i="95"/>
  <c r="G33" i="95"/>
  <c r="F33" i="95"/>
  <c r="E33" i="95"/>
  <c r="D33" i="95"/>
  <c r="C33" i="95"/>
  <c r="B33" i="95"/>
  <c r="Q32" i="95"/>
  <c r="P32" i="95"/>
  <c r="O32" i="95"/>
  <c r="N32" i="95"/>
  <c r="M32" i="95"/>
  <c r="L32" i="95"/>
  <c r="K32" i="95"/>
  <c r="J32" i="95"/>
  <c r="I32" i="95"/>
  <c r="H32" i="95"/>
  <c r="G32" i="95"/>
  <c r="F32" i="95"/>
  <c r="E32" i="95"/>
  <c r="D32" i="95"/>
  <c r="C32" i="95"/>
  <c r="B32" i="95"/>
  <c r="Q31" i="95"/>
  <c r="P31" i="95"/>
  <c r="O31" i="95"/>
  <c r="N31" i="95"/>
  <c r="M31" i="95"/>
  <c r="L31" i="95"/>
  <c r="K31" i="95"/>
  <c r="J31" i="95"/>
  <c r="I31" i="95"/>
  <c r="H31" i="95"/>
  <c r="G31" i="95"/>
  <c r="F31" i="95"/>
  <c r="E31" i="95"/>
  <c r="D31" i="95"/>
  <c r="C31" i="95"/>
  <c r="B31" i="95"/>
  <c r="Q20" i="95"/>
  <c r="P20" i="95"/>
  <c r="O20" i="95"/>
  <c r="N20" i="95"/>
  <c r="M20" i="95"/>
  <c r="L20" i="95"/>
  <c r="K20" i="95"/>
  <c r="J20" i="95"/>
  <c r="I20" i="95"/>
  <c r="H20" i="95"/>
  <c r="G20" i="95"/>
  <c r="F20" i="95"/>
  <c r="E20" i="95"/>
  <c r="D20" i="95"/>
  <c r="C20" i="95"/>
  <c r="B20" i="95"/>
  <c r="Q19" i="95"/>
  <c r="P19" i="95"/>
  <c r="O19" i="95"/>
  <c r="N19" i="95"/>
  <c r="M19" i="95"/>
  <c r="L19" i="95"/>
  <c r="K19" i="95"/>
  <c r="J19" i="95"/>
  <c r="I19" i="95"/>
  <c r="H19" i="95"/>
  <c r="G19" i="95"/>
  <c r="F19" i="95"/>
  <c r="E19" i="95"/>
  <c r="D19" i="95"/>
  <c r="C19" i="95"/>
  <c r="B19" i="95"/>
  <c r="Q18" i="95"/>
  <c r="P18" i="95"/>
  <c r="O18" i="95"/>
  <c r="N18" i="95"/>
  <c r="M18" i="95"/>
  <c r="L18" i="95"/>
  <c r="K18" i="95"/>
  <c r="J18" i="95"/>
  <c r="I18" i="95"/>
  <c r="H18" i="95"/>
  <c r="G18" i="95"/>
  <c r="F18" i="95"/>
  <c r="E18" i="95"/>
  <c r="D18" i="95"/>
  <c r="C18" i="95"/>
  <c r="B18" i="95"/>
  <c r="Q17" i="95"/>
  <c r="P17" i="95"/>
  <c r="O17" i="95"/>
  <c r="N17" i="95"/>
  <c r="M17" i="95"/>
  <c r="L17" i="95"/>
  <c r="K17" i="95"/>
  <c r="J17" i="95"/>
  <c r="I17" i="95"/>
  <c r="H17" i="95"/>
  <c r="G17" i="95"/>
  <c r="F17" i="95"/>
  <c r="E17" i="95"/>
  <c r="D17" i="95"/>
  <c r="C17" i="95"/>
  <c r="B17" i="95"/>
  <c r="Q16" i="95"/>
  <c r="P16" i="95"/>
  <c r="O16" i="95"/>
  <c r="N16" i="95"/>
  <c r="M16" i="95"/>
  <c r="L16" i="95"/>
  <c r="K16" i="95"/>
  <c r="J16" i="95"/>
  <c r="I16" i="95"/>
  <c r="H16" i="95"/>
  <c r="G16" i="95"/>
  <c r="F16" i="95"/>
  <c r="E16" i="95"/>
  <c r="D16" i="95"/>
  <c r="C16" i="95"/>
  <c r="B16" i="95"/>
  <c r="Q15" i="95"/>
  <c r="P15" i="95"/>
  <c r="O15" i="95"/>
  <c r="N15" i="95"/>
  <c r="M15" i="95"/>
  <c r="L15" i="95"/>
  <c r="K15" i="95"/>
  <c r="J15" i="95"/>
  <c r="I15" i="95"/>
  <c r="H15" i="95"/>
  <c r="G15" i="95"/>
  <c r="F15" i="95"/>
  <c r="E15" i="95"/>
  <c r="D15" i="95"/>
  <c r="C15" i="95"/>
  <c r="B15" i="95"/>
  <c r="Q14" i="95"/>
  <c r="P14" i="95"/>
  <c r="O14" i="95"/>
  <c r="N14" i="95"/>
  <c r="M14" i="95"/>
  <c r="L14" i="95"/>
  <c r="K14" i="95"/>
  <c r="J14" i="95"/>
  <c r="I14" i="95"/>
  <c r="H14" i="95"/>
  <c r="G14" i="95"/>
  <c r="F14" i="95"/>
  <c r="E14" i="95"/>
  <c r="D14" i="95"/>
  <c r="C14" i="95"/>
  <c r="B14" i="95"/>
  <c r="Q13" i="95"/>
  <c r="P13" i="95"/>
  <c r="O13" i="95"/>
  <c r="N13" i="95"/>
  <c r="M13" i="95"/>
  <c r="L13" i="95"/>
  <c r="K13" i="95"/>
  <c r="J13" i="95"/>
  <c r="I13" i="95"/>
  <c r="H13" i="95"/>
  <c r="G13" i="95"/>
  <c r="F13" i="95"/>
  <c r="E13" i="95"/>
  <c r="D13" i="95"/>
  <c r="C13" i="95"/>
  <c r="B13" i="95"/>
  <c r="Q12" i="95"/>
  <c r="P12" i="95"/>
  <c r="O12" i="95"/>
  <c r="N12" i="95"/>
  <c r="M12" i="95"/>
  <c r="L12" i="95"/>
  <c r="K12" i="95"/>
  <c r="J12" i="95"/>
  <c r="I12" i="95"/>
  <c r="H12" i="95"/>
  <c r="G12" i="95"/>
  <c r="F12" i="95"/>
  <c r="E12" i="95"/>
  <c r="D12" i="95"/>
  <c r="C12" i="95"/>
  <c r="B12" i="95"/>
  <c r="Q11" i="95"/>
  <c r="P11" i="95"/>
  <c r="O11" i="95"/>
  <c r="N11" i="95"/>
  <c r="M11" i="95"/>
  <c r="L11" i="95"/>
  <c r="K11" i="95"/>
  <c r="J11" i="95"/>
  <c r="I11" i="95"/>
  <c r="H11" i="95"/>
  <c r="G11" i="95"/>
  <c r="F11" i="95"/>
  <c r="E11" i="95"/>
  <c r="D11" i="95"/>
  <c r="C11" i="95"/>
  <c r="B11" i="95"/>
  <c r="Q10" i="95"/>
  <c r="P10" i="95"/>
  <c r="O10" i="95"/>
  <c r="N10" i="95"/>
  <c r="M10" i="95"/>
  <c r="L10" i="95"/>
  <c r="K10" i="95"/>
  <c r="J10" i="95"/>
  <c r="I10" i="95"/>
  <c r="H10" i="95"/>
  <c r="G10" i="95"/>
  <c r="F10" i="95"/>
  <c r="E10" i="95"/>
  <c r="D10" i="95"/>
  <c r="C10" i="95"/>
  <c r="B10" i="95"/>
  <c r="C142" i="94" l="1"/>
  <c r="B142" i="94"/>
  <c r="C141" i="94"/>
  <c r="B141" i="94"/>
  <c r="C140" i="94"/>
  <c r="B140" i="94"/>
  <c r="C139" i="94"/>
  <c r="B139" i="94"/>
  <c r="C138" i="94"/>
  <c r="B138" i="94"/>
  <c r="C137" i="94"/>
  <c r="B137" i="94"/>
  <c r="C136" i="94"/>
  <c r="B136" i="94"/>
  <c r="C135" i="94"/>
  <c r="B135" i="94"/>
  <c r="C134" i="94"/>
  <c r="B134" i="94"/>
  <c r="C129" i="94"/>
  <c r="B129" i="94"/>
  <c r="C128" i="94"/>
  <c r="B128" i="94"/>
  <c r="C127" i="94"/>
  <c r="B127" i="94"/>
  <c r="C126" i="94"/>
  <c r="B126" i="94"/>
  <c r="C125" i="94"/>
  <c r="E125" i="94" s="1"/>
  <c r="B125" i="94"/>
  <c r="C124" i="94"/>
  <c r="B124" i="94"/>
  <c r="C123" i="94"/>
  <c r="B123" i="94"/>
  <c r="C122" i="94"/>
  <c r="D122" i="94" s="1"/>
  <c r="B122" i="94"/>
  <c r="E121" i="94"/>
  <c r="C121" i="94"/>
  <c r="B121" i="94"/>
  <c r="C120" i="94"/>
  <c r="B120" i="94"/>
  <c r="C119" i="94"/>
  <c r="B119" i="94"/>
  <c r="E119" i="94" s="1"/>
  <c r="C118" i="94"/>
  <c r="B118" i="94"/>
  <c r="C117" i="94"/>
  <c r="B117" i="94"/>
  <c r="C116" i="94"/>
  <c r="B116" i="94"/>
  <c r="E116" i="94" s="1"/>
  <c r="C115" i="94"/>
  <c r="D115" i="94" s="1"/>
  <c r="B115" i="94"/>
  <c r="C114" i="94"/>
  <c r="B114" i="94"/>
  <c r="C113" i="94"/>
  <c r="B113" i="94"/>
  <c r="E113" i="94" s="1"/>
  <c r="H106" i="94"/>
  <c r="G106" i="94"/>
  <c r="F106" i="94"/>
  <c r="F107" i="94" s="1"/>
  <c r="E106" i="94"/>
  <c r="D106" i="94"/>
  <c r="C106" i="94"/>
  <c r="B106" i="94"/>
  <c r="H105" i="94"/>
  <c r="G105" i="94"/>
  <c r="G107" i="94" s="1"/>
  <c r="F105" i="94"/>
  <c r="E105" i="94"/>
  <c r="D105" i="94"/>
  <c r="C105" i="94"/>
  <c r="B105" i="94"/>
  <c r="F101" i="94"/>
  <c r="E101" i="94"/>
  <c r="D101" i="94"/>
  <c r="C101" i="94"/>
  <c r="B101" i="94"/>
  <c r="F100" i="94"/>
  <c r="E100" i="94"/>
  <c r="D100" i="94"/>
  <c r="C100" i="94"/>
  <c r="B100" i="94"/>
  <c r="F96" i="94"/>
  <c r="E96" i="94"/>
  <c r="D96" i="94"/>
  <c r="C96" i="94"/>
  <c r="B96" i="94"/>
  <c r="F95" i="94"/>
  <c r="E95" i="94"/>
  <c r="D95" i="94"/>
  <c r="C95" i="94"/>
  <c r="B95" i="94"/>
  <c r="H87" i="94"/>
  <c r="G87" i="94"/>
  <c r="F87" i="94"/>
  <c r="E87" i="94"/>
  <c r="D87" i="94"/>
  <c r="C87" i="94"/>
  <c r="B87" i="94"/>
  <c r="H86" i="94"/>
  <c r="G86" i="94"/>
  <c r="F86" i="94"/>
  <c r="E86" i="94"/>
  <c r="D86" i="94"/>
  <c r="C86" i="94"/>
  <c r="B86" i="94"/>
  <c r="J86" i="94" s="1"/>
  <c r="H85" i="94"/>
  <c r="G85" i="94"/>
  <c r="F85" i="94"/>
  <c r="E85" i="94"/>
  <c r="D85" i="94"/>
  <c r="C85" i="94"/>
  <c r="B85" i="94"/>
  <c r="H84" i="94"/>
  <c r="G84" i="94"/>
  <c r="F84" i="94"/>
  <c r="E84" i="94"/>
  <c r="D84" i="94"/>
  <c r="C84" i="94"/>
  <c r="B84" i="94"/>
  <c r="H83" i="94"/>
  <c r="G83" i="94"/>
  <c r="F83" i="94"/>
  <c r="E83" i="94"/>
  <c r="D83" i="94"/>
  <c r="C83" i="94"/>
  <c r="B83" i="94"/>
  <c r="J83" i="94" s="1"/>
  <c r="H81" i="94"/>
  <c r="G81" i="94"/>
  <c r="F81" i="94"/>
  <c r="E81" i="94"/>
  <c r="D81" i="94"/>
  <c r="C81" i="94"/>
  <c r="B81" i="94"/>
  <c r="H80" i="94"/>
  <c r="G80" i="94"/>
  <c r="F80" i="94"/>
  <c r="E80" i="94"/>
  <c r="D80" i="94"/>
  <c r="C80" i="94"/>
  <c r="B80" i="94"/>
  <c r="H79" i="94"/>
  <c r="G79" i="94"/>
  <c r="F79" i="94"/>
  <c r="E79" i="94"/>
  <c r="D79" i="94"/>
  <c r="C79" i="94"/>
  <c r="I81" i="94" s="1"/>
  <c r="B79" i="94"/>
  <c r="H69" i="94"/>
  <c r="G69" i="94"/>
  <c r="F69" i="94"/>
  <c r="E69" i="94"/>
  <c r="D69" i="94"/>
  <c r="C69" i="94"/>
  <c r="B69" i="94"/>
  <c r="C66" i="94"/>
  <c r="B66" i="94"/>
  <c r="C65" i="94"/>
  <c r="B65" i="94"/>
  <c r="C64" i="94"/>
  <c r="B64" i="94"/>
  <c r="C63" i="94"/>
  <c r="B63" i="94"/>
  <c r="C62" i="94"/>
  <c r="B62" i="94"/>
  <c r="C61" i="94"/>
  <c r="B61" i="94"/>
  <c r="C60" i="94"/>
  <c r="B60" i="94"/>
  <c r="C59" i="94"/>
  <c r="B59" i="94"/>
  <c r="C58" i="94"/>
  <c r="B58" i="94"/>
  <c r="J58" i="94" s="1"/>
  <c r="C57" i="94"/>
  <c r="B57" i="94"/>
  <c r="C56" i="94"/>
  <c r="B56" i="94"/>
  <c r="C55" i="94"/>
  <c r="B55" i="94"/>
  <c r="C54" i="94"/>
  <c r="B54" i="94"/>
  <c r="C53" i="94"/>
  <c r="B53" i="94"/>
  <c r="C52" i="94"/>
  <c r="B52" i="94"/>
  <c r="C51" i="94"/>
  <c r="B51" i="94"/>
  <c r="C50" i="94"/>
  <c r="B50" i="94"/>
  <c r="C49" i="94"/>
  <c r="B49" i="94"/>
  <c r="C48" i="94"/>
  <c r="B48" i="94"/>
  <c r="C47" i="94"/>
  <c r="B47" i="94"/>
  <c r="C46" i="94"/>
  <c r="B46" i="94"/>
  <c r="J46" i="94" s="1"/>
  <c r="C45" i="94"/>
  <c r="B45" i="94"/>
  <c r="J45" i="94" s="1"/>
  <c r="C44" i="94"/>
  <c r="B44" i="94"/>
  <c r="J44" i="94" s="1"/>
  <c r="C43" i="94"/>
  <c r="B43" i="94"/>
  <c r="J43" i="94" s="1"/>
  <c r="C41" i="94"/>
  <c r="B41" i="94"/>
  <c r="C40" i="94"/>
  <c r="B40" i="94"/>
  <c r="C39" i="94"/>
  <c r="B39" i="94"/>
  <c r="C38" i="94"/>
  <c r="B38" i="94"/>
  <c r="C37" i="94"/>
  <c r="B37" i="94"/>
  <c r="C36" i="94"/>
  <c r="B36" i="94"/>
  <c r="C34" i="94"/>
  <c r="B34" i="94"/>
  <c r="C33" i="94"/>
  <c r="B33" i="94"/>
  <c r="C32" i="94"/>
  <c r="B32" i="94"/>
  <c r="C31" i="94"/>
  <c r="B31" i="94"/>
  <c r="C30" i="94"/>
  <c r="B30" i="94"/>
  <c r="C29" i="94"/>
  <c r="C28" i="94" s="1"/>
  <c r="B29" i="94"/>
  <c r="H24" i="94"/>
  <c r="G24" i="94"/>
  <c r="F24" i="94"/>
  <c r="E24" i="94"/>
  <c r="D24" i="94"/>
  <c r="C24" i="94"/>
  <c r="B24" i="94"/>
  <c r="H23" i="94"/>
  <c r="G23" i="94"/>
  <c r="F23" i="94"/>
  <c r="E23" i="94"/>
  <c r="D23" i="94"/>
  <c r="C23" i="94"/>
  <c r="B23" i="94"/>
  <c r="H22" i="94"/>
  <c r="G22" i="94"/>
  <c r="F22" i="94"/>
  <c r="E22" i="94"/>
  <c r="D22" i="94"/>
  <c r="C22" i="94"/>
  <c r="B22" i="94"/>
  <c r="H21" i="94"/>
  <c r="G21" i="94"/>
  <c r="F21" i="94"/>
  <c r="E21" i="94"/>
  <c r="D21" i="94"/>
  <c r="C21" i="94"/>
  <c r="B21" i="94"/>
  <c r="J21" i="94" s="1"/>
  <c r="H20" i="94"/>
  <c r="G20" i="94"/>
  <c r="F20" i="94"/>
  <c r="E20" i="94"/>
  <c r="D20" i="94"/>
  <c r="C20" i="94"/>
  <c r="B20" i="94"/>
  <c r="H19" i="94"/>
  <c r="G19" i="94"/>
  <c r="F19" i="94"/>
  <c r="E19" i="94"/>
  <c r="D19" i="94"/>
  <c r="C19" i="94"/>
  <c r="B19" i="94"/>
  <c r="H18" i="94"/>
  <c r="G18" i="94"/>
  <c r="F18" i="94"/>
  <c r="E18" i="94"/>
  <c r="D18" i="94"/>
  <c r="C18" i="94"/>
  <c r="B18" i="94"/>
  <c r="H17" i="94"/>
  <c r="G17" i="94"/>
  <c r="F17" i="94"/>
  <c r="E17" i="94"/>
  <c r="D17" i="94"/>
  <c r="C17" i="94"/>
  <c r="B17" i="94"/>
  <c r="J17" i="94" s="1"/>
  <c r="H16" i="94"/>
  <c r="G16" i="94"/>
  <c r="F16" i="94"/>
  <c r="E16" i="94"/>
  <c r="D16" i="94"/>
  <c r="C16" i="94"/>
  <c r="B16" i="94"/>
  <c r="H15" i="94"/>
  <c r="G15" i="94"/>
  <c r="F15" i="94"/>
  <c r="E15" i="94"/>
  <c r="D15" i="94"/>
  <c r="C15" i="94"/>
  <c r="B15" i="94"/>
  <c r="J15" i="94" s="1"/>
  <c r="H14" i="94"/>
  <c r="G14" i="94"/>
  <c r="F14" i="94"/>
  <c r="E14" i="94"/>
  <c r="D14" i="94"/>
  <c r="C14" i="94"/>
  <c r="B14" i="94"/>
  <c r="H13" i="94"/>
  <c r="G13" i="94"/>
  <c r="F13" i="94"/>
  <c r="E13" i="94"/>
  <c r="D13" i="94"/>
  <c r="C13" i="94"/>
  <c r="B13" i="94"/>
  <c r="H12" i="94"/>
  <c r="G12" i="94"/>
  <c r="F12" i="94"/>
  <c r="E12" i="94"/>
  <c r="D12" i="94"/>
  <c r="C12" i="94"/>
  <c r="B12" i="94"/>
  <c r="H11" i="94"/>
  <c r="G11" i="94"/>
  <c r="F11" i="94"/>
  <c r="E11" i="94"/>
  <c r="D11" i="94"/>
  <c r="C11" i="94"/>
  <c r="B11" i="94"/>
  <c r="H10" i="94"/>
  <c r="G10" i="94"/>
  <c r="F10" i="94"/>
  <c r="E10" i="94"/>
  <c r="D10" i="94"/>
  <c r="C10" i="94"/>
  <c r="B10" i="94"/>
  <c r="H9" i="94"/>
  <c r="G9" i="94"/>
  <c r="F9" i="94"/>
  <c r="E9" i="94"/>
  <c r="D9" i="94"/>
  <c r="C9" i="94"/>
  <c r="B9" i="94"/>
  <c r="H8" i="94"/>
  <c r="G8" i="94"/>
  <c r="F8" i="94"/>
  <c r="E8" i="94"/>
  <c r="D8" i="94"/>
  <c r="C8" i="94"/>
  <c r="B8" i="94"/>
  <c r="E7" i="94"/>
  <c r="H6" i="94"/>
  <c r="H7" i="94" s="1"/>
  <c r="G6" i="94"/>
  <c r="G68" i="94" s="1"/>
  <c r="G70" i="94" s="1"/>
  <c r="F6" i="94"/>
  <c r="F68" i="94" s="1"/>
  <c r="E6" i="94"/>
  <c r="E68" i="94" s="1"/>
  <c r="E70" i="94" s="1"/>
  <c r="D6" i="94"/>
  <c r="D68" i="94" s="1"/>
  <c r="D70" i="94" s="1"/>
  <c r="C6" i="94"/>
  <c r="C89" i="94" s="1"/>
  <c r="B6" i="94"/>
  <c r="J8" i="94" l="1"/>
  <c r="J38" i="94"/>
  <c r="H68" i="94"/>
  <c r="H70" i="94" s="1"/>
  <c r="J79" i="94"/>
  <c r="E123" i="94"/>
  <c r="E127" i="94"/>
  <c r="B28" i="94"/>
  <c r="J28" i="94" s="1"/>
  <c r="J36" i="94"/>
  <c r="J40" i="94"/>
  <c r="E117" i="94"/>
  <c r="E129" i="94"/>
  <c r="J32" i="94"/>
  <c r="J81" i="94"/>
  <c r="D114" i="94"/>
  <c r="I15" i="94"/>
  <c r="E25" i="94"/>
  <c r="H82" i="94"/>
  <c r="H88" i="94" s="1"/>
  <c r="D107" i="94"/>
  <c r="D119" i="94"/>
  <c r="D116" i="94"/>
  <c r="D120" i="94"/>
  <c r="D123" i="94"/>
  <c r="F70" i="94"/>
  <c r="J13" i="94"/>
  <c r="J22" i="94"/>
  <c r="C42" i="94"/>
  <c r="B42" i="94"/>
  <c r="J42" i="94" s="1"/>
  <c r="E107" i="94"/>
  <c r="D113" i="94"/>
  <c r="E124" i="94"/>
  <c r="I23" i="94"/>
  <c r="D129" i="94"/>
  <c r="J11" i="94"/>
  <c r="J39" i="94"/>
  <c r="J48" i="94"/>
  <c r="J52" i="94"/>
  <c r="J56" i="94"/>
  <c r="J60" i="94"/>
  <c r="J64" i="94"/>
  <c r="E118" i="94"/>
  <c r="D121" i="94"/>
  <c r="J9" i="94"/>
  <c r="J18" i="94"/>
  <c r="E82" i="94"/>
  <c r="E88" i="94" s="1"/>
  <c r="J85" i="94"/>
  <c r="E115" i="94"/>
  <c r="E126" i="94"/>
  <c r="G25" i="94"/>
  <c r="J6" i="94"/>
  <c r="G7" i="94"/>
  <c r="J10" i="94"/>
  <c r="J12" i="94"/>
  <c r="J23" i="94"/>
  <c r="J24" i="94"/>
  <c r="J37" i="94"/>
  <c r="J41" i="94"/>
  <c r="J69" i="94"/>
  <c r="J80" i="94"/>
  <c r="D117" i="94"/>
  <c r="E120" i="94"/>
  <c r="D125" i="94"/>
  <c r="E128" i="94"/>
  <c r="I19" i="94"/>
  <c r="J29" i="94"/>
  <c r="J33" i="94"/>
  <c r="J49" i="94"/>
  <c r="J53" i="94"/>
  <c r="J57" i="94"/>
  <c r="J61" i="94"/>
  <c r="J65" i="94"/>
  <c r="H25" i="94"/>
  <c r="J19" i="94"/>
  <c r="J20" i="94"/>
  <c r="J30" i="94"/>
  <c r="J34" i="94"/>
  <c r="J50" i="94"/>
  <c r="J54" i="94"/>
  <c r="J62" i="94"/>
  <c r="J66" i="94"/>
  <c r="D82" i="94"/>
  <c r="D88" i="94" s="1"/>
  <c r="J87" i="94"/>
  <c r="D118" i="94"/>
  <c r="H107" i="94"/>
  <c r="F82" i="94"/>
  <c r="F88" i="94" s="1"/>
  <c r="I105" i="94"/>
  <c r="I106" i="94"/>
  <c r="I11" i="94"/>
  <c r="J14" i="94"/>
  <c r="J16" i="94"/>
  <c r="J31" i="94"/>
  <c r="C35" i="94"/>
  <c r="I35" i="94" s="1"/>
  <c r="J47" i="94"/>
  <c r="J51" i="94"/>
  <c r="J55" i="94"/>
  <c r="J59" i="94"/>
  <c r="J63" i="94"/>
  <c r="G82" i="94"/>
  <c r="G88" i="94" s="1"/>
  <c r="J84" i="94"/>
  <c r="J105" i="94"/>
  <c r="J106" i="94"/>
  <c r="C107" i="94"/>
  <c r="I107" i="94" s="1"/>
  <c r="E114" i="94"/>
  <c r="E122" i="94"/>
  <c r="D127" i="94"/>
  <c r="I28" i="94"/>
  <c r="I32" i="94"/>
  <c r="I36" i="94"/>
  <c r="I40" i="94"/>
  <c r="I44" i="94"/>
  <c r="I48" i="94"/>
  <c r="I52" i="94"/>
  <c r="I58" i="94"/>
  <c r="B89" i="94"/>
  <c r="I12" i="94"/>
  <c r="B82" i="94"/>
  <c r="I83" i="94"/>
  <c r="D7" i="94"/>
  <c r="D25" i="94" s="1"/>
  <c r="B35" i="94"/>
  <c r="B68" i="94"/>
  <c r="I69" i="94"/>
  <c r="C82" i="94"/>
  <c r="C88" i="94" s="1"/>
  <c r="I88" i="94" s="1"/>
  <c r="I84" i="94"/>
  <c r="B107" i="94"/>
  <c r="D124" i="94"/>
  <c r="D126" i="94"/>
  <c r="D128" i="94"/>
  <c r="I64" i="94"/>
  <c r="I9" i="94"/>
  <c r="I17" i="94"/>
  <c r="C68" i="94"/>
  <c r="C70" i="94" s="1"/>
  <c r="C90" i="94" s="1"/>
  <c r="I85" i="94"/>
  <c r="F7" i="94"/>
  <c r="F25" i="94" s="1"/>
  <c r="I29" i="94"/>
  <c r="I31" i="94"/>
  <c r="I33" i="94"/>
  <c r="I37" i="94"/>
  <c r="I39" i="94"/>
  <c r="I41" i="94"/>
  <c r="I43" i="94"/>
  <c r="I45" i="94"/>
  <c r="I47" i="94"/>
  <c r="I49" i="94"/>
  <c r="I51" i="94"/>
  <c r="I53" i="94"/>
  <c r="I55" i="94"/>
  <c r="I57" i="94"/>
  <c r="I59" i="94"/>
  <c r="I61" i="94"/>
  <c r="I63" i="94"/>
  <c r="I65" i="94"/>
  <c r="I86" i="94"/>
  <c r="I60" i="94"/>
  <c r="I13" i="94"/>
  <c r="I21" i="94"/>
  <c r="I10" i="94"/>
  <c r="I14" i="94"/>
  <c r="I18" i="94"/>
  <c r="I22" i="94"/>
  <c r="I79" i="94"/>
  <c r="I87" i="94"/>
  <c r="I62" i="94"/>
  <c r="I6" i="94"/>
  <c r="I80" i="94"/>
  <c r="I30" i="94"/>
  <c r="I34" i="94"/>
  <c r="I38" i="94"/>
  <c r="I42" i="94"/>
  <c r="I46" i="94"/>
  <c r="I50" i="94"/>
  <c r="I54" i="94"/>
  <c r="I56" i="94"/>
  <c r="I66" i="94"/>
  <c r="I8" i="94"/>
  <c r="I16" i="94"/>
  <c r="I20" i="94"/>
  <c r="I24" i="94"/>
  <c r="J107" i="94" l="1"/>
  <c r="C27" i="94"/>
  <c r="J35" i="94"/>
  <c r="I70" i="94"/>
  <c r="J82" i="94"/>
  <c r="B88" i="94"/>
  <c r="J88" i="94" s="1"/>
  <c r="I68" i="94"/>
  <c r="B70" i="94"/>
  <c r="J68" i="94"/>
  <c r="I82" i="94"/>
  <c r="B27" i="94"/>
  <c r="C26" i="94" l="1"/>
  <c r="I27" i="94"/>
  <c r="B26" i="94"/>
  <c r="J27" i="94"/>
  <c r="J70" i="94"/>
  <c r="B90" i="94"/>
  <c r="L64" i="93"/>
  <c r="K64" i="93"/>
  <c r="J64" i="93"/>
  <c r="I64" i="93"/>
  <c r="H64" i="93"/>
  <c r="G64" i="93"/>
  <c r="F64" i="93"/>
  <c r="L63" i="93"/>
  <c r="K63" i="93"/>
  <c r="J63" i="93"/>
  <c r="I63" i="93"/>
  <c r="H63" i="93"/>
  <c r="G63" i="93"/>
  <c r="F63" i="93"/>
  <c r="L62" i="93"/>
  <c r="K62" i="93"/>
  <c r="J62" i="93"/>
  <c r="I62" i="93"/>
  <c r="H62" i="93"/>
  <c r="G62" i="93"/>
  <c r="F62" i="93"/>
  <c r="L61" i="93"/>
  <c r="K61" i="93"/>
  <c r="J61" i="93"/>
  <c r="I61" i="93"/>
  <c r="H61" i="93"/>
  <c r="G61" i="93"/>
  <c r="F61" i="93"/>
  <c r="L60" i="93"/>
  <c r="K60" i="93"/>
  <c r="J60" i="93"/>
  <c r="I60" i="93"/>
  <c r="H60" i="93"/>
  <c r="G60" i="93"/>
  <c r="F60" i="93"/>
  <c r="L59" i="93"/>
  <c r="K59" i="93"/>
  <c r="J59" i="93"/>
  <c r="I59" i="93"/>
  <c r="H59" i="93"/>
  <c r="G59" i="93"/>
  <c r="F59" i="93"/>
  <c r="L58" i="93"/>
  <c r="K58" i="93"/>
  <c r="J58" i="93"/>
  <c r="I58" i="93"/>
  <c r="H58" i="93"/>
  <c r="G58" i="93"/>
  <c r="F58" i="93"/>
  <c r="Q47" i="93"/>
  <c r="P47" i="93"/>
  <c r="O47" i="93"/>
  <c r="N47" i="93"/>
  <c r="M47" i="93"/>
  <c r="L47" i="93"/>
  <c r="K47" i="93"/>
  <c r="J47" i="93"/>
  <c r="I47" i="93"/>
  <c r="H47" i="93"/>
  <c r="G47" i="93"/>
  <c r="F47" i="93"/>
  <c r="E47" i="93"/>
  <c r="D47" i="93"/>
  <c r="C47" i="93"/>
  <c r="B47" i="93"/>
  <c r="Q46" i="93"/>
  <c r="P46" i="93"/>
  <c r="O46" i="93"/>
  <c r="N46" i="93"/>
  <c r="M46" i="93"/>
  <c r="L46" i="93"/>
  <c r="K46" i="93"/>
  <c r="J46" i="93"/>
  <c r="I46" i="93"/>
  <c r="H46" i="93"/>
  <c r="G46" i="93"/>
  <c r="F46" i="93"/>
  <c r="E46" i="93"/>
  <c r="D46" i="93"/>
  <c r="C46" i="93"/>
  <c r="B46" i="93"/>
  <c r="Q45" i="93"/>
  <c r="P45" i="93"/>
  <c r="O45" i="93"/>
  <c r="N45" i="93"/>
  <c r="M45" i="93"/>
  <c r="L45" i="93"/>
  <c r="K45" i="93"/>
  <c r="J45" i="93"/>
  <c r="I45" i="93"/>
  <c r="H45" i="93"/>
  <c r="G45" i="93"/>
  <c r="F45" i="93"/>
  <c r="E45" i="93"/>
  <c r="D45" i="93"/>
  <c r="C45" i="93"/>
  <c r="B45" i="93"/>
  <c r="Q44" i="93"/>
  <c r="P44" i="93"/>
  <c r="O44" i="93"/>
  <c r="N44" i="93"/>
  <c r="M44" i="93"/>
  <c r="L44" i="93"/>
  <c r="K44" i="93"/>
  <c r="J44" i="93"/>
  <c r="I44" i="93"/>
  <c r="H44" i="93"/>
  <c r="G44" i="93"/>
  <c r="F44" i="93"/>
  <c r="E44" i="93"/>
  <c r="D44" i="93"/>
  <c r="C44" i="93"/>
  <c r="B44" i="93"/>
  <c r="Q43" i="93"/>
  <c r="P43" i="93"/>
  <c r="O43" i="93"/>
  <c r="N43" i="93"/>
  <c r="M43" i="93"/>
  <c r="L43" i="93"/>
  <c r="K43" i="93"/>
  <c r="J43" i="93"/>
  <c r="I43" i="93"/>
  <c r="H43" i="93"/>
  <c r="G43" i="93"/>
  <c r="F43" i="93"/>
  <c r="E43" i="93"/>
  <c r="D43" i="93"/>
  <c r="C43" i="93"/>
  <c r="B43" i="93"/>
  <c r="Q42" i="93"/>
  <c r="P42" i="93"/>
  <c r="O42" i="93"/>
  <c r="N42" i="93"/>
  <c r="M42" i="93"/>
  <c r="L42" i="93"/>
  <c r="K42" i="93"/>
  <c r="J42" i="93"/>
  <c r="I42" i="93"/>
  <c r="H42" i="93"/>
  <c r="G42" i="93"/>
  <c r="F42" i="93"/>
  <c r="E42" i="93"/>
  <c r="D42" i="93"/>
  <c r="C42" i="93"/>
  <c r="B42" i="93"/>
  <c r="Q41" i="93"/>
  <c r="P41" i="93"/>
  <c r="O41" i="93"/>
  <c r="N41" i="93"/>
  <c r="M41" i="93"/>
  <c r="L41" i="93"/>
  <c r="K41" i="93"/>
  <c r="J41" i="93"/>
  <c r="I41" i="93"/>
  <c r="H41" i="93"/>
  <c r="G41" i="93"/>
  <c r="F41" i="93"/>
  <c r="E41" i="93"/>
  <c r="D41" i="93"/>
  <c r="C41" i="93"/>
  <c r="B41" i="93"/>
  <c r="Q40" i="93"/>
  <c r="P40" i="93"/>
  <c r="O40" i="93"/>
  <c r="N40" i="93"/>
  <c r="M40" i="93"/>
  <c r="L40" i="93"/>
  <c r="K40" i="93"/>
  <c r="J40" i="93"/>
  <c r="I40" i="93"/>
  <c r="H40" i="93"/>
  <c r="G40" i="93"/>
  <c r="F40" i="93"/>
  <c r="E40" i="93"/>
  <c r="D40" i="93"/>
  <c r="C40" i="93"/>
  <c r="B40" i="93"/>
  <c r="Q39" i="93"/>
  <c r="P39" i="93"/>
  <c r="O39" i="93"/>
  <c r="N39" i="93"/>
  <c r="M39" i="93"/>
  <c r="L39" i="93"/>
  <c r="K39" i="93"/>
  <c r="J39" i="93"/>
  <c r="I39" i="93"/>
  <c r="H39" i="93"/>
  <c r="G39" i="93"/>
  <c r="F39" i="93"/>
  <c r="E39" i="93"/>
  <c r="D39" i="93"/>
  <c r="C39" i="93"/>
  <c r="B39" i="93"/>
  <c r="Q38" i="93"/>
  <c r="P38" i="93"/>
  <c r="O38" i="93"/>
  <c r="N38" i="93"/>
  <c r="M38" i="93"/>
  <c r="L38" i="93"/>
  <c r="K38" i="93"/>
  <c r="J38" i="93"/>
  <c r="I38" i="93"/>
  <c r="H38" i="93"/>
  <c r="G38" i="93"/>
  <c r="F38" i="93"/>
  <c r="E38" i="93"/>
  <c r="D38" i="93"/>
  <c r="C38" i="93"/>
  <c r="B38" i="93"/>
  <c r="Q37" i="93"/>
  <c r="P37" i="93"/>
  <c r="O37" i="93"/>
  <c r="N37" i="93"/>
  <c r="M37" i="93"/>
  <c r="L37" i="93"/>
  <c r="K37" i="93"/>
  <c r="J37" i="93"/>
  <c r="I37" i="93"/>
  <c r="H37" i="93"/>
  <c r="G37" i="93"/>
  <c r="F37" i="93"/>
  <c r="E37" i="93"/>
  <c r="D37" i="93"/>
  <c r="C37" i="93"/>
  <c r="B37" i="93"/>
  <c r="Q36" i="93"/>
  <c r="P36" i="93"/>
  <c r="O36" i="93"/>
  <c r="N36" i="93"/>
  <c r="M36" i="93"/>
  <c r="L36" i="93"/>
  <c r="K36" i="93"/>
  <c r="J36" i="93"/>
  <c r="I36" i="93"/>
  <c r="H36" i="93"/>
  <c r="G36" i="93"/>
  <c r="F36" i="93"/>
  <c r="E36" i="93"/>
  <c r="D36" i="93"/>
  <c r="C36" i="93"/>
  <c r="B36" i="93"/>
  <c r="Q35" i="93"/>
  <c r="P35" i="93"/>
  <c r="O35" i="93"/>
  <c r="N35" i="93"/>
  <c r="M35" i="93"/>
  <c r="L35" i="93"/>
  <c r="K35" i="93"/>
  <c r="J35" i="93"/>
  <c r="I35" i="93"/>
  <c r="H35" i="93"/>
  <c r="G35" i="93"/>
  <c r="F35" i="93"/>
  <c r="E35" i="93"/>
  <c r="D35" i="93"/>
  <c r="C35" i="93"/>
  <c r="B35" i="93"/>
  <c r="Q34" i="93"/>
  <c r="P34" i="93"/>
  <c r="O34" i="93"/>
  <c r="N34" i="93"/>
  <c r="M34" i="93"/>
  <c r="L34" i="93"/>
  <c r="K34" i="93"/>
  <c r="J34" i="93"/>
  <c r="I34" i="93"/>
  <c r="H34" i="93"/>
  <c r="G34" i="93"/>
  <c r="F34" i="93"/>
  <c r="E34" i="93"/>
  <c r="D34" i="93"/>
  <c r="C34" i="93"/>
  <c r="B34" i="93"/>
  <c r="Q33" i="93"/>
  <c r="P33" i="93"/>
  <c r="O33" i="93"/>
  <c r="N33" i="93"/>
  <c r="M33" i="93"/>
  <c r="L33" i="93"/>
  <c r="K33" i="93"/>
  <c r="J33" i="93"/>
  <c r="I33" i="93"/>
  <c r="H33" i="93"/>
  <c r="G33" i="93"/>
  <c r="F33" i="93"/>
  <c r="E33" i="93"/>
  <c r="D33" i="93"/>
  <c r="C33" i="93"/>
  <c r="B33" i="93"/>
  <c r="Q32" i="93"/>
  <c r="P32" i="93"/>
  <c r="O32" i="93"/>
  <c r="N32" i="93"/>
  <c r="M32" i="93"/>
  <c r="L32" i="93"/>
  <c r="K32" i="93"/>
  <c r="J32" i="93"/>
  <c r="I32" i="93"/>
  <c r="H32" i="93"/>
  <c r="G32" i="93"/>
  <c r="F32" i="93"/>
  <c r="E32" i="93"/>
  <c r="D32" i="93"/>
  <c r="C32" i="93"/>
  <c r="B32" i="93"/>
  <c r="Q31" i="93"/>
  <c r="P31" i="93"/>
  <c r="O31" i="93"/>
  <c r="N31" i="93"/>
  <c r="M31" i="93"/>
  <c r="L31" i="93"/>
  <c r="K31" i="93"/>
  <c r="J31" i="93"/>
  <c r="I31" i="93"/>
  <c r="H31" i="93"/>
  <c r="G31" i="93"/>
  <c r="F31" i="93"/>
  <c r="E31" i="93"/>
  <c r="D31" i="93"/>
  <c r="C31" i="93"/>
  <c r="B31" i="93"/>
  <c r="Q20" i="93"/>
  <c r="P20" i="93"/>
  <c r="O20" i="93"/>
  <c r="N20" i="93"/>
  <c r="M20" i="93"/>
  <c r="L20" i="93"/>
  <c r="K20" i="93"/>
  <c r="J20" i="93"/>
  <c r="I20" i="93"/>
  <c r="H20" i="93"/>
  <c r="G20" i="93"/>
  <c r="F20" i="93"/>
  <c r="E20" i="93"/>
  <c r="D20" i="93"/>
  <c r="C20" i="93"/>
  <c r="B20" i="93"/>
  <c r="Q19" i="93"/>
  <c r="P19" i="93"/>
  <c r="O19" i="93"/>
  <c r="N19" i="93"/>
  <c r="M19" i="93"/>
  <c r="L19" i="93"/>
  <c r="K19" i="93"/>
  <c r="J19" i="93"/>
  <c r="I19" i="93"/>
  <c r="H19" i="93"/>
  <c r="G19" i="93"/>
  <c r="F19" i="93"/>
  <c r="E19" i="93"/>
  <c r="D19" i="93"/>
  <c r="C19" i="93"/>
  <c r="B19" i="93"/>
  <c r="Q18" i="93"/>
  <c r="P18" i="93"/>
  <c r="O18" i="93"/>
  <c r="N18" i="93"/>
  <c r="M18" i="93"/>
  <c r="L18" i="93"/>
  <c r="K18" i="93"/>
  <c r="J18" i="93"/>
  <c r="I18" i="93"/>
  <c r="H18" i="93"/>
  <c r="G18" i="93"/>
  <c r="F18" i="93"/>
  <c r="E18" i="93"/>
  <c r="D18" i="93"/>
  <c r="C18" i="93"/>
  <c r="B18" i="93"/>
  <c r="Q17" i="93"/>
  <c r="P17" i="93"/>
  <c r="O17" i="93"/>
  <c r="N17" i="93"/>
  <c r="M17" i="93"/>
  <c r="L17" i="93"/>
  <c r="K17" i="93"/>
  <c r="J17" i="93"/>
  <c r="I17" i="93"/>
  <c r="H17" i="93"/>
  <c r="G17" i="93"/>
  <c r="F17" i="93"/>
  <c r="E17" i="93"/>
  <c r="D17" i="93"/>
  <c r="C17" i="93"/>
  <c r="B17" i="93"/>
  <c r="Q16" i="93"/>
  <c r="P16" i="93"/>
  <c r="O16" i="93"/>
  <c r="N16" i="93"/>
  <c r="M16" i="93"/>
  <c r="L16" i="93"/>
  <c r="K16" i="93"/>
  <c r="J16" i="93"/>
  <c r="I16" i="93"/>
  <c r="H16" i="93"/>
  <c r="G16" i="93"/>
  <c r="F16" i="93"/>
  <c r="E16" i="93"/>
  <c r="D16" i="93"/>
  <c r="C16" i="93"/>
  <c r="B16" i="93"/>
  <c r="Q15" i="93"/>
  <c r="P15" i="93"/>
  <c r="O15" i="93"/>
  <c r="N15" i="93"/>
  <c r="M15" i="93"/>
  <c r="L15" i="93"/>
  <c r="K15" i="93"/>
  <c r="J15" i="93"/>
  <c r="I15" i="93"/>
  <c r="H15" i="93"/>
  <c r="G15" i="93"/>
  <c r="F15" i="93"/>
  <c r="E15" i="93"/>
  <c r="D15" i="93"/>
  <c r="C15" i="93"/>
  <c r="B15" i="93"/>
  <c r="Q14" i="93"/>
  <c r="P14" i="93"/>
  <c r="O14" i="93"/>
  <c r="N14" i="93"/>
  <c r="M14" i="93"/>
  <c r="L14" i="93"/>
  <c r="K14" i="93"/>
  <c r="J14" i="93"/>
  <c r="I14" i="93"/>
  <c r="H14" i="93"/>
  <c r="G14" i="93"/>
  <c r="F14" i="93"/>
  <c r="E14" i="93"/>
  <c r="D14" i="93"/>
  <c r="C14" i="93"/>
  <c r="B14" i="93"/>
  <c r="Q13" i="93"/>
  <c r="P13" i="93"/>
  <c r="O13" i="93"/>
  <c r="N13" i="93"/>
  <c r="M13" i="93"/>
  <c r="L13" i="93"/>
  <c r="K13" i="93"/>
  <c r="J13" i="93"/>
  <c r="I13" i="93"/>
  <c r="H13" i="93"/>
  <c r="G13" i="93"/>
  <c r="F13" i="93"/>
  <c r="E13" i="93"/>
  <c r="D13" i="93"/>
  <c r="C13" i="93"/>
  <c r="B13" i="93"/>
  <c r="Q12" i="93"/>
  <c r="P12" i="93"/>
  <c r="O12" i="93"/>
  <c r="N12" i="93"/>
  <c r="M12" i="93"/>
  <c r="L12" i="93"/>
  <c r="K12" i="93"/>
  <c r="J12" i="93"/>
  <c r="I12" i="93"/>
  <c r="H12" i="93"/>
  <c r="G12" i="93"/>
  <c r="F12" i="93"/>
  <c r="E12" i="93"/>
  <c r="D12" i="93"/>
  <c r="C12" i="93"/>
  <c r="B12" i="93"/>
  <c r="Q11" i="93"/>
  <c r="P11" i="93"/>
  <c r="O11" i="93"/>
  <c r="N11" i="93"/>
  <c r="M11" i="93"/>
  <c r="L11" i="93"/>
  <c r="K11" i="93"/>
  <c r="J11" i="93"/>
  <c r="I11" i="93"/>
  <c r="H11" i="93"/>
  <c r="G11" i="93"/>
  <c r="F11" i="93"/>
  <c r="E11" i="93"/>
  <c r="D11" i="93"/>
  <c r="C11" i="93"/>
  <c r="B11" i="93"/>
  <c r="Q10" i="93"/>
  <c r="P10" i="93"/>
  <c r="O10" i="93"/>
  <c r="N10" i="93"/>
  <c r="M10" i="93"/>
  <c r="L10" i="93"/>
  <c r="K10" i="93"/>
  <c r="J10" i="93"/>
  <c r="I10" i="93"/>
  <c r="H10" i="93"/>
  <c r="G10" i="93"/>
  <c r="F10" i="93"/>
  <c r="E10" i="93"/>
  <c r="D10" i="93"/>
  <c r="C10" i="93"/>
  <c r="B10" i="93"/>
  <c r="I26" i="94" l="1"/>
  <c r="C7" i="94"/>
  <c r="J26" i="94"/>
  <c r="B7" i="94"/>
  <c r="C112" i="92"/>
  <c r="B112" i="92"/>
  <c r="C111" i="92"/>
  <c r="B111" i="92"/>
  <c r="C110" i="92"/>
  <c r="B110" i="92"/>
  <c r="C109" i="92"/>
  <c r="B109" i="92"/>
  <c r="C108" i="92"/>
  <c r="B108" i="92"/>
  <c r="C107" i="92"/>
  <c r="B107" i="92"/>
  <c r="C106" i="92"/>
  <c r="B106" i="92"/>
  <c r="C105" i="92"/>
  <c r="B105" i="92"/>
  <c r="C104" i="92"/>
  <c r="B104" i="92"/>
  <c r="C99" i="92"/>
  <c r="B99" i="92"/>
  <c r="J99" i="92" s="1"/>
  <c r="C98" i="92"/>
  <c r="B98" i="92"/>
  <c r="C97" i="92"/>
  <c r="B97" i="92"/>
  <c r="J97" i="92" s="1"/>
  <c r="C96" i="92"/>
  <c r="B96" i="92"/>
  <c r="C95" i="92"/>
  <c r="B95" i="92"/>
  <c r="J95" i="92" s="1"/>
  <c r="C94" i="92"/>
  <c r="I99" i="92" s="1"/>
  <c r="B94" i="92"/>
  <c r="C93" i="92"/>
  <c r="B93" i="92"/>
  <c r="J93" i="92" s="1"/>
  <c r="C92" i="92"/>
  <c r="B92" i="92"/>
  <c r="C91" i="92"/>
  <c r="B91" i="92"/>
  <c r="J91" i="92" s="1"/>
  <c r="C90" i="92"/>
  <c r="I90" i="92" s="1"/>
  <c r="B90" i="92"/>
  <c r="C89" i="92"/>
  <c r="B89" i="92"/>
  <c r="J89" i="92" s="1"/>
  <c r="C88" i="92"/>
  <c r="B88" i="92"/>
  <c r="C87" i="92"/>
  <c r="B87" i="92"/>
  <c r="J87" i="92" s="1"/>
  <c r="C86" i="92"/>
  <c r="I86" i="92" s="1"/>
  <c r="B86" i="92"/>
  <c r="C85" i="92"/>
  <c r="B85" i="92"/>
  <c r="J85" i="92" s="1"/>
  <c r="C84" i="92"/>
  <c r="B84" i="92"/>
  <c r="C83" i="92"/>
  <c r="B83" i="92"/>
  <c r="J83" i="92" s="1"/>
  <c r="H77" i="92"/>
  <c r="G77" i="92"/>
  <c r="F77" i="92"/>
  <c r="E77" i="92"/>
  <c r="D77" i="92"/>
  <c r="C77" i="92"/>
  <c r="B77" i="92"/>
  <c r="H76" i="92"/>
  <c r="G76" i="92"/>
  <c r="F76" i="92"/>
  <c r="E76" i="92"/>
  <c r="D76" i="92"/>
  <c r="D78" i="92" s="1"/>
  <c r="C76" i="92"/>
  <c r="B76" i="92"/>
  <c r="F72" i="92"/>
  <c r="E72" i="92"/>
  <c r="D72" i="92"/>
  <c r="C72" i="92"/>
  <c r="B72" i="92"/>
  <c r="F71" i="92"/>
  <c r="E71" i="92"/>
  <c r="D71" i="92"/>
  <c r="C71" i="92"/>
  <c r="B71" i="92"/>
  <c r="F67" i="92"/>
  <c r="E67" i="92"/>
  <c r="D67" i="92"/>
  <c r="C67" i="92"/>
  <c r="B67" i="92"/>
  <c r="F66" i="92"/>
  <c r="E66" i="92"/>
  <c r="D66" i="92"/>
  <c r="C66" i="92"/>
  <c r="B66" i="92"/>
  <c r="H58" i="92"/>
  <c r="G58" i="92"/>
  <c r="F58" i="92"/>
  <c r="E58" i="92"/>
  <c r="D58" i="92"/>
  <c r="C58" i="92"/>
  <c r="B58" i="92"/>
  <c r="H57" i="92"/>
  <c r="G57" i="92"/>
  <c r="F57" i="92"/>
  <c r="E57" i="92"/>
  <c r="D57" i="92"/>
  <c r="C57" i="92"/>
  <c r="B57" i="92"/>
  <c r="J57" i="92" s="1"/>
  <c r="H56" i="92"/>
  <c r="G56" i="92"/>
  <c r="F56" i="92"/>
  <c r="E56" i="92"/>
  <c r="D56" i="92"/>
  <c r="C56" i="92"/>
  <c r="B56" i="92"/>
  <c r="H55" i="92"/>
  <c r="G55" i="92"/>
  <c r="F55" i="92"/>
  <c r="E55" i="92"/>
  <c r="D55" i="92"/>
  <c r="C55" i="92"/>
  <c r="B55" i="92"/>
  <c r="H54" i="92"/>
  <c r="G54" i="92"/>
  <c r="F54" i="92"/>
  <c r="E54" i="92"/>
  <c r="D54" i="92"/>
  <c r="C54" i="92"/>
  <c r="B54" i="92"/>
  <c r="H52" i="92"/>
  <c r="G52" i="92"/>
  <c r="F52" i="92"/>
  <c r="E52" i="92"/>
  <c r="D52" i="92"/>
  <c r="C52" i="92"/>
  <c r="B52" i="92"/>
  <c r="H51" i="92"/>
  <c r="G51" i="92"/>
  <c r="F51" i="92"/>
  <c r="E51" i="92"/>
  <c r="D51" i="92"/>
  <c r="C51" i="92"/>
  <c r="B51" i="92"/>
  <c r="H50" i="92"/>
  <c r="G50" i="92"/>
  <c r="F50" i="92"/>
  <c r="E50" i="92"/>
  <c r="D50" i="92"/>
  <c r="C50" i="92"/>
  <c r="B50" i="92"/>
  <c r="C41" i="92"/>
  <c r="B41" i="92"/>
  <c r="C39" i="92"/>
  <c r="B39" i="92"/>
  <c r="J39" i="92" s="1"/>
  <c r="C38" i="92"/>
  <c r="B38" i="92"/>
  <c r="C37" i="92"/>
  <c r="B37" i="92"/>
  <c r="J37" i="92" s="1"/>
  <c r="C36" i="92"/>
  <c r="B36" i="92"/>
  <c r="C35" i="92"/>
  <c r="B35" i="92"/>
  <c r="J35" i="92" s="1"/>
  <c r="C34" i="92"/>
  <c r="B34" i="92"/>
  <c r="C33" i="92"/>
  <c r="B33" i="92"/>
  <c r="C32" i="92"/>
  <c r="B32" i="92"/>
  <c r="C31" i="92"/>
  <c r="B31" i="92"/>
  <c r="J31" i="92" s="1"/>
  <c r="C30" i="92"/>
  <c r="B30" i="92"/>
  <c r="C29" i="92"/>
  <c r="B29" i="92"/>
  <c r="C28" i="92"/>
  <c r="B28" i="92"/>
  <c r="C27" i="92"/>
  <c r="B27" i="92"/>
  <c r="J27" i="92" s="1"/>
  <c r="C26" i="92"/>
  <c r="B26" i="92"/>
  <c r="C25" i="92"/>
  <c r="B25" i="92"/>
  <c r="C24" i="92"/>
  <c r="I24" i="92" s="1"/>
  <c r="B24" i="92"/>
  <c r="C23" i="92"/>
  <c r="B23" i="92"/>
  <c r="J23" i="92" s="1"/>
  <c r="C22" i="92"/>
  <c r="B22" i="92"/>
  <c r="C21" i="92"/>
  <c r="B21" i="92"/>
  <c r="C20" i="92"/>
  <c r="B20" i="92"/>
  <c r="C19" i="92"/>
  <c r="B19" i="92"/>
  <c r="J19" i="92" s="1"/>
  <c r="C18" i="92"/>
  <c r="B18" i="92"/>
  <c r="C17" i="92"/>
  <c r="B17" i="92"/>
  <c r="C16" i="92"/>
  <c r="B16" i="92"/>
  <c r="C15" i="92"/>
  <c r="B15" i="92"/>
  <c r="J15" i="92" s="1"/>
  <c r="C14" i="92"/>
  <c r="B14" i="92"/>
  <c r="C10" i="92"/>
  <c r="B10" i="92"/>
  <c r="J10" i="92" s="1"/>
  <c r="C9" i="92"/>
  <c r="B9" i="92"/>
  <c r="C8" i="92"/>
  <c r="B8" i="92"/>
  <c r="C6" i="92"/>
  <c r="C40" i="92" s="1"/>
  <c r="B6" i="92"/>
  <c r="B40" i="92" s="1"/>
  <c r="K18" i="94" l="1"/>
  <c r="K16" i="94"/>
  <c r="K14" i="94"/>
  <c r="K8" i="94"/>
  <c r="I7" i="94"/>
  <c r="C25" i="94"/>
  <c r="I25" i="94" s="1"/>
  <c r="K20" i="94"/>
  <c r="K12" i="94"/>
  <c r="K22" i="94"/>
  <c r="K23" i="94"/>
  <c r="K13" i="94"/>
  <c r="K19" i="94"/>
  <c r="K11" i="94"/>
  <c r="K9" i="94"/>
  <c r="K15" i="94"/>
  <c r="K10" i="94"/>
  <c r="K7" i="94"/>
  <c r="K21" i="94"/>
  <c r="K17" i="94"/>
  <c r="K24" i="94"/>
  <c r="J7" i="94"/>
  <c r="B25" i="94"/>
  <c r="J16" i="92"/>
  <c r="J20" i="92"/>
  <c r="J28" i="92"/>
  <c r="J32" i="92"/>
  <c r="J36" i="92"/>
  <c r="B13" i="92"/>
  <c r="B12" i="92" s="1"/>
  <c r="G78" i="92"/>
  <c r="J9" i="92"/>
  <c r="J55" i="92"/>
  <c r="J76" i="92"/>
  <c r="J51" i="92"/>
  <c r="F78" i="92"/>
  <c r="J56" i="92"/>
  <c r="J77" i="92"/>
  <c r="I14" i="92"/>
  <c r="I18" i="92"/>
  <c r="I26" i="92"/>
  <c r="J38" i="92"/>
  <c r="D53" i="92"/>
  <c r="D59" i="92" s="1"/>
  <c r="H78" i="92"/>
  <c r="I22" i="92"/>
  <c r="J34" i="92"/>
  <c r="J30" i="92"/>
  <c r="E78" i="92"/>
  <c r="J84" i="92"/>
  <c r="J88" i="92"/>
  <c r="J92" i="92"/>
  <c r="J96" i="92"/>
  <c r="C42" i="92"/>
  <c r="I42" i="92" s="1"/>
  <c r="I54" i="92"/>
  <c r="J98" i="92"/>
  <c r="J41" i="92"/>
  <c r="G53" i="92"/>
  <c r="G59" i="92" s="1"/>
  <c r="H53" i="92"/>
  <c r="H59" i="92" s="1"/>
  <c r="I93" i="92"/>
  <c r="C78" i="92"/>
  <c r="I78" i="92" s="1"/>
  <c r="I84" i="92"/>
  <c r="I88" i="92"/>
  <c r="I92" i="92"/>
  <c r="I96" i="92"/>
  <c r="E53" i="92"/>
  <c r="E59" i="92" s="1"/>
  <c r="J86" i="92"/>
  <c r="J90" i="92"/>
  <c r="J94" i="92"/>
  <c r="I94" i="92"/>
  <c r="I98" i="92"/>
  <c r="F53" i="92"/>
  <c r="F59" i="92" s="1"/>
  <c r="C53" i="92"/>
  <c r="C59" i="92" s="1"/>
  <c r="I59" i="92" s="1"/>
  <c r="J17" i="92"/>
  <c r="J21" i="92"/>
  <c r="J25" i="92"/>
  <c r="J29" i="92"/>
  <c r="J33" i="92"/>
  <c r="J52" i="92"/>
  <c r="I55" i="92"/>
  <c r="I56" i="92"/>
  <c r="J58" i="92"/>
  <c r="I83" i="92"/>
  <c r="I85" i="92"/>
  <c r="I87" i="92"/>
  <c r="I89" i="92"/>
  <c r="I91" i="92"/>
  <c r="I95" i="92"/>
  <c r="I97" i="92"/>
  <c r="C60" i="92"/>
  <c r="J8" i="92"/>
  <c r="J14" i="92"/>
  <c r="B53" i="92"/>
  <c r="J54" i="92"/>
  <c r="I76" i="92"/>
  <c r="B78" i="92"/>
  <c r="B42" i="92"/>
  <c r="J40" i="92"/>
  <c r="I16" i="92"/>
  <c r="I28" i="92"/>
  <c r="I32" i="92"/>
  <c r="I36" i="92"/>
  <c r="I38" i="92"/>
  <c r="I20" i="92"/>
  <c r="I30" i="92"/>
  <c r="I34" i="92"/>
  <c r="I40" i="92"/>
  <c r="I9" i="92"/>
  <c r="J18" i="92"/>
  <c r="J22" i="92"/>
  <c r="J24" i="92"/>
  <c r="J26" i="92"/>
  <c r="I57" i="92"/>
  <c r="I50" i="92"/>
  <c r="I58" i="92"/>
  <c r="I6" i="92"/>
  <c r="C13" i="92"/>
  <c r="C12" i="92" s="1"/>
  <c r="I12" i="92" s="1"/>
  <c r="J50" i="92"/>
  <c r="I51" i="92"/>
  <c r="J6" i="92"/>
  <c r="I8" i="92"/>
  <c r="I15" i="92"/>
  <c r="I17" i="92"/>
  <c r="I19" i="92"/>
  <c r="I21" i="92"/>
  <c r="I23" i="92"/>
  <c r="I25" i="92"/>
  <c r="I27" i="92"/>
  <c r="I29" i="92"/>
  <c r="I31" i="92"/>
  <c r="I33" i="92"/>
  <c r="I35" i="92"/>
  <c r="I37" i="92"/>
  <c r="I39" i="92"/>
  <c r="I41" i="92"/>
  <c r="I52" i="92"/>
  <c r="B7" i="92"/>
  <c r="B60" i="92"/>
  <c r="I77" i="92"/>
  <c r="I10" i="92"/>
  <c r="J25" i="94" l="1"/>
  <c r="K25" i="94"/>
  <c r="C7" i="92"/>
  <c r="J53" i="92"/>
  <c r="I53" i="92"/>
  <c r="I13" i="92"/>
  <c r="J78" i="92"/>
  <c r="B59" i="92"/>
  <c r="J59" i="92" s="1"/>
  <c r="C61" i="92"/>
  <c r="J7" i="92"/>
  <c r="B11" i="92"/>
  <c r="J12" i="92"/>
  <c r="K8" i="92"/>
  <c r="K9" i="92"/>
  <c r="C11" i="92"/>
  <c r="I11" i="92" s="1"/>
  <c r="K7" i="92"/>
  <c r="I7" i="92"/>
  <c r="K10" i="92"/>
  <c r="J13" i="92"/>
  <c r="J42" i="92"/>
  <c r="B61" i="92"/>
  <c r="K11" i="92" l="1"/>
  <c r="J11" i="92"/>
  <c r="L64" i="91" l="1"/>
  <c r="K64" i="91"/>
  <c r="J64" i="91"/>
  <c r="I64" i="91"/>
  <c r="H64" i="91"/>
  <c r="G64" i="91"/>
  <c r="F64" i="91"/>
  <c r="L63" i="91"/>
  <c r="K63" i="91"/>
  <c r="J63" i="91"/>
  <c r="I63" i="91"/>
  <c r="H63" i="91"/>
  <c r="G63" i="91"/>
  <c r="F63" i="91"/>
  <c r="L62" i="91"/>
  <c r="K62" i="91"/>
  <c r="J62" i="91"/>
  <c r="I62" i="91"/>
  <c r="H62" i="91"/>
  <c r="G62" i="91"/>
  <c r="F62" i="91"/>
  <c r="L61" i="91"/>
  <c r="K61" i="91"/>
  <c r="J61" i="91"/>
  <c r="I61" i="91"/>
  <c r="H61" i="91"/>
  <c r="G61" i="91"/>
  <c r="F61" i="91"/>
  <c r="L60" i="91"/>
  <c r="K60" i="91"/>
  <c r="J60" i="91"/>
  <c r="I60" i="91"/>
  <c r="H60" i="91"/>
  <c r="G60" i="91"/>
  <c r="F60" i="91"/>
  <c r="L59" i="91"/>
  <c r="K59" i="91"/>
  <c r="J59" i="91"/>
  <c r="I59" i="91"/>
  <c r="H59" i="91"/>
  <c r="G59" i="91"/>
  <c r="F59" i="91"/>
  <c r="L58" i="91"/>
  <c r="K58" i="91"/>
  <c r="J58" i="91"/>
  <c r="I58" i="91"/>
  <c r="H58" i="91"/>
  <c r="G58" i="91"/>
  <c r="F58" i="91"/>
  <c r="Q47" i="91"/>
  <c r="P47" i="91"/>
  <c r="O47" i="91"/>
  <c r="N47" i="91"/>
  <c r="M47" i="91"/>
  <c r="L47" i="91"/>
  <c r="K47" i="91"/>
  <c r="J47" i="91"/>
  <c r="I47" i="91"/>
  <c r="H47" i="91"/>
  <c r="G47" i="91"/>
  <c r="F47" i="91"/>
  <c r="E47" i="91"/>
  <c r="D47" i="91"/>
  <c r="C47" i="91"/>
  <c r="B47" i="91"/>
  <c r="Q46" i="91"/>
  <c r="P46" i="91"/>
  <c r="O46" i="91"/>
  <c r="N46" i="91"/>
  <c r="M46" i="91"/>
  <c r="L46" i="91"/>
  <c r="K46" i="91"/>
  <c r="J46" i="91"/>
  <c r="I46" i="91"/>
  <c r="H46" i="91"/>
  <c r="G46" i="91"/>
  <c r="F46" i="91"/>
  <c r="E46" i="91"/>
  <c r="D46" i="91"/>
  <c r="C46" i="91"/>
  <c r="B46" i="91"/>
  <c r="Q45" i="91"/>
  <c r="P45" i="91"/>
  <c r="O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Q44" i="91"/>
  <c r="P44" i="91"/>
  <c r="O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Q43" i="91"/>
  <c r="P43" i="91"/>
  <c r="O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Q42" i="9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Q41" i="91"/>
  <c r="P41" i="91"/>
  <c r="O41" i="91"/>
  <c r="N41" i="91"/>
  <c r="M41" i="91"/>
  <c r="L41" i="91"/>
  <c r="K41" i="91"/>
  <c r="J41" i="91"/>
  <c r="I41" i="91"/>
  <c r="H41" i="91"/>
  <c r="G41" i="91"/>
  <c r="F41" i="91"/>
  <c r="E41" i="91"/>
  <c r="D41" i="91"/>
  <c r="C41" i="91"/>
  <c r="B41" i="91"/>
  <c r="Q40" i="91"/>
  <c r="P40" i="91"/>
  <c r="O40" i="91"/>
  <c r="N40" i="91"/>
  <c r="M40" i="91"/>
  <c r="L40" i="91"/>
  <c r="K40" i="91"/>
  <c r="J40" i="91"/>
  <c r="I40" i="91"/>
  <c r="H40" i="91"/>
  <c r="G40" i="91"/>
  <c r="F40" i="91"/>
  <c r="E40" i="91"/>
  <c r="D40" i="91"/>
  <c r="C40" i="91"/>
  <c r="B40" i="91"/>
  <c r="Q39" i="91"/>
  <c r="P39" i="91"/>
  <c r="O39" i="91"/>
  <c r="N39" i="91"/>
  <c r="M39" i="91"/>
  <c r="L39" i="91"/>
  <c r="K39" i="91"/>
  <c r="J39" i="91"/>
  <c r="I39" i="91"/>
  <c r="H39" i="91"/>
  <c r="G39" i="91"/>
  <c r="F39" i="91"/>
  <c r="E39" i="91"/>
  <c r="D39" i="91"/>
  <c r="C39" i="91"/>
  <c r="B39" i="91"/>
  <c r="Q38" i="91"/>
  <c r="P38" i="91"/>
  <c r="O38" i="91"/>
  <c r="N38" i="91"/>
  <c r="M38" i="91"/>
  <c r="L38" i="91"/>
  <c r="K38" i="91"/>
  <c r="J38" i="91"/>
  <c r="I38" i="91"/>
  <c r="H38" i="91"/>
  <c r="G38" i="91"/>
  <c r="F38" i="91"/>
  <c r="E38" i="91"/>
  <c r="D38" i="91"/>
  <c r="C38" i="91"/>
  <c r="B38" i="91"/>
  <c r="Q37" i="91"/>
  <c r="P37" i="91"/>
  <c r="O37" i="91"/>
  <c r="N37" i="91"/>
  <c r="M37" i="91"/>
  <c r="L37" i="91"/>
  <c r="K37" i="91"/>
  <c r="J37" i="91"/>
  <c r="I37" i="91"/>
  <c r="H37" i="91"/>
  <c r="G37" i="91"/>
  <c r="F37" i="91"/>
  <c r="E37" i="91"/>
  <c r="D37" i="91"/>
  <c r="C37" i="91"/>
  <c r="B37" i="91"/>
  <c r="Q36" i="91"/>
  <c r="P36" i="91"/>
  <c r="O36" i="91"/>
  <c r="N36" i="91"/>
  <c r="M36" i="91"/>
  <c r="L36" i="91"/>
  <c r="K36" i="91"/>
  <c r="J36" i="91"/>
  <c r="I36" i="91"/>
  <c r="H36" i="91"/>
  <c r="G36" i="91"/>
  <c r="F36" i="91"/>
  <c r="E36" i="91"/>
  <c r="D36" i="91"/>
  <c r="C36" i="91"/>
  <c r="B36" i="91"/>
  <c r="Q35" i="91"/>
  <c r="P35" i="91"/>
  <c r="O35" i="91"/>
  <c r="N35" i="91"/>
  <c r="M35" i="91"/>
  <c r="L35" i="91"/>
  <c r="K35" i="91"/>
  <c r="J35" i="91"/>
  <c r="I35" i="91"/>
  <c r="H35" i="91"/>
  <c r="G35" i="91"/>
  <c r="F35" i="91"/>
  <c r="E35" i="91"/>
  <c r="D35" i="91"/>
  <c r="C35" i="91"/>
  <c r="B35" i="91"/>
  <c r="Q34" i="91"/>
  <c r="P34" i="91"/>
  <c r="O34" i="91"/>
  <c r="N34" i="91"/>
  <c r="M34" i="91"/>
  <c r="L34" i="91"/>
  <c r="K34" i="91"/>
  <c r="J34" i="91"/>
  <c r="I34" i="91"/>
  <c r="H34" i="91"/>
  <c r="G34" i="91"/>
  <c r="F34" i="91"/>
  <c r="E34" i="91"/>
  <c r="D34" i="91"/>
  <c r="C34" i="91"/>
  <c r="B34" i="91"/>
  <c r="Q33" i="91"/>
  <c r="P33" i="91"/>
  <c r="O33" i="91"/>
  <c r="N33" i="91"/>
  <c r="M33" i="91"/>
  <c r="L33" i="91"/>
  <c r="K33" i="91"/>
  <c r="J33" i="91"/>
  <c r="I33" i="91"/>
  <c r="H33" i="91"/>
  <c r="G33" i="91"/>
  <c r="F33" i="91"/>
  <c r="E33" i="91"/>
  <c r="D33" i="91"/>
  <c r="C33" i="91"/>
  <c r="B33" i="91"/>
  <c r="Q32" i="91"/>
  <c r="P32" i="91"/>
  <c r="O32" i="91"/>
  <c r="N32" i="91"/>
  <c r="M32" i="91"/>
  <c r="L32" i="91"/>
  <c r="K32" i="91"/>
  <c r="J32" i="91"/>
  <c r="I32" i="91"/>
  <c r="H32" i="91"/>
  <c r="G32" i="91"/>
  <c r="F32" i="91"/>
  <c r="E32" i="91"/>
  <c r="D32" i="91"/>
  <c r="C32" i="91"/>
  <c r="B32" i="91"/>
  <c r="Q31" i="91"/>
  <c r="P31" i="91"/>
  <c r="O31" i="91"/>
  <c r="N31" i="91"/>
  <c r="M31" i="91"/>
  <c r="L31" i="91"/>
  <c r="K31" i="91"/>
  <c r="J31" i="91"/>
  <c r="I31" i="91"/>
  <c r="H31" i="91"/>
  <c r="G31" i="91"/>
  <c r="F31" i="91"/>
  <c r="E31" i="91"/>
  <c r="D31" i="91"/>
  <c r="C31" i="91"/>
  <c r="B31" i="91"/>
  <c r="Q20" i="9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Q19" i="91"/>
  <c r="P19" i="91"/>
  <c r="O19" i="91"/>
  <c r="N19" i="91"/>
  <c r="M19" i="91"/>
  <c r="L19" i="91"/>
  <c r="K19" i="91"/>
  <c r="J19" i="91"/>
  <c r="I19" i="91"/>
  <c r="H19" i="91"/>
  <c r="G19" i="91"/>
  <c r="F19" i="91"/>
  <c r="E19" i="91"/>
  <c r="D19" i="91"/>
  <c r="C19" i="91"/>
  <c r="B19" i="91"/>
  <c r="Q18" i="91"/>
  <c r="P18" i="91"/>
  <c r="O18" i="91"/>
  <c r="N18" i="91"/>
  <c r="M18" i="91"/>
  <c r="L18" i="91"/>
  <c r="K18" i="91"/>
  <c r="J18" i="91"/>
  <c r="I18" i="91"/>
  <c r="H18" i="91"/>
  <c r="G18" i="91"/>
  <c r="F18" i="91"/>
  <c r="E18" i="91"/>
  <c r="D18" i="91"/>
  <c r="C18" i="91"/>
  <c r="B18" i="91"/>
  <c r="Q17" i="91"/>
  <c r="P17" i="91"/>
  <c r="O17" i="91"/>
  <c r="N17" i="91"/>
  <c r="M17" i="91"/>
  <c r="L17" i="91"/>
  <c r="K17" i="91"/>
  <c r="J17" i="91"/>
  <c r="I17" i="91"/>
  <c r="H17" i="91"/>
  <c r="G17" i="91"/>
  <c r="F17" i="91"/>
  <c r="E17" i="91"/>
  <c r="D17" i="91"/>
  <c r="C17" i="91"/>
  <c r="B17" i="91"/>
  <c r="Q16" i="91"/>
  <c r="P16" i="91"/>
  <c r="O16" i="91"/>
  <c r="N16" i="91"/>
  <c r="M16" i="91"/>
  <c r="L16" i="91"/>
  <c r="K16" i="91"/>
  <c r="J16" i="91"/>
  <c r="I16" i="91"/>
  <c r="H16" i="91"/>
  <c r="G16" i="91"/>
  <c r="F16" i="91"/>
  <c r="E16" i="91"/>
  <c r="D16" i="91"/>
  <c r="C16" i="91"/>
  <c r="B16" i="91"/>
  <c r="Q15" i="91"/>
  <c r="P15" i="91"/>
  <c r="O15" i="91"/>
  <c r="N15" i="91"/>
  <c r="M15" i="91"/>
  <c r="L15" i="91"/>
  <c r="K15" i="91"/>
  <c r="J15" i="91"/>
  <c r="I15" i="91"/>
  <c r="H15" i="91"/>
  <c r="G15" i="91"/>
  <c r="F15" i="91"/>
  <c r="E15" i="91"/>
  <c r="D15" i="91"/>
  <c r="C15" i="91"/>
  <c r="B15" i="91"/>
  <c r="Q14" i="91"/>
  <c r="P14" i="91"/>
  <c r="O14" i="91"/>
  <c r="N14" i="91"/>
  <c r="M14" i="91"/>
  <c r="L14" i="91"/>
  <c r="K14" i="91"/>
  <c r="J14" i="91"/>
  <c r="I14" i="91"/>
  <c r="H14" i="91"/>
  <c r="G14" i="91"/>
  <c r="F14" i="91"/>
  <c r="E14" i="91"/>
  <c r="D14" i="91"/>
  <c r="C14" i="91"/>
  <c r="B14" i="91"/>
  <c r="Q13" i="91"/>
  <c r="P13" i="91"/>
  <c r="O13" i="91"/>
  <c r="N13" i="91"/>
  <c r="M13" i="91"/>
  <c r="L13" i="91"/>
  <c r="K13" i="91"/>
  <c r="J13" i="91"/>
  <c r="I13" i="91"/>
  <c r="H13" i="91"/>
  <c r="G13" i="91"/>
  <c r="F13" i="91"/>
  <c r="E13" i="91"/>
  <c r="D13" i="91"/>
  <c r="C13" i="91"/>
  <c r="B13" i="91"/>
  <c r="Q12" i="91"/>
  <c r="P12" i="91"/>
  <c r="O12" i="91"/>
  <c r="N12" i="91"/>
  <c r="M12" i="91"/>
  <c r="L12" i="91"/>
  <c r="K12" i="91"/>
  <c r="J12" i="91"/>
  <c r="I12" i="91"/>
  <c r="H12" i="91"/>
  <c r="G12" i="91"/>
  <c r="F12" i="91"/>
  <c r="E12" i="91"/>
  <c r="D12" i="91"/>
  <c r="C12" i="91"/>
  <c r="B12" i="91"/>
  <c r="Q11" i="91"/>
  <c r="P11" i="91"/>
  <c r="O11" i="91"/>
  <c r="N11" i="91"/>
  <c r="M11" i="91"/>
  <c r="L11" i="91"/>
  <c r="K11" i="91"/>
  <c r="J11" i="91"/>
  <c r="I11" i="91"/>
  <c r="H11" i="91"/>
  <c r="G11" i="91"/>
  <c r="F11" i="91"/>
  <c r="E11" i="91"/>
  <c r="D11" i="91"/>
  <c r="C11" i="91"/>
  <c r="B11" i="91"/>
  <c r="Q10" i="91"/>
  <c r="P10" i="91"/>
  <c r="O10" i="91"/>
  <c r="N10" i="91"/>
  <c r="M10" i="91"/>
  <c r="L10" i="91"/>
  <c r="K10" i="91"/>
  <c r="J10" i="91"/>
  <c r="I10" i="91"/>
  <c r="H10" i="91"/>
  <c r="G10" i="91"/>
  <c r="F10" i="91"/>
  <c r="E10" i="91"/>
  <c r="D10" i="91"/>
  <c r="C10" i="91"/>
  <c r="B10" i="91"/>
  <c r="C127" i="90" l="1"/>
  <c r="B127" i="90"/>
  <c r="C126" i="90"/>
  <c r="B126" i="90"/>
  <c r="C125" i="90"/>
  <c r="B125" i="90"/>
  <c r="C124" i="90"/>
  <c r="B124" i="90"/>
  <c r="C123" i="90"/>
  <c r="B123" i="90"/>
  <c r="C122" i="90"/>
  <c r="B122" i="90"/>
  <c r="C121" i="90"/>
  <c r="B121" i="90"/>
  <c r="C120" i="90"/>
  <c r="B120" i="90"/>
  <c r="C119" i="90"/>
  <c r="B119" i="90"/>
  <c r="C114" i="90"/>
  <c r="B114" i="90"/>
  <c r="C113" i="90"/>
  <c r="B113" i="90"/>
  <c r="J113" i="90" s="1"/>
  <c r="C112" i="90"/>
  <c r="B112" i="90"/>
  <c r="J112" i="90" s="1"/>
  <c r="C111" i="90"/>
  <c r="J111" i="90" s="1"/>
  <c r="B111" i="90"/>
  <c r="C110" i="90"/>
  <c r="B110" i="90"/>
  <c r="J110" i="90" s="1"/>
  <c r="I109" i="90"/>
  <c r="C109" i="90"/>
  <c r="I114" i="90" s="1"/>
  <c r="B109" i="90"/>
  <c r="C108" i="90"/>
  <c r="B108" i="90"/>
  <c r="J108" i="90" s="1"/>
  <c r="C107" i="90"/>
  <c r="B107" i="90"/>
  <c r="C106" i="90"/>
  <c r="B106" i="90"/>
  <c r="C105" i="90"/>
  <c r="B105" i="90"/>
  <c r="C104" i="90"/>
  <c r="B104" i="90"/>
  <c r="J104" i="90" s="1"/>
  <c r="C103" i="90"/>
  <c r="B103" i="90"/>
  <c r="J103" i="90" s="1"/>
  <c r="C102" i="90"/>
  <c r="J102" i="90" s="1"/>
  <c r="B102" i="90"/>
  <c r="C101" i="90"/>
  <c r="B101" i="90"/>
  <c r="C100" i="90"/>
  <c r="I100" i="90" s="1"/>
  <c r="B100" i="90"/>
  <c r="C99" i="90"/>
  <c r="B99" i="90"/>
  <c r="J99" i="90" s="1"/>
  <c r="C98" i="90"/>
  <c r="I108" i="90" s="1"/>
  <c r="B98" i="90"/>
  <c r="E93" i="90"/>
  <c r="H92" i="90"/>
  <c r="G92" i="90"/>
  <c r="F92" i="90"/>
  <c r="E92" i="90"/>
  <c r="D92" i="90"/>
  <c r="C92" i="90"/>
  <c r="B92" i="90"/>
  <c r="H91" i="90"/>
  <c r="H93" i="90" s="1"/>
  <c r="G91" i="90"/>
  <c r="F91" i="90"/>
  <c r="E91" i="90"/>
  <c r="D91" i="90"/>
  <c r="C91" i="90"/>
  <c r="B91" i="90"/>
  <c r="B93" i="90" s="1"/>
  <c r="F87" i="90"/>
  <c r="E87" i="90"/>
  <c r="D87" i="90"/>
  <c r="C87" i="90"/>
  <c r="B87" i="90"/>
  <c r="F86" i="90"/>
  <c r="E86" i="90"/>
  <c r="D86" i="90"/>
  <c r="C86" i="90"/>
  <c r="B86" i="90"/>
  <c r="F82" i="90"/>
  <c r="E82" i="90"/>
  <c r="D82" i="90"/>
  <c r="C82" i="90"/>
  <c r="B82" i="90"/>
  <c r="F81" i="90"/>
  <c r="E81" i="90"/>
  <c r="D81" i="90"/>
  <c r="C81" i="90"/>
  <c r="B81" i="90"/>
  <c r="H73" i="90"/>
  <c r="G73" i="90"/>
  <c r="F73" i="90"/>
  <c r="E73" i="90"/>
  <c r="D73" i="90"/>
  <c r="C73" i="90"/>
  <c r="B73" i="90"/>
  <c r="J73" i="90" s="1"/>
  <c r="H72" i="90"/>
  <c r="G72" i="90"/>
  <c r="F72" i="90"/>
  <c r="E72" i="90"/>
  <c r="D72" i="90"/>
  <c r="C72" i="90"/>
  <c r="B72" i="90"/>
  <c r="H71" i="90"/>
  <c r="G71" i="90"/>
  <c r="F71" i="90"/>
  <c r="E71" i="90"/>
  <c r="D71" i="90"/>
  <c r="C71" i="90"/>
  <c r="B71" i="90"/>
  <c r="J71" i="90" s="1"/>
  <c r="H70" i="90"/>
  <c r="G70" i="90"/>
  <c r="F70" i="90"/>
  <c r="E70" i="90"/>
  <c r="D70" i="90"/>
  <c r="C70" i="90"/>
  <c r="B70" i="90"/>
  <c r="H69" i="90"/>
  <c r="G69" i="90"/>
  <c r="F69" i="90"/>
  <c r="E69" i="90"/>
  <c r="D69" i="90"/>
  <c r="C69" i="90"/>
  <c r="B69" i="90"/>
  <c r="H67" i="90"/>
  <c r="G67" i="90"/>
  <c r="F67" i="90"/>
  <c r="E67" i="90"/>
  <c r="D67" i="90"/>
  <c r="C67" i="90"/>
  <c r="B67" i="90"/>
  <c r="J67" i="90" s="1"/>
  <c r="H66" i="90"/>
  <c r="G66" i="90"/>
  <c r="F66" i="90"/>
  <c r="E66" i="90"/>
  <c r="D66" i="90"/>
  <c r="C66" i="90"/>
  <c r="B66" i="90"/>
  <c r="J66" i="90" s="1"/>
  <c r="H65" i="90"/>
  <c r="G65" i="90"/>
  <c r="G68" i="90" s="1"/>
  <c r="F65" i="90"/>
  <c r="E65" i="90"/>
  <c r="E68" i="90" s="1"/>
  <c r="E74" i="90" s="1"/>
  <c r="D65" i="90"/>
  <c r="C65" i="90"/>
  <c r="I71" i="90" s="1"/>
  <c r="B65" i="90"/>
  <c r="B68" i="90" s="1"/>
  <c r="H56" i="90"/>
  <c r="G56" i="90"/>
  <c r="F56" i="90"/>
  <c r="E56" i="90"/>
  <c r="D56" i="90"/>
  <c r="C56" i="90"/>
  <c r="B56" i="90"/>
  <c r="J56" i="90" s="1"/>
  <c r="C53" i="90"/>
  <c r="B53" i="90"/>
  <c r="C52" i="90"/>
  <c r="B52" i="90"/>
  <c r="J52" i="90" s="1"/>
  <c r="C51" i="90"/>
  <c r="B51" i="90"/>
  <c r="J51" i="90" s="1"/>
  <c r="C50" i="90"/>
  <c r="B50" i="90"/>
  <c r="C49" i="90"/>
  <c r="B49" i="90"/>
  <c r="C48" i="90"/>
  <c r="B48" i="90"/>
  <c r="J48" i="90" s="1"/>
  <c r="C47" i="90"/>
  <c r="B47" i="90"/>
  <c r="J47" i="90" s="1"/>
  <c r="C46" i="90"/>
  <c r="B46" i="90"/>
  <c r="J46" i="90" s="1"/>
  <c r="C45" i="90"/>
  <c r="B45" i="90"/>
  <c r="J45" i="90" s="1"/>
  <c r="C44" i="90"/>
  <c r="B44" i="90"/>
  <c r="C43" i="90"/>
  <c r="B43" i="90"/>
  <c r="J43" i="90" s="1"/>
  <c r="C42" i="90"/>
  <c r="B42" i="90"/>
  <c r="J42" i="90" s="1"/>
  <c r="C41" i="90"/>
  <c r="B41" i="90"/>
  <c r="J41" i="90" s="1"/>
  <c r="C40" i="90"/>
  <c r="B40" i="90"/>
  <c r="C39" i="90"/>
  <c r="B39" i="90"/>
  <c r="C38" i="90"/>
  <c r="B38" i="90"/>
  <c r="C37" i="90"/>
  <c r="B37" i="90"/>
  <c r="J37" i="90" s="1"/>
  <c r="C36" i="90"/>
  <c r="J36" i="90" s="1"/>
  <c r="B36" i="90"/>
  <c r="C35" i="90"/>
  <c r="B35" i="90"/>
  <c r="C34" i="90"/>
  <c r="B34" i="90"/>
  <c r="C33" i="90"/>
  <c r="B33" i="90"/>
  <c r="J33" i="90" s="1"/>
  <c r="C32" i="90"/>
  <c r="B32" i="90"/>
  <c r="J32" i="90" s="1"/>
  <c r="C31" i="90"/>
  <c r="B31" i="90"/>
  <c r="J31" i="90" s="1"/>
  <c r="C30" i="90"/>
  <c r="B30" i="90"/>
  <c r="C29" i="90"/>
  <c r="B29" i="90"/>
  <c r="J29" i="90" s="1"/>
  <c r="C28" i="90"/>
  <c r="B28" i="90"/>
  <c r="B27" i="90" s="1"/>
  <c r="B26" i="90" s="1"/>
  <c r="H24" i="90"/>
  <c r="G24" i="90"/>
  <c r="F24" i="90"/>
  <c r="E24" i="90"/>
  <c r="D24" i="90"/>
  <c r="C24" i="90"/>
  <c r="B24" i="90"/>
  <c r="H23" i="90"/>
  <c r="G23" i="90"/>
  <c r="F23" i="90"/>
  <c r="E23" i="90"/>
  <c r="D23" i="90"/>
  <c r="C23" i="90"/>
  <c r="B23" i="90"/>
  <c r="J23" i="90" s="1"/>
  <c r="H22" i="90"/>
  <c r="G22" i="90"/>
  <c r="F22" i="90"/>
  <c r="E22" i="90"/>
  <c r="D22" i="90"/>
  <c r="C22" i="90"/>
  <c r="B22" i="90"/>
  <c r="J22" i="90" s="1"/>
  <c r="H21" i="90"/>
  <c r="G21" i="90"/>
  <c r="F21" i="90"/>
  <c r="E21" i="90"/>
  <c r="D21" i="90"/>
  <c r="C21" i="90"/>
  <c r="B21" i="90"/>
  <c r="H20" i="90"/>
  <c r="G20" i="90"/>
  <c r="F20" i="90"/>
  <c r="E20" i="90"/>
  <c r="D20" i="90"/>
  <c r="C20" i="90"/>
  <c r="B20" i="90"/>
  <c r="H19" i="90"/>
  <c r="G19" i="90"/>
  <c r="F19" i="90"/>
  <c r="E19" i="90"/>
  <c r="D19" i="90"/>
  <c r="C19" i="90"/>
  <c r="B19" i="90"/>
  <c r="J19" i="90" s="1"/>
  <c r="H18" i="90"/>
  <c r="G18" i="90"/>
  <c r="F18" i="90"/>
  <c r="E18" i="90"/>
  <c r="D18" i="90"/>
  <c r="C18" i="90"/>
  <c r="B18" i="90"/>
  <c r="H17" i="90"/>
  <c r="G17" i="90"/>
  <c r="F17" i="90"/>
  <c r="E17" i="90"/>
  <c r="D17" i="90"/>
  <c r="C17" i="90"/>
  <c r="B17" i="90"/>
  <c r="H16" i="90"/>
  <c r="G16" i="90"/>
  <c r="F16" i="90"/>
  <c r="E16" i="90"/>
  <c r="D16" i="90"/>
  <c r="C16" i="90"/>
  <c r="B16" i="90"/>
  <c r="H15" i="90"/>
  <c r="G15" i="90"/>
  <c r="F15" i="90"/>
  <c r="E15" i="90"/>
  <c r="D15" i="90"/>
  <c r="C15" i="90"/>
  <c r="B15" i="90"/>
  <c r="H14" i="90"/>
  <c r="G14" i="90"/>
  <c r="F14" i="90"/>
  <c r="E14" i="90"/>
  <c r="D14" i="90"/>
  <c r="C14" i="90"/>
  <c r="B14" i="90"/>
  <c r="J14" i="90" s="1"/>
  <c r="H13" i="90"/>
  <c r="G13" i="90"/>
  <c r="F13" i="90"/>
  <c r="E13" i="90"/>
  <c r="D13" i="90"/>
  <c r="C13" i="90"/>
  <c r="B13" i="90"/>
  <c r="J13" i="90" s="1"/>
  <c r="H12" i="90"/>
  <c r="G12" i="90"/>
  <c r="F12" i="90"/>
  <c r="E12" i="90"/>
  <c r="D12" i="90"/>
  <c r="C12" i="90"/>
  <c r="B12" i="90"/>
  <c r="H11" i="90"/>
  <c r="G11" i="90"/>
  <c r="F11" i="90"/>
  <c r="E11" i="90"/>
  <c r="D11" i="90"/>
  <c r="C11" i="90"/>
  <c r="B11" i="90"/>
  <c r="H10" i="90"/>
  <c r="G10" i="90"/>
  <c r="F10" i="90"/>
  <c r="E10" i="90"/>
  <c r="D10" i="90"/>
  <c r="C10" i="90"/>
  <c r="B10" i="90"/>
  <c r="H9" i="90"/>
  <c r="G9" i="90"/>
  <c r="F9" i="90"/>
  <c r="E9" i="90"/>
  <c r="D9" i="90"/>
  <c r="C9" i="90"/>
  <c r="B9" i="90"/>
  <c r="H8" i="90"/>
  <c r="G8" i="90"/>
  <c r="F8" i="90"/>
  <c r="E8" i="90"/>
  <c r="D8" i="90"/>
  <c r="C8" i="90"/>
  <c r="B8" i="90"/>
  <c r="H6" i="90"/>
  <c r="H7" i="90" s="1"/>
  <c r="G6" i="90"/>
  <c r="G7" i="90" s="1"/>
  <c r="F6" i="90"/>
  <c r="F7" i="90" s="1"/>
  <c r="E6" i="90"/>
  <c r="E7" i="90" s="1"/>
  <c r="D6" i="90"/>
  <c r="D7" i="90" s="1"/>
  <c r="C6" i="90"/>
  <c r="B6" i="90"/>
  <c r="I72" i="90" l="1"/>
  <c r="C27" i="90"/>
  <c r="J40" i="90"/>
  <c r="F68" i="90"/>
  <c r="F74" i="90" s="1"/>
  <c r="J98" i="90"/>
  <c r="G74" i="90"/>
  <c r="D25" i="90"/>
  <c r="J44" i="90"/>
  <c r="H68" i="90"/>
  <c r="C93" i="90"/>
  <c r="J12" i="90"/>
  <c r="J21" i="90"/>
  <c r="J30" i="90"/>
  <c r="J49" i="90"/>
  <c r="D93" i="90"/>
  <c r="J93" i="90"/>
  <c r="J11" i="90"/>
  <c r="J20" i="90"/>
  <c r="J34" i="90"/>
  <c r="J38" i="90"/>
  <c r="I73" i="90"/>
  <c r="J9" i="90"/>
  <c r="J17" i="90"/>
  <c r="J35" i="90"/>
  <c r="J39" i="90"/>
  <c r="J50" i="90"/>
  <c r="D68" i="90"/>
  <c r="G93" i="90"/>
  <c r="J101" i="90"/>
  <c r="J100" i="90"/>
  <c r="G25" i="90"/>
  <c r="F55" i="90"/>
  <c r="F57" i="90" s="1"/>
  <c r="H74" i="90"/>
  <c r="F93" i="90"/>
  <c r="I98" i="90"/>
  <c r="H25" i="90"/>
  <c r="J10" i="90"/>
  <c r="J18" i="90"/>
  <c r="G55" i="90"/>
  <c r="G57" i="90" s="1"/>
  <c r="I65" i="90"/>
  <c r="I66" i="90"/>
  <c r="J72" i="90"/>
  <c r="E25" i="90"/>
  <c r="J28" i="90"/>
  <c r="E55" i="90"/>
  <c r="E57" i="90" s="1"/>
  <c r="J109" i="90"/>
  <c r="I113" i="90"/>
  <c r="J6" i="90"/>
  <c r="J8" i="90"/>
  <c r="J16" i="90"/>
  <c r="J70" i="90"/>
  <c r="I91" i="90"/>
  <c r="F25" i="90"/>
  <c r="I104" i="90"/>
  <c r="J15" i="90"/>
  <c r="J24" i="90"/>
  <c r="J53" i="90"/>
  <c r="D74" i="90"/>
  <c r="J69" i="90"/>
  <c r="J91" i="90"/>
  <c r="J92" i="90"/>
  <c r="I102" i="90"/>
  <c r="J105" i="90"/>
  <c r="I111" i="90"/>
  <c r="J114" i="90"/>
  <c r="I92" i="90"/>
  <c r="D55" i="90"/>
  <c r="D57" i="90" s="1"/>
  <c r="B74" i="90"/>
  <c r="B7" i="90"/>
  <c r="I57" i="90"/>
  <c r="C26" i="90"/>
  <c r="C7" i="90" s="1"/>
  <c r="J27" i="90"/>
  <c r="I30" i="90"/>
  <c r="I36" i="90"/>
  <c r="I44" i="90"/>
  <c r="I52" i="90"/>
  <c r="I24" i="90"/>
  <c r="J65" i="90"/>
  <c r="I67" i="90"/>
  <c r="I17" i="90"/>
  <c r="B75" i="90"/>
  <c r="I28" i="90"/>
  <c r="I32" i="90"/>
  <c r="I38" i="90"/>
  <c r="I42" i="90"/>
  <c r="I48" i="90"/>
  <c r="I12" i="90"/>
  <c r="I16" i="90"/>
  <c r="I20" i="90"/>
  <c r="I9" i="90"/>
  <c r="I13" i="90"/>
  <c r="I21" i="90"/>
  <c r="I27" i="90"/>
  <c r="I29" i="90"/>
  <c r="I31" i="90"/>
  <c r="I33" i="90"/>
  <c r="I35" i="90"/>
  <c r="I37" i="90"/>
  <c r="I39" i="90"/>
  <c r="I41" i="90"/>
  <c r="I43" i="90"/>
  <c r="I45" i="90"/>
  <c r="I47" i="90"/>
  <c r="I49" i="90"/>
  <c r="I51" i="90"/>
  <c r="I53" i="90"/>
  <c r="H55" i="90"/>
  <c r="H57" i="90" s="1"/>
  <c r="I69" i="90"/>
  <c r="C75" i="90"/>
  <c r="I93" i="90"/>
  <c r="I99" i="90"/>
  <c r="I101" i="90"/>
  <c r="I103" i="90"/>
  <c r="I105" i="90"/>
  <c r="I110" i="90"/>
  <c r="I112" i="90"/>
  <c r="I34" i="90"/>
  <c r="I40" i="90"/>
  <c r="I46" i="90"/>
  <c r="I8" i="90"/>
  <c r="I10" i="90"/>
  <c r="I14" i="90"/>
  <c r="I18" i="90"/>
  <c r="I22" i="90"/>
  <c r="I55" i="90"/>
  <c r="C68" i="90"/>
  <c r="C74" i="90" s="1"/>
  <c r="I74" i="90" s="1"/>
  <c r="I70" i="90"/>
  <c r="I6" i="90"/>
  <c r="B55" i="90"/>
  <c r="I56" i="90"/>
  <c r="I50" i="90"/>
  <c r="I11" i="90"/>
  <c r="I15" i="90"/>
  <c r="I19" i="90"/>
  <c r="I23" i="90"/>
  <c r="C55" i="90"/>
  <c r="C57" i="90" s="1"/>
  <c r="I26" i="90" l="1"/>
  <c r="C76" i="90"/>
  <c r="K22" i="90"/>
  <c r="K18" i="90"/>
  <c r="K14" i="90"/>
  <c r="K10" i="90"/>
  <c r="C25" i="90"/>
  <c r="I25" i="90" s="1"/>
  <c r="K21" i="90"/>
  <c r="K17" i="90"/>
  <c r="K13" i="90"/>
  <c r="K9" i="90"/>
  <c r="K15" i="90"/>
  <c r="K7" i="90"/>
  <c r="K24" i="90"/>
  <c r="K20" i="90"/>
  <c r="K16" i="90"/>
  <c r="K12" i="90"/>
  <c r="K8" i="90"/>
  <c r="K23" i="90"/>
  <c r="K19" i="90"/>
  <c r="K11" i="90"/>
  <c r="I7" i="90"/>
  <c r="B25" i="90"/>
  <c r="J25" i="90" s="1"/>
  <c r="J7" i="90"/>
  <c r="J26" i="90"/>
  <c r="J55" i="90"/>
  <c r="B57" i="90"/>
  <c r="I68" i="90"/>
  <c r="J74" i="90"/>
  <c r="J68" i="90"/>
  <c r="L63" i="89"/>
  <c r="K63" i="89"/>
  <c r="J63" i="89"/>
  <c r="I63" i="89"/>
  <c r="H63" i="89"/>
  <c r="G63" i="89"/>
  <c r="F63" i="89"/>
  <c r="L62" i="89"/>
  <c r="K62" i="89"/>
  <c r="J62" i="89"/>
  <c r="I62" i="89"/>
  <c r="H62" i="89"/>
  <c r="G62" i="89"/>
  <c r="F62" i="89"/>
  <c r="L61" i="89"/>
  <c r="K61" i="89"/>
  <c r="J61" i="89"/>
  <c r="I61" i="89"/>
  <c r="H61" i="89"/>
  <c r="G61" i="89"/>
  <c r="F61" i="89"/>
  <c r="L60" i="89"/>
  <c r="K60" i="89"/>
  <c r="J60" i="89"/>
  <c r="I60" i="89"/>
  <c r="H60" i="89"/>
  <c r="G60" i="89"/>
  <c r="F60" i="89"/>
  <c r="L59" i="89"/>
  <c r="K59" i="89"/>
  <c r="J59" i="89"/>
  <c r="I59" i="89"/>
  <c r="H59" i="89"/>
  <c r="G59" i="89"/>
  <c r="F59" i="89"/>
  <c r="L58" i="89"/>
  <c r="K58" i="89"/>
  <c r="J58" i="89"/>
  <c r="I58" i="89"/>
  <c r="H58" i="89"/>
  <c r="G58" i="89"/>
  <c r="F58" i="89"/>
  <c r="L57" i="89"/>
  <c r="K57" i="89"/>
  <c r="J57" i="89"/>
  <c r="I57" i="89"/>
  <c r="H57" i="89"/>
  <c r="G57" i="89"/>
  <c r="F57" i="89"/>
  <c r="Q46" i="89"/>
  <c r="P46" i="89"/>
  <c r="O46" i="89"/>
  <c r="N46" i="89"/>
  <c r="M46" i="89"/>
  <c r="L46" i="89"/>
  <c r="K46" i="89"/>
  <c r="J46" i="89"/>
  <c r="I46" i="89"/>
  <c r="H46" i="89"/>
  <c r="G46" i="89"/>
  <c r="F46" i="89"/>
  <c r="E46" i="89"/>
  <c r="D46" i="89"/>
  <c r="C46" i="89"/>
  <c r="B46" i="89"/>
  <c r="Q45" i="89"/>
  <c r="P45" i="89"/>
  <c r="O45" i="89"/>
  <c r="N45" i="89"/>
  <c r="M45" i="89"/>
  <c r="L45" i="89"/>
  <c r="K45" i="89"/>
  <c r="J45" i="89"/>
  <c r="I45" i="89"/>
  <c r="H45" i="89"/>
  <c r="G45" i="89"/>
  <c r="F45" i="89"/>
  <c r="E45" i="89"/>
  <c r="D45" i="89"/>
  <c r="C45" i="89"/>
  <c r="B45" i="89"/>
  <c r="Q44" i="89"/>
  <c r="P44" i="89"/>
  <c r="O44" i="89"/>
  <c r="N44" i="89"/>
  <c r="M44" i="89"/>
  <c r="L44" i="89"/>
  <c r="K44" i="89"/>
  <c r="J44" i="89"/>
  <c r="I44" i="89"/>
  <c r="H44" i="89"/>
  <c r="G44" i="89"/>
  <c r="F44" i="89"/>
  <c r="E44" i="89"/>
  <c r="D44" i="89"/>
  <c r="C44" i="89"/>
  <c r="B44" i="89"/>
  <c r="Q43" i="89"/>
  <c r="P43" i="89"/>
  <c r="O43" i="89"/>
  <c r="N43" i="89"/>
  <c r="M43" i="89"/>
  <c r="L43" i="89"/>
  <c r="K43" i="89"/>
  <c r="J43" i="89"/>
  <c r="I43" i="89"/>
  <c r="H43" i="89"/>
  <c r="G43" i="89"/>
  <c r="F43" i="89"/>
  <c r="E43" i="89"/>
  <c r="D43" i="89"/>
  <c r="C43" i="89"/>
  <c r="B43" i="89"/>
  <c r="Q42" i="89"/>
  <c r="P42" i="89"/>
  <c r="O42" i="89"/>
  <c r="N42" i="89"/>
  <c r="M42" i="89"/>
  <c r="L42" i="89"/>
  <c r="K42" i="89"/>
  <c r="J42" i="89"/>
  <c r="I42" i="89"/>
  <c r="H42" i="89"/>
  <c r="G42" i="89"/>
  <c r="F42" i="89"/>
  <c r="E42" i="89"/>
  <c r="D42" i="89"/>
  <c r="C42" i="89"/>
  <c r="B42" i="89"/>
  <c r="Q41" i="89"/>
  <c r="P41" i="89"/>
  <c r="O41" i="89"/>
  <c r="N41" i="89"/>
  <c r="M41" i="89"/>
  <c r="L41" i="89"/>
  <c r="K41" i="89"/>
  <c r="J41" i="89"/>
  <c r="I41" i="89"/>
  <c r="H41" i="89"/>
  <c r="G41" i="89"/>
  <c r="F41" i="89"/>
  <c r="E41" i="89"/>
  <c r="D41" i="89"/>
  <c r="C41" i="89"/>
  <c r="B41" i="89"/>
  <c r="Q40" i="89"/>
  <c r="P40" i="89"/>
  <c r="O40" i="89"/>
  <c r="N40" i="89"/>
  <c r="M40" i="89"/>
  <c r="L40" i="89"/>
  <c r="K40" i="89"/>
  <c r="J40" i="89"/>
  <c r="I40" i="89"/>
  <c r="H40" i="89"/>
  <c r="G40" i="89"/>
  <c r="F40" i="89"/>
  <c r="E40" i="89"/>
  <c r="D40" i="89"/>
  <c r="C40" i="89"/>
  <c r="B40" i="89"/>
  <c r="Q39" i="89"/>
  <c r="P39" i="89"/>
  <c r="O39" i="89"/>
  <c r="N39" i="89"/>
  <c r="M39" i="89"/>
  <c r="L39" i="89"/>
  <c r="K39" i="89"/>
  <c r="J39" i="89"/>
  <c r="I39" i="89"/>
  <c r="H39" i="89"/>
  <c r="G39" i="89"/>
  <c r="F39" i="89"/>
  <c r="E39" i="89"/>
  <c r="D39" i="89"/>
  <c r="C39" i="89"/>
  <c r="B39" i="89"/>
  <c r="Q38" i="89"/>
  <c r="P38" i="89"/>
  <c r="O38" i="89"/>
  <c r="N38" i="89"/>
  <c r="M38" i="89"/>
  <c r="L38" i="89"/>
  <c r="K38" i="89"/>
  <c r="J38" i="89"/>
  <c r="I38" i="89"/>
  <c r="H38" i="89"/>
  <c r="G38" i="89"/>
  <c r="F38" i="89"/>
  <c r="E38" i="89"/>
  <c r="D38" i="89"/>
  <c r="C38" i="89"/>
  <c r="B38" i="89"/>
  <c r="Q37" i="89"/>
  <c r="P37" i="89"/>
  <c r="O37" i="89"/>
  <c r="N37" i="89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P36" i="89"/>
  <c r="O36" i="89"/>
  <c r="N36" i="89"/>
  <c r="M36" i="89"/>
  <c r="L36" i="89"/>
  <c r="K36" i="89"/>
  <c r="J36" i="89"/>
  <c r="I36" i="89"/>
  <c r="H36" i="89"/>
  <c r="G36" i="89"/>
  <c r="F36" i="89"/>
  <c r="E36" i="89"/>
  <c r="D36" i="89"/>
  <c r="C36" i="89"/>
  <c r="B36" i="89"/>
  <c r="Q35" i="89"/>
  <c r="P35" i="89"/>
  <c r="O35" i="89"/>
  <c r="N35" i="89"/>
  <c r="M35" i="89"/>
  <c r="L35" i="89"/>
  <c r="K35" i="89"/>
  <c r="J35" i="89"/>
  <c r="I35" i="89"/>
  <c r="H35" i="89"/>
  <c r="G35" i="89"/>
  <c r="F35" i="89"/>
  <c r="E35" i="89"/>
  <c r="D35" i="89"/>
  <c r="C35" i="89"/>
  <c r="B35" i="89"/>
  <c r="Q34" i="89"/>
  <c r="P34" i="89"/>
  <c r="O34" i="89"/>
  <c r="N34" i="89"/>
  <c r="M34" i="89"/>
  <c r="L34" i="89"/>
  <c r="K34" i="89"/>
  <c r="J34" i="89"/>
  <c r="I34" i="89"/>
  <c r="H34" i="89"/>
  <c r="G34" i="89"/>
  <c r="F34" i="89"/>
  <c r="E34" i="89"/>
  <c r="D34" i="89"/>
  <c r="C34" i="89"/>
  <c r="B34" i="89"/>
  <c r="Q33" i="89"/>
  <c r="P33" i="89"/>
  <c r="O33" i="89"/>
  <c r="N33" i="89"/>
  <c r="M33" i="89"/>
  <c r="L33" i="89"/>
  <c r="K33" i="89"/>
  <c r="J33" i="89"/>
  <c r="I33" i="89"/>
  <c r="H33" i="89"/>
  <c r="G33" i="89"/>
  <c r="F33" i="89"/>
  <c r="E33" i="89"/>
  <c r="D33" i="89"/>
  <c r="C33" i="89"/>
  <c r="B33" i="89"/>
  <c r="Q32" i="89"/>
  <c r="P32" i="89"/>
  <c r="O32" i="89"/>
  <c r="N32" i="89"/>
  <c r="M32" i="89"/>
  <c r="L32" i="89"/>
  <c r="K32" i="89"/>
  <c r="J32" i="89"/>
  <c r="I32" i="89"/>
  <c r="H32" i="89"/>
  <c r="G32" i="89"/>
  <c r="F32" i="89"/>
  <c r="E32" i="89"/>
  <c r="D32" i="89"/>
  <c r="C32" i="89"/>
  <c r="B32" i="89"/>
  <c r="Q31" i="89"/>
  <c r="P31" i="89"/>
  <c r="O31" i="89"/>
  <c r="N31" i="89"/>
  <c r="M31" i="89"/>
  <c r="L31" i="89"/>
  <c r="K31" i="89"/>
  <c r="J31" i="89"/>
  <c r="I31" i="89"/>
  <c r="H31" i="89"/>
  <c r="G31" i="89"/>
  <c r="F31" i="89"/>
  <c r="E31" i="89"/>
  <c r="D31" i="89"/>
  <c r="C31" i="89"/>
  <c r="B31" i="89"/>
  <c r="Q30" i="89"/>
  <c r="P30" i="89"/>
  <c r="O30" i="89"/>
  <c r="N30" i="89"/>
  <c r="M30" i="89"/>
  <c r="L30" i="89"/>
  <c r="K30" i="89"/>
  <c r="J30" i="89"/>
  <c r="I30" i="89"/>
  <c r="H30" i="89"/>
  <c r="G30" i="89"/>
  <c r="F30" i="89"/>
  <c r="E30" i="89"/>
  <c r="D30" i="89"/>
  <c r="C30" i="89"/>
  <c r="B30" i="89"/>
  <c r="Q20" i="89"/>
  <c r="P20" i="89"/>
  <c r="O20" i="89"/>
  <c r="N20" i="89"/>
  <c r="M20" i="89"/>
  <c r="L20" i="89"/>
  <c r="K20" i="89"/>
  <c r="J20" i="89"/>
  <c r="I20" i="89"/>
  <c r="H20" i="89"/>
  <c r="G20" i="89"/>
  <c r="F20" i="89"/>
  <c r="E20" i="89"/>
  <c r="D20" i="89"/>
  <c r="C20" i="89"/>
  <c r="B20" i="89"/>
  <c r="Q19" i="89"/>
  <c r="P19" i="89"/>
  <c r="O19" i="89"/>
  <c r="N19" i="89"/>
  <c r="M19" i="89"/>
  <c r="L19" i="89"/>
  <c r="K19" i="89"/>
  <c r="J19" i="89"/>
  <c r="I19" i="89"/>
  <c r="H19" i="89"/>
  <c r="G19" i="89"/>
  <c r="F19" i="89"/>
  <c r="E19" i="89"/>
  <c r="D19" i="89"/>
  <c r="C19" i="89"/>
  <c r="B19" i="89"/>
  <c r="Q18" i="89"/>
  <c r="P18" i="89"/>
  <c r="O18" i="89"/>
  <c r="N18" i="89"/>
  <c r="M18" i="89"/>
  <c r="L18" i="89"/>
  <c r="K18" i="89"/>
  <c r="J18" i="89"/>
  <c r="I18" i="89"/>
  <c r="H18" i="89"/>
  <c r="G18" i="89"/>
  <c r="F18" i="89"/>
  <c r="E18" i="89"/>
  <c r="D18" i="89"/>
  <c r="C18" i="89"/>
  <c r="B18" i="89"/>
  <c r="Q17" i="89"/>
  <c r="P17" i="89"/>
  <c r="O17" i="89"/>
  <c r="N17" i="89"/>
  <c r="M17" i="89"/>
  <c r="L17" i="89"/>
  <c r="K17" i="89"/>
  <c r="J17" i="89"/>
  <c r="I17" i="89"/>
  <c r="H17" i="89"/>
  <c r="G17" i="89"/>
  <c r="F17" i="89"/>
  <c r="E17" i="89"/>
  <c r="D17" i="89"/>
  <c r="C17" i="89"/>
  <c r="B17" i="89"/>
  <c r="Q16" i="89"/>
  <c r="P16" i="89"/>
  <c r="O16" i="89"/>
  <c r="N16" i="89"/>
  <c r="M16" i="89"/>
  <c r="L16" i="89"/>
  <c r="K16" i="89"/>
  <c r="J16" i="89"/>
  <c r="I16" i="89"/>
  <c r="H16" i="89"/>
  <c r="G16" i="89"/>
  <c r="F16" i="89"/>
  <c r="E16" i="89"/>
  <c r="D16" i="89"/>
  <c r="C16" i="89"/>
  <c r="B16" i="89"/>
  <c r="Q15" i="89"/>
  <c r="P15" i="89"/>
  <c r="O15" i="89"/>
  <c r="N15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Q14" i="89"/>
  <c r="P14" i="89"/>
  <c r="O14" i="89"/>
  <c r="N14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Q13" i="89"/>
  <c r="P13" i="89"/>
  <c r="O13" i="89"/>
  <c r="N13" i="89"/>
  <c r="M13" i="89"/>
  <c r="L13" i="89"/>
  <c r="K13" i="89"/>
  <c r="J13" i="89"/>
  <c r="I13" i="89"/>
  <c r="H13" i="89"/>
  <c r="G13" i="89"/>
  <c r="F13" i="89"/>
  <c r="E13" i="89"/>
  <c r="D13" i="89"/>
  <c r="C13" i="89"/>
  <c r="B13" i="89"/>
  <c r="Q12" i="89"/>
  <c r="P12" i="89"/>
  <c r="O12" i="89"/>
  <c r="N12" i="89"/>
  <c r="M12" i="89"/>
  <c r="L12" i="89"/>
  <c r="K12" i="89"/>
  <c r="J12" i="89"/>
  <c r="I12" i="89"/>
  <c r="H12" i="89"/>
  <c r="G12" i="89"/>
  <c r="F12" i="89"/>
  <c r="E12" i="89"/>
  <c r="D12" i="89"/>
  <c r="C12" i="89"/>
  <c r="B12" i="89"/>
  <c r="Q11" i="89"/>
  <c r="P11" i="89"/>
  <c r="O11" i="89"/>
  <c r="N11" i="89"/>
  <c r="M11" i="89"/>
  <c r="L11" i="89"/>
  <c r="K11" i="89"/>
  <c r="J11" i="89"/>
  <c r="I11" i="89"/>
  <c r="H11" i="89"/>
  <c r="G11" i="89"/>
  <c r="F11" i="89"/>
  <c r="E11" i="89"/>
  <c r="D11" i="89"/>
  <c r="C11" i="89"/>
  <c r="B11" i="89"/>
  <c r="Q10" i="89"/>
  <c r="P10" i="89"/>
  <c r="O10" i="89"/>
  <c r="N10" i="89"/>
  <c r="M10" i="89"/>
  <c r="L10" i="89"/>
  <c r="K10" i="89"/>
  <c r="J10" i="89"/>
  <c r="I10" i="89"/>
  <c r="H10" i="89"/>
  <c r="G10" i="89"/>
  <c r="F10" i="89"/>
  <c r="E10" i="89"/>
  <c r="D10" i="89"/>
  <c r="C10" i="89"/>
  <c r="B10" i="89"/>
  <c r="B76" i="90" l="1"/>
  <c r="J57" i="90"/>
  <c r="K25" i="90"/>
  <c r="C127" i="88"/>
  <c r="B127" i="88"/>
  <c r="C126" i="88"/>
  <c r="B126" i="88"/>
  <c r="C125" i="88"/>
  <c r="B125" i="88"/>
  <c r="C124" i="88"/>
  <c r="B124" i="88"/>
  <c r="C123" i="88"/>
  <c r="B123" i="88"/>
  <c r="C122" i="88"/>
  <c r="B122" i="88"/>
  <c r="C121" i="88"/>
  <c r="B121" i="88"/>
  <c r="C120" i="88"/>
  <c r="B120" i="88"/>
  <c r="C119" i="88"/>
  <c r="B119" i="88"/>
  <c r="C114" i="88"/>
  <c r="B114" i="88"/>
  <c r="C113" i="88"/>
  <c r="B113" i="88"/>
  <c r="J113" i="88" s="1"/>
  <c r="C112" i="88"/>
  <c r="B112" i="88"/>
  <c r="C111" i="88"/>
  <c r="J111" i="88" s="1"/>
  <c r="B111" i="88"/>
  <c r="C110" i="88"/>
  <c r="B110" i="88"/>
  <c r="C109" i="88"/>
  <c r="B109" i="88"/>
  <c r="J109" i="88" s="1"/>
  <c r="C108" i="88"/>
  <c r="B108" i="88"/>
  <c r="C107" i="88"/>
  <c r="B107" i="88"/>
  <c r="C106" i="88"/>
  <c r="B106" i="88"/>
  <c r="C105" i="88"/>
  <c r="B105" i="88"/>
  <c r="J105" i="88" s="1"/>
  <c r="C104" i="88"/>
  <c r="B104" i="88"/>
  <c r="J104" i="88" s="1"/>
  <c r="C103" i="88"/>
  <c r="B103" i="88"/>
  <c r="C102" i="88"/>
  <c r="B102" i="88"/>
  <c r="J102" i="88" s="1"/>
  <c r="C101" i="88"/>
  <c r="B101" i="88"/>
  <c r="C100" i="88"/>
  <c r="B100" i="88"/>
  <c r="J100" i="88" s="1"/>
  <c r="C99" i="88"/>
  <c r="B99" i="88"/>
  <c r="J99" i="88" s="1"/>
  <c r="C98" i="88"/>
  <c r="B98" i="88"/>
  <c r="J98" i="88" s="1"/>
  <c r="C93" i="88"/>
  <c r="H92" i="88"/>
  <c r="G92" i="88"/>
  <c r="F92" i="88"/>
  <c r="E92" i="88"/>
  <c r="D92" i="88"/>
  <c r="C92" i="88"/>
  <c r="B92" i="88"/>
  <c r="J92" i="88" s="1"/>
  <c r="H91" i="88"/>
  <c r="H93" i="88" s="1"/>
  <c r="G91" i="88"/>
  <c r="F91" i="88"/>
  <c r="F93" i="88" s="1"/>
  <c r="E91" i="88"/>
  <c r="E93" i="88" s="1"/>
  <c r="D91" i="88"/>
  <c r="C91" i="88"/>
  <c r="I92" i="88" s="1"/>
  <c r="B91" i="88"/>
  <c r="B93" i="88" s="1"/>
  <c r="J93" i="88" s="1"/>
  <c r="F87" i="88"/>
  <c r="E87" i="88"/>
  <c r="D87" i="88"/>
  <c r="C87" i="88"/>
  <c r="B87" i="88"/>
  <c r="F86" i="88"/>
  <c r="E86" i="88"/>
  <c r="D86" i="88"/>
  <c r="C86" i="88"/>
  <c r="B86" i="88"/>
  <c r="F82" i="88"/>
  <c r="E82" i="88"/>
  <c r="D82" i="88"/>
  <c r="C82" i="88"/>
  <c r="B82" i="88"/>
  <c r="F81" i="88"/>
  <c r="E81" i="88"/>
  <c r="D81" i="88"/>
  <c r="C81" i="88"/>
  <c r="B81" i="88"/>
  <c r="H73" i="88"/>
  <c r="G73" i="88"/>
  <c r="F73" i="88"/>
  <c r="E73" i="88"/>
  <c r="D73" i="88"/>
  <c r="C73" i="88"/>
  <c r="J73" i="88" s="1"/>
  <c r="B73" i="88"/>
  <c r="H72" i="88"/>
  <c r="G72" i="88"/>
  <c r="F72" i="88"/>
  <c r="E72" i="88"/>
  <c r="D72" i="88"/>
  <c r="C72" i="88"/>
  <c r="B72" i="88"/>
  <c r="J72" i="88" s="1"/>
  <c r="H71" i="88"/>
  <c r="G71" i="88"/>
  <c r="F71" i="88"/>
  <c r="E71" i="88"/>
  <c r="D71" i="88"/>
  <c r="C71" i="88"/>
  <c r="B71" i="88"/>
  <c r="J71" i="88" s="1"/>
  <c r="H70" i="88"/>
  <c r="G70" i="88"/>
  <c r="F70" i="88"/>
  <c r="E70" i="88"/>
  <c r="D70" i="88"/>
  <c r="C70" i="88"/>
  <c r="B70" i="88"/>
  <c r="H69" i="88"/>
  <c r="G69" i="88"/>
  <c r="F69" i="88"/>
  <c r="E69" i="88"/>
  <c r="D69" i="88"/>
  <c r="C69" i="88"/>
  <c r="B69" i="88"/>
  <c r="H67" i="88"/>
  <c r="G67" i="88"/>
  <c r="F67" i="88"/>
  <c r="E67" i="88"/>
  <c r="D67" i="88"/>
  <c r="C67" i="88"/>
  <c r="B67" i="88"/>
  <c r="H66" i="88"/>
  <c r="G66" i="88"/>
  <c r="F66" i="88"/>
  <c r="E66" i="88"/>
  <c r="E68" i="88" s="1"/>
  <c r="D66" i="88"/>
  <c r="C66" i="88"/>
  <c r="B66" i="88"/>
  <c r="H65" i="88"/>
  <c r="G65" i="88"/>
  <c r="G68" i="88" s="1"/>
  <c r="G74" i="88" s="1"/>
  <c r="F65" i="88"/>
  <c r="F68" i="88" s="1"/>
  <c r="E65" i="88"/>
  <c r="D65" i="88"/>
  <c r="D68" i="88" s="1"/>
  <c r="D74" i="88" s="1"/>
  <c r="C65" i="88"/>
  <c r="I70" i="88" s="1"/>
  <c r="B65" i="88"/>
  <c r="H56" i="88"/>
  <c r="G56" i="88"/>
  <c r="F56" i="88"/>
  <c r="E56" i="88"/>
  <c r="D56" i="88"/>
  <c r="C56" i="88"/>
  <c r="B56" i="88"/>
  <c r="J56" i="88" s="1"/>
  <c r="C53" i="88"/>
  <c r="B53" i="88"/>
  <c r="J53" i="88" s="1"/>
  <c r="C52" i="88"/>
  <c r="B52" i="88"/>
  <c r="C51" i="88"/>
  <c r="B51" i="88"/>
  <c r="J51" i="88" s="1"/>
  <c r="J50" i="88"/>
  <c r="C50" i="88"/>
  <c r="B50" i="88"/>
  <c r="C49" i="88"/>
  <c r="B49" i="88"/>
  <c r="C48" i="88"/>
  <c r="B48" i="88"/>
  <c r="J48" i="88" s="1"/>
  <c r="C47" i="88"/>
  <c r="B47" i="88"/>
  <c r="C46" i="88"/>
  <c r="B46" i="88"/>
  <c r="J46" i="88" s="1"/>
  <c r="C45" i="88"/>
  <c r="B45" i="88"/>
  <c r="C44" i="88"/>
  <c r="B44" i="88"/>
  <c r="C43" i="88"/>
  <c r="B43" i="88"/>
  <c r="C42" i="88"/>
  <c r="B42" i="88"/>
  <c r="J42" i="88" s="1"/>
  <c r="C41" i="88"/>
  <c r="B41" i="88"/>
  <c r="C40" i="88"/>
  <c r="B40" i="88"/>
  <c r="J40" i="88" s="1"/>
  <c r="C39" i="88"/>
  <c r="B39" i="88"/>
  <c r="C38" i="88"/>
  <c r="B38" i="88"/>
  <c r="J38" i="88" s="1"/>
  <c r="C37" i="88"/>
  <c r="B37" i="88"/>
  <c r="C36" i="88"/>
  <c r="B36" i="88"/>
  <c r="J36" i="88" s="1"/>
  <c r="C35" i="88"/>
  <c r="B35" i="88"/>
  <c r="C34" i="88"/>
  <c r="B34" i="88"/>
  <c r="J34" i="88" s="1"/>
  <c r="C33" i="88"/>
  <c r="B33" i="88"/>
  <c r="C32" i="88"/>
  <c r="B32" i="88"/>
  <c r="J32" i="88" s="1"/>
  <c r="C31" i="88"/>
  <c r="B31" i="88"/>
  <c r="J30" i="88"/>
  <c r="C30" i="88"/>
  <c r="B30" i="88"/>
  <c r="C29" i="88"/>
  <c r="B29" i="88"/>
  <c r="J29" i="88" s="1"/>
  <c r="C28" i="88"/>
  <c r="C27" i="88" s="1"/>
  <c r="C26" i="88" s="1"/>
  <c r="C7" i="88" s="1"/>
  <c r="B28" i="88"/>
  <c r="H24" i="88"/>
  <c r="G24" i="88"/>
  <c r="F24" i="88"/>
  <c r="E24" i="88"/>
  <c r="D24" i="88"/>
  <c r="C24" i="88"/>
  <c r="B24" i="88"/>
  <c r="H23" i="88"/>
  <c r="G23" i="88"/>
  <c r="F23" i="88"/>
  <c r="E23" i="88"/>
  <c r="D23" i="88"/>
  <c r="C23" i="88"/>
  <c r="B23" i="88"/>
  <c r="J23" i="88" s="1"/>
  <c r="H22" i="88"/>
  <c r="G22" i="88"/>
  <c r="F22" i="88"/>
  <c r="E22" i="88"/>
  <c r="D22" i="88"/>
  <c r="C22" i="88"/>
  <c r="B22" i="88"/>
  <c r="J22" i="88" s="1"/>
  <c r="H21" i="88"/>
  <c r="G21" i="88"/>
  <c r="F21" i="88"/>
  <c r="E21" i="88"/>
  <c r="D21" i="88"/>
  <c r="C21" i="88"/>
  <c r="B21" i="88"/>
  <c r="J21" i="88" s="1"/>
  <c r="H20" i="88"/>
  <c r="G20" i="88"/>
  <c r="F20" i="88"/>
  <c r="E20" i="88"/>
  <c r="D20" i="88"/>
  <c r="C20" i="88"/>
  <c r="B20" i="88"/>
  <c r="J20" i="88" s="1"/>
  <c r="H19" i="88"/>
  <c r="G19" i="88"/>
  <c r="F19" i="88"/>
  <c r="E19" i="88"/>
  <c r="D19" i="88"/>
  <c r="C19" i="88"/>
  <c r="B19" i="88"/>
  <c r="J19" i="88" s="1"/>
  <c r="H18" i="88"/>
  <c r="G18" i="88"/>
  <c r="F18" i="88"/>
  <c r="E18" i="88"/>
  <c r="D18" i="88"/>
  <c r="C18" i="88"/>
  <c r="B18" i="88"/>
  <c r="H17" i="88"/>
  <c r="G17" i="88"/>
  <c r="F17" i="88"/>
  <c r="E17" i="88"/>
  <c r="D17" i="88"/>
  <c r="C17" i="88"/>
  <c r="B17" i="88"/>
  <c r="H16" i="88"/>
  <c r="G16" i="88"/>
  <c r="F16" i="88"/>
  <c r="E16" i="88"/>
  <c r="D16" i="88"/>
  <c r="C16" i="88"/>
  <c r="B16" i="88"/>
  <c r="H15" i="88"/>
  <c r="G15" i="88"/>
  <c r="F15" i="88"/>
  <c r="E15" i="88"/>
  <c r="D15" i="88"/>
  <c r="C15" i="88"/>
  <c r="B15" i="88"/>
  <c r="H14" i="88"/>
  <c r="G14" i="88"/>
  <c r="F14" i="88"/>
  <c r="E14" i="88"/>
  <c r="D14" i="88"/>
  <c r="C14" i="88"/>
  <c r="B14" i="88"/>
  <c r="H13" i="88"/>
  <c r="G13" i="88"/>
  <c r="F13" i="88"/>
  <c r="E13" i="88"/>
  <c r="D13" i="88"/>
  <c r="C13" i="88"/>
  <c r="B13" i="88"/>
  <c r="H12" i="88"/>
  <c r="G12" i="88"/>
  <c r="F12" i="88"/>
  <c r="E12" i="88"/>
  <c r="D12" i="88"/>
  <c r="C12" i="88"/>
  <c r="B12" i="88"/>
  <c r="H11" i="88"/>
  <c r="G11" i="88"/>
  <c r="F11" i="88"/>
  <c r="E11" i="88"/>
  <c r="D11" i="88"/>
  <c r="C11" i="88"/>
  <c r="B11" i="88"/>
  <c r="J11" i="88" s="1"/>
  <c r="H10" i="88"/>
  <c r="G10" i="88"/>
  <c r="F10" i="88"/>
  <c r="E10" i="88"/>
  <c r="D10" i="88"/>
  <c r="C10" i="88"/>
  <c r="B10" i="88"/>
  <c r="H9" i="88"/>
  <c r="G9" i="88"/>
  <c r="F9" i="88"/>
  <c r="E9" i="88"/>
  <c r="D9" i="88"/>
  <c r="C9" i="88"/>
  <c r="B9" i="88"/>
  <c r="H8" i="88"/>
  <c r="G8" i="88"/>
  <c r="F8" i="88"/>
  <c r="E8" i="88"/>
  <c r="D8" i="88"/>
  <c r="C8" i="88"/>
  <c r="B8" i="88"/>
  <c r="H6" i="88"/>
  <c r="H55" i="88" s="1"/>
  <c r="G6" i="88"/>
  <c r="G7" i="88" s="1"/>
  <c r="F6" i="88"/>
  <c r="F7" i="88" s="1"/>
  <c r="E6" i="88"/>
  <c r="E7" i="88" s="1"/>
  <c r="D6" i="88"/>
  <c r="D7" i="88" s="1"/>
  <c r="C6" i="88"/>
  <c r="B6" i="88"/>
  <c r="B55" i="88" s="1"/>
  <c r="I13" i="88" l="1"/>
  <c r="E25" i="88"/>
  <c r="J35" i="88"/>
  <c r="J39" i="88"/>
  <c r="C55" i="88"/>
  <c r="C57" i="88" s="1"/>
  <c r="I57" i="88" s="1"/>
  <c r="I56" i="88"/>
  <c r="J66" i="88"/>
  <c r="J67" i="88"/>
  <c r="I91" i="88"/>
  <c r="J101" i="88"/>
  <c r="I21" i="88"/>
  <c r="I23" i="88"/>
  <c r="J44" i="88"/>
  <c r="E74" i="88"/>
  <c r="D93" i="88"/>
  <c r="H7" i="88"/>
  <c r="H25" i="88" s="1"/>
  <c r="I10" i="88"/>
  <c r="I16" i="88"/>
  <c r="I17" i="88"/>
  <c r="I22" i="88"/>
  <c r="J37" i="88"/>
  <c r="J41" i="88"/>
  <c r="J45" i="88"/>
  <c r="J52" i="88"/>
  <c r="I20" i="88"/>
  <c r="I9" i="88"/>
  <c r="J16" i="88"/>
  <c r="J17" i="88"/>
  <c r="J18" i="88"/>
  <c r="F74" i="88"/>
  <c r="I71" i="88"/>
  <c r="I66" i="88"/>
  <c r="J108" i="88"/>
  <c r="J112" i="88"/>
  <c r="I19" i="88"/>
  <c r="G93" i="88"/>
  <c r="I114" i="88"/>
  <c r="I6" i="88"/>
  <c r="G25" i="88"/>
  <c r="I12" i="88"/>
  <c r="J15" i="88"/>
  <c r="I18" i="88"/>
  <c r="J33" i="88"/>
  <c r="J49" i="88"/>
  <c r="J65" i="88"/>
  <c r="J70" i="88"/>
  <c r="I72" i="88"/>
  <c r="F25" i="88"/>
  <c r="G55" i="88"/>
  <c r="G57" i="88" s="1"/>
  <c r="H68" i="88"/>
  <c r="H74" i="88" s="1"/>
  <c r="H57" i="88"/>
  <c r="J12" i="88"/>
  <c r="J13" i="88"/>
  <c r="J14" i="88"/>
  <c r="I15" i="88"/>
  <c r="J43" i="88"/>
  <c r="J69" i="88"/>
  <c r="J103" i="88"/>
  <c r="J110" i="88"/>
  <c r="I108" i="88"/>
  <c r="I55" i="88"/>
  <c r="I8" i="88"/>
  <c r="I14" i="88"/>
  <c r="I24" i="88"/>
  <c r="D25" i="88"/>
  <c r="J8" i="88"/>
  <c r="J9" i="88"/>
  <c r="J10" i="88"/>
  <c r="I11" i="88"/>
  <c r="J24" i="88"/>
  <c r="B27" i="88"/>
  <c r="J27" i="88" s="1"/>
  <c r="J31" i="88"/>
  <c r="J47" i="88"/>
  <c r="I93" i="88"/>
  <c r="J114" i="88"/>
  <c r="J28" i="88"/>
  <c r="E55" i="88"/>
  <c r="E57" i="88" s="1"/>
  <c r="K18" i="88"/>
  <c r="K10" i="88"/>
  <c r="I7" i="88"/>
  <c r="C25" i="88"/>
  <c r="I25" i="88" s="1"/>
  <c r="K21" i="88"/>
  <c r="K17" i="88"/>
  <c r="K13" i="88"/>
  <c r="K9" i="88"/>
  <c r="K24" i="88"/>
  <c r="K16" i="88"/>
  <c r="K12" i="88"/>
  <c r="K23" i="88"/>
  <c r="K15" i="88"/>
  <c r="K7" i="88"/>
  <c r="K20" i="88"/>
  <c r="K8" i="88"/>
  <c r="K22" i="88"/>
  <c r="K14" i="88"/>
  <c r="K19" i="88"/>
  <c r="K11" i="88"/>
  <c r="J55" i="88"/>
  <c r="B57" i="88"/>
  <c r="J6" i="88"/>
  <c r="I26" i="88"/>
  <c r="I28" i="88"/>
  <c r="I30" i="88"/>
  <c r="I32" i="88"/>
  <c r="I34" i="88"/>
  <c r="I36" i="88"/>
  <c r="I38" i="88"/>
  <c r="I40" i="88"/>
  <c r="I42" i="88"/>
  <c r="I44" i="88"/>
  <c r="I46" i="88"/>
  <c r="I48" i="88"/>
  <c r="I50" i="88"/>
  <c r="I52" i="88"/>
  <c r="D55" i="88"/>
  <c r="D57" i="88" s="1"/>
  <c r="I65" i="88"/>
  <c r="I73" i="88"/>
  <c r="I98" i="88"/>
  <c r="I100" i="88"/>
  <c r="I102" i="88"/>
  <c r="I104" i="88"/>
  <c r="I109" i="88"/>
  <c r="I111" i="88"/>
  <c r="I113" i="88"/>
  <c r="F55" i="88"/>
  <c r="F57" i="88" s="1"/>
  <c r="I67" i="88"/>
  <c r="B75" i="88"/>
  <c r="J91" i="88"/>
  <c r="I27" i="88"/>
  <c r="I29" i="88"/>
  <c r="I31" i="88"/>
  <c r="I33" i="88"/>
  <c r="I35" i="88"/>
  <c r="I37" i="88"/>
  <c r="I39" i="88"/>
  <c r="I41" i="88"/>
  <c r="I43" i="88"/>
  <c r="I45" i="88"/>
  <c r="I47" i="88"/>
  <c r="I49" i="88"/>
  <c r="I51" i="88"/>
  <c r="I53" i="88"/>
  <c r="B68" i="88"/>
  <c r="I69" i="88"/>
  <c r="C75" i="88"/>
  <c r="I99" i="88"/>
  <c r="I101" i="88"/>
  <c r="I103" i="88"/>
  <c r="I105" i="88"/>
  <c r="I110" i="88"/>
  <c r="I112" i="88"/>
  <c r="C68" i="88"/>
  <c r="C74" i="88" s="1"/>
  <c r="I74" i="88" s="1"/>
  <c r="B26" i="88" l="1"/>
  <c r="J26" i="88" s="1"/>
  <c r="I68" i="88"/>
  <c r="B7" i="88"/>
  <c r="B25" i="88" s="1"/>
  <c r="J25" i="88" s="1"/>
  <c r="C76" i="88"/>
  <c r="J7" i="88"/>
  <c r="J68" i="88"/>
  <c r="B74" i="88"/>
  <c r="J74" i="88" s="1"/>
  <c r="B76" i="88"/>
  <c r="J57" i="88"/>
  <c r="K25" i="88"/>
  <c r="L63" i="87" l="1"/>
  <c r="K63" i="87"/>
  <c r="J63" i="87"/>
  <c r="I63" i="87"/>
  <c r="H63" i="87"/>
  <c r="G63" i="87"/>
  <c r="F63" i="87"/>
  <c r="L62" i="87"/>
  <c r="K62" i="87"/>
  <c r="J62" i="87"/>
  <c r="I62" i="87"/>
  <c r="H62" i="87"/>
  <c r="G62" i="87"/>
  <c r="F62" i="87"/>
  <c r="L61" i="87"/>
  <c r="K61" i="87"/>
  <c r="J61" i="87"/>
  <c r="I61" i="87"/>
  <c r="H61" i="87"/>
  <c r="G61" i="87"/>
  <c r="F61" i="87"/>
  <c r="L60" i="87"/>
  <c r="K60" i="87"/>
  <c r="J60" i="87"/>
  <c r="I60" i="87"/>
  <c r="H60" i="87"/>
  <c r="G60" i="87"/>
  <c r="F60" i="87"/>
  <c r="L59" i="87"/>
  <c r="K59" i="87"/>
  <c r="J59" i="87"/>
  <c r="I59" i="87"/>
  <c r="H59" i="87"/>
  <c r="G59" i="87"/>
  <c r="F59" i="87"/>
  <c r="L58" i="87"/>
  <c r="K58" i="87"/>
  <c r="J58" i="87"/>
  <c r="I58" i="87"/>
  <c r="H58" i="87"/>
  <c r="G58" i="87"/>
  <c r="F58" i="87"/>
  <c r="L57" i="87"/>
  <c r="K57" i="87"/>
  <c r="J57" i="87"/>
  <c r="I57" i="87"/>
  <c r="H57" i="87"/>
  <c r="G57" i="87"/>
  <c r="F57" i="87"/>
  <c r="Q46" i="87"/>
  <c r="P46" i="87"/>
  <c r="O46" i="87"/>
  <c r="N46" i="87"/>
  <c r="M46" i="87"/>
  <c r="L46" i="87"/>
  <c r="K46" i="87"/>
  <c r="J46" i="87"/>
  <c r="I46" i="87"/>
  <c r="H46" i="87"/>
  <c r="G46" i="87"/>
  <c r="F46" i="87"/>
  <c r="E46" i="87"/>
  <c r="D46" i="87"/>
  <c r="C46" i="87"/>
  <c r="B46" i="87"/>
  <c r="Q45" i="87"/>
  <c r="P45" i="87"/>
  <c r="O45" i="87"/>
  <c r="N45" i="87"/>
  <c r="M45" i="87"/>
  <c r="L45" i="87"/>
  <c r="K45" i="87"/>
  <c r="J45" i="87"/>
  <c r="I45" i="87"/>
  <c r="H45" i="87"/>
  <c r="G45" i="87"/>
  <c r="F45" i="87"/>
  <c r="E45" i="87"/>
  <c r="D45" i="87"/>
  <c r="C45" i="87"/>
  <c r="B45" i="87"/>
  <c r="Q44" i="87"/>
  <c r="P44" i="87"/>
  <c r="O44" i="87"/>
  <c r="N44" i="87"/>
  <c r="M44" i="87"/>
  <c r="L44" i="87"/>
  <c r="K44" i="87"/>
  <c r="J44" i="87"/>
  <c r="I44" i="87"/>
  <c r="H44" i="87"/>
  <c r="G44" i="87"/>
  <c r="F44" i="87"/>
  <c r="E44" i="87"/>
  <c r="D44" i="87"/>
  <c r="C44" i="87"/>
  <c r="B44" i="87"/>
  <c r="Q43" i="87"/>
  <c r="P43" i="87"/>
  <c r="O43" i="87"/>
  <c r="N43" i="87"/>
  <c r="M43" i="87"/>
  <c r="L43" i="87"/>
  <c r="K43" i="87"/>
  <c r="J43" i="87"/>
  <c r="I43" i="87"/>
  <c r="H43" i="87"/>
  <c r="G43" i="87"/>
  <c r="F43" i="87"/>
  <c r="E43" i="87"/>
  <c r="D43" i="87"/>
  <c r="C43" i="87"/>
  <c r="B43" i="87"/>
  <c r="Q42" i="87"/>
  <c r="P42" i="87"/>
  <c r="O42" i="87"/>
  <c r="N42" i="87"/>
  <c r="M42" i="87"/>
  <c r="L42" i="87"/>
  <c r="K42" i="87"/>
  <c r="J42" i="87"/>
  <c r="I42" i="87"/>
  <c r="H42" i="87"/>
  <c r="G42" i="87"/>
  <c r="F42" i="87"/>
  <c r="E42" i="87"/>
  <c r="D42" i="87"/>
  <c r="C42" i="87"/>
  <c r="B42" i="87"/>
  <c r="Q41" i="87"/>
  <c r="P41" i="87"/>
  <c r="O41" i="87"/>
  <c r="N41" i="87"/>
  <c r="M41" i="87"/>
  <c r="L41" i="87"/>
  <c r="K41" i="87"/>
  <c r="J41" i="87"/>
  <c r="I41" i="87"/>
  <c r="H41" i="87"/>
  <c r="G41" i="87"/>
  <c r="F41" i="87"/>
  <c r="E41" i="87"/>
  <c r="D41" i="87"/>
  <c r="C41" i="87"/>
  <c r="B41" i="87"/>
  <c r="Q40" i="87"/>
  <c r="P40" i="87"/>
  <c r="O40" i="87"/>
  <c r="N40" i="87"/>
  <c r="M40" i="87"/>
  <c r="L40" i="87"/>
  <c r="K40" i="87"/>
  <c r="J40" i="87"/>
  <c r="I40" i="87"/>
  <c r="H40" i="87"/>
  <c r="G40" i="87"/>
  <c r="F40" i="87"/>
  <c r="E40" i="87"/>
  <c r="D40" i="87"/>
  <c r="C40" i="87"/>
  <c r="B40" i="87"/>
  <c r="Q39" i="87"/>
  <c r="P39" i="87"/>
  <c r="O39" i="87"/>
  <c r="N39" i="87"/>
  <c r="M39" i="87"/>
  <c r="L39" i="87"/>
  <c r="K39" i="87"/>
  <c r="J39" i="87"/>
  <c r="I39" i="87"/>
  <c r="H39" i="87"/>
  <c r="G39" i="87"/>
  <c r="F39" i="87"/>
  <c r="E39" i="87"/>
  <c r="D39" i="87"/>
  <c r="C39" i="87"/>
  <c r="B39" i="87"/>
  <c r="Q38" i="87"/>
  <c r="P38" i="87"/>
  <c r="O38" i="87"/>
  <c r="N38" i="87"/>
  <c r="M38" i="87"/>
  <c r="L38" i="87"/>
  <c r="K38" i="87"/>
  <c r="J38" i="87"/>
  <c r="I38" i="87"/>
  <c r="H38" i="87"/>
  <c r="G38" i="87"/>
  <c r="F38" i="87"/>
  <c r="E38" i="87"/>
  <c r="D38" i="87"/>
  <c r="C38" i="87"/>
  <c r="B38" i="87"/>
  <c r="Q37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P36" i="87"/>
  <c r="O36" i="87"/>
  <c r="N36" i="87"/>
  <c r="M36" i="87"/>
  <c r="L36" i="87"/>
  <c r="K36" i="87"/>
  <c r="J36" i="87"/>
  <c r="I36" i="87"/>
  <c r="H36" i="87"/>
  <c r="G36" i="87"/>
  <c r="F36" i="87"/>
  <c r="E36" i="87"/>
  <c r="D36" i="87"/>
  <c r="C36" i="87"/>
  <c r="B36" i="87"/>
  <c r="Q35" i="87"/>
  <c r="P35" i="87"/>
  <c r="O35" i="87"/>
  <c r="N35" i="87"/>
  <c r="M35" i="87"/>
  <c r="L35" i="87"/>
  <c r="K35" i="87"/>
  <c r="J35" i="87"/>
  <c r="I35" i="87"/>
  <c r="H35" i="87"/>
  <c r="G35" i="87"/>
  <c r="F35" i="87"/>
  <c r="E35" i="87"/>
  <c r="D35" i="87"/>
  <c r="C35" i="87"/>
  <c r="B35" i="87"/>
  <c r="Q34" i="87"/>
  <c r="P34" i="87"/>
  <c r="O34" i="87"/>
  <c r="N34" i="87"/>
  <c r="M34" i="87"/>
  <c r="L34" i="87"/>
  <c r="K34" i="87"/>
  <c r="J34" i="87"/>
  <c r="I34" i="87"/>
  <c r="H34" i="87"/>
  <c r="G34" i="87"/>
  <c r="F34" i="87"/>
  <c r="E34" i="87"/>
  <c r="D34" i="87"/>
  <c r="C34" i="87"/>
  <c r="B34" i="87"/>
  <c r="Q33" i="87"/>
  <c r="P33" i="87"/>
  <c r="O33" i="87"/>
  <c r="N33" i="87"/>
  <c r="M33" i="87"/>
  <c r="L33" i="87"/>
  <c r="K33" i="87"/>
  <c r="J33" i="87"/>
  <c r="I33" i="87"/>
  <c r="H33" i="87"/>
  <c r="G33" i="87"/>
  <c r="F33" i="87"/>
  <c r="E33" i="87"/>
  <c r="D33" i="87"/>
  <c r="C33" i="87"/>
  <c r="B33" i="87"/>
  <c r="Q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Q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B31" i="87"/>
  <c r="Q30" i="87"/>
  <c r="P30" i="87"/>
  <c r="O30" i="87"/>
  <c r="N30" i="87"/>
  <c r="M30" i="87"/>
  <c r="L30" i="87"/>
  <c r="K30" i="87"/>
  <c r="J30" i="87"/>
  <c r="I30" i="87"/>
  <c r="H30" i="87"/>
  <c r="G30" i="87"/>
  <c r="F30" i="87"/>
  <c r="E30" i="87"/>
  <c r="D30" i="87"/>
  <c r="C30" i="87"/>
  <c r="B30" i="87"/>
  <c r="Q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B20" i="87"/>
  <c r="Q19" i="87"/>
  <c r="P19" i="87"/>
  <c r="O19" i="87"/>
  <c r="N19" i="87"/>
  <c r="M19" i="87"/>
  <c r="L19" i="87"/>
  <c r="K19" i="87"/>
  <c r="J19" i="87"/>
  <c r="I19" i="87"/>
  <c r="H19" i="87"/>
  <c r="G19" i="87"/>
  <c r="F19" i="87"/>
  <c r="E19" i="87"/>
  <c r="D19" i="87"/>
  <c r="C19" i="87"/>
  <c r="B19" i="87"/>
  <c r="Q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B18" i="87"/>
  <c r="Q17" i="87"/>
  <c r="P17" i="87"/>
  <c r="O17" i="87"/>
  <c r="N17" i="87"/>
  <c r="M17" i="87"/>
  <c r="L17" i="87"/>
  <c r="K17" i="87"/>
  <c r="J17" i="87"/>
  <c r="I17" i="87"/>
  <c r="H17" i="87"/>
  <c r="G17" i="87"/>
  <c r="F17" i="87"/>
  <c r="E17" i="87"/>
  <c r="D17" i="87"/>
  <c r="C17" i="87"/>
  <c r="B17" i="87"/>
  <c r="Q16" i="87"/>
  <c r="P16" i="87"/>
  <c r="O16" i="87"/>
  <c r="N16" i="87"/>
  <c r="M16" i="87"/>
  <c r="L16" i="87"/>
  <c r="K16" i="87"/>
  <c r="J16" i="87"/>
  <c r="I16" i="87"/>
  <c r="H16" i="87"/>
  <c r="G16" i="87"/>
  <c r="F16" i="87"/>
  <c r="E16" i="87"/>
  <c r="D16" i="87"/>
  <c r="C16" i="87"/>
  <c r="B16" i="87"/>
  <c r="Q15" i="87"/>
  <c r="P15" i="87"/>
  <c r="O15" i="87"/>
  <c r="N15" i="87"/>
  <c r="M15" i="87"/>
  <c r="L15" i="87"/>
  <c r="K15" i="87"/>
  <c r="J15" i="87"/>
  <c r="I15" i="87"/>
  <c r="H15" i="87"/>
  <c r="G15" i="87"/>
  <c r="F15" i="87"/>
  <c r="E15" i="87"/>
  <c r="D15" i="87"/>
  <c r="C15" i="87"/>
  <c r="B15" i="87"/>
  <c r="Q14" i="87"/>
  <c r="P14" i="87"/>
  <c r="O14" i="87"/>
  <c r="N14" i="87"/>
  <c r="M14" i="87"/>
  <c r="L14" i="87"/>
  <c r="K14" i="87"/>
  <c r="J14" i="87"/>
  <c r="I14" i="87"/>
  <c r="H14" i="87"/>
  <c r="G14" i="87"/>
  <c r="F14" i="87"/>
  <c r="E14" i="87"/>
  <c r="D14" i="87"/>
  <c r="C14" i="87"/>
  <c r="B14" i="87"/>
  <c r="Q13" i="87"/>
  <c r="P13" i="87"/>
  <c r="O13" i="87"/>
  <c r="N13" i="87"/>
  <c r="M13" i="87"/>
  <c r="L13" i="87"/>
  <c r="K13" i="87"/>
  <c r="J13" i="87"/>
  <c r="I13" i="87"/>
  <c r="H13" i="87"/>
  <c r="G13" i="87"/>
  <c r="F13" i="87"/>
  <c r="E13" i="87"/>
  <c r="D13" i="87"/>
  <c r="C13" i="87"/>
  <c r="B13" i="87"/>
  <c r="Q12" i="87"/>
  <c r="P12" i="87"/>
  <c r="O12" i="87"/>
  <c r="N12" i="87"/>
  <c r="M12" i="87"/>
  <c r="L12" i="87"/>
  <c r="K12" i="87"/>
  <c r="J12" i="87"/>
  <c r="I12" i="87"/>
  <c r="H12" i="87"/>
  <c r="G12" i="87"/>
  <c r="F12" i="87"/>
  <c r="E12" i="87"/>
  <c r="D12" i="87"/>
  <c r="C12" i="87"/>
  <c r="B12" i="87"/>
  <c r="Q11" i="87"/>
  <c r="P11" i="87"/>
  <c r="O11" i="87"/>
  <c r="N11" i="87"/>
  <c r="M11" i="87"/>
  <c r="L11" i="87"/>
  <c r="K11" i="87"/>
  <c r="J11" i="87"/>
  <c r="I11" i="87"/>
  <c r="H11" i="87"/>
  <c r="G11" i="87"/>
  <c r="F11" i="87"/>
  <c r="E11" i="87"/>
  <c r="D11" i="87"/>
  <c r="C11" i="87"/>
  <c r="B11" i="87"/>
  <c r="Q10" i="87"/>
  <c r="P10" i="87"/>
  <c r="O10" i="87"/>
  <c r="N10" i="87"/>
  <c r="M10" i="87"/>
  <c r="L10" i="87"/>
  <c r="K10" i="87"/>
  <c r="J10" i="87"/>
  <c r="I10" i="87"/>
  <c r="H10" i="87"/>
  <c r="G10" i="87"/>
  <c r="F10" i="87"/>
  <c r="E10" i="87"/>
  <c r="D10" i="87"/>
  <c r="C10" i="87"/>
  <c r="B10" i="87"/>
  <c r="C127" i="86" l="1"/>
  <c r="B127" i="86"/>
  <c r="C126" i="86"/>
  <c r="B126" i="86"/>
  <c r="C125" i="86"/>
  <c r="B125" i="86"/>
  <c r="C124" i="86"/>
  <c r="B124" i="86"/>
  <c r="C123" i="86"/>
  <c r="B123" i="86"/>
  <c r="C122" i="86"/>
  <c r="B122" i="86"/>
  <c r="C121" i="86"/>
  <c r="B121" i="86"/>
  <c r="C120" i="86"/>
  <c r="B120" i="86"/>
  <c r="C119" i="86"/>
  <c r="B119" i="86"/>
  <c r="C114" i="86"/>
  <c r="B114" i="86"/>
  <c r="J114" i="86" s="1"/>
  <c r="C113" i="86"/>
  <c r="B113" i="86"/>
  <c r="J113" i="86" s="1"/>
  <c r="C112" i="86"/>
  <c r="B112" i="86"/>
  <c r="J112" i="86" s="1"/>
  <c r="C111" i="86"/>
  <c r="B111" i="86"/>
  <c r="J111" i="86" s="1"/>
  <c r="C110" i="86"/>
  <c r="I110" i="86" s="1"/>
  <c r="B110" i="86"/>
  <c r="J110" i="86" s="1"/>
  <c r="C109" i="86"/>
  <c r="I109" i="86" s="1"/>
  <c r="B109" i="86"/>
  <c r="J109" i="86" s="1"/>
  <c r="C108" i="86"/>
  <c r="B108" i="86"/>
  <c r="C107" i="86"/>
  <c r="B107" i="86"/>
  <c r="C106" i="86"/>
  <c r="B106" i="86"/>
  <c r="C105" i="86"/>
  <c r="B105" i="86"/>
  <c r="J105" i="86" s="1"/>
  <c r="C104" i="86"/>
  <c r="I104" i="86" s="1"/>
  <c r="B104" i="86"/>
  <c r="J104" i="86" s="1"/>
  <c r="C103" i="86"/>
  <c r="B103" i="86"/>
  <c r="J103" i="86" s="1"/>
  <c r="C102" i="86"/>
  <c r="B102" i="86"/>
  <c r="C101" i="86"/>
  <c r="I101" i="86" s="1"/>
  <c r="B101" i="86"/>
  <c r="J101" i="86" s="1"/>
  <c r="C100" i="86"/>
  <c r="B100" i="86"/>
  <c r="C99" i="86"/>
  <c r="B99" i="86"/>
  <c r="J99" i="86" s="1"/>
  <c r="C98" i="86"/>
  <c r="I100" i="86" s="1"/>
  <c r="B98" i="86"/>
  <c r="J98" i="86" s="1"/>
  <c r="H92" i="86"/>
  <c r="G92" i="86"/>
  <c r="F92" i="86"/>
  <c r="E92" i="86"/>
  <c r="E93" i="86" s="1"/>
  <c r="D92" i="86"/>
  <c r="C92" i="86"/>
  <c r="B92" i="86"/>
  <c r="J92" i="86" s="1"/>
  <c r="H91" i="86"/>
  <c r="H93" i="86" s="1"/>
  <c r="G91" i="86"/>
  <c r="G93" i="86" s="1"/>
  <c r="F91" i="86"/>
  <c r="E91" i="86"/>
  <c r="D91" i="86"/>
  <c r="D93" i="86" s="1"/>
  <c r="C91" i="86"/>
  <c r="C93" i="86" s="1"/>
  <c r="B91" i="86"/>
  <c r="F87" i="86"/>
  <c r="E87" i="86"/>
  <c r="D87" i="86"/>
  <c r="C87" i="86"/>
  <c r="B87" i="86"/>
  <c r="F86" i="86"/>
  <c r="E86" i="86"/>
  <c r="D86" i="86"/>
  <c r="C86" i="86"/>
  <c r="B86" i="86"/>
  <c r="F82" i="86"/>
  <c r="E82" i="86"/>
  <c r="D82" i="86"/>
  <c r="C82" i="86"/>
  <c r="B82" i="86"/>
  <c r="F81" i="86"/>
  <c r="E81" i="86"/>
  <c r="D81" i="86"/>
  <c r="C81" i="86"/>
  <c r="B81" i="86"/>
  <c r="H73" i="86"/>
  <c r="G73" i="86"/>
  <c r="F73" i="86"/>
  <c r="E73" i="86"/>
  <c r="D73" i="86"/>
  <c r="C73" i="86"/>
  <c r="B73" i="86"/>
  <c r="H72" i="86"/>
  <c r="G72" i="86"/>
  <c r="F72" i="86"/>
  <c r="E72" i="86"/>
  <c r="D72" i="86"/>
  <c r="C72" i="86"/>
  <c r="B72" i="86"/>
  <c r="J72" i="86" s="1"/>
  <c r="H71" i="86"/>
  <c r="G71" i="86"/>
  <c r="F71" i="86"/>
  <c r="E71" i="86"/>
  <c r="D71" i="86"/>
  <c r="C71" i="86"/>
  <c r="B71" i="86"/>
  <c r="J71" i="86" s="1"/>
  <c r="H70" i="86"/>
  <c r="G70" i="86"/>
  <c r="F70" i="86"/>
  <c r="E70" i="86"/>
  <c r="D70" i="86"/>
  <c r="C70" i="86"/>
  <c r="B70" i="86"/>
  <c r="J70" i="86" s="1"/>
  <c r="H69" i="86"/>
  <c r="G69" i="86"/>
  <c r="F69" i="86"/>
  <c r="E69" i="86"/>
  <c r="D69" i="86"/>
  <c r="C69" i="86"/>
  <c r="B69" i="86"/>
  <c r="F68" i="86"/>
  <c r="F74" i="86" s="1"/>
  <c r="H67" i="86"/>
  <c r="G67" i="86"/>
  <c r="F67" i="86"/>
  <c r="E67" i="86"/>
  <c r="D67" i="86"/>
  <c r="C67" i="86"/>
  <c r="B67" i="86"/>
  <c r="J67" i="86" s="1"/>
  <c r="I66" i="86"/>
  <c r="H66" i="86"/>
  <c r="H68" i="86" s="1"/>
  <c r="H74" i="86" s="1"/>
  <c r="G66" i="86"/>
  <c r="F66" i="86"/>
  <c r="E66" i="86"/>
  <c r="D66" i="86"/>
  <c r="C66" i="86"/>
  <c r="B66" i="86"/>
  <c r="J66" i="86" s="1"/>
  <c r="I65" i="86"/>
  <c r="H65" i="86"/>
  <c r="G65" i="86"/>
  <c r="G68" i="86" s="1"/>
  <c r="F65" i="86"/>
  <c r="E65" i="86"/>
  <c r="E68" i="86" s="1"/>
  <c r="D65" i="86"/>
  <c r="D68" i="86" s="1"/>
  <c r="C65" i="86"/>
  <c r="B65" i="86"/>
  <c r="H56" i="86"/>
  <c r="G56" i="86"/>
  <c r="F56" i="86"/>
  <c r="E56" i="86"/>
  <c r="D56" i="86"/>
  <c r="C56" i="86"/>
  <c r="B56" i="86"/>
  <c r="C53" i="86"/>
  <c r="B53" i="86"/>
  <c r="J53" i="86" s="1"/>
  <c r="C52" i="86"/>
  <c r="J52" i="86" s="1"/>
  <c r="B52" i="86"/>
  <c r="C51" i="86"/>
  <c r="B51" i="86"/>
  <c r="J51" i="86" s="1"/>
  <c r="C50" i="86"/>
  <c r="B50" i="86"/>
  <c r="J50" i="86" s="1"/>
  <c r="C49" i="86"/>
  <c r="B49" i="86"/>
  <c r="C48" i="86"/>
  <c r="B48" i="86"/>
  <c r="J48" i="86" s="1"/>
  <c r="C47" i="86"/>
  <c r="B47" i="86"/>
  <c r="C46" i="86"/>
  <c r="B46" i="86"/>
  <c r="J46" i="86" s="1"/>
  <c r="C45" i="86"/>
  <c r="B45" i="86"/>
  <c r="C44" i="86"/>
  <c r="B44" i="86"/>
  <c r="C43" i="86"/>
  <c r="B43" i="86"/>
  <c r="J43" i="86" s="1"/>
  <c r="C42" i="86"/>
  <c r="B42" i="86"/>
  <c r="J42" i="86" s="1"/>
  <c r="C41" i="86"/>
  <c r="B41" i="86"/>
  <c r="C40" i="86"/>
  <c r="B40" i="86"/>
  <c r="J40" i="86" s="1"/>
  <c r="C39" i="86"/>
  <c r="B39" i="86"/>
  <c r="C38" i="86"/>
  <c r="B38" i="86"/>
  <c r="J38" i="86" s="1"/>
  <c r="C37" i="86"/>
  <c r="B37" i="86"/>
  <c r="C36" i="86"/>
  <c r="B36" i="86"/>
  <c r="C35" i="86"/>
  <c r="B35" i="86"/>
  <c r="J35" i="86" s="1"/>
  <c r="C34" i="86"/>
  <c r="B34" i="86"/>
  <c r="J34" i="86" s="1"/>
  <c r="C33" i="86"/>
  <c r="B33" i="86"/>
  <c r="C32" i="86"/>
  <c r="B32" i="86"/>
  <c r="J32" i="86" s="1"/>
  <c r="C31" i="86"/>
  <c r="B31" i="86"/>
  <c r="C30" i="86"/>
  <c r="B30" i="86"/>
  <c r="J30" i="86" s="1"/>
  <c r="C29" i="86"/>
  <c r="B29" i="86"/>
  <c r="C28" i="86"/>
  <c r="B28" i="86"/>
  <c r="H24" i="86"/>
  <c r="G24" i="86"/>
  <c r="F24" i="86"/>
  <c r="E24" i="86"/>
  <c r="D24" i="86"/>
  <c r="C24" i="86"/>
  <c r="B24" i="86"/>
  <c r="J24" i="86" s="1"/>
  <c r="H23" i="86"/>
  <c r="G23" i="86"/>
  <c r="F23" i="86"/>
  <c r="E23" i="86"/>
  <c r="D23" i="86"/>
  <c r="C23" i="86"/>
  <c r="B23" i="86"/>
  <c r="J23" i="86" s="1"/>
  <c r="H22" i="86"/>
  <c r="G22" i="86"/>
  <c r="F22" i="86"/>
  <c r="E22" i="86"/>
  <c r="D22" i="86"/>
  <c r="C22" i="86"/>
  <c r="B22" i="86"/>
  <c r="H21" i="86"/>
  <c r="G21" i="86"/>
  <c r="F21" i="86"/>
  <c r="E21" i="86"/>
  <c r="D21" i="86"/>
  <c r="C21" i="86"/>
  <c r="B21" i="86"/>
  <c r="H20" i="86"/>
  <c r="G20" i="86"/>
  <c r="F20" i="86"/>
  <c r="E20" i="86"/>
  <c r="D20" i="86"/>
  <c r="C20" i="86"/>
  <c r="B20" i="86"/>
  <c r="J20" i="86" s="1"/>
  <c r="H19" i="86"/>
  <c r="G19" i="86"/>
  <c r="F19" i="86"/>
  <c r="E19" i="86"/>
  <c r="D19" i="86"/>
  <c r="C19" i="86"/>
  <c r="B19" i="86"/>
  <c r="J19" i="86" s="1"/>
  <c r="H18" i="86"/>
  <c r="G18" i="86"/>
  <c r="F18" i="86"/>
  <c r="E18" i="86"/>
  <c r="D18" i="86"/>
  <c r="C18" i="86"/>
  <c r="B18" i="86"/>
  <c r="H17" i="86"/>
  <c r="G17" i="86"/>
  <c r="F17" i="86"/>
  <c r="E17" i="86"/>
  <c r="D17" i="86"/>
  <c r="C17" i="86"/>
  <c r="B17" i="86"/>
  <c r="H16" i="86"/>
  <c r="G16" i="86"/>
  <c r="F16" i="86"/>
  <c r="E16" i="86"/>
  <c r="D16" i="86"/>
  <c r="C16" i="86"/>
  <c r="B16" i="86"/>
  <c r="J16" i="86" s="1"/>
  <c r="H15" i="86"/>
  <c r="G15" i="86"/>
  <c r="F15" i="86"/>
  <c r="E15" i="86"/>
  <c r="D15" i="86"/>
  <c r="C15" i="86"/>
  <c r="B15" i="86"/>
  <c r="J15" i="86" s="1"/>
  <c r="H14" i="86"/>
  <c r="G14" i="86"/>
  <c r="F14" i="86"/>
  <c r="E14" i="86"/>
  <c r="D14" i="86"/>
  <c r="C14" i="86"/>
  <c r="B14" i="86"/>
  <c r="H13" i="86"/>
  <c r="G13" i="86"/>
  <c r="F13" i="86"/>
  <c r="E13" i="86"/>
  <c r="D13" i="86"/>
  <c r="C13" i="86"/>
  <c r="B13" i="86"/>
  <c r="H12" i="86"/>
  <c r="G12" i="86"/>
  <c r="F12" i="86"/>
  <c r="E12" i="86"/>
  <c r="D12" i="86"/>
  <c r="C12" i="86"/>
  <c r="B12" i="86"/>
  <c r="J12" i="86" s="1"/>
  <c r="H11" i="86"/>
  <c r="G11" i="86"/>
  <c r="F11" i="86"/>
  <c r="E11" i="86"/>
  <c r="D11" i="86"/>
  <c r="C11" i="86"/>
  <c r="B11" i="86"/>
  <c r="J11" i="86" s="1"/>
  <c r="H10" i="86"/>
  <c r="G10" i="86"/>
  <c r="F10" i="86"/>
  <c r="E10" i="86"/>
  <c r="D10" i="86"/>
  <c r="C10" i="86"/>
  <c r="B10" i="86"/>
  <c r="H9" i="86"/>
  <c r="G9" i="86"/>
  <c r="F9" i="86"/>
  <c r="E9" i="86"/>
  <c r="D9" i="86"/>
  <c r="C9" i="86"/>
  <c r="B9" i="86"/>
  <c r="J9" i="86" s="1"/>
  <c r="H8" i="86"/>
  <c r="G8" i="86"/>
  <c r="F8" i="86"/>
  <c r="E8" i="86"/>
  <c r="D8" i="86"/>
  <c r="C8" i="86"/>
  <c r="B8" i="86"/>
  <c r="J8" i="86" s="1"/>
  <c r="H7" i="86"/>
  <c r="H6" i="86"/>
  <c r="H55" i="86" s="1"/>
  <c r="G6" i="86"/>
  <c r="G7" i="86" s="1"/>
  <c r="F6" i="86"/>
  <c r="F7" i="86" s="1"/>
  <c r="E6" i="86"/>
  <c r="E7" i="86" s="1"/>
  <c r="D6" i="86"/>
  <c r="D7" i="86" s="1"/>
  <c r="C6" i="86"/>
  <c r="B6" i="86"/>
  <c r="J6" i="86" s="1"/>
  <c r="D55" i="86" l="1"/>
  <c r="D57" i="86" s="1"/>
  <c r="B75" i="86"/>
  <c r="B93" i="86"/>
  <c r="J93" i="86" s="1"/>
  <c r="I98" i="86"/>
  <c r="J102" i="86"/>
  <c r="J17" i="86"/>
  <c r="I113" i="86"/>
  <c r="I102" i="86"/>
  <c r="J28" i="86"/>
  <c r="E74" i="86"/>
  <c r="I99" i="86"/>
  <c r="J29" i="86"/>
  <c r="J33" i="86"/>
  <c r="J36" i="86"/>
  <c r="J44" i="86"/>
  <c r="J100" i="86"/>
  <c r="E25" i="86"/>
  <c r="J13" i="86"/>
  <c r="J21" i="86"/>
  <c r="J37" i="86"/>
  <c r="J41" i="86"/>
  <c r="J45" i="86"/>
  <c r="J49" i="86"/>
  <c r="J73" i="86"/>
  <c r="J108" i="86"/>
  <c r="I111" i="86"/>
  <c r="E55" i="86"/>
  <c r="E57" i="86" s="1"/>
  <c r="F93" i="86"/>
  <c r="G74" i="86"/>
  <c r="H57" i="86"/>
  <c r="H25" i="86"/>
  <c r="J10" i="86"/>
  <c r="J18" i="86"/>
  <c r="J39" i="86"/>
  <c r="J56" i="86"/>
  <c r="I72" i="86"/>
  <c r="J69" i="86"/>
  <c r="I91" i="86"/>
  <c r="I108" i="86"/>
  <c r="F25" i="86"/>
  <c r="D74" i="86"/>
  <c r="J91" i="86"/>
  <c r="I92" i="86"/>
  <c r="G55" i="86"/>
  <c r="G57" i="86" s="1"/>
  <c r="B27" i="86"/>
  <c r="B26" i="86" s="1"/>
  <c r="B7" i="86" s="1"/>
  <c r="I105" i="86"/>
  <c r="I114" i="86"/>
  <c r="C27" i="86"/>
  <c r="C26" i="86" s="1"/>
  <c r="I26" i="86" s="1"/>
  <c r="G25" i="86"/>
  <c r="D25" i="86"/>
  <c r="J14" i="86"/>
  <c r="J22" i="86"/>
  <c r="J31" i="86"/>
  <c r="J47" i="86"/>
  <c r="I73" i="86"/>
  <c r="I103" i="86"/>
  <c r="I112" i="86"/>
  <c r="I40" i="86"/>
  <c r="I24" i="86"/>
  <c r="F55" i="86"/>
  <c r="F57" i="86" s="1"/>
  <c r="I67" i="86"/>
  <c r="I28" i="86"/>
  <c r="I36" i="86"/>
  <c r="I48" i="86"/>
  <c r="I52" i="86"/>
  <c r="J65" i="86"/>
  <c r="I29" i="86"/>
  <c r="I31" i="86"/>
  <c r="I33" i="86"/>
  <c r="I35" i="86"/>
  <c r="I37" i="86"/>
  <c r="I39" i="86"/>
  <c r="I41" i="86"/>
  <c r="I43" i="86"/>
  <c r="I45" i="86"/>
  <c r="I47" i="86"/>
  <c r="I49" i="86"/>
  <c r="I51" i="86"/>
  <c r="I53" i="86"/>
  <c r="B68" i="86"/>
  <c r="I69" i="86"/>
  <c r="C75" i="86"/>
  <c r="I93" i="86"/>
  <c r="I34" i="86"/>
  <c r="I42" i="86"/>
  <c r="I50" i="86"/>
  <c r="I20" i="86"/>
  <c r="I13" i="86"/>
  <c r="I21" i="86"/>
  <c r="I10" i="86"/>
  <c r="I14" i="86"/>
  <c r="I18" i="86"/>
  <c r="I22" i="86"/>
  <c r="C68" i="86"/>
  <c r="I70" i="86"/>
  <c r="I30" i="86"/>
  <c r="I44" i="86"/>
  <c r="I8" i="86"/>
  <c r="I16" i="86"/>
  <c r="I6" i="86"/>
  <c r="B55" i="86"/>
  <c r="I56" i="86"/>
  <c r="I71" i="86"/>
  <c r="I32" i="86"/>
  <c r="I38" i="86"/>
  <c r="I46" i="86"/>
  <c r="I12" i="86"/>
  <c r="I9" i="86"/>
  <c r="I17" i="86"/>
  <c r="I11" i="86"/>
  <c r="I15" i="86"/>
  <c r="I19" i="86"/>
  <c r="I23" i="86"/>
  <c r="C55" i="86"/>
  <c r="C57" i="86" s="1"/>
  <c r="C7" i="86" l="1"/>
  <c r="I7" i="86" s="1"/>
  <c r="J26" i="86"/>
  <c r="J27" i="86"/>
  <c r="C76" i="86"/>
  <c r="I27" i="86"/>
  <c r="J7" i="86"/>
  <c r="B25" i="86"/>
  <c r="C74" i="86"/>
  <c r="I74" i="86" s="1"/>
  <c r="I68" i="86"/>
  <c r="J55" i="86"/>
  <c r="B57" i="86"/>
  <c r="I55" i="86"/>
  <c r="J68" i="86"/>
  <c r="B74" i="86"/>
  <c r="I57" i="86"/>
  <c r="K22" i="86"/>
  <c r="K18" i="86"/>
  <c r="K14" i="86"/>
  <c r="K10" i="86"/>
  <c r="K24" i="86"/>
  <c r="K23" i="86"/>
  <c r="K8" i="86"/>
  <c r="K19" i="86"/>
  <c r="C25" i="86"/>
  <c r="I25" i="86" s="1"/>
  <c r="K21" i="86"/>
  <c r="K17" i="86"/>
  <c r="K13" i="86"/>
  <c r="K9" i="86"/>
  <c r="K16" i="86"/>
  <c r="K15" i="86"/>
  <c r="K20" i="86"/>
  <c r="K12" i="86"/>
  <c r="K11" i="86"/>
  <c r="K7" i="86"/>
  <c r="J74" i="86" l="1"/>
  <c r="J57" i="86"/>
  <c r="B76" i="86"/>
  <c r="K25" i="86"/>
  <c r="J25" i="86"/>
  <c r="L63" i="85"/>
  <c r="K63" i="85"/>
  <c r="J63" i="85"/>
  <c r="I63" i="85"/>
  <c r="H63" i="85"/>
  <c r="G63" i="85"/>
  <c r="F63" i="85"/>
  <c r="L62" i="85"/>
  <c r="K62" i="85"/>
  <c r="J62" i="85"/>
  <c r="I62" i="85"/>
  <c r="H62" i="85"/>
  <c r="G62" i="85"/>
  <c r="F62" i="85"/>
  <c r="L61" i="85"/>
  <c r="K61" i="85"/>
  <c r="J61" i="85"/>
  <c r="I61" i="85"/>
  <c r="H61" i="85"/>
  <c r="G61" i="85"/>
  <c r="F61" i="85"/>
  <c r="L60" i="85"/>
  <c r="K60" i="85"/>
  <c r="J60" i="85"/>
  <c r="I60" i="85"/>
  <c r="H60" i="85"/>
  <c r="G60" i="85"/>
  <c r="F60" i="85"/>
  <c r="L59" i="85"/>
  <c r="K59" i="85"/>
  <c r="J59" i="85"/>
  <c r="I59" i="85"/>
  <c r="H59" i="85"/>
  <c r="G59" i="85"/>
  <c r="F59" i="85"/>
  <c r="L58" i="85"/>
  <c r="K58" i="85"/>
  <c r="J58" i="85"/>
  <c r="I58" i="85"/>
  <c r="H58" i="85"/>
  <c r="G58" i="85"/>
  <c r="F58" i="85"/>
  <c r="L57" i="85"/>
  <c r="K57" i="85"/>
  <c r="J57" i="85"/>
  <c r="I57" i="85"/>
  <c r="H57" i="85"/>
  <c r="G57" i="85"/>
  <c r="F57" i="85"/>
  <c r="Q46" i="85"/>
  <c r="P46" i="85"/>
  <c r="O46" i="85"/>
  <c r="N46" i="85"/>
  <c r="M46" i="85"/>
  <c r="L46" i="85"/>
  <c r="K46" i="85"/>
  <c r="J46" i="85"/>
  <c r="I46" i="85"/>
  <c r="H46" i="85"/>
  <c r="G46" i="85"/>
  <c r="F46" i="85"/>
  <c r="E46" i="85"/>
  <c r="D46" i="85"/>
  <c r="C46" i="85"/>
  <c r="B46" i="85"/>
  <c r="Q45" i="85"/>
  <c r="P45" i="85"/>
  <c r="O45" i="85"/>
  <c r="N45" i="85"/>
  <c r="M45" i="85"/>
  <c r="L45" i="85"/>
  <c r="K45" i="85"/>
  <c r="J45" i="85"/>
  <c r="I45" i="85"/>
  <c r="H45" i="85"/>
  <c r="G45" i="85"/>
  <c r="F45" i="85"/>
  <c r="E45" i="85"/>
  <c r="D45" i="85"/>
  <c r="C45" i="85"/>
  <c r="B45" i="85"/>
  <c r="Q44" i="85"/>
  <c r="P44" i="85"/>
  <c r="O44" i="85"/>
  <c r="N44" i="85"/>
  <c r="M44" i="85"/>
  <c r="L44" i="85"/>
  <c r="K44" i="85"/>
  <c r="J44" i="85"/>
  <c r="I44" i="85"/>
  <c r="H44" i="85"/>
  <c r="G44" i="85"/>
  <c r="F44" i="85"/>
  <c r="E44" i="85"/>
  <c r="D44" i="85"/>
  <c r="C44" i="85"/>
  <c r="B44" i="85"/>
  <c r="Q43" i="85"/>
  <c r="P43" i="85"/>
  <c r="O43" i="85"/>
  <c r="N43" i="85"/>
  <c r="M43" i="85"/>
  <c r="L43" i="85"/>
  <c r="K43" i="85"/>
  <c r="J43" i="85"/>
  <c r="I43" i="85"/>
  <c r="H43" i="85"/>
  <c r="G43" i="85"/>
  <c r="F43" i="85"/>
  <c r="E43" i="85"/>
  <c r="D43" i="85"/>
  <c r="C43" i="85"/>
  <c r="B43" i="85"/>
  <c r="Q42" i="85"/>
  <c r="P42" i="85"/>
  <c r="O42" i="85"/>
  <c r="N42" i="85"/>
  <c r="M42" i="85"/>
  <c r="L42" i="85"/>
  <c r="K42" i="85"/>
  <c r="J42" i="85"/>
  <c r="I42" i="85"/>
  <c r="H42" i="85"/>
  <c r="G42" i="85"/>
  <c r="F42" i="85"/>
  <c r="E42" i="85"/>
  <c r="D42" i="85"/>
  <c r="C42" i="85"/>
  <c r="B42" i="85"/>
  <c r="Q41" i="85"/>
  <c r="P41" i="85"/>
  <c r="O41" i="85"/>
  <c r="N41" i="85"/>
  <c r="M41" i="85"/>
  <c r="L41" i="85"/>
  <c r="K41" i="85"/>
  <c r="J41" i="85"/>
  <c r="I41" i="85"/>
  <c r="H41" i="85"/>
  <c r="G41" i="85"/>
  <c r="F41" i="85"/>
  <c r="E41" i="85"/>
  <c r="D41" i="85"/>
  <c r="C41" i="85"/>
  <c r="B41" i="85"/>
  <c r="Q40" i="85"/>
  <c r="P40" i="85"/>
  <c r="O40" i="85"/>
  <c r="N40" i="85"/>
  <c r="M40" i="85"/>
  <c r="L40" i="85"/>
  <c r="K40" i="85"/>
  <c r="J40" i="85"/>
  <c r="I40" i="85"/>
  <c r="H40" i="85"/>
  <c r="G40" i="85"/>
  <c r="F40" i="85"/>
  <c r="E40" i="85"/>
  <c r="D40" i="85"/>
  <c r="C40" i="85"/>
  <c r="B40" i="85"/>
  <c r="Q39" i="85"/>
  <c r="P39" i="85"/>
  <c r="O39" i="85"/>
  <c r="N39" i="85"/>
  <c r="M39" i="85"/>
  <c r="L39" i="85"/>
  <c r="K39" i="85"/>
  <c r="J39" i="85"/>
  <c r="I39" i="85"/>
  <c r="H39" i="85"/>
  <c r="G39" i="85"/>
  <c r="F39" i="85"/>
  <c r="E39" i="85"/>
  <c r="D39" i="85"/>
  <c r="C39" i="85"/>
  <c r="B39" i="85"/>
  <c r="Q38" i="85"/>
  <c r="P38" i="85"/>
  <c r="O38" i="85"/>
  <c r="N38" i="85"/>
  <c r="M38" i="85"/>
  <c r="L38" i="85"/>
  <c r="K38" i="85"/>
  <c r="J38" i="85"/>
  <c r="I38" i="85"/>
  <c r="H38" i="85"/>
  <c r="G38" i="85"/>
  <c r="F38" i="85"/>
  <c r="E38" i="85"/>
  <c r="D38" i="85"/>
  <c r="C38" i="85"/>
  <c r="B38" i="85"/>
  <c r="Q37" i="85"/>
  <c r="P37" i="85"/>
  <c r="O37" i="85"/>
  <c r="N37" i="85"/>
  <c r="M37" i="85"/>
  <c r="L37" i="85"/>
  <c r="K37" i="85"/>
  <c r="J37" i="85"/>
  <c r="I37" i="85"/>
  <c r="H37" i="85"/>
  <c r="G37" i="85"/>
  <c r="F37" i="85"/>
  <c r="E37" i="85"/>
  <c r="D37" i="85"/>
  <c r="C37" i="85"/>
  <c r="B37" i="85"/>
  <c r="Q36" i="85"/>
  <c r="P36" i="85"/>
  <c r="O36" i="85"/>
  <c r="N36" i="85"/>
  <c r="M36" i="85"/>
  <c r="L36" i="85"/>
  <c r="K36" i="85"/>
  <c r="J36" i="85"/>
  <c r="I36" i="85"/>
  <c r="H36" i="85"/>
  <c r="G36" i="85"/>
  <c r="F36" i="85"/>
  <c r="E36" i="85"/>
  <c r="D36" i="85"/>
  <c r="C36" i="85"/>
  <c r="B36" i="85"/>
  <c r="Q35" i="85"/>
  <c r="P35" i="85"/>
  <c r="O35" i="85"/>
  <c r="N35" i="85"/>
  <c r="M35" i="85"/>
  <c r="L35" i="85"/>
  <c r="K35" i="85"/>
  <c r="J35" i="85"/>
  <c r="I35" i="85"/>
  <c r="H35" i="85"/>
  <c r="G35" i="85"/>
  <c r="F35" i="85"/>
  <c r="E35" i="85"/>
  <c r="D35" i="85"/>
  <c r="C35" i="85"/>
  <c r="B35" i="85"/>
  <c r="Q34" i="85"/>
  <c r="P34" i="85"/>
  <c r="O34" i="85"/>
  <c r="N34" i="85"/>
  <c r="M34" i="85"/>
  <c r="L34" i="85"/>
  <c r="K34" i="85"/>
  <c r="J34" i="85"/>
  <c r="I34" i="85"/>
  <c r="H34" i="85"/>
  <c r="G34" i="85"/>
  <c r="F34" i="85"/>
  <c r="E34" i="85"/>
  <c r="D34" i="85"/>
  <c r="C34" i="85"/>
  <c r="B34" i="85"/>
  <c r="Q33" i="85"/>
  <c r="P33" i="85"/>
  <c r="O33" i="85"/>
  <c r="N33" i="85"/>
  <c r="M33" i="85"/>
  <c r="L33" i="85"/>
  <c r="K33" i="85"/>
  <c r="J33" i="85"/>
  <c r="I33" i="85"/>
  <c r="H33" i="85"/>
  <c r="G33" i="85"/>
  <c r="F33" i="85"/>
  <c r="E33" i="85"/>
  <c r="D33" i="85"/>
  <c r="C33" i="85"/>
  <c r="B33" i="85"/>
  <c r="Q32" i="85"/>
  <c r="P32" i="85"/>
  <c r="O32" i="85"/>
  <c r="N32" i="85"/>
  <c r="M32" i="85"/>
  <c r="L32" i="85"/>
  <c r="K32" i="85"/>
  <c r="J32" i="85"/>
  <c r="I32" i="85"/>
  <c r="H32" i="85"/>
  <c r="G32" i="85"/>
  <c r="F32" i="85"/>
  <c r="E32" i="85"/>
  <c r="D32" i="85"/>
  <c r="C32" i="85"/>
  <c r="B32" i="85"/>
  <c r="Q31" i="85"/>
  <c r="P31" i="85"/>
  <c r="O31" i="85"/>
  <c r="N31" i="85"/>
  <c r="M31" i="85"/>
  <c r="L31" i="85"/>
  <c r="K31" i="85"/>
  <c r="J31" i="85"/>
  <c r="I31" i="85"/>
  <c r="H31" i="85"/>
  <c r="G31" i="85"/>
  <c r="F31" i="85"/>
  <c r="E31" i="85"/>
  <c r="D31" i="85"/>
  <c r="C31" i="85"/>
  <c r="B31" i="85"/>
  <c r="Q30" i="85"/>
  <c r="P30" i="85"/>
  <c r="O30" i="85"/>
  <c r="N30" i="85"/>
  <c r="M30" i="85"/>
  <c r="L30" i="85"/>
  <c r="K30" i="85"/>
  <c r="J30" i="85"/>
  <c r="I30" i="85"/>
  <c r="H30" i="85"/>
  <c r="G30" i="85"/>
  <c r="F30" i="85"/>
  <c r="E30" i="85"/>
  <c r="D30" i="85"/>
  <c r="C30" i="85"/>
  <c r="B30" i="85"/>
  <c r="Q20" i="85"/>
  <c r="P20" i="85"/>
  <c r="O20" i="85"/>
  <c r="N20" i="85"/>
  <c r="M20" i="85"/>
  <c r="L20" i="85"/>
  <c r="K20" i="85"/>
  <c r="J20" i="85"/>
  <c r="I20" i="85"/>
  <c r="H20" i="85"/>
  <c r="G20" i="85"/>
  <c r="F20" i="85"/>
  <c r="E20" i="85"/>
  <c r="D20" i="85"/>
  <c r="C20" i="85"/>
  <c r="B20" i="85"/>
  <c r="Q19" i="85"/>
  <c r="P19" i="85"/>
  <c r="O19" i="85"/>
  <c r="N19" i="85"/>
  <c r="M19" i="85"/>
  <c r="L19" i="85"/>
  <c r="K19" i="85"/>
  <c r="J19" i="85"/>
  <c r="I19" i="85"/>
  <c r="H19" i="85"/>
  <c r="G19" i="85"/>
  <c r="F19" i="85"/>
  <c r="E19" i="85"/>
  <c r="D19" i="85"/>
  <c r="C19" i="85"/>
  <c r="B19" i="85"/>
  <c r="Q18" i="85"/>
  <c r="P18" i="85"/>
  <c r="O18" i="85"/>
  <c r="N18" i="85"/>
  <c r="M18" i="85"/>
  <c r="L18" i="85"/>
  <c r="K18" i="85"/>
  <c r="J18" i="85"/>
  <c r="I18" i="85"/>
  <c r="H18" i="85"/>
  <c r="G18" i="85"/>
  <c r="F18" i="85"/>
  <c r="E18" i="85"/>
  <c r="D18" i="85"/>
  <c r="C18" i="85"/>
  <c r="B18" i="85"/>
  <c r="Q17" i="85"/>
  <c r="P17" i="85"/>
  <c r="O17" i="85"/>
  <c r="N17" i="85"/>
  <c r="M17" i="85"/>
  <c r="L17" i="85"/>
  <c r="K17" i="85"/>
  <c r="J17" i="85"/>
  <c r="I17" i="85"/>
  <c r="H17" i="85"/>
  <c r="G17" i="85"/>
  <c r="F17" i="85"/>
  <c r="E17" i="85"/>
  <c r="D17" i="85"/>
  <c r="C17" i="85"/>
  <c r="B17" i="85"/>
  <c r="Q16" i="85"/>
  <c r="P16" i="85"/>
  <c r="O16" i="85"/>
  <c r="N16" i="85"/>
  <c r="M16" i="85"/>
  <c r="L16" i="85"/>
  <c r="K16" i="85"/>
  <c r="J16" i="85"/>
  <c r="I16" i="85"/>
  <c r="H16" i="85"/>
  <c r="G16" i="85"/>
  <c r="F16" i="85"/>
  <c r="E16" i="85"/>
  <c r="D16" i="85"/>
  <c r="C16" i="85"/>
  <c r="B16" i="85"/>
  <c r="Q15" i="85"/>
  <c r="P15" i="85"/>
  <c r="O15" i="85"/>
  <c r="N15" i="85"/>
  <c r="M15" i="85"/>
  <c r="L15" i="85"/>
  <c r="K15" i="85"/>
  <c r="J15" i="85"/>
  <c r="I15" i="85"/>
  <c r="H15" i="85"/>
  <c r="G15" i="85"/>
  <c r="F15" i="85"/>
  <c r="E15" i="85"/>
  <c r="D15" i="85"/>
  <c r="C15" i="85"/>
  <c r="B15" i="85"/>
  <c r="Q14" i="85"/>
  <c r="P14" i="85"/>
  <c r="O14" i="85"/>
  <c r="N14" i="85"/>
  <c r="M14" i="85"/>
  <c r="L14" i="85"/>
  <c r="K14" i="85"/>
  <c r="J14" i="85"/>
  <c r="I14" i="85"/>
  <c r="H14" i="85"/>
  <c r="G14" i="85"/>
  <c r="F14" i="85"/>
  <c r="E14" i="85"/>
  <c r="D14" i="85"/>
  <c r="C14" i="85"/>
  <c r="B14" i="85"/>
  <c r="Q13" i="85"/>
  <c r="P13" i="85"/>
  <c r="O13" i="85"/>
  <c r="N13" i="85"/>
  <c r="M13" i="85"/>
  <c r="L13" i="85"/>
  <c r="K13" i="85"/>
  <c r="J13" i="85"/>
  <c r="I13" i="85"/>
  <c r="H13" i="85"/>
  <c r="G13" i="85"/>
  <c r="F13" i="85"/>
  <c r="E13" i="85"/>
  <c r="D13" i="85"/>
  <c r="C13" i="85"/>
  <c r="B13" i="85"/>
  <c r="Q12" i="85"/>
  <c r="P12" i="85"/>
  <c r="O12" i="85"/>
  <c r="N12" i="85"/>
  <c r="M12" i="85"/>
  <c r="L12" i="85"/>
  <c r="K12" i="85"/>
  <c r="J12" i="85"/>
  <c r="I12" i="85"/>
  <c r="H12" i="85"/>
  <c r="G12" i="85"/>
  <c r="F12" i="85"/>
  <c r="E12" i="85"/>
  <c r="D12" i="85"/>
  <c r="C12" i="85"/>
  <c r="B12" i="85"/>
  <c r="Q11" i="85"/>
  <c r="P11" i="85"/>
  <c r="O11" i="85"/>
  <c r="N11" i="85"/>
  <c r="M11" i="85"/>
  <c r="L11" i="85"/>
  <c r="K11" i="85"/>
  <c r="J11" i="85"/>
  <c r="I11" i="85"/>
  <c r="H11" i="85"/>
  <c r="G11" i="85"/>
  <c r="F11" i="85"/>
  <c r="E11" i="85"/>
  <c r="D11" i="85"/>
  <c r="C11" i="85"/>
  <c r="B11" i="85"/>
  <c r="Q10" i="85"/>
  <c r="P10" i="85"/>
  <c r="O10" i="85"/>
  <c r="N10" i="85"/>
  <c r="M10" i="85"/>
  <c r="L10" i="85"/>
  <c r="K10" i="85"/>
  <c r="J10" i="85"/>
  <c r="I10" i="85"/>
  <c r="H10" i="85"/>
  <c r="G10" i="85"/>
  <c r="F10" i="85"/>
  <c r="E10" i="85"/>
  <c r="D10" i="85"/>
  <c r="C10" i="85"/>
  <c r="B10" i="85"/>
  <c r="C127" i="84" l="1"/>
  <c r="B127" i="84"/>
  <c r="C126" i="84"/>
  <c r="B126" i="84"/>
  <c r="C125" i="84"/>
  <c r="B125" i="84"/>
  <c r="C124" i="84"/>
  <c r="B124" i="84"/>
  <c r="C123" i="84"/>
  <c r="B123" i="84"/>
  <c r="C122" i="84"/>
  <c r="B122" i="84"/>
  <c r="C121" i="84"/>
  <c r="B121" i="84"/>
  <c r="C120" i="84"/>
  <c r="B120" i="84"/>
  <c r="C119" i="84"/>
  <c r="B119" i="84"/>
  <c r="C114" i="84"/>
  <c r="B114" i="84"/>
  <c r="J114" i="84" s="1"/>
  <c r="C113" i="84"/>
  <c r="B113" i="84"/>
  <c r="C112" i="84"/>
  <c r="B112" i="84"/>
  <c r="J112" i="84" s="1"/>
  <c r="C111" i="84"/>
  <c r="B111" i="84"/>
  <c r="C110" i="84"/>
  <c r="B110" i="84"/>
  <c r="J110" i="84" s="1"/>
  <c r="C109" i="84"/>
  <c r="I114" i="84" s="1"/>
  <c r="B109" i="84"/>
  <c r="C108" i="84"/>
  <c r="B108" i="84"/>
  <c r="C107" i="84"/>
  <c r="B107" i="84"/>
  <c r="C106" i="84"/>
  <c r="B106" i="84"/>
  <c r="C105" i="84"/>
  <c r="B105" i="84"/>
  <c r="J105" i="84" s="1"/>
  <c r="J104" i="84"/>
  <c r="C104" i="84"/>
  <c r="B104" i="84"/>
  <c r="C103" i="84"/>
  <c r="B103" i="84"/>
  <c r="J103" i="84" s="1"/>
  <c r="C102" i="84"/>
  <c r="B102" i="84"/>
  <c r="C101" i="84"/>
  <c r="B101" i="84"/>
  <c r="C100" i="84"/>
  <c r="B100" i="84"/>
  <c r="C99" i="84"/>
  <c r="B99" i="84"/>
  <c r="J99" i="84" s="1"/>
  <c r="C98" i="84"/>
  <c r="I100" i="84" s="1"/>
  <c r="B98" i="84"/>
  <c r="F93" i="84"/>
  <c r="H92" i="84"/>
  <c r="G92" i="84"/>
  <c r="F92" i="84"/>
  <c r="E92" i="84"/>
  <c r="D92" i="84"/>
  <c r="C92" i="84"/>
  <c r="B92" i="84"/>
  <c r="H91" i="84"/>
  <c r="H93" i="84" s="1"/>
  <c r="G91" i="84"/>
  <c r="F91" i="84"/>
  <c r="E91" i="84"/>
  <c r="E93" i="84" s="1"/>
  <c r="D91" i="84"/>
  <c r="C91" i="84"/>
  <c r="B91" i="84"/>
  <c r="B93" i="84" s="1"/>
  <c r="F87" i="84"/>
  <c r="E87" i="84"/>
  <c r="D87" i="84"/>
  <c r="C87" i="84"/>
  <c r="B87" i="84"/>
  <c r="F86" i="84"/>
  <c r="E86" i="84"/>
  <c r="D86" i="84"/>
  <c r="C86" i="84"/>
  <c r="B86" i="84"/>
  <c r="F82" i="84"/>
  <c r="E82" i="84"/>
  <c r="D82" i="84"/>
  <c r="C82" i="84"/>
  <c r="B82" i="84"/>
  <c r="F81" i="84"/>
  <c r="E81" i="84"/>
  <c r="D81" i="84"/>
  <c r="C81" i="84"/>
  <c r="B81" i="84"/>
  <c r="H73" i="84"/>
  <c r="G73" i="84"/>
  <c r="F73" i="84"/>
  <c r="E73" i="84"/>
  <c r="D73" i="84"/>
  <c r="C73" i="84"/>
  <c r="B73" i="84"/>
  <c r="J73" i="84" s="1"/>
  <c r="H72" i="84"/>
  <c r="G72" i="84"/>
  <c r="F72" i="84"/>
  <c r="E72" i="84"/>
  <c r="D72" i="84"/>
  <c r="C72" i="84"/>
  <c r="B72" i="84"/>
  <c r="H71" i="84"/>
  <c r="G71" i="84"/>
  <c r="F71" i="84"/>
  <c r="E71" i="84"/>
  <c r="D71" i="84"/>
  <c r="C71" i="84"/>
  <c r="B71" i="84"/>
  <c r="H70" i="84"/>
  <c r="G70" i="84"/>
  <c r="F70" i="84"/>
  <c r="E70" i="84"/>
  <c r="D70" i="84"/>
  <c r="C70" i="84"/>
  <c r="B70" i="84"/>
  <c r="H69" i="84"/>
  <c r="G69" i="84"/>
  <c r="F69" i="84"/>
  <c r="E69" i="84"/>
  <c r="D69" i="84"/>
  <c r="C69" i="84"/>
  <c r="B69" i="84"/>
  <c r="J69" i="84" s="1"/>
  <c r="F68" i="84"/>
  <c r="H67" i="84"/>
  <c r="G67" i="84"/>
  <c r="F67" i="84"/>
  <c r="E67" i="84"/>
  <c r="D67" i="84"/>
  <c r="C67" i="84"/>
  <c r="B67" i="84"/>
  <c r="J67" i="84" s="1"/>
  <c r="H66" i="84"/>
  <c r="G66" i="84"/>
  <c r="F66" i="84"/>
  <c r="E66" i="84"/>
  <c r="D66" i="84"/>
  <c r="C66" i="84"/>
  <c r="B66" i="84"/>
  <c r="J66" i="84" s="1"/>
  <c r="H65" i="84"/>
  <c r="G65" i="84"/>
  <c r="G68" i="84" s="1"/>
  <c r="G74" i="84" s="1"/>
  <c r="F65" i="84"/>
  <c r="E65" i="84"/>
  <c r="D65" i="84"/>
  <c r="C65" i="84"/>
  <c r="B65" i="84"/>
  <c r="H56" i="84"/>
  <c r="G56" i="84"/>
  <c r="F56" i="84"/>
  <c r="E56" i="84"/>
  <c r="D56" i="84"/>
  <c r="C56" i="84"/>
  <c r="B56" i="84"/>
  <c r="J56" i="84" s="1"/>
  <c r="C53" i="84"/>
  <c r="B53" i="84"/>
  <c r="J53" i="84" s="1"/>
  <c r="C52" i="84"/>
  <c r="B52" i="84"/>
  <c r="C51" i="84"/>
  <c r="B51" i="84"/>
  <c r="C50" i="84"/>
  <c r="B50" i="84"/>
  <c r="C49" i="84"/>
  <c r="B49" i="84"/>
  <c r="J49" i="84" s="1"/>
  <c r="C48" i="84"/>
  <c r="B48" i="84"/>
  <c r="C47" i="84"/>
  <c r="B47" i="84"/>
  <c r="J47" i="84" s="1"/>
  <c r="C46" i="84"/>
  <c r="B46" i="84"/>
  <c r="J46" i="84" s="1"/>
  <c r="C45" i="84"/>
  <c r="B45" i="84"/>
  <c r="J45" i="84" s="1"/>
  <c r="C44" i="84"/>
  <c r="B44" i="84"/>
  <c r="C43" i="84"/>
  <c r="B43" i="84"/>
  <c r="C42" i="84"/>
  <c r="B42" i="84"/>
  <c r="J42" i="84" s="1"/>
  <c r="C41" i="84"/>
  <c r="B41" i="84"/>
  <c r="C40" i="84"/>
  <c r="B40" i="84"/>
  <c r="C39" i="84"/>
  <c r="B39" i="84"/>
  <c r="C38" i="84"/>
  <c r="B38" i="84"/>
  <c r="J38" i="84" s="1"/>
  <c r="C37" i="84"/>
  <c r="B37" i="84"/>
  <c r="C36" i="84"/>
  <c r="B36" i="84"/>
  <c r="J36" i="84" s="1"/>
  <c r="C35" i="84"/>
  <c r="B35" i="84"/>
  <c r="C34" i="84"/>
  <c r="B34" i="84"/>
  <c r="J34" i="84" s="1"/>
  <c r="C33" i="84"/>
  <c r="B33" i="84"/>
  <c r="C32" i="84"/>
  <c r="B32" i="84"/>
  <c r="C31" i="84"/>
  <c r="B31" i="84"/>
  <c r="J31" i="84" s="1"/>
  <c r="C30" i="84"/>
  <c r="B30" i="84"/>
  <c r="B27" i="84" s="1"/>
  <c r="B26" i="84" s="1"/>
  <c r="C29" i="84"/>
  <c r="B29" i="84"/>
  <c r="C28" i="84"/>
  <c r="B28" i="84"/>
  <c r="H24" i="84"/>
  <c r="G24" i="84"/>
  <c r="F24" i="84"/>
  <c r="E24" i="84"/>
  <c r="D24" i="84"/>
  <c r="C24" i="84"/>
  <c r="B24" i="84"/>
  <c r="H23" i="84"/>
  <c r="G23" i="84"/>
  <c r="F23" i="84"/>
  <c r="E23" i="84"/>
  <c r="D23" i="84"/>
  <c r="C23" i="84"/>
  <c r="B23" i="84"/>
  <c r="J23" i="84" s="1"/>
  <c r="H22" i="84"/>
  <c r="G22" i="84"/>
  <c r="F22" i="84"/>
  <c r="E22" i="84"/>
  <c r="D22" i="84"/>
  <c r="C22" i="84"/>
  <c r="B22" i="84"/>
  <c r="J22" i="84" s="1"/>
  <c r="H21" i="84"/>
  <c r="G21" i="84"/>
  <c r="F21" i="84"/>
  <c r="E21" i="84"/>
  <c r="D21" i="84"/>
  <c r="C21" i="84"/>
  <c r="B21" i="84"/>
  <c r="H20" i="84"/>
  <c r="G20" i="84"/>
  <c r="F20" i="84"/>
  <c r="E20" i="84"/>
  <c r="D20" i="84"/>
  <c r="C20" i="84"/>
  <c r="B20" i="84"/>
  <c r="J20" i="84" s="1"/>
  <c r="H19" i="84"/>
  <c r="G19" i="84"/>
  <c r="F19" i="84"/>
  <c r="E19" i="84"/>
  <c r="D19" i="84"/>
  <c r="C19" i="84"/>
  <c r="B19" i="84"/>
  <c r="H18" i="84"/>
  <c r="G18" i="84"/>
  <c r="F18" i="84"/>
  <c r="E18" i="84"/>
  <c r="D18" i="84"/>
  <c r="C18" i="84"/>
  <c r="B18" i="84"/>
  <c r="J18" i="84" s="1"/>
  <c r="H17" i="84"/>
  <c r="G17" i="84"/>
  <c r="F17" i="84"/>
  <c r="E17" i="84"/>
  <c r="D17" i="84"/>
  <c r="C17" i="84"/>
  <c r="B17" i="84"/>
  <c r="J17" i="84" s="1"/>
  <c r="H16" i="84"/>
  <c r="G16" i="84"/>
  <c r="F16" i="84"/>
  <c r="E16" i="84"/>
  <c r="D16" i="84"/>
  <c r="C16" i="84"/>
  <c r="B16" i="84"/>
  <c r="H15" i="84"/>
  <c r="G15" i="84"/>
  <c r="F15" i="84"/>
  <c r="E15" i="84"/>
  <c r="D15" i="84"/>
  <c r="C15" i="84"/>
  <c r="B15" i="84"/>
  <c r="H14" i="84"/>
  <c r="G14" i="84"/>
  <c r="F14" i="84"/>
  <c r="E14" i="84"/>
  <c r="D14" i="84"/>
  <c r="C14" i="84"/>
  <c r="B14" i="84"/>
  <c r="J14" i="84" s="1"/>
  <c r="H13" i="84"/>
  <c r="G13" i="84"/>
  <c r="F13" i="84"/>
  <c r="E13" i="84"/>
  <c r="D13" i="84"/>
  <c r="C13" i="84"/>
  <c r="B13" i="84"/>
  <c r="H12" i="84"/>
  <c r="G12" i="84"/>
  <c r="F12" i="84"/>
  <c r="E12" i="84"/>
  <c r="D12" i="84"/>
  <c r="C12" i="84"/>
  <c r="B12" i="84"/>
  <c r="J12" i="84" s="1"/>
  <c r="H11" i="84"/>
  <c r="G11" i="84"/>
  <c r="F11" i="84"/>
  <c r="E11" i="84"/>
  <c r="D11" i="84"/>
  <c r="C11" i="84"/>
  <c r="B11" i="84"/>
  <c r="H10" i="84"/>
  <c r="G10" i="84"/>
  <c r="F10" i="84"/>
  <c r="E10" i="84"/>
  <c r="D10" i="84"/>
  <c r="C10" i="84"/>
  <c r="B10" i="84"/>
  <c r="J10" i="84" s="1"/>
  <c r="H9" i="84"/>
  <c r="G9" i="84"/>
  <c r="F9" i="84"/>
  <c r="E9" i="84"/>
  <c r="D9" i="84"/>
  <c r="C9" i="84"/>
  <c r="B9" i="84"/>
  <c r="J9" i="84" s="1"/>
  <c r="H8" i="84"/>
  <c r="G8" i="84"/>
  <c r="F8" i="84"/>
  <c r="E8" i="84"/>
  <c r="D8" i="84"/>
  <c r="C8" i="84"/>
  <c r="B8" i="84"/>
  <c r="H6" i="84"/>
  <c r="H7" i="84" s="1"/>
  <c r="G6" i="84"/>
  <c r="G55" i="84" s="1"/>
  <c r="G57" i="84" s="1"/>
  <c r="F6" i="84"/>
  <c r="F7" i="84" s="1"/>
  <c r="E6" i="84"/>
  <c r="E7" i="84" s="1"/>
  <c r="D6" i="84"/>
  <c r="D55" i="84" s="1"/>
  <c r="C6" i="84"/>
  <c r="B6" i="84"/>
  <c r="C93" i="84" l="1"/>
  <c r="I93" i="84" s="1"/>
  <c r="D93" i="84"/>
  <c r="J102" i="84"/>
  <c r="J8" i="84"/>
  <c r="J16" i="84"/>
  <c r="J24" i="84"/>
  <c r="J28" i="84"/>
  <c r="J50" i="84"/>
  <c r="F55" i="84"/>
  <c r="F57" i="84" s="1"/>
  <c r="B68" i="84"/>
  <c r="B74" i="84" s="1"/>
  <c r="J113" i="84"/>
  <c r="J30" i="84"/>
  <c r="I52" i="84"/>
  <c r="J29" i="84"/>
  <c r="J32" i="84"/>
  <c r="D68" i="84"/>
  <c r="D74" i="84" s="1"/>
  <c r="G93" i="84"/>
  <c r="J13" i="84"/>
  <c r="J21" i="84"/>
  <c r="J33" i="84"/>
  <c r="J37" i="84"/>
  <c r="J40" i="84"/>
  <c r="J44" i="84"/>
  <c r="E68" i="84"/>
  <c r="E74" i="84" s="1"/>
  <c r="J41" i="84"/>
  <c r="J48" i="84"/>
  <c r="J52" i="84"/>
  <c r="J71" i="84"/>
  <c r="J92" i="84"/>
  <c r="J101" i="84"/>
  <c r="J108" i="84"/>
  <c r="I6" i="84"/>
  <c r="I15" i="84"/>
  <c r="F74" i="84"/>
  <c r="G7" i="84"/>
  <c r="G25" i="84" s="1"/>
  <c r="I8" i="84"/>
  <c r="I9" i="84"/>
  <c r="J11" i="84"/>
  <c r="I14" i="84"/>
  <c r="I24" i="84"/>
  <c r="J43" i="84"/>
  <c r="I72" i="84"/>
  <c r="J70" i="84"/>
  <c r="I71" i="84"/>
  <c r="I91" i="84"/>
  <c r="I104" i="84"/>
  <c r="I10" i="84"/>
  <c r="I20" i="84"/>
  <c r="I21" i="84"/>
  <c r="I102" i="84"/>
  <c r="I23" i="84"/>
  <c r="C27" i="84"/>
  <c r="C26" i="84" s="1"/>
  <c r="C7" i="84" s="1"/>
  <c r="K22" i="84" s="1"/>
  <c r="C55" i="84"/>
  <c r="C57" i="84" s="1"/>
  <c r="J100" i="84"/>
  <c r="J111" i="84"/>
  <c r="D57" i="84"/>
  <c r="I113" i="84"/>
  <c r="E25" i="84"/>
  <c r="F25" i="84"/>
  <c r="I16" i="84"/>
  <c r="I17" i="84"/>
  <c r="J19" i="84"/>
  <c r="I22" i="84"/>
  <c r="J35" i="84"/>
  <c r="J51" i="84"/>
  <c r="E55" i="84"/>
  <c r="E57" i="84" s="1"/>
  <c r="I73" i="84"/>
  <c r="I111" i="84"/>
  <c r="I11" i="84"/>
  <c r="I19" i="84"/>
  <c r="H68" i="84"/>
  <c r="H74" i="84" s="1"/>
  <c r="I108" i="84"/>
  <c r="H25" i="84"/>
  <c r="I12" i="84"/>
  <c r="I13" i="84"/>
  <c r="J15" i="84"/>
  <c r="I18" i="84"/>
  <c r="J39" i="84"/>
  <c r="I65" i="84"/>
  <c r="I66" i="84"/>
  <c r="J72" i="84"/>
  <c r="I98" i="84"/>
  <c r="I109" i="84"/>
  <c r="K16" i="84"/>
  <c r="K11" i="84"/>
  <c r="B7" i="84"/>
  <c r="D7" i="84"/>
  <c r="D25" i="84" s="1"/>
  <c r="I27" i="84"/>
  <c r="I29" i="84"/>
  <c r="I31" i="84"/>
  <c r="I33" i="84"/>
  <c r="I35" i="84"/>
  <c r="I37" i="84"/>
  <c r="I39" i="84"/>
  <c r="I41" i="84"/>
  <c r="I43" i="84"/>
  <c r="I45" i="84"/>
  <c r="I47" i="84"/>
  <c r="I49" i="84"/>
  <c r="I51" i="84"/>
  <c r="I53" i="84"/>
  <c r="H55" i="84"/>
  <c r="H57" i="84" s="1"/>
  <c r="B75" i="84"/>
  <c r="J91" i="84"/>
  <c r="I92" i="84"/>
  <c r="J65" i="84"/>
  <c r="J109" i="84"/>
  <c r="I55" i="84"/>
  <c r="I69" i="84"/>
  <c r="C75" i="84"/>
  <c r="I67" i="84"/>
  <c r="J98" i="84"/>
  <c r="B55" i="84"/>
  <c r="I56" i="84"/>
  <c r="C68" i="84"/>
  <c r="C74" i="84" s="1"/>
  <c r="I74" i="84" s="1"/>
  <c r="I70" i="84"/>
  <c r="I99" i="84"/>
  <c r="I101" i="84"/>
  <c r="I103" i="84"/>
  <c r="I105" i="84"/>
  <c r="I110" i="84"/>
  <c r="I112" i="84"/>
  <c r="I57" i="84"/>
  <c r="J6" i="84"/>
  <c r="I28" i="84"/>
  <c r="I30" i="84"/>
  <c r="I32" i="84"/>
  <c r="I34" i="84"/>
  <c r="I36" i="84"/>
  <c r="I38" i="84"/>
  <c r="I40" i="84"/>
  <c r="I42" i="84"/>
  <c r="I44" i="84"/>
  <c r="I46" i="84"/>
  <c r="I48" i="84"/>
  <c r="I50" i="84"/>
  <c r="K18" i="84" l="1"/>
  <c r="J93" i="84"/>
  <c r="K24" i="84"/>
  <c r="K23" i="84"/>
  <c r="K13" i="84"/>
  <c r="C25" i="84"/>
  <c r="I25" i="84" s="1"/>
  <c r="K17" i="84"/>
  <c r="I7" i="84"/>
  <c r="J26" i="84"/>
  <c r="I26" i="84"/>
  <c r="K21" i="84"/>
  <c r="K14" i="84"/>
  <c r="J27" i="84"/>
  <c r="K8" i="84"/>
  <c r="K7" i="84"/>
  <c r="K19" i="84"/>
  <c r="K20" i="84"/>
  <c r="K15" i="84"/>
  <c r="K10" i="84"/>
  <c r="K9" i="84"/>
  <c r="K12" i="84"/>
  <c r="C76" i="84"/>
  <c r="J7" i="84"/>
  <c r="B25" i="84"/>
  <c r="J25" i="84" s="1"/>
  <c r="I68" i="84"/>
  <c r="J74" i="84"/>
  <c r="B57" i="84"/>
  <c r="J55" i="84"/>
  <c r="J68" i="84"/>
  <c r="K25" i="84" l="1"/>
  <c r="J57" i="84"/>
  <c r="B76" i="84"/>
  <c r="L63" i="83"/>
  <c r="K63" i="83"/>
  <c r="J63" i="83"/>
  <c r="I63" i="83"/>
  <c r="H63" i="83"/>
  <c r="G63" i="83"/>
  <c r="F63" i="83"/>
  <c r="L62" i="83"/>
  <c r="K62" i="83"/>
  <c r="J62" i="83"/>
  <c r="I62" i="83"/>
  <c r="H62" i="83"/>
  <c r="G62" i="83"/>
  <c r="F62" i="83"/>
  <c r="L61" i="83"/>
  <c r="K61" i="83"/>
  <c r="J61" i="83"/>
  <c r="I61" i="83"/>
  <c r="H61" i="83"/>
  <c r="G61" i="83"/>
  <c r="F61" i="83"/>
  <c r="L60" i="83"/>
  <c r="K60" i="83"/>
  <c r="J60" i="83"/>
  <c r="I60" i="83"/>
  <c r="H60" i="83"/>
  <c r="G60" i="83"/>
  <c r="F60" i="83"/>
  <c r="L59" i="83"/>
  <c r="K59" i="83"/>
  <c r="J59" i="83"/>
  <c r="I59" i="83"/>
  <c r="H59" i="83"/>
  <c r="G59" i="83"/>
  <c r="F59" i="83"/>
  <c r="L58" i="83"/>
  <c r="K58" i="83"/>
  <c r="J58" i="83"/>
  <c r="I58" i="83"/>
  <c r="H58" i="83"/>
  <c r="G58" i="83"/>
  <c r="F58" i="83"/>
  <c r="L57" i="83"/>
  <c r="K57" i="83"/>
  <c r="J57" i="83"/>
  <c r="I57" i="83"/>
  <c r="H57" i="83"/>
  <c r="G57" i="83"/>
  <c r="F57" i="83"/>
  <c r="Q47" i="83"/>
  <c r="P47" i="83"/>
  <c r="O47" i="83"/>
  <c r="N47" i="83"/>
  <c r="M47" i="83"/>
  <c r="L47" i="83"/>
  <c r="K47" i="83"/>
  <c r="J47" i="83"/>
  <c r="I47" i="83"/>
  <c r="H47" i="83"/>
  <c r="G47" i="83"/>
  <c r="F47" i="83"/>
  <c r="E47" i="83"/>
  <c r="D47" i="83"/>
  <c r="C47" i="83"/>
  <c r="B47" i="83"/>
  <c r="Q46" i="83"/>
  <c r="P46" i="83"/>
  <c r="O46" i="83"/>
  <c r="N46" i="83"/>
  <c r="M46" i="83"/>
  <c r="L46" i="83"/>
  <c r="K46" i="83"/>
  <c r="J46" i="83"/>
  <c r="I46" i="83"/>
  <c r="H46" i="83"/>
  <c r="G46" i="83"/>
  <c r="F46" i="83"/>
  <c r="E46" i="83"/>
  <c r="D46" i="83"/>
  <c r="C46" i="83"/>
  <c r="B46" i="83"/>
  <c r="Q45" i="83"/>
  <c r="P45" i="83"/>
  <c r="O45" i="83"/>
  <c r="N45" i="83"/>
  <c r="M45" i="83"/>
  <c r="L45" i="83"/>
  <c r="K45" i="83"/>
  <c r="J45" i="83"/>
  <c r="I45" i="83"/>
  <c r="H45" i="83"/>
  <c r="G45" i="83"/>
  <c r="F45" i="83"/>
  <c r="E45" i="83"/>
  <c r="D45" i="83"/>
  <c r="C45" i="83"/>
  <c r="B45" i="83"/>
  <c r="Q44" i="83"/>
  <c r="P44" i="83"/>
  <c r="O44" i="83"/>
  <c r="N44" i="83"/>
  <c r="M44" i="83"/>
  <c r="L44" i="83"/>
  <c r="K44" i="83"/>
  <c r="J44" i="83"/>
  <c r="I44" i="83"/>
  <c r="H44" i="83"/>
  <c r="G44" i="83"/>
  <c r="F44" i="83"/>
  <c r="E44" i="83"/>
  <c r="D44" i="83"/>
  <c r="C44" i="83"/>
  <c r="B44" i="83"/>
  <c r="Q43" i="83"/>
  <c r="P43" i="83"/>
  <c r="O43" i="83"/>
  <c r="N43" i="83"/>
  <c r="M43" i="83"/>
  <c r="L43" i="83"/>
  <c r="K43" i="83"/>
  <c r="J43" i="83"/>
  <c r="I43" i="83"/>
  <c r="H43" i="83"/>
  <c r="G43" i="83"/>
  <c r="F43" i="83"/>
  <c r="E43" i="83"/>
  <c r="D43" i="83"/>
  <c r="C43" i="83"/>
  <c r="B43" i="83"/>
  <c r="Q42" i="83"/>
  <c r="P42" i="83"/>
  <c r="O42" i="83"/>
  <c r="N42" i="83"/>
  <c r="M42" i="83"/>
  <c r="L42" i="83"/>
  <c r="K42" i="83"/>
  <c r="J42" i="83"/>
  <c r="I42" i="83"/>
  <c r="H42" i="83"/>
  <c r="G42" i="83"/>
  <c r="F42" i="83"/>
  <c r="E42" i="83"/>
  <c r="D42" i="83"/>
  <c r="C42" i="83"/>
  <c r="B42" i="83"/>
  <c r="Q41" i="83"/>
  <c r="P41" i="83"/>
  <c r="O41" i="83"/>
  <c r="N41" i="83"/>
  <c r="M41" i="83"/>
  <c r="L41" i="83"/>
  <c r="K41" i="83"/>
  <c r="J41" i="83"/>
  <c r="I41" i="83"/>
  <c r="H41" i="83"/>
  <c r="G41" i="83"/>
  <c r="F41" i="83"/>
  <c r="E41" i="83"/>
  <c r="D41" i="83"/>
  <c r="C41" i="83"/>
  <c r="B41" i="83"/>
  <c r="Q40" i="83"/>
  <c r="P40" i="83"/>
  <c r="O40" i="83"/>
  <c r="N40" i="83"/>
  <c r="M40" i="83"/>
  <c r="L40" i="83"/>
  <c r="K40" i="83"/>
  <c r="J40" i="83"/>
  <c r="I40" i="83"/>
  <c r="H40" i="83"/>
  <c r="G40" i="83"/>
  <c r="F40" i="83"/>
  <c r="E40" i="83"/>
  <c r="D40" i="83"/>
  <c r="C40" i="83"/>
  <c r="B40" i="83"/>
  <c r="Q39" i="83"/>
  <c r="P39" i="83"/>
  <c r="O39" i="83"/>
  <c r="N39" i="83"/>
  <c r="M39" i="83"/>
  <c r="L39" i="83"/>
  <c r="K39" i="83"/>
  <c r="J39" i="83"/>
  <c r="I39" i="83"/>
  <c r="H39" i="83"/>
  <c r="G39" i="83"/>
  <c r="F39" i="83"/>
  <c r="E39" i="83"/>
  <c r="D39" i="83"/>
  <c r="C39" i="83"/>
  <c r="B39" i="83"/>
  <c r="Q38" i="83"/>
  <c r="P38" i="83"/>
  <c r="O38" i="83"/>
  <c r="N38" i="83"/>
  <c r="M38" i="83"/>
  <c r="L38" i="83"/>
  <c r="K38" i="83"/>
  <c r="J38" i="83"/>
  <c r="I38" i="83"/>
  <c r="H38" i="83"/>
  <c r="G38" i="83"/>
  <c r="F38" i="83"/>
  <c r="E38" i="83"/>
  <c r="D38" i="83"/>
  <c r="C38" i="83"/>
  <c r="B38" i="83"/>
  <c r="Q37" i="83"/>
  <c r="P37" i="83"/>
  <c r="O37" i="83"/>
  <c r="N37" i="83"/>
  <c r="M37" i="83"/>
  <c r="L37" i="83"/>
  <c r="K37" i="83"/>
  <c r="J37" i="83"/>
  <c r="I37" i="83"/>
  <c r="H37" i="83"/>
  <c r="G37" i="83"/>
  <c r="F37" i="83"/>
  <c r="E37" i="83"/>
  <c r="D37" i="83"/>
  <c r="C37" i="83"/>
  <c r="B37" i="83"/>
  <c r="Q36" i="83"/>
  <c r="P36" i="83"/>
  <c r="O36" i="83"/>
  <c r="N36" i="83"/>
  <c r="M36" i="83"/>
  <c r="L36" i="83"/>
  <c r="K36" i="83"/>
  <c r="J36" i="83"/>
  <c r="I36" i="83"/>
  <c r="H36" i="83"/>
  <c r="G36" i="83"/>
  <c r="F36" i="83"/>
  <c r="E36" i="83"/>
  <c r="D36" i="83"/>
  <c r="C36" i="83"/>
  <c r="B36" i="83"/>
  <c r="Q35" i="83"/>
  <c r="P35" i="83"/>
  <c r="O35" i="83"/>
  <c r="N35" i="83"/>
  <c r="M35" i="83"/>
  <c r="L35" i="83"/>
  <c r="K35" i="83"/>
  <c r="J35" i="83"/>
  <c r="I35" i="83"/>
  <c r="H35" i="83"/>
  <c r="G35" i="83"/>
  <c r="F35" i="83"/>
  <c r="E35" i="83"/>
  <c r="D35" i="83"/>
  <c r="C35" i="83"/>
  <c r="B35" i="83"/>
  <c r="Q34" i="83"/>
  <c r="P34" i="83"/>
  <c r="O34" i="83"/>
  <c r="N34" i="83"/>
  <c r="M34" i="83"/>
  <c r="L34" i="83"/>
  <c r="K34" i="83"/>
  <c r="J34" i="83"/>
  <c r="I34" i="83"/>
  <c r="H34" i="83"/>
  <c r="G34" i="83"/>
  <c r="F34" i="83"/>
  <c r="E34" i="83"/>
  <c r="D34" i="83"/>
  <c r="C34" i="83"/>
  <c r="B34" i="83"/>
  <c r="Q33" i="83"/>
  <c r="P33" i="83"/>
  <c r="O33" i="83"/>
  <c r="N33" i="83"/>
  <c r="M33" i="83"/>
  <c r="L33" i="83"/>
  <c r="K33" i="83"/>
  <c r="J33" i="83"/>
  <c r="I33" i="83"/>
  <c r="H33" i="83"/>
  <c r="G33" i="83"/>
  <c r="F33" i="83"/>
  <c r="E33" i="83"/>
  <c r="D33" i="83"/>
  <c r="C33" i="83"/>
  <c r="B33" i="83"/>
  <c r="Q32" i="83"/>
  <c r="P32" i="83"/>
  <c r="O32" i="83"/>
  <c r="N32" i="83"/>
  <c r="M32" i="83"/>
  <c r="L32" i="83"/>
  <c r="K32" i="83"/>
  <c r="J32" i="83"/>
  <c r="I32" i="83"/>
  <c r="H32" i="83"/>
  <c r="G32" i="83"/>
  <c r="F32" i="83"/>
  <c r="E32" i="83"/>
  <c r="D32" i="83"/>
  <c r="C32" i="83"/>
  <c r="B32" i="83"/>
  <c r="Q31" i="83"/>
  <c r="P31" i="83"/>
  <c r="O31" i="83"/>
  <c r="N31" i="83"/>
  <c r="M31" i="83"/>
  <c r="L31" i="83"/>
  <c r="K31" i="83"/>
  <c r="J31" i="83"/>
  <c r="I31" i="83"/>
  <c r="H31" i="83"/>
  <c r="G31" i="83"/>
  <c r="F31" i="83"/>
  <c r="E31" i="83"/>
  <c r="D31" i="83"/>
  <c r="C31" i="83"/>
  <c r="B31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M20" i="83"/>
  <c r="L20" i="83"/>
  <c r="K20" i="83"/>
  <c r="J20" i="83"/>
  <c r="I20" i="83"/>
  <c r="H20" i="83"/>
  <c r="G20" i="83"/>
  <c r="F20" i="83"/>
  <c r="E20" i="83"/>
  <c r="D20" i="83"/>
  <c r="C20" i="83"/>
  <c r="B20" i="83"/>
  <c r="Q19" i="83"/>
  <c r="P19" i="83"/>
  <c r="O19" i="83"/>
  <c r="N19" i="83"/>
  <c r="M19" i="83"/>
  <c r="L19" i="83"/>
  <c r="K19" i="83"/>
  <c r="J19" i="83"/>
  <c r="I19" i="83"/>
  <c r="H19" i="83"/>
  <c r="G19" i="83"/>
  <c r="F19" i="83"/>
  <c r="E19" i="83"/>
  <c r="D19" i="83"/>
  <c r="C19" i="83"/>
  <c r="B19" i="83"/>
  <c r="Q18" i="83"/>
  <c r="P18" i="83"/>
  <c r="O18" i="83"/>
  <c r="N18" i="83"/>
  <c r="M18" i="83"/>
  <c r="L18" i="83"/>
  <c r="K18" i="83"/>
  <c r="J18" i="83"/>
  <c r="I18" i="83"/>
  <c r="H18" i="83"/>
  <c r="G18" i="83"/>
  <c r="F18" i="83"/>
  <c r="E18" i="83"/>
  <c r="D18" i="83"/>
  <c r="C18" i="83"/>
  <c r="B18" i="83"/>
  <c r="Q17" i="83"/>
  <c r="P17" i="83"/>
  <c r="O17" i="83"/>
  <c r="N17" i="83"/>
  <c r="M17" i="83"/>
  <c r="L17" i="83"/>
  <c r="K17" i="83"/>
  <c r="J17" i="83"/>
  <c r="I17" i="83"/>
  <c r="H17" i="83"/>
  <c r="G17" i="83"/>
  <c r="F17" i="83"/>
  <c r="E17" i="83"/>
  <c r="D17" i="83"/>
  <c r="C17" i="83"/>
  <c r="B17" i="83"/>
  <c r="Q16" i="83"/>
  <c r="P16" i="83"/>
  <c r="O16" i="83"/>
  <c r="N16" i="83"/>
  <c r="M16" i="83"/>
  <c r="L16" i="83"/>
  <c r="K16" i="83"/>
  <c r="J16" i="83"/>
  <c r="I16" i="83"/>
  <c r="H16" i="83"/>
  <c r="G16" i="83"/>
  <c r="F16" i="83"/>
  <c r="E16" i="83"/>
  <c r="D16" i="83"/>
  <c r="C16" i="83"/>
  <c r="B16" i="83"/>
  <c r="Q15" i="83"/>
  <c r="P15" i="83"/>
  <c r="O15" i="83"/>
  <c r="N15" i="83"/>
  <c r="M15" i="83"/>
  <c r="L15" i="83"/>
  <c r="K15" i="83"/>
  <c r="J15" i="83"/>
  <c r="I15" i="83"/>
  <c r="H15" i="83"/>
  <c r="G15" i="83"/>
  <c r="F15" i="83"/>
  <c r="E15" i="83"/>
  <c r="D15" i="83"/>
  <c r="C15" i="83"/>
  <c r="B15" i="83"/>
  <c r="Q14" i="83"/>
  <c r="P14" i="83"/>
  <c r="O14" i="83"/>
  <c r="N14" i="83"/>
  <c r="M14" i="83"/>
  <c r="L14" i="83"/>
  <c r="K14" i="83"/>
  <c r="J14" i="83"/>
  <c r="I14" i="83"/>
  <c r="H14" i="83"/>
  <c r="G14" i="83"/>
  <c r="F14" i="83"/>
  <c r="E14" i="83"/>
  <c r="D14" i="83"/>
  <c r="C14" i="83"/>
  <c r="B14" i="83"/>
  <c r="Q13" i="83"/>
  <c r="P13" i="83"/>
  <c r="O13" i="83"/>
  <c r="N13" i="83"/>
  <c r="M13" i="83"/>
  <c r="L13" i="83"/>
  <c r="K13" i="83"/>
  <c r="J13" i="83"/>
  <c r="I13" i="83"/>
  <c r="H13" i="83"/>
  <c r="G13" i="83"/>
  <c r="F13" i="83"/>
  <c r="E13" i="83"/>
  <c r="D13" i="83"/>
  <c r="C13" i="83"/>
  <c r="B13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D12" i="83"/>
  <c r="C12" i="83"/>
  <c r="B12" i="83"/>
  <c r="Q11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D11" i="83"/>
  <c r="C11" i="83"/>
  <c r="B11" i="83"/>
  <c r="C126" i="82" l="1"/>
  <c r="B126" i="82"/>
  <c r="C125" i="82"/>
  <c r="B125" i="82"/>
  <c r="C124" i="82"/>
  <c r="B124" i="82"/>
  <c r="C123" i="82"/>
  <c r="B123" i="82"/>
  <c r="C122" i="82"/>
  <c r="B122" i="82"/>
  <c r="C121" i="82"/>
  <c r="B121" i="82"/>
  <c r="C120" i="82"/>
  <c r="B120" i="82"/>
  <c r="C119" i="82"/>
  <c r="B119" i="82"/>
  <c r="C118" i="82"/>
  <c r="B118" i="82"/>
  <c r="C113" i="82"/>
  <c r="B113" i="82"/>
  <c r="J113" i="82" s="1"/>
  <c r="I112" i="82"/>
  <c r="C112" i="82"/>
  <c r="B112" i="82"/>
  <c r="J112" i="82" s="1"/>
  <c r="C111" i="82"/>
  <c r="I111" i="82" s="1"/>
  <c r="B111" i="82"/>
  <c r="J110" i="82"/>
  <c r="C110" i="82"/>
  <c r="B110" i="82"/>
  <c r="C109" i="82"/>
  <c r="I109" i="82" s="1"/>
  <c r="B109" i="82"/>
  <c r="I108" i="82"/>
  <c r="C108" i="82"/>
  <c r="I110" i="82" s="1"/>
  <c r="B108" i="82"/>
  <c r="J108" i="82" s="1"/>
  <c r="C107" i="82"/>
  <c r="B107" i="82"/>
  <c r="J107" i="82" s="1"/>
  <c r="J106" i="82"/>
  <c r="C106" i="82"/>
  <c r="B106" i="82"/>
  <c r="I105" i="82"/>
  <c r="C105" i="82"/>
  <c r="B105" i="82"/>
  <c r="J105" i="82" s="1"/>
  <c r="J104" i="82"/>
  <c r="I104" i="82"/>
  <c r="C104" i="82"/>
  <c r="B104" i="82"/>
  <c r="C103" i="82"/>
  <c r="I103" i="82" s="1"/>
  <c r="B103" i="82"/>
  <c r="J103" i="82" s="1"/>
  <c r="C102" i="82"/>
  <c r="I102" i="82" s="1"/>
  <c r="B102" i="82"/>
  <c r="I101" i="82"/>
  <c r="C101" i="82"/>
  <c r="B101" i="82"/>
  <c r="J101" i="82" s="1"/>
  <c r="C100" i="82"/>
  <c r="I100" i="82" s="1"/>
  <c r="B100" i="82"/>
  <c r="J100" i="82" s="1"/>
  <c r="C99" i="82"/>
  <c r="B99" i="82"/>
  <c r="C98" i="82"/>
  <c r="I98" i="82" s="1"/>
  <c r="B98" i="82"/>
  <c r="J98" i="82" s="1"/>
  <c r="I97" i="82"/>
  <c r="C97" i="82"/>
  <c r="I106" i="82" s="1"/>
  <c r="B97" i="82"/>
  <c r="J97" i="82" s="1"/>
  <c r="A93" i="82"/>
  <c r="F92" i="82"/>
  <c r="I91" i="82"/>
  <c r="H91" i="82"/>
  <c r="G91" i="82"/>
  <c r="F91" i="82"/>
  <c r="E91" i="82"/>
  <c r="D91" i="82"/>
  <c r="C91" i="82"/>
  <c r="B91" i="82"/>
  <c r="I90" i="82"/>
  <c r="H90" i="82"/>
  <c r="H92" i="82" s="1"/>
  <c r="G90" i="82"/>
  <c r="G92" i="82" s="1"/>
  <c r="F90" i="82"/>
  <c r="E90" i="82"/>
  <c r="E92" i="82" s="1"/>
  <c r="D90" i="82"/>
  <c r="D92" i="82" s="1"/>
  <c r="C90" i="82"/>
  <c r="C92" i="82" s="1"/>
  <c r="B90" i="82"/>
  <c r="F87" i="82"/>
  <c r="E87" i="82"/>
  <c r="D87" i="82"/>
  <c r="C87" i="82"/>
  <c r="B87" i="82"/>
  <c r="F86" i="82"/>
  <c r="E86" i="82"/>
  <c r="D86" i="82"/>
  <c r="C86" i="82"/>
  <c r="B86" i="82"/>
  <c r="F82" i="82"/>
  <c r="E82" i="82"/>
  <c r="D82" i="82"/>
  <c r="C82" i="82"/>
  <c r="B82" i="82"/>
  <c r="F81" i="82"/>
  <c r="E81" i="82"/>
  <c r="D81" i="82"/>
  <c r="C81" i="82"/>
  <c r="B81" i="82"/>
  <c r="H73" i="82"/>
  <c r="G73" i="82"/>
  <c r="F73" i="82"/>
  <c r="E73" i="82"/>
  <c r="D73" i="82"/>
  <c r="C73" i="82"/>
  <c r="I73" i="82" s="1"/>
  <c r="B73" i="82"/>
  <c r="H72" i="82"/>
  <c r="G72" i="82"/>
  <c r="F72" i="82"/>
  <c r="E72" i="82"/>
  <c r="D72" i="82"/>
  <c r="C72" i="82"/>
  <c r="I72" i="82" s="1"/>
  <c r="B72" i="82"/>
  <c r="J72" i="82" s="1"/>
  <c r="H71" i="82"/>
  <c r="G71" i="82"/>
  <c r="F71" i="82"/>
  <c r="E71" i="82"/>
  <c r="D71" i="82"/>
  <c r="C71" i="82"/>
  <c r="B71" i="82"/>
  <c r="J71" i="82" s="1"/>
  <c r="H70" i="82"/>
  <c r="G70" i="82"/>
  <c r="F70" i="82"/>
  <c r="E70" i="82"/>
  <c r="D70" i="82"/>
  <c r="C70" i="82"/>
  <c r="B70" i="82"/>
  <c r="J70" i="82" s="1"/>
  <c r="H69" i="82"/>
  <c r="G69" i="82"/>
  <c r="F69" i="82"/>
  <c r="E69" i="82"/>
  <c r="D69" i="82"/>
  <c r="C69" i="82"/>
  <c r="B69" i="82"/>
  <c r="J69" i="82" s="1"/>
  <c r="D68" i="82"/>
  <c r="D74" i="82" s="1"/>
  <c r="H67" i="82"/>
  <c r="G67" i="82"/>
  <c r="F67" i="82"/>
  <c r="E67" i="82"/>
  <c r="D67" i="82"/>
  <c r="C67" i="82"/>
  <c r="B67" i="82"/>
  <c r="J67" i="82" s="1"/>
  <c r="H66" i="82"/>
  <c r="G66" i="82"/>
  <c r="F66" i="82"/>
  <c r="E66" i="82"/>
  <c r="D66" i="82"/>
  <c r="C66" i="82"/>
  <c r="B66" i="82"/>
  <c r="J66" i="82" s="1"/>
  <c r="I65" i="82"/>
  <c r="H65" i="82"/>
  <c r="H68" i="82" s="1"/>
  <c r="H74" i="82" s="1"/>
  <c r="G65" i="82"/>
  <c r="G68" i="82" s="1"/>
  <c r="F65" i="82"/>
  <c r="E65" i="82"/>
  <c r="D65" i="82"/>
  <c r="C65" i="82"/>
  <c r="B65" i="82"/>
  <c r="B68" i="82" s="1"/>
  <c r="H56" i="82"/>
  <c r="G56" i="82"/>
  <c r="F56" i="82"/>
  <c r="E56" i="82"/>
  <c r="D56" i="82"/>
  <c r="C56" i="82"/>
  <c r="B56" i="82"/>
  <c r="E55" i="82"/>
  <c r="E57" i="82" s="1"/>
  <c r="C55" i="82"/>
  <c r="I55" i="82" s="1"/>
  <c r="C53" i="82"/>
  <c r="B53" i="82"/>
  <c r="J53" i="82" s="1"/>
  <c r="C52" i="82"/>
  <c r="B52" i="82"/>
  <c r="C51" i="82"/>
  <c r="B51" i="82"/>
  <c r="J51" i="82" s="1"/>
  <c r="C50" i="82"/>
  <c r="B50" i="82"/>
  <c r="C49" i="82"/>
  <c r="B49" i="82"/>
  <c r="J49" i="82" s="1"/>
  <c r="C48" i="82"/>
  <c r="B48" i="82"/>
  <c r="C47" i="82"/>
  <c r="B47" i="82"/>
  <c r="J47" i="82" s="1"/>
  <c r="C46" i="82"/>
  <c r="B46" i="82"/>
  <c r="C45" i="82"/>
  <c r="B45" i="82"/>
  <c r="J45" i="82" s="1"/>
  <c r="C44" i="82"/>
  <c r="B44" i="82"/>
  <c r="C43" i="82"/>
  <c r="B43" i="82"/>
  <c r="J43" i="82" s="1"/>
  <c r="C42" i="82"/>
  <c r="B42" i="82"/>
  <c r="C41" i="82"/>
  <c r="B41" i="82"/>
  <c r="J41" i="82" s="1"/>
  <c r="C40" i="82"/>
  <c r="B40" i="82"/>
  <c r="C39" i="82"/>
  <c r="B39" i="82"/>
  <c r="J39" i="82" s="1"/>
  <c r="C38" i="82"/>
  <c r="J38" i="82" s="1"/>
  <c r="B38" i="82"/>
  <c r="C37" i="82"/>
  <c r="B37" i="82"/>
  <c r="J37" i="82" s="1"/>
  <c r="C36" i="82"/>
  <c r="B36" i="82"/>
  <c r="C35" i="82"/>
  <c r="I35" i="82" s="1"/>
  <c r="B35" i="82"/>
  <c r="C34" i="82"/>
  <c r="J34" i="82" s="1"/>
  <c r="B34" i="82"/>
  <c r="C33" i="82"/>
  <c r="B33" i="82"/>
  <c r="J33" i="82" s="1"/>
  <c r="C32" i="82"/>
  <c r="B32" i="82"/>
  <c r="C31" i="82"/>
  <c r="B31" i="82"/>
  <c r="C30" i="82"/>
  <c r="J30" i="82" s="1"/>
  <c r="B30" i="82"/>
  <c r="C29" i="82"/>
  <c r="I29" i="82" s="1"/>
  <c r="B29" i="82"/>
  <c r="J29" i="82" s="1"/>
  <c r="C28" i="82"/>
  <c r="B28" i="82"/>
  <c r="B27" i="82" s="1"/>
  <c r="H24" i="82"/>
  <c r="G24" i="82"/>
  <c r="F24" i="82"/>
  <c r="E24" i="82"/>
  <c r="D24" i="82"/>
  <c r="C24" i="82"/>
  <c r="B24" i="82"/>
  <c r="H23" i="82"/>
  <c r="G23" i="82"/>
  <c r="F23" i="82"/>
  <c r="E23" i="82"/>
  <c r="D23" i="82"/>
  <c r="C23" i="82"/>
  <c r="B23" i="82"/>
  <c r="H22" i="82"/>
  <c r="G22" i="82"/>
  <c r="F22" i="82"/>
  <c r="E22" i="82"/>
  <c r="D22" i="82"/>
  <c r="C22" i="82"/>
  <c r="B22" i="82"/>
  <c r="J22" i="82" s="1"/>
  <c r="H21" i="82"/>
  <c r="G21" i="82"/>
  <c r="F21" i="82"/>
  <c r="E21" i="82"/>
  <c r="D21" i="82"/>
  <c r="C21" i="82"/>
  <c r="B21" i="82"/>
  <c r="H20" i="82"/>
  <c r="G20" i="82"/>
  <c r="F20" i="82"/>
  <c r="E20" i="82"/>
  <c r="D20" i="82"/>
  <c r="C20" i="82"/>
  <c r="B20" i="82"/>
  <c r="H19" i="82"/>
  <c r="G19" i="82"/>
  <c r="F19" i="82"/>
  <c r="E19" i="82"/>
  <c r="D19" i="82"/>
  <c r="C19" i="82"/>
  <c r="B19" i="82"/>
  <c r="H18" i="82"/>
  <c r="G18" i="82"/>
  <c r="F18" i="82"/>
  <c r="E18" i="82"/>
  <c r="D18" i="82"/>
  <c r="C18" i="82"/>
  <c r="B18" i="82"/>
  <c r="J18" i="82" s="1"/>
  <c r="H17" i="82"/>
  <c r="G17" i="82"/>
  <c r="F17" i="82"/>
  <c r="E17" i="82"/>
  <c r="D17" i="82"/>
  <c r="C17" i="82"/>
  <c r="B17" i="82"/>
  <c r="J17" i="82" s="1"/>
  <c r="H16" i="82"/>
  <c r="G16" i="82"/>
  <c r="F16" i="82"/>
  <c r="E16" i="82"/>
  <c r="D16" i="82"/>
  <c r="C16" i="82"/>
  <c r="B16" i="82"/>
  <c r="J16" i="82" s="1"/>
  <c r="H15" i="82"/>
  <c r="G15" i="82"/>
  <c r="F15" i="82"/>
  <c r="E15" i="82"/>
  <c r="D15" i="82"/>
  <c r="C15" i="82"/>
  <c r="B15" i="82"/>
  <c r="J15" i="82" s="1"/>
  <c r="H14" i="82"/>
  <c r="G14" i="82"/>
  <c r="F14" i="82"/>
  <c r="E14" i="82"/>
  <c r="D14" i="82"/>
  <c r="C14" i="82"/>
  <c r="B14" i="82"/>
  <c r="J14" i="82" s="1"/>
  <c r="H13" i="82"/>
  <c r="G13" i="82"/>
  <c r="F13" i="82"/>
  <c r="E13" i="82"/>
  <c r="D13" i="82"/>
  <c r="C13" i="82"/>
  <c r="B13" i="82"/>
  <c r="J13" i="82" s="1"/>
  <c r="I12" i="82"/>
  <c r="H12" i="82"/>
  <c r="G12" i="82"/>
  <c r="F12" i="82"/>
  <c r="E12" i="82"/>
  <c r="D12" i="82"/>
  <c r="C12" i="82"/>
  <c r="B12" i="82"/>
  <c r="J12" i="82" s="1"/>
  <c r="I11" i="82"/>
  <c r="H11" i="82"/>
  <c r="G11" i="82"/>
  <c r="F11" i="82"/>
  <c r="E11" i="82"/>
  <c r="D11" i="82"/>
  <c r="C11" i="82"/>
  <c r="B11" i="82"/>
  <c r="J11" i="82" s="1"/>
  <c r="H10" i="82"/>
  <c r="G10" i="82"/>
  <c r="F10" i="82"/>
  <c r="E10" i="82"/>
  <c r="D10" i="82"/>
  <c r="C10" i="82"/>
  <c r="B10" i="82"/>
  <c r="H9" i="82"/>
  <c r="G9" i="82"/>
  <c r="F9" i="82"/>
  <c r="E9" i="82"/>
  <c r="D9" i="82"/>
  <c r="C9" i="82"/>
  <c r="B9" i="82"/>
  <c r="J9" i="82" s="1"/>
  <c r="H8" i="82"/>
  <c r="G8" i="82"/>
  <c r="F8" i="82"/>
  <c r="E8" i="82"/>
  <c r="D8" i="82"/>
  <c r="C8" i="82"/>
  <c r="B8" i="82"/>
  <c r="J8" i="82" s="1"/>
  <c r="F7" i="82"/>
  <c r="H6" i="82"/>
  <c r="H7" i="82" s="1"/>
  <c r="H25" i="82" s="1"/>
  <c r="G6" i="82"/>
  <c r="G7" i="82" s="1"/>
  <c r="G25" i="82" s="1"/>
  <c r="F6" i="82"/>
  <c r="F55" i="82" s="1"/>
  <c r="F57" i="82" s="1"/>
  <c r="E6" i="82"/>
  <c r="E7" i="82" s="1"/>
  <c r="D6" i="82"/>
  <c r="D7" i="82" s="1"/>
  <c r="C6" i="82"/>
  <c r="C75" i="82" s="1"/>
  <c r="B6" i="82"/>
  <c r="J32" i="82" l="1"/>
  <c r="J50" i="82"/>
  <c r="H55" i="82"/>
  <c r="H57" i="82" s="1"/>
  <c r="J102" i="82"/>
  <c r="B75" i="82"/>
  <c r="I8" i="82"/>
  <c r="J10" i="82"/>
  <c r="J36" i="82"/>
  <c r="I39" i="82"/>
  <c r="J56" i="82"/>
  <c r="I69" i="82"/>
  <c r="I66" i="82"/>
  <c r="J90" i="82"/>
  <c r="J91" i="82"/>
  <c r="I107" i="82"/>
  <c r="I23" i="82"/>
  <c r="I24" i="82"/>
  <c r="I33" i="82"/>
  <c r="I92" i="82"/>
  <c r="D25" i="82"/>
  <c r="J23" i="82"/>
  <c r="J24" i="82"/>
  <c r="J31" i="82"/>
  <c r="J40" i="82"/>
  <c r="J44" i="82"/>
  <c r="J48" i="82"/>
  <c r="J52" i="82"/>
  <c r="E68" i="82"/>
  <c r="E74" i="82" s="1"/>
  <c r="J99" i="82"/>
  <c r="F25" i="82"/>
  <c r="I20" i="82"/>
  <c r="I37" i="82"/>
  <c r="F68" i="82"/>
  <c r="F74" i="82" s="1"/>
  <c r="J42" i="82"/>
  <c r="E25" i="82"/>
  <c r="I19" i="82"/>
  <c r="I15" i="82"/>
  <c r="I16" i="82"/>
  <c r="J19" i="82"/>
  <c r="J20" i="82"/>
  <c r="J21" i="82"/>
  <c r="C27" i="82"/>
  <c r="J27" i="82" s="1"/>
  <c r="I31" i="82"/>
  <c r="J35" i="82"/>
  <c r="G74" i="82"/>
  <c r="I70" i="82"/>
  <c r="I71" i="82"/>
  <c r="J73" i="82"/>
  <c r="I99" i="82"/>
  <c r="J111" i="82"/>
  <c r="I113" i="82"/>
  <c r="J109" i="82"/>
  <c r="J46" i="82"/>
  <c r="B74" i="82"/>
  <c r="J6" i="82"/>
  <c r="I6" i="82"/>
  <c r="B26" i="82"/>
  <c r="B55" i="82"/>
  <c r="I56" i="82"/>
  <c r="C68" i="82"/>
  <c r="B92" i="82"/>
  <c r="J92" i="82" s="1"/>
  <c r="I28" i="82"/>
  <c r="I30" i="82"/>
  <c r="I32" i="82"/>
  <c r="I34" i="82"/>
  <c r="I36" i="82"/>
  <c r="I38" i="82"/>
  <c r="I40" i="82"/>
  <c r="I42" i="82"/>
  <c r="I44" i="82"/>
  <c r="I46" i="82"/>
  <c r="I48" i="82"/>
  <c r="I50" i="82"/>
  <c r="I52" i="82"/>
  <c r="D55" i="82"/>
  <c r="D57" i="82" s="1"/>
  <c r="J65" i="82"/>
  <c r="J28" i="82"/>
  <c r="C57" i="82"/>
  <c r="I9" i="82"/>
  <c r="I13" i="82"/>
  <c r="I17" i="82"/>
  <c r="I21" i="82"/>
  <c r="G55" i="82"/>
  <c r="G57" i="82" s="1"/>
  <c r="I67" i="82"/>
  <c r="I41" i="82"/>
  <c r="I43" i="82"/>
  <c r="I45" i="82"/>
  <c r="I47" i="82"/>
  <c r="I49" i="82"/>
  <c r="I51" i="82"/>
  <c r="I53" i="82"/>
  <c r="I10" i="82"/>
  <c r="I14" i="82"/>
  <c r="I18" i="82"/>
  <c r="I22" i="82"/>
  <c r="C26" i="82" l="1"/>
  <c r="C7" i="82" s="1"/>
  <c r="I27" i="82"/>
  <c r="J26" i="82"/>
  <c r="C76" i="82"/>
  <c r="I57" i="82"/>
  <c r="I26" i="82"/>
  <c r="C25" i="82"/>
  <c r="I25" i="82" s="1"/>
  <c r="K21" i="82"/>
  <c r="K17" i="82"/>
  <c r="K13" i="82"/>
  <c r="K9" i="82"/>
  <c r="K22" i="82"/>
  <c r="K14" i="82"/>
  <c r="K24" i="82"/>
  <c r="K20" i="82"/>
  <c r="K16" i="82"/>
  <c r="K12" i="82"/>
  <c r="K8" i="82"/>
  <c r="K11" i="82"/>
  <c r="K7" i="82"/>
  <c r="K23" i="82"/>
  <c r="K15" i="82"/>
  <c r="I7" i="82"/>
  <c r="K18" i="82"/>
  <c r="K10" i="82"/>
  <c r="K19" i="82"/>
  <c r="C74" i="82"/>
  <c r="I74" i="82" s="1"/>
  <c r="I68" i="82"/>
  <c r="B7" i="82"/>
  <c r="J74" i="82"/>
  <c r="B57" i="82"/>
  <c r="J55" i="82"/>
  <c r="J68" i="82"/>
  <c r="J57" i="82" l="1"/>
  <c r="B76" i="82"/>
  <c r="B25" i="82"/>
  <c r="J25" i="82" s="1"/>
  <c r="J7" i="82"/>
  <c r="K25" i="82"/>
  <c r="E58" i="104" l="1"/>
  <c r="E57" i="104"/>
  <c r="E56" i="104"/>
  <c r="E55" i="104"/>
  <c r="E54" i="104"/>
  <c r="E53" i="104"/>
  <c r="E52" i="104"/>
  <c r="E49" i="104"/>
  <c r="E48" i="104"/>
  <c r="E47" i="104"/>
  <c r="E46" i="104"/>
  <c r="E45" i="104"/>
  <c r="E44" i="104"/>
  <c r="E43" i="104"/>
  <c r="E40" i="104"/>
  <c r="E39" i="104"/>
  <c r="E38" i="104"/>
  <c r="E37" i="104"/>
  <c r="E36" i="104"/>
  <c r="E35" i="104"/>
  <c r="E34" i="104"/>
  <c r="E31" i="104"/>
  <c r="E30" i="104"/>
  <c r="E29" i="104"/>
  <c r="E28" i="104"/>
  <c r="E27" i="104"/>
  <c r="E26" i="104"/>
  <c r="E25" i="104"/>
  <c r="E22" i="104"/>
  <c r="E21" i="104"/>
  <c r="E20" i="104"/>
  <c r="E19" i="104"/>
  <c r="E18" i="104"/>
  <c r="E17" i="104"/>
  <c r="E16" i="104"/>
  <c r="E13" i="104"/>
  <c r="E12" i="104"/>
  <c r="E11" i="104"/>
  <c r="E10" i="104"/>
  <c r="E9" i="104"/>
  <c r="E8" i="104"/>
  <c r="E7" i="104"/>
  <c r="F31" i="103" l="1"/>
  <c r="F30" i="103"/>
  <c r="F29" i="103"/>
  <c r="F28" i="103"/>
  <c r="F11" i="103"/>
  <c r="F12" i="103"/>
  <c r="F13" i="103"/>
  <c r="F14" i="103"/>
  <c r="F15" i="103"/>
  <c r="F16" i="103"/>
  <c r="F17" i="103"/>
  <c r="F18" i="103"/>
  <c r="F19" i="103"/>
  <c r="F20" i="103"/>
  <c r="F21" i="103"/>
  <c r="F22" i="103"/>
  <c r="F23" i="103"/>
  <c r="F10" i="103"/>
  <c r="F9" i="103"/>
  <c r="F8" i="103"/>
  <c r="E31" i="103" l="1"/>
  <c r="E30" i="103"/>
  <c r="E29" i="103"/>
  <c r="E28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H7" i="68"/>
  <c r="G7" i="68"/>
  <c r="F7" i="68"/>
  <c r="E7" i="68"/>
  <c r="D7" i="68"/>
  <c r="C7" i="68"/>
  <c r="B7" i="68"/>
  <c r="A7" i="68"/>
  <c r="G8" i="67"/>
  <c r="F8" i="67"/>
  <c r="E8" i="67"/>
  <c r="D8" i="67"/>
  <c r="C8" i="67"/>
  <c r="B8" i="67"/>
  <c r="A8" i="67"/>
  <c r="G6" i="67" l="1"/>
  <c r="F6" i="67"/>
  <c r="E39" i="105" l="1"/>
  <c r="E38" i="105"/>
  <c r="D38" i="105"/>
  <c r="E37" i="105"/>
  <c r="D37" i="105"/>
  <c r="E36" i="105"/>
  <c r="D36" i="105"/>
  <c r="E35" i="105"/>
  <c r="D35" i="105"/>
  <c r="E32" i="105"/>
  <c r="E31" i="105"/>
  <c r="D31" i="105"/>
  <c r="E30" i="105"/>
  <c r="D30" i="105"/>
  <c r="E29" i="105"/>
  <c r="D29" i="105"/>
  <c r="E28" i="105"/>
  <c r="E25" i="105"/>
  <c r="D25" i="105"/>
  <c r="E24" i="105"/>
  <c r="D24" i="105"/>
  <c r="E23" i="105"/>
  <c r="D23" i="105"/>
  <c r="E22" i="105"/>
  <c r="D22" i="105"/>
  <c r="E21" i="105"/>
  <c r="D21" i="105"/>
  <c r="E18" i="105"/>
  <c r="E17" i="105"/>
  <c r="D17" i="105"/>
  <c r="E16" i="105"/>
  <c r="D16" i="105"/>
  <c r="E15" i="105"/>
  <c r="D15" i="105"/>
  <c r="E14" i="105"/>
  <c r="D14" i="105"/>
  <c r="E11" i="105"/>
  <c r="E10" i="105"/>
  <c r="D10" i="105"/>
  <c r="E9" i="105"/>
  <c r="D9" i="105"/>
  <c r="E8" i="105"/>
  <c r="D8" i="105"/>
  <c r="E7" i="105"/>
  <c r="D7" i="105"/>
  <c r="G17" i="118"/>
  <c r="F17" i="118"/>
  <c r="E17" i="118"/>
  <c r="G16" i="118"/>
  <c r="F16" i="118"/>
  <c r="E16" i="118"/>
  <c r="G15" i="118"/>
  <c r="F15" i="118"/>
  <c r="E15" i="118"/>
  <c r="G14" i="118"/>
  <c r="F14" i="118"/>
  <c r="E14" i="118"/>
  <c r="G13" i="118"/>
  <c r="F13" i="118"/>
  <c r="E13" i="118"/>
  <c r="G12" i="118"/>
  <c r="F12" i="118"/>
  <c r="E12" i="118"/>
  <c r="G11" i="118"/>
  <c r="F11" i="118"/>
  <c r="G10" i="118"/>
  <c r="F10" i="118"/>
  <c r="G9" i="118"/>
  <c r="F9" i="118"/>
  <c r="E9" i="118"/>
  <c r="G8" i="118"/>
  <c r="F8" i="118"/>
  <c r="E8" i="118"/>
  <c r="G31" i="112"/>
  <c r="F31" i="112"/>
  <c r="E31" i="112"/>
  <c r="G30" i="112"/>
  <c r="F30" i="112"/>
  <c r="E30" i="112"/>
  <c r="G29" i="112"/>
  <c r="F29" i="112"/>
  <c r="E29" i="112"/>
  <c r="G28" i="112"/>
  <c r="F28" i="112"/>
  <c r="E28" i="112"/>
  <c r="F23" i="112"/>
  <c r="E23" i="112"/>
  <c r="F22" i="112"/>
  <c r="E22" i="112"/>
  <c r="G21" i="112"/>
  <c r="F21" i="112"/>
  <c r="E21" i="112"/>
  <c r="G20" i="112"/>
  <c r="F20" i="112"/>
  <c r="E20" i="112"/>
  <c r="G19" i="112"/>
  <c r="F19" i="112"/>
  <c r="E19" i="112"/>
  <c r="G18" i="112"/>
  <c r="F18" i="112"/>
  <c r="E18" i="112"/>
  <c r="G17" i="112"/>
  <c r="F17" i="112"/>
  <c r="E17" i="112"/>
  <c r="G16" i="112"/>
  <c r="F16" i="112"/>
  <c r="E16" i="112"/>
  <c r="G15" i="112"/>
  <c r="F15" i="112"/>
  <c r="E15" i="112"/>
  <c r="G14" i="112"/>
  <c r="F14" i="112"/>
  <c r="E14" i="112"/>
  <c r="G13" i="112"/>
  <c r="F13" i="112"/>
  <c r="E13" i="112"/>
  <c r="G12" i="112"/>
  <c r="F12" i="112"/>
  <c r="E12" i="112"/>
  <c r="G11" i="112"/>
  <c r="F11" i="112"/>
  <c r="E11" i="112"/>
  <c r="G10" i="112"/>
  <c r="F10" i="112"/>
  <c r="E10" i="112"/>
  <c r="G9" i="112"/>
  <c r="F9" i="112"/>
  <c r="E9" i="112"/>
  <c r="G8" i="112"/>
  <c r="F8" i="112"/>
  <c r="E8" i="112"/>
  <c r="G17" i="109"/>
  <c r="F17" i="109"/>
  <c r="E17" i="109"/>
  <c r="G16" i="109"/>
  <c r="F16" i="109"/>
  <c r="E16" i="109"/>
  <c r="G15" i="109"/>
  <c r="F15" i="109"/>
  <c r="E15" i="109"/>
  <c r="G14" i="109"/>
  <c r="F14" i="109"/>
  <c r="E14" i="109"/>
  <c r="G13" i="109"/>
  <c r="F13" i="109"/>
  <c r="E13" i="109"/>
  <c r="G12" i="109"/>
  <c r="F12" i="109"/>
  <c r="E12" i="109"/>
  <c r="G11" i="109"/>
  <c r="F11" i="109"/>
  <c r="E11" i="109"/>
  <c r="G10" i="109"/>
  <c r="F10" i="109"/>
  <c r="E10" i="109"/>
  <c r="G9" i="109"/>
  <c r="F9" i="109"/>
  <c r="E9" i="109"/>
  <c r="G8" i="109"/>
  <c r="F8" i="109"/>
  <c r="E8" i="109"/>
  <c r="G31" i="106"/>
  <c r="F31" i="106"/>
  <c r="E31" i="106"/>
  <c r="G30" i="106"/>
  <c r="F30" i="106"/>
  <c r="E30" i="106"/>
  <c r="G29" i="106"/>
  <c r="F29" i="106"/>
  <c r="E29" i="106"/>
  <c r="G28" i="106"/>
  <c r="F28" i="106"/>
  <c r="E28" i="106"/>
  <c r="G23" i="106"/>
  <c r="F23" i="106"/>
  <c r="E23" i="106"/>
  <c r="G22" i="106"/>
  <c r="F22" i="106"/>
  <c r="E22" i="106"/>
  <c r="G21" i="106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G9" i="106"/>
  <c r="F9" i="106"/>
  <c r="E9" i="106"/>
  <c r="G8" i="106"/>
  <c r="F8" i="106"/>
  <c r="E8" i="106"/>
  <c r="G11" i="103" l="1"/>
  <c r="G12" i="103"/>
  <c r="G13" i="103"/>
  <c r="G14" i="103"/>
  <c r="G15" i="103"/>
  <c r="G16" i="103"/>
  <c r="G17" i="103"/>
  <c r="G18" i="103"/>
  <c r="G19" i="103"/>
  <c r="G20" i="103"/>
  <c r="G21" i="103"/>
  <c r="G22" i="103"/>
  <c r="G23" i="103"/>
  <c r="G28" i="103"/>
  <c r="G29" i="103"/>
  <c r="G30" i="103"/>
  <c r="G31" i="103"/>
  <c r="G9" i="103"/>
  <c r="G10" i="103"/>
  <c r="G8" i="103"/>
</calcChain>
</file>

<file path=xl/sharedStrings.xml><?xml version="1.0" encoding="utf-8"?>
<sst xmlns="http://schemas.openxmlformats.org/spreadsheetml/2006/main" count="12571" uniqueCount="1051">
  <si>
    <t>Dział</t>
  </si>
  <si>
    <t>Wyszczególnienie</t>
  </si>
  <si>
    <t>Wykonanie</t>
  </si>
  <si>
    <t>Plan</t>
  </si>
  <si>
    <t>Wskaźnik</t>
  </si>
  <si>
    <t>Struktura</t>
  </si>
  <si>
    <t>Dynamika</t>
  </si>
  <si>
    <t>[5] : [4]</t>
  </si>
  <si>
    <t>[5] : [3]</t>
  </si>
  <si>
    <t>(w %%)</t>
  </si>
  <si>
    <t>[1]</t>
  </si>
  <si>
    <t>[2]</t>
  </si>
  <si>
    <t>[3]</t>
  </si>
  <si>
    <t>[4]</t>
  </si>
  <si>
    <t>[5]</t>
  </si>
  <si>
    <t>[6]</t>
  </si>
  <si>
    <t>[7]</t>
  </si>
  <si>
    <t>[8]</t>
  </si>
  <si>
    <t>Dochody ogółem, z tego: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</si>
  <si>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</si>
  <si>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</si>
  <si>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</si>
  <si>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</si>
  <si>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</si>
  <si>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</si>
  <si>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</si>
  <si>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</si>
  <si>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</si>
  <si>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</si>
  <si>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</si>
  <si>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>Wytwarzanie i zaopatrywanie w energię elektryczną,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</si>
  <si>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</si>
  <si>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</si>
  <si>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</si>
  <si>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</si>
  <si>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</si>
  <si>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</si>
  <si>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</si>
  <si>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Turystyka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</si>
  <si>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</si>
  <si>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</si>
  <si>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</si>
  <si>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</si>
  <si>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</si>
  <si>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</si>
  <si>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</si>
  <si>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Szkolnictwo wyższe i nauka</t>
  </si>
  <si>
    <t>750</t>
  </si>
  <si>
    <t>Administracja publiczna</t>
  </si>
  <si>
    <t>751</t>
  </si>
  <si>
    <t>Urzędy naczelnych organów władzy państwowej, kontroli i ochrony prawa oraz sądownictwa</t>
  </si>
  <si>
    <t>752</t>
  </si>
  <si>
    <t>Obrona narodowa</t>
  </si>
  <si>
    <t>753</t>
  </si>
  <si>
    <t>Obowiązkowe ubezpieczenia społeczne</t>
  </si>
  <si>
    <t>754</t>
  </si>
  <si>
    <t>Bezpieczeństwo publiczne i ochrona przeciwpożarowa</t>
  </si>
  <si>
    <t>755</t>
  </si>
  <si>
    <t>Wymiar sprawiedliwości</t>
  </si>
  <si>
    <t>756</t>
  </si>
  <si>
    <t>Dochody od osób prawnych, od osób fizycznych i od innych jednostek nieposiadających osobowości prawnej oraz wydatki związane z ich poborem</t>
  </si>
  <si>
    <t>757</t>
  </si>
  <si>
    <t>Obsługa długu publicznego</t>
  </si>
  <si>
    <t>758</t>
  </si>
  <si>
    <t>Różne rozliczenia</t>
  </si>
  <si>
    <t>801</t>
  </si>
  <si>
    <t>Oświata i wychowanie</t>
  </si>
  <si>
    <t>851</t>
  </si>
  <si>
    <t>Ochrona zdrowia</t>
  </si>
  <si>
    <t>852</t>
  </si>
  <si>
    <t>Pomoc społeczna</t>
  </si>
  <si>
    <t>853</t>
  </si>
  <si>
    <t>Pozostałe zadania w zakresie polityki społecznej</t>
  </si>
  <si>
    <t>854</t>
  </si>
  <si>
    <t>Edukacyjna opieka wychowawcza</t>
  </si>
  <si>
    <t>855</t>
  </si>
  <si>
    <t>Rodzina</t>
  </si>
  <si>
    <t>900</t>
  </si>
  <si>
    <t>Gospodarka komunalna i ochrona środowiska</t>
  </si>
  <si>
    <t>921</t>
  </si>
  <si>
    <t>Kultura i ochrona dziedzictwa narodowego</t>
  </si>
  <si>
    <t>925</t>
  </si>
  <si>
    <t>Ogrody botaniczne i zoologiczne oraz naturalne obszary i obiekty chronionej przyrody</t>
  </si>
  <si>
    <t>926</t>
  </si>
  <si>
    <t>Kultura fizyczna</t>
  </si>
  <si>
    <t>Tablica 4. Dochody jednostek samorządu terytorialnego według działów</t>
  </si>
  <si>
    <t>x</t>
  </si>
  <si>
    <t>WK</t>
  </si>
  <si>
    <t>z tego:</t>
  </si>
  <si>
    <t>Dotacje celowe 
na 1 mieszkańca</t>
  </si>
  <si>
    <t>na   inwestycje</t>
  </si>
  <si>
    <t>na zadania bieżące</t>
  </si>
  <si>
    <t>[4] : [3]</t>
  </si>
  <si>
    <t>(w złotych)</t>
  </si>
  <si>
    <t>[9]</t>
  </si>
  <si>
    <t>Ogółem, z tego:</t>
  </si>
  <si>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</si>
  <si>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</si>
  <si>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</si>
  <si>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</si>
  <si>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</si>
  <si>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</si>
  <si>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</si>
  <si>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</si>
  <si>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</si>
  <si>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</si>
  <si>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</si>
  <si>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</si>
  <si>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</si>
  <si>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</si>
  <si>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</si>
  <si>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</si>
  <si>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</si>
  <si>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</si>
  <si>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</si>
  <si>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</si>
  <si>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</si>
  <si>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</si>
  <si>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</si>
  <si>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</si>
  <si>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</si>
  <si>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</si>
  <si>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</si>
  <si>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</si>
  <si>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</si>
  <si>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</si>
  <si>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</si>
  <si>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</si>
  <si>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 xml:space="preserve">Źródło: </t>
  </si>
  <si>
    <t>Ogółem</t>
  </si>
  <si>
    <t>w tym: na zadania bieżące</t>
  </si>
  <si>
    <t>Udział</t>
  </si>
  <si>
    <t>[7] : [6]</t>
  </si>
  <si>
    <t>[7] : [4]</t>
  </si>
  <si>
    <t>%%</t>
  </si>
  <si>
    <t/>
  </si>
  <si>
    <t>bieżące</t>
  </si>
  <si>
    <t>majątkowe</t>
  </si>
  <si>
    <t>[4] :[3]</t>
  </si>
  <si>
    <t>Ogółem dotacje, z  tego:</t>
  </si>
  <si>
    <t xml:space="preserve"> - przekazane w ramach programów finansowanych z udziałem środków europejskich oraz innych środków zagranicznych niepodlegających zwrotowi oraz płatności z budżetu środków europejskich*</t>
  </si>
  <si>
    <t xml:space="preserve"> - na zadania z zakresu administracji rządowej</t>
  </si>
  <si>
    <t xml:space="preserve"> - na zadania własne</t>
  </si>
  <si>
    <t>w tym: na zadania bieżące gmin z zakresu edukacyjnej opieki wychowawczej z budżetu państwa w ramach programów rządowych</t>
  </si>
  <si>
    <t xml:space="preserve"> - na zadania realizowane na podstawie porozumień    z organami administracji rządowej</t>
  </si>
  <si>
    <t xml:space="preserve"> - na zadania realizowane na podstawie porozumień między  jst</t>
  </si>
  <si>
    <t>- z tytułu pomocy finansowej udzielanej między jst</t>
  </si>
  <si>
    <t>- z funduszy celowych</t>
  </si>
  <si>
    <t xml:space="preserve"> - na finansowanie lub dofinansowanie zadań inwestycyjnych obiektów zabytkowych oraz prac remontowych i konserwatorskich przy zabytkach</t>
  </si>
  <si>
    <t xml:space="preserve"> - środkiotrzymane ze środków z Funduszu Przeciwdziałania COVID-19 (m.in.. z Rządowego Funduszu Inwestycji Lokalnych)</t>
  </si>
  <si>
    <t>[10]</t>
  </si>
  <si>
    <t>Dotacje ogółem, z tego:</t>
  </si>
  <si>
    <t>Wydatki ogółem</t>
  </si>
  <si>
    <t>część gminna</t>
  </si>
  <si>
    <t>część powiatowa</t>
  </si>
  <si>
    <t xml:space="preserve">pozostałe </t>
  </si>
  <si>
    <t>pozostałe</t>
  </si>
  <si>
    <t xml:space="preserve">Liczba mieszkańców </t>
  </si>
  <si>
    <t xml:space="preserve">Dochody </t>
  </si>
  <si>
    <t>Wydatki</t>
  </si>
  <si>
    <t>Wynik</t>
  </si>
  <si>
    <t>Zobowiązania</t>
  </si>
  <si>
    <t>na 1 mieszkańca</t>
  </si>
  <si>
    <t>w złotych</t>
  </si>
  <si>
    <t>Dochody ogółem</t>
  </si>
  <si>
    <t>Wskaźnik  (5:4)</t>
  </si>
  <si>
    <t>Wskaźnik
 (8:7)</t>
  </si>
  <si>
    <t>Wynik
(5-8)</t>
  </si>
  <si>
    <t>Zobowiązania do wykonanych dochodów    (11:5)</t>
  </si>
  <si>
    <t>w %%</t>
  </si>
  <si>
    <t>[11]</t>
  </si>
  <si>
    <t>PK</t>
  </si>
  <si>
    <t>Nazwa powiatu</t>
  </si>
  <si>
    <t>[12]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</si>
  <si>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</si>
  <si>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</si>
  <si>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</si>
  <si>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</si>
  <si>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</si>
  <si>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</si>
  <si>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</si>
  <si>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</si>
  <si>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</si>
  <si>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</si>
  <si>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</si>
  <si>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</si>
  <si>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</si>
  <si>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</si>
  <si>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</si>
  <si>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</si>
  <si>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</si>
  <si>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</si>
  <si>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</si>
  <si>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</si>
  <si>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</si>
  <si>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</si>
  <si>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</si>
  <si>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</si>
  <si>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</si>
  <si>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</si>
  <si>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</si>
  <si>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</si>
  <si>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</si>
  <si>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</si>
  <si>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</si>
  <si>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</si>
  <si>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</si>
  <si>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</si>
  <si>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</si>
  <si>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</si>
  <si>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</si>
  <si>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</si>
  <si>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</si>
  <si>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</si>
  <si>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</si>
  <si>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</si>
  <si>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</si>
  <si>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</si>
  <si>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</si>
  <si>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</si>
  <si>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</si>
  <si>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</si>
  <si>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</si>
  <si>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</si>
  <si>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</si>
  <si>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</si>
  <si>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</si>
  <si>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</si>
  <si>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</si>
  <si>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</si>
  <si>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</si>
  <si>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</si>
  <si>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</si>
  <si>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</si>
  <si>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</si>
  <si>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</si>
  <si>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</si>
  <si>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</si>
  <si>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</si>
  <si>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</si>
  <si>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</si>
  <si>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</si>
  <si>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</si>
  <si>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</si>
  <si>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</si>
  <si>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</si>
  <si>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</si>
  <si>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</si>
  <si>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</si>
  <si>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</si>
  <si>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</si>
  <si>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</si>
  <si>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</si>
  <si>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</si>
  <si>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</si>
  <si>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</si>
  <si>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</si>
  <si>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</si>
  <si>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</si>
  <si>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</si>
  <si>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</si>
  <si>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</si>
  <si>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</si>
  <si>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</si>
  <si>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</si>
  <si>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</si>
  <si>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</si>
  <si>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</si>
  <si>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</si>
  <si>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</si>
  <si>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</si>
  <si>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</si>
  <si>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</si>
  <si>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</si>
  <si>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</si>
  <si>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</si>
  <si>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</si>
  <si>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</si>
  <si>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</si>
  <si>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</si>
  <si>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</si>
  <si>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</si>
  <si>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</si>
  <si>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</si>
  <si>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</si>
  <si>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</si>
  <si>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</si>
  <si>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</si>
  <si>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</si>
  <si>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</si>
  <si>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</si>
  <si>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</si>
  <si>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</si>
  <si>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</si>
  <si>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</si>
  <si>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</si>
  <si>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</si>
  <si>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</si>
  <si>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</si>
  <si>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</si>
  <si>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</si>
  <si>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</si>
  <si>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</si>
  <si>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</si>
  <si>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</si>
  <si>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</si>
  <si>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</si>
  <si>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</si>
  <si>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</si>
  <si>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</si>
  <si>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</si>
  <si>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</si>
  <si>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</si>
  <si>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</si>
  <si>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</si>
  <si>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</si>
  <si>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</si>
  <si>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</si>
  <si>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</si>
  <si>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</si>
  <si>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</si>
  <si>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</si>
  <si>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</si>
  <si>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</si>
  <si>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</si>
  <si>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</si>
  <si>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</si>
  <si>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</si>
  <si>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</si>
  <si>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</si>
  <si>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</si>
  <si>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</si>
  <si>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</si>
  <si>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</si>
  <si>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</si>
  <si>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</si>
  <si>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</si>
  <si>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</si>
  <si>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</si>
  <si>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</si>
  <si>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</si>
  <si>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</si>
  <si>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</si>
  <si>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</si>
  <si>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</si>
  <si>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</si>
  <si>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</si>
  <si>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</si>
  <si>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</si>
  <si>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</si>
  <si>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</si>
  <si>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</si>
  <si>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</si>
  <si>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</si>
  <si>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</si>
  <si>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</si>
  <si>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</si>
  <si>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</si>
  <si>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</si>
  <si>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</si>
  <si>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</si>
  <si>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</si>
  <si>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</si>
  <si>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</si>
  <si>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</si>
  <si>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</si>
  <si>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</si>
  <si>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</si>
  <si>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</si>
  <si>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</si>
  <si>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</si>
  <si>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</si>
  <si>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</si>
  <si>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</si>
  <si>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</si>
  <si>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</si>
  <si>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</si>
  <si>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</si>
  <si>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</si>
  <si>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</si>
  <si>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</si>
  <si>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</si>
  <si>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</si>
  <si>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</si>
  <si>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</si>
  <si>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</si>
  <si>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</si>
  <si>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</si>
  <si>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</si>
  <si>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</si>
  <si>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</si>
  <si>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</si>
  <si>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</si>
  <si>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</si>
  <si>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</si>
  <si>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</si>
  <si>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</si>
  <si>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</si>
  <si>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</si>
  <si>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</si>
  <si>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</si>
  <si>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</si>
  <si>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</si>
  <si>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</si>
  <si>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</si>
  <si>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</si>
  <si>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</si>
  <si>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</si>
  <si>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</si>
  <si>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</si>
  <si>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</si>
  <si>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</si>
  <si>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</si>
  <si>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</si>
  <si>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</si>
  <si>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</si>
  <si>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</si>
  <si>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</si>
  <si>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</si>
  <si>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</si>
  <si>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</si>
  <si>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</si>
  <si>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</si>
  <si>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</si>
  <si>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</si>
  <si>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</si>
  <si>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</si>
  <si>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</si>
  <si>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</si>
  <si>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</si>
  <si>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</si>
  <si>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</si>
  <si>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</si>
  <si>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</si>
  <si>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</si>
  <si>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</si>
  <si>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</si>
  <si>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</si>
  <si>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</si>
  <si>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</si>
  <si>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</si>
  <si>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</si>
  <si>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</si>
  <si>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</si>
  <si>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</si>
  <si>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</si>
  <si>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</si>
  <si>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</si>
  <si>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</si>
  <si>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</si>
  <si>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</si>
  <si>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</si>
  <si>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</si>
  <si>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</si>
  <si>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</si>
  <si>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</si>
  <si>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</si>
  <si>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</si>
  <si>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</si>
  <si>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</si>
  <si>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</si>
  <si>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</si>
  <si>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</si>
  <si>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</si>
  <si>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</si>
  <si>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</si>
  <si>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</si>
  <si>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</si>
  <si>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</si>
  <si>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</si>
  <si>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</si>
  <si>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</si>
  <si>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</si>
  <si>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</si>
  <si>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</si>
  <si>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</si>
  <si>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</si>
  <si>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</si>
  <si>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Nazwa jednostki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</si>
  <si>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</si>
  <si>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</si>
  <si>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</si>
  <si>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</si>
  <si>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</si>
  <si>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</si>
  <si>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</si>
  <si>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</si>
  <si>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</si>
  <si>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</si>
  <si>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</si>
  <si>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</si>
  <si>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</si>
  <si>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</si>
  <si>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</si>
  <si>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</si>
  <si>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</si>
  <si>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</si>
  <si>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</si>
  <si>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</si>
  <si>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</si>
  <si>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</si>
  <si>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</si>
  <si>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</si>
  <si>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</si>
  <si>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</si>
  <si>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</si>
  <si>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</si>
  <si>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</si>
  <si>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</si>
  <si>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</si>
  <si>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</si>
  <si>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</si>
  <si>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</si>
  <si>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</si>
  <si>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</si>
  <si>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</si>
  <si>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</si>
  <si>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</si>
  <si>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</si>
  <si>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</si>
  <si>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</si>
  <si>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</si>
  <si>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</si>
  <si>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</si>
  <si>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</si>
  <si>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</si>
  <si>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</si>
  <si>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</si>
  <si>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</si>
  <si>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</si>
  <si>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</si>
  <si>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</si>
  <si>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</si>
  <si>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</si>
  <si>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</si>
  <si>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</si>
  <si>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</si>
  <si>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</si>
  <si>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</si>
  <si>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</si>
  <si>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</si>
  <si>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</si>
  <si>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</si>
  <si>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</si>
  <si>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</si>
  <si>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Zobowiązania do wykonanych dochodów    (10:4)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</si>
  <si>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</si>
  <si>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</si>
  <si>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</si>
  <si>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</si>
  <si>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</si>
  <si>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</si>
  <si>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</si>
  <si>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</si>
  <si>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</si>
  <si>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</si>
  <si>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</si>
  <si>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</si>
  <si>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</si>
  <si>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</si>
  <si>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</si>
  <si>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</si>
  <si>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Wydatki ogółem, z tego:</t>
  </si>
  <si>
    <t>Wydatki majątkowe</t>
  </si>
  <si>
    <t>Wydatki majątkowe na 1 mieszkańca</t>
  </si>
  <si>
    <t>Udział wydatków majątkowych w wydatkach ogółem</t>
  </si>
  <si>
    <t>Wydatki na inwestycje</t>
  </si>
  <si>
    <t>Wydatki inwestycyjne na 1 mieszkańca</t>
  </si>
  <si>
    <t>Udział wydatków inwestycyjnych w wydatkach ogółem</t>
  </si>
  <si>
    <t>w tym:</t>
  </si>
  <si>
    <t>wynagrodzenia i pochodne</t>
  </si>
  <si>
    <t>dotacje</t>
  </si>
  <si>
    <t>świadczenia dla osób fizycznych</t>
  </si>
  <si>
    <t xml:space="preserve">z udziałem środków zagranicznych </t>
  </si>
  <si>
    <t>z udziałem środków zagranicznych</t>
  </si>
  <si>
    <t>Wskaźniki</t>
  </si>
  <si>
    <t>[6] : [4]</t>
  </si>
  <si>
    <t xml:space="preserve">Wydatki ogółem </t>
  </si>
  <si>
    <t>Wydatki ogółem w dziale 750 - Administracja publiczna</t>
  </si>
  <si>
    <t xml:space="preserve">wydatki bieżące z udziałem środków zagranicznych </t>
  </si>
  <si>
    <t>wydatki majątkowe z udziałem środków zagranicznych</t>
  </si>
  <si>
    <t>[6] : [5]</t>
  </si>
  <si>
    <t>[7] : [5]</t>
  </si>
  <si>
    <t>[13]</t>
  </si>
  <si>
    <t xml:space="preserve">Wyszczególnienie </t>
  </si>
  <si>
    <t xml:space="preserve">Struktura </t>
  </si>
  <si>
    <t>Wskaźnik 
(3:2)</t>
  </si>
  <si>
    <t>Struktura dochodów  własnych</t>
  </si>
  <si>
    <t>DOCHODY OGÓŁEM</t>
  </si>
  <si>
    <t>Razem dochody własne 
z tego:</t>
  </si>
  <si>
    <t>podatek od środków transportowych</t>
  </si>
  <si>
    <t>podatek od czynności cywilnoprawnych</t>
  </si>
  <si>
    <t>wpływy z opłaty eksploatacyjnej</t>
  </si>
  <si>
    <t>wpływy z opłaty targowej</t>
  </si>
  <si>
    <t>dochody z majątku</t>
  </si>
  <si>
    <t xml:space="preserve">pozostałe dochody </t>
  </si>
  <si>
    <t>Dotacje ogółem 
z tego:</t>
  </si>
  <si>
    <t>#</t>
  </si>
  <si>
    <t>Dotacje celowe 
z tego:</t>
  </si>
  <si>
    <t>na zadania z zakresu adm. rządowej</t>
  </si>
  <si>
    <t>w tym:   inwestycyjne</t>
  </si>
  <si>
    <t xml:space="preserve">na zadania własne </t>
  </si>
  <si>
    <t xml:space="preserve">na zadania realizowane na podstawie porozumień  z org. adm. rządowej </t>
  </si>
  <si>
    <t>na zadania realizowane na podstawie porozumień między jst</t>
  </si>
  <si>
    <t>z tytułu pomocy finansowej udzielanej między jst na dofinansowanie własnych zadań</t>
  </si>
  <si>
    <t>otrzymane z funduszy celowych</t>
  </si>
  <si>
    <t>na finansowanie lub dofinansowanie zadań inwestycyjnych obiektów zabytkowych oraz prac remontowych i konserwatorskich przy zabytkach</t>
  </si>
  <si>
    <t>w tym: inwestycyjne</t>
  </si>
  <si>
    <t>otrzymane z Funduszu Pomocy lub z innych środków (*)</t>
  </si>
  <si>
    <t>część rekompensująca</t>
  </si>
  <si>
    <t>(*) na finansowanie lub dofinansowanie realizacji zadań w zakresie pomocy obywatelom Ukrainy</t>
  </si>
  <si>
    <t>Zobowiązania wg stanu na koniec 
okresu sprawozdawczego</t>
  </si>
  <si>
    <t>w tym wymagalne:</t>
  </si>
  <si>
    <t>WYDATKI OGÓŁEM 
z tego:</t>
  </si>
  <si>
    <t xml:space="preserve">wydatki majątkowe      </t>
  </si>
  <si>
    <t>w tym:   wydatki na inwestycje</t>
  </si>
  <si>
    <t>wydatki bieżące 
z tego:</t>
  </si>
  <si>
    <t>wynagrodzenia i składki od nich naliczane</t>
  </si>
  <si>
    <t>wydatki na obsługę długu</t>
  </si>
  <si>
    <t>wydatki z tytułu udzielania poręczeń i gwarancji</t>
  </si>
  <si>
    <t>świadczenia na rzecz osób fizycznych</t>
  </si>
  <si>
    <t>pozostałe wydatki</t>
  </si>
  <si>
    <t xml:space="preserve">WYNIK  </t>
  </si>
  <si>
    <t>WYDATKI Z UDZIAŁEM ŚRODKÓW, O KTÓRYCH MOWA W ART. 5 UST. 1 pkt 2</t>
  </si>
  <si>
    <t>WYDATKI OGÓŁEM UE
z tego:</t>
  </si>
  <si>
    <t>wydatki majątkowe</t>
  </si>
  <si>
    <t>wydatki bieżące</t>
  </si>
  <si>
    <t>Plan (po zmianach)</t>
  </si>
  <si>
    <t xml:space="preserve">Wykonanie </t>
  </si>
  <si>
    <t>Przychody ogółem 
z tego:</t>
  </si>
  <si>
    <t>kredyty, pożyczki, emisja papierów wartościowych 
w tym:</t>
  </si>
  <si>
    <t>ze sprzedaży papierów wartościowych</t>
  </si>
  <si>
    <t>spłata  udzielonych pożyczek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</si>
  <si>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</si>
  <si>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</si>
  <si>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prywatyzacja majątku JST</t>
  </si>
  <si>
    <t>wolne środki , o których mowa w art. 217 ust.2 pkt 6 ustawy o finansach publicznych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</si>
  <si>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</si>
  <si>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</si>
  <si>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</si>
  <si>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Rozchody ogółem 
z tego:</t>
  </si>
  <si>
    <t>spłaty kredytów i pożyczek, wykup papierów wartościowych w tym:</t>
  </si>
  <si>
    <t>wykup papierów wartościowych</t>
  </si>
  <si>
    <t>udzielone pożyczki</t>
  </si>
  <si>
    <t>inne cele, w tym:</t>
  </si>
  <si>
    <t>lokaty na okres wykraczający poza rok budżetowy</t>
  </si>
  <si>
    <t>FINANSOWANIE DEFICYTU (E1+E2+E3+E4+E5+E6+E7+E8)  
z tego:</t>
  </si>
  <si>
    <t>sprzedaż papierów wartościowych wyemitowanych przez jednostkę samorządu terytorialnego</t>
  </si>
  <si>
    <t>kredyty i pożyczki</t>
  </si>
  <si>
    <t>prywatyzacja majątku jednostki samorządu terytorialnego</t>
  </si>
  <si>
    <t>nadwyżka budżetu jednostki samorządu terytorialnego z lat ubiegłych, pomniejszona o środki określone w art. 217 ust. 2 pkt 8 ustawy o finansach publicznych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</si>
  <si>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</si>
  <si>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</si>
  <si>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</si>
  <si>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Zobowiązania według tytułów dłużnych (wg wartości nominalnej)</t>
  </si>
  <si>
    <t>kwota 
zadłużenia
ogółem
(kol. 3+15)</t>
  </si>
  <si>
    <t>wierzyciele krajowi</t>
  </si>
  <si>
    <t xml:space="preserve">      wierzyciele zagraniczni</t>
  </si>
  <si>
    <t>ogółem 
(kol. 4+9+10+11 +12+13+14)</t>
  </si>
  <si>
    <t>sektora finansów publicznych (kol.5+6+7+8)</t>
  </si>
  <si>
    <t>grupa I</t>
  </si>
  <si>
    <t>grupa II</t>
  </si>
  <si>
    <t>grupa III</t>
  </si>
  <si>
    <t>grupa IV</t>
  </si>
  <si>
    <t>bank 
centralny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</si>
  <si>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</si>
  <si>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</si>
  <si>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</si>
  <si>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</si>
  <si>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</si>
  <si>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</si>
  <si>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</si>
  <si>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</si>
  <si>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E  ZOBOWIĄZANIA WG TYTUŁÓW 
    DŁUŻNYCH (E1+E2+E3+E4)</t>
  </si>
  <si>
    <t>E1 papiery wartościowe (E1.1+E1.2)</t>
  </si>
  <si>
    <t>E1.1 krótkotermionowe</t>
  </si>
  <si>
    <t>E1.2 długoterminowe</t>
  </si>
  <si>
    <t>E2 kredyty i pożyczki (E2.1+E2.2)</t>
  </si>
  <si>
    <t>E2.1 krótkotermionowe</t>
  </si>
  <si>
    <t>E2.2 długoterminowe</t>
  </si>
  <si>
    <t>E3 przyjęte depozyty</t>
  </si>
  <si>
    <t>E4  wymagalne zobowiązania (E4.1+E4.2)</t>
  </si>
  <si>
    <t>E4.1 z tytułu dostaw towarów i usług</t>
  </si>
  <si>
    <t>E4.2 pozostałe</t>
  </si>
  <si>
    <t>A. Należności oraz wybrane aktywa finansowe</t>
  </si>
  <si>
    <t>kwota 
należności
ogółem
(kol. 3+15)</t>
  </si>
  <si>
    <t>dłużnicy  krajowi</t>
  </si>
  <si>
    <t xml:space="preserve">      dłużnicy zagraniczni</t>
  </si>
  <si>
    <t>ogółem 
(kol 4+9+10+11 +12+13+14)</t>
  </si>
  <si>
    <t>sektor 
finansów 
publicznych 
ogółem 
(kol 5+6+7+8)</t>
  </si>
  <si>
    <t xml:space="preserve">grupa I </t>
  </si>
  <si>
    <t xml:space="preserve">grupa II </t>
  </si>
  <si>
    <t xml:space="preserve">grupa III </t>
  </si>
  <si>
    <t>banku centralnego</t>
  </si>
  <si>
    <t>N1 papiery wartościowe (N1.1+N1.2)</t>
  </si>
  <si>
    <t>N1.1 krótkotermionowe</t>
  </si>
  <si>
    <t>N1.2  długoterminowe</t>
  </si>
  <si>
    <t>N2  pożyczki (N2.1+N2.2)</t>
  </si>
  <si>
    <t>N2.1 krótkotermionowe</t>
  </si>
  <si>
    <t>N2.2 długoterminowe</t>
  </si>
  <si>
    <t>N3 gotówka i depozyty (N3.1+N3.2+N3.3)</t>
  </si>
  <si>
    <t>N3.1 gotówka</t>
  </si>
  <si>
    <t>N3.2 depozyty na żądanie</t>
  </si>
  <si>
    <t>N3.3 depozyty terminowe</t>
  </si>
  <si>
    <t>N4 należności wymagalne (N4.1+N4.2)</t>
  </si>
  <si>
    <t>N4.1 z tytułu dostaw towarów i usług</t>
  </si>
  <si>
    <t>N4.2 pozostałe</t>
  </si>
  <si>
    <t>N5 pozostałe należności  (N5.1+N5.2+N5.3)</t>
  </si>
  <si>
    <t>N5.1 z tytułu dostaw towarów i usług</t>
  </si>
  <si>
    <t>N5.2 z tytułu podatków i składek na ubezpieczenia społ.</t>
  </si>
  <si>
    <t>N5.3 z tytułu innych niż wymienione powyżej</t>
  </si>
  <si>
    <t>Poręczenia i gwarancje</t>
  </si>
  <si>
    <t>kwota 
zadłużenia
ogółem
(kol. 3+8)</t>
  </si>
  <si>
    <t>wierzyciele i dłużnicy</t>
  </si>
  <si>
    <t>podmioty 
sektora finansów 
publicznych 
(kol.4+5+6+7)</t>
  </si>
  <si>
    <t xml:space="preserve">grupa IV </t>
  </si>
  <si>
    <t>pozostałe
podmioty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</si>
  <si>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</si>
  <si>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</si>
  <si>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</si>
  <si>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</si>
  <si>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</si>
  <si>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</si>
  <si>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</si>
  <si>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r>
      <t xml:space="preserve">Plan 
(po zmianach)
</t>
    </r>
    <r>
      <rPr>
        <b/>
        <sz val="10"/>
        <color indexed="8"/>
        <rFont val="Arial Narrow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</si>
  <si>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 Narrow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</si>
  <si>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 Narrow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</si>
  <si>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 Narrow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</si>
  <si>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 Narrow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</si>
  <si>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 Narrow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</si>
  <si>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 Narrow"/>
        <family val="2"/>
        <charset val="238"/>
      </rPr>
      <t>R3</t>
    </r>
  </si>
  <si>
    <t>Dotacje §§ 200 i 620</t>
  </si>
  <si>
    <t>w tym: inwestycyjne § 620</t>
  </si>
  <si>
    <t>Dotacje §§ 205 i 625</t>
  </si>
  <si>
    <t>w tym: inwestycyjne § 625</t>
  </si>
  <si>
    <r>
      <t xml:space="preserve">Plan 
(po zmianach)
</t>
    </r>
    <r>
      <rPr>
        <b/>
        <sz val="10"/>
        <rFont val="Arial Narrow"/>
        <family val="2"/>
        <charset val="238"/>
      </rPr>
      <t>R1</t>
    </r>
  </si>
  <si>
    <r>
      <t xml:space="preserve">Wydatki
 wykonane
</t>
    </r>
    <r>
      <rPr>
        <b/>
        <sz val="10"/>
        <rFont val="Arial Narrow"/>
        <family val="2"/>
        <charset val="238"/>
      </rPr>
      <t>R4</t>
    </r>
  </si>
  <si>
    <r>
      <t xml:space="preserve">Zaangażowanie
</t>
    </r>
    <r>
      <rPr>
        <b/>
        <sz val="10"/>
        <rFont val="Arial Narrow"/>
        <family val="2"/>
        <charset val="238"/>
      </rPr>
      <t>R10</t>
    </r>
  </si>
  <si>
    <r>
      <t xml:space="preserve">Wydatki, które nie wygasły 
z upływem roku budżetowego) 
(art.263 ust. 2 ustawy 
o finansach publicznych) 
</t>
    </r>
    <r>
      <rPr>
        <b/>
        <sz val="10"/>
        <rFont val="Arial Narrow"/>
        <family val="2"/>
        <charset val="238"/>
      </rPr>
      <t>R9</t>
    </r>
  </si>
  <si>
    <r>
      <t xml:space="preserve">ogółem
</t>
    </r>
    <r>
      <rPr>
        <b/>
        <sz val="10"/>
        <rFont val="Arial Narrow"/>
        <family val="2"/>
        <charset val="238"/>
      </rPr>
      <t>R11</t>
    </r>
  </si>
  <si>
    <r>
      <t xml:space="preserve">powstałe w latach ubiegłych
</t>
    </r>
    <r>
      <rPr>
        <b/>
        <sz val="10"/>
        <rFont val="Arial Narrow"/>
        <family val="2"/>
        <charset val="238"/>
      </rPr>
      <t>R12U</t>
    </r>
  </si>
  <si>
    <r>
      <t xml:space="preserve">powstałe w roku bieżącym
</t>
    </r>
    <r>
      <rPr>
        <b/>
        <sz val="10"/>
        <rFont val="Arial Narrow"/>
        <family val="2"/>
        <charset val="238"/>
      </rPr>
      <t>R12B</t>
    </r>
  </si>
  <si>
    <t xml:space="preserve"> </t>
  </si>
  <si>
    <t>Wydatki ogółem UE 
z tego:</t>
  </si>
  <si>
    <t>kredyty, pożyczki, emisja papierów wartościowych
w tym:</t>
  </si>
  <si>
    <t>niewykorzystane środki pieniężne o których mowa w art. 217 ust. 2 pkt 8 ustawy o finansach publicznych</t>
  </si>
  <si>
    <t>wolne środki, o których mowa w art. 217 ust. 2 pkt 6 ustawy o finansach publicznych</t>
  </si>
  <si>
    <t>stan niespłaconych na koniec okresu sprawozdawczego zobowiązań przeznaczonych na cel , o którym mowa w art.. 89 ust. 1 pkt 1 ustawy o finansach publicznych</t>
  </si>
  <si>
    <t>spłaty kredytów i pożyczek, wykup papierów wartościowych 
w tym:</t>
  </si>
  <si>
    <t>E1 papiery wartościowe 
     (E1.1+E1.2)</t>
  </si>
  <si>
    <t>E2 kredyty i pożyczki 
     (E2.1+E2.2)</t>
  </si>
  <si>
    <t>E4  wymagalne zobowiązania 
     (E4.1+E4.2)</t>
  </si>
  <si>
    <t>N5.2 z tytułu podatków i składek na 
ubezpieczenia społ.</t>
  </si>
  <si>
    <t>kredyty, pożyczki, emisja papierów wartościowych w tym: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</si>
  <si>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</si>
  <si>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</si>
  <si>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</si>
  <si>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E1 papiery wartościowe  (E1.1+E1.2)</t>
  </si>
  <si>
    <t>- część gminna</t>
  </si>
  <si>
    <t>na zadania z zakresu adm. Rządowej (*)</t>
  </si>
  <si>
    <t>na zadania własne (*)</t>
  </si>
  <si>
    <t>- część powiatowa</t>
  </si>
  <si>
    <t>- pozostałe</t>
  </si>
  <si>
    <t>na zadania z zakresu adm. rządowej w zakresie pomocy obywatelom Ukrainy</t>
  </si>
  <si>
    <t>na zadania własne w zakresie pomocy obywatelom Ukrainy</t>
  </si>
  <si>
    <t>otrzymane z Funduszu Pomocy lub z innych środków (**)</t>
  </si>
  <si>
    <t xml:space="preserve">(*) nie obejmuje zadań w zakresie pomocy obywatelom Ukrainy </t>
  </si>
  <si>
    <t>(**) na finansowanie lub dofinansowanie realizacji zadań w zakresie pomocy obywatelom Ukrainy</t>
  </si>
  <si>
    <t>WYDATKI OGÓŁEM UE                    z tego:</t>
  </si>
  <si>
    <t>niewykorzystane środki pieniężne o których mowa w art.217 ust.2 pkt.8 ustawy o finansach publicznych</t>
  </si>
  <si>
    <t>sektora finansów publicznych (kol.5+7+8)</t>
  </si>
  <si>
    <t>wierzyciele</t>
  </si>
  <si>
    <t xml:space="preserve">DOCHODY OGÓŁEM </t>
  </si>
  <si>
    <t>bieżace</t>
  </si>
  <si>
    <t>Wydatki Ogółem UE                                         z tego:</t>
  </si>
  <si>
    <t>E  ZOBOWIĄZANIA WG TYTUŁÓW DŁUŻNYCH (E1+E2+E3+E4)</t>
  </si>
  <si>
    <t>udziały w podatku dochodowym PIT (tylko w związkach metropolitalnych)</t>
  </si>
  <si>
    <t>Wpływy z wpłat gmin i powiatów na rzecz związków</t>
  </si>
  <si>
    <t>Wpływy z innych lokalnych opłat pobieranych przez JST na podstawie odrębnych ustaw</t>
  </si>
  <si>
    <t>Dotacje ogółem                                  z tego:</t>
  </si>
  <si>
    <t>Tablica 3. Dochody jednostek samorządu terytorialnego według źródeł pochodzenia</t>
  </si>
  <si>
    <t>Wskaźnik 
[4] : [3]</t>
  </si>
  <si>
    <t>Dynamika 
[4] : [2]</t>
  </si>
  <si>
    <t>DOCHODY OGÓŁEM
z tego:</t>
  </si>
  <si>
    <t>DOCHODY WŁASNE
z tego:</t>
  </si>
  <si>
    <t>podatek dochodowy od osób prawnych</t>
  </si>
  <si>
    <t>podatek dochodowy od osób fizycznych</t>
  </si>
  <si>
    <t>pozostałe dochody</t>
  </si>
  <si>
    <t>DOTACJE OGÓŁEM
z tego:</t>
  </si>
  <si>
    <t>Dotacje celowe</t>
  </si>
  <si>
    <t>Przekazane w ramach programów finansowanych z udziałem środków europejskich oraz innych środków zagranicznych niepodlegających zwrotowi oraz płatności z budżetu środków europejskich</t>
  </si>
  <si>
    <t xml:space="preserve">SUBWENCJA OGÓLNA   </t>
  </si>
  <si>
    <t>Wskaźnik            [4] : [3]</t>
  </si>
  <si>
    <t>Wskaźnik                   [4] : [3]</t>
  </si>
  <si>
    <t>Wskaźnik
[4] : [3]</t>
  </si>
  <si>
    <t>Plan po
zmianach</t>
  </si>
  <si>
    <t>Wykonanie 
planu</t>
  </si>
  <si>
    <t>Wskaźnik
[3]:[2]</t>
  </si>
  <si>
    <t>Struktura
według form</t>
  </si>
  <si>
    <t>OGÓŁEM</t>
  </si>
  <si>
    <t>Stan środków obrotowych na początek roku</t>
  </si>
  <si>
    <t>Przychody</t>
  </si>
  <si>
    <t xml:space="preserve">   w tym: dotacje z budżetu</t>
  </si>
  <si>
    <t>Koszty</t>
  </si>
  <si>
    <t>wpłaty do budżetu</t>
  </si>
  <si>
    <t>*</t>
  </si>
  <si>
    <t>Stan środków obrotowych na koniec roku</t>
  </si>
  <si>
    <t>GMINY</t>
  </si>
  <si>
    <t>POWIATY</t>
  </si>
  <si>
    <t>MIASTA NA PRAWACH POWIATU</t>
  </si>
  <si>
    <t>WOJEWÓDZTWA</t>
  </si>
  <si>
    <t>ZWIĄZKI JST</t>
  </si>
  <si>
    <t xml:space="preserve">           * wskaźnik powyżej 1000%</t>
  </si>
  <si>
    <t>Stan środków pieniężnych na początek roku</t>
  </si>
  <si>
    <t>Dochody</t>
  </si>
  <si>
    <t xml:space="preserve"> Wydatki</t>
  </si>
  <si>
    <t xml:space="preserve">   w tym: wpłaty do budżetu</t>
  </si>
  <si>
    <t>Stan środków pieniężnych na koniec roku</t>
  </si>
  <si>
    <t xml:space="preserve">         * wskaźnik powyżej 1000%</t>
  </si>
  <si>
    <t xml:space="preserve">Wydatki ogółem w dziale 801 - Oświata i wychowanie i 854 - Edukacyjna opieka wychowawcza </t>
  </si>
  <si>
    <t>L.p.</t>
  </si>
  <si>
    <t>Środki dla gmin</t>
  </si>
  <si>
    <t xml:space="preserve"> w złotych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</si>
  <si>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</si>
  <si>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</si>
  <si>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</si>
  <si>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</si>
  <si>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</si>
  <si>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</si>
  <si>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</si>
  <si>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</si>
  <si>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</si>
  <si>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Razem</t>
  </si>
  <si>
    <t>Środki dla powiatów</t>
  </si>
  <si>
    <t>Środki dla miast na prawach powiatu</t>
  </si>
  <si>
    <t>Środki dla województw</t>
  </si>
  <si>
    <t>Wskaźnik  (4:3)</t>
  </si>
  <si>
    <t>Wskaźnik
 (7:6)</t>
  </si>
  <si>
    <t>Wynik
(4-7)</t>
  </si>
  <si>
    <t>Tablica 26. Zestawienie wykonania wydatków  gmin w dziale 801  - Oświata i wychowanie 
                  i 854 - Edukacyjna opieka wychowawcza na zadania subwencjonowane 
                  (w układzie wojewódzkim)</t>
  </si>
  <si>
    <t>Źródło: Zestawienie środków przekazanych jednostkom samorządu terytorialnego na podstawie danych Ministerstwa Finansów</t>
  </si>
  <si>
    <t>Tablica 2.  Dochody, wydatki, wynik i zobowiązania jednostek samorządu terytorialnego 
                  na 1 mieszkańca według województw</t>
  </si>
  <si>
    <t xml:space="preserve"> - otrzymane z Funduszu Pomocy lub z innych środków (*)</t>
  </si>
  <si>
    <t>Wykonanie
2024</t>
  </si>
  <si>
    <t>[3] :[2]</t>
  </si>
  <si>
    <t>[9] : [8]</t>
  </si>
  <si>
    <t>[9] : [5]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</si>
  <si>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</si>
  <si>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</si>
  <si>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</si>
  <si>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</si>
  <si>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</si>
  <si>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</si>
  <si>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</si>
  <si>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</si>
  <si>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</si>
  <si>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</si>
  <si>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Subwencja ogólna, w tym:</t>
  </si>
  <si>
    <t>środki na uzupełnienie dochodów jednostek samorządu terytorialnego</t>
  </si>
  <si>
    <t>Dochody bieżące 
minus  wydatki bieżące (Db-Wb)</t>
  </si>
  <si>
    <t>Wynik budżetu</t>
  </si>
  <si>
    <t>dodatni (nadwyżka)</t>
  </si>
  <si>
    <t>ujemny (deficyt)</t>
  </si>
  <si>
    <t>zrównoważony</t>
  </si>
  <si>
    <t>liczba JST</t>
  </si>
  <si>
    <t>kwota</t>
  </si>
  <si>
    <t>Planowany</t>
  </si>
  <si>
    <t>Wykonany</t>
  </si>
  <si>
    <t>Wynik operacyjny (Db-Wb)</t>
  </si>
  <si>
    <r>
      <t xml:space="preserve">Plan 
(po zmianach)
</t>
    </r>
    <r>
      <rPr>
        <b/>
        <sz val="8"/>
        <color indexed="8"/>
        <rFont val="Arial Narrow"/>
        <family val="2"/>
        <charset val="238"/>
      </rPr>
      <t>R1</t>
    </r>
  </si>
  <si>
    <r>
      <t xml:space="preserve">Dochody 
wykonane
(wpływy minus zwroty) 
</t>
    </r>
    <r>
      <rPr>
        <b/>
        <sz val="8"/>
        <color indexed="8"/>
        <rFont val="Arial Narrow"/>
        <family val="2"/>
        <charset val="238"/>
      </rPr>
      <t>R4</t>
    </r>
  </si>
  <si>
    <r>
      <t xml:space="preserve">Obniżenie górnych stawek podatkowych
</t>
    </r>
    <r>
      <rPr>
        <b/>
        <sz val="8"/>
        <color indexed="8"/>
        <rFont val="Arial Narrow"/>
        <family val="2"/>
        <charset val="238"/>
      </rPr>
      <t>R7</t>
    </r>
  </si>
  <si>
    <r>
      <t xml:space="preserve">Ulgi i zwolnienia
</t>
    </r>
    <r>
      <rPr>
        <b/>
        <sz val="8"/>
        <color indexed="8"/>
        <rFont val="Arial Narrow"/>
        <family val="2"/>
        <charset val="238"/>
      </rPr>
      <t>R8</t>
    </r>
  </si>
  <si>
    <r>
      <t xml:space="preserve">Umorzenie zaległości podatkowych
</t>
    </r>
    <r>
      <rPr>
        <b/>
        <sz val="8"/>
        <color indexed="8"/>
        <rFont val="Arial Narrow"/>
        <family val="2"/>
        <charset val="238"/>
      </rPr>
      <t>R11Z</t>
    </r>
  </si>
  <si>
    <r>
      <t xml:space="preserve">Rozłożenie na raty, odroczenie terminu płatności
</t>
    </r>
    <r>
      <rPr>
        <b/>
        <sz val="8"/>
        <color indexed="8"/>
        <rFont val="Arial Narrow"/>
        <family val="2"/>
        <charset val="238"/>
      </rPr>
      <t>R11R</t>
    </r>
  </si>
  <si>
    <r>
      <t xml:space="preserve">Potrącenia 
</t>
    </r>
    <r>
      <rPr>
        <b/>
        <sz val="8"/>
        <color indexed="8"/>
        <rFont val="Arial Narrow"/>
        <family val="2"/>
        <charset val="238"/>
      </rPr>
      <t>R3</t>
    </r>
  </si>
  <si>
    <r>
      <t xml:space="preserve">Plan 
(po zmianach)
</t>
    </r>
    <r>
      <rPr>
        <b/>
        <sz val="8"/>
        <rFont val="Arial Narrow"/>
        <family val="2"/>
        <charset val="238"/>
      </rPr>
      <t>R1</t>
    </r>
  </si>
  <si>
    <r>
      <t xml:space="preserve">Wydatki
 wykonane
</t>
    </r>
    <r>
      <rPr>
        <b/>
        <sz val="8"/>
        <rFont val="Arial Narrow"/>
        <family val="2"/>
        <charset val="238"/>
      </rPr>
      <t>R4</t>
    </r>
  </si>
  <si>
    <r>
      <t xml:space="preserve">Zaangażowanie
</t>
    </r>
    <r>
      <rPr>
        <b/>
        <sz val="8"/>
        <rFont val="Arial Narrow"/>
        <family val="2"/>
        <charset val="238"/>
      </rPr>
      <t>R10</t>
    </r>
  </si>
  <si>
    <r>
      <t xml:space="preserve">Wydatki, które nie wygasły 
z upływem roku budżetowego) 
(art.263 ust. 2 ustawy 
o finansach publicznych) 
</t>
    </r>
    <r>
      <rPr>
        <b/>
        <sz val="8"/>
        <rFont val="Arial Narrow"/>
        <family val="2"/>
        <charset val="238"/>
      </rPr>
      <t>R9</t>
    </r>
  </si>
  <si>
    <r>
      <t xml:space="preserve">ogółem
</t>
    </r>
    <r>
      <rPr>
        <b/>
        <sz val="8"/>
        <rFont val="Arial Narrow"/>
        <family val="2"/>
        <charset val="238"/>
      </rPr>
      <t>R11</t>
    </r>
  </si>
  <si>
    <r>
      <t xml:space="preserve">powstałe w latach ubiegłych
</t>
    </r>
    <r>
      <rPr>
        <b/>
        <sz val="8"/>
        <rFont val="Arial Narrow"/>
        <family val="2"/>
        <charset val="238"/>
      </rPr>
      <t>R12U</t>
    </r>
  </si>
  <si>
    <r>
      <t xml:space="preserve">powstałe w roku bieżącym
</t>
    </r>
    <r>
      <rPr>
        <b/>
        <sz val="8"/>
        <rFont val="Arial Narrow"/>
        <family val="2"/>
        <charset val="238"/>
      </rPr>
      <t>R12B</t>
    </r>
  </si>
  <si>
    <t>Tablica 1. Informacja z wykonania budżetów jednostek samorządu terytorialnego za IV kwartały 2025 roku</t>
  </si>
  <si>
    <t>Źródło: Sprawozdania z wykonania budżetów jednostek samorządu terytorialnego za 2025 r. (Min. Fin.).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</si>
  <si>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</si>
  <si>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</si>
  <si>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</si>
  <si>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</si>
  <si>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</si>
  <si>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</si>
  <si>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</si>
  <si>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</si>
  <si>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</si>
  <si>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</si>
  <si>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</si>
  <si>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</si>
  <si>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</si>
  <si>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</si>
  <si>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</si>
  <si>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</si>
  <si>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</si>
  <si>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</si>
  <si>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</si>
  <si>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</si>
  <si>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</si>
  <si>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</si>
  <si>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</si>
  <si>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t>Źródło: Sprawozdania z wykonania budżetów jednostek samorządu terytorialnego za 2024 i 2025 r. (Min. Fin.)</t>
  </si>
  <si>
    <t>Sprawozdania z wykonania budżetów jednostek samorządu terytorialnego za 2025 r. (Min. Fin.).</t>
  </si>
  <si>
    <t>Liczba mieszkańców według stanu na 31.12.2024 r. (GUS).</t>
  </si>
  <si>
    <t>Źródło: Sprawozdania z wykonania budżetów jednostek samorządu terytorialnego za 2025 r. (Min. Fin.)</t>
  </si>
  <si>
    <t>Sprawozdania z wykonania budżetów jednostek samorządu terytorialnego za 2024 i 2025 r. (Min. Fin.).</t>
  </si>
  <si>
    <t>Źródło: Sprawozdania roczne z wykonania budżetów jednostek samorządu terytorialnego za 2024 i 2025 r. (Min. Fin.)</t>
  </si>
  <si>
    <t>* w pozycji tej zostały ujęte również dotacje rozwojowe podlegające rozliczeniu w 2025 r.</t>
  </si>
  <si>
    <t>Źródło: Sprawozdania z wykonania budżetów jednostek samorządu terytorialnego za 2025r. (Min. Fin.)</t>
  </si>
  <si>
    <t>Plan
2025</t>
  </si>
  <si>
    <t>Wykonanie
2025</t>
  </si>
  <si>
    <t>Źródło: Sprawozdania roczne jednostek samorządu terytorialnego z wykonania planów finansowych samorządowych zakładów budżetowych 
               za 2025 rok. (Min. Fin)</t>
  </si>
  <si>
    <t>Źródło: Sprawozdania roczne jednostek samorządu terytorialnego z wykonania dochodów i wydatków na rachunku 
           z art. 223  ust.1 za 2025 r. (Min. Fin)</t>
  </si>
  <si>
    <t>Wykonanie
 2024</t>
  </si>
  <si>
    <t>Plan
(po zmianach) 
2025</t>
  </si>
  <si>
    <t>Źródło:  Sprawozdania z wykonania budżetów jednostek samorządu terytorialnego za 2024 r. i 2025 r.  (Min.Fin.)</t>
  </si>
  <si>
    <t>Plan
(po zmianach)
2025</t>
  </si>
  <si>
    <t>Wykonanie                              2025</t>
  </si>
  <si>
    <t>Źródło:  Sprawozdania z wykonania budżetów gmin za 2024 r. i 2025 r.  (Min.Fin.)</t>
  </si>
  <si>
    <t>Wykonanie                   2025</t>
  </si>
  <si>
    <t>Źródło:  Sprawozdania z wykonania budżetów powiatów za 2024 r. i 2025 r.  (Min.Fin.)</t>
  </si>
  <si>
    <t>Źródło:  Sprawozdania z wykonania budżetów miast na prawach powiatu za 2024 r. i 2025 r.  (Min.Fin.)</t>
  </si>
  <si>
    <t>Źródło:  Sprawozdania z wykonania budżetów województw za 2024 r. i 2025 r.  (Min.Fin.)</t>
  </si>
  <si>
    <t>WYKONANIE ZA 2025 r.</t>
  </si>
  <si>
    <t xml:space="preserve">Wykaz tytułów stanowiących podstawę do przyznania jednostkom samorządu terytorialnego środków rezerwy
na uzupełnienie dochodów jednostek samorządu terytorialnego        </t>
  </si>
  <si>
    <t xml:space="preserve">Kwota rezerwy przekazana jednostkom samorządu terytorialnego </t>
  </si>
  <si>
    <t>% rozdysponowanej kwoty rezerwy 
(po zmianach)</t>
  </si>
  <si>
    <t>Osiągnięcie nadwyżki dochodów, ustalonych na rok 2025 zgodnie z nową ustawą, ponad łączne dochody na rok 2025, obliczone zgodnie z ustawą obowiązującą do końca 2024 r. - art. 89 ust. 2 i 3 ustawy o dochodach jednostek samorządu terytorialnego</t>
  </si>
  <si>
    <t>Dofinansowanie inwestycji na drogach publicznych powiatowych i wojewódzkich oraz na drogach powiatowych, wojewódzkich i krajowych w granicach miast na prawach powiatu, a także na dofinansowanie remontów, utrzymania i ochrony dróg krajowych i wojewódzkich w granicach miast na prawach powiatu i zarządzania nimi - art. 90 ustawy o dochodach jednostek samorządu terytorialnego</t>
  </si>
  <si>
    <t>-</t>
  </si>
  <si>
    <t>82 467 373,00*</t>
  </si>
  <si>
    <t xml:space="preserve">Dla gmin, w których powierzchnia parku narodowego, znajdująca się na terenie gminy, jest większa niż 20% powierzchni tej gminy lub powierzchnia parku narodowego na obszarze gminy jest większa niż 2000 ha - art. 91 ustawy o dochodach jednostek samorządu terytorialnego </t>
  </si>
  <si>
    <t>Dla gmin uzdrowiskowych - art. 92 ustawy o dochodach jednostek samorządu terytorialnego</t>
  </si>
  <si>
    <t>W obszarze drogi: z tego:</t>
  </si>
  <si>
    <t>5a.</t>
  </si>
  <si>
    <t>- realizacja zadań zgłoszonych przez powiaty, miasta na prawach powiatu i województwa, na dofinasowanie inwestycji na drogach zapewniających dojazd do centrów logistycznych</t>
  </si>
  <si>
    <t>5b..</t>
  </si>
  <si>
    <t xml:space="preserve">- realizacja zadań na drogach gminnych znajdujących się na listach rezerwowych zadań do dofinansowania ze środków Rządowego Funduszu Rozwoju Dróg w 2025 r. </t>
  </si>
  <si>
    <t>W obszarze pomoc społeczna, z tego:</t>
  </si>
  <si>
    <t>6a.</t>
  </si>
  <si>
    <t xml:space="preserve">- w ramach systemu pomocy społecznej -  dla jednostek samorządu terytorialnego prowadzących domy pomocy społecznej o zasięgu ponadgminnym lub zlecających prowadzenie takich domów </t>
  </si>
  <si>
    <t>6b.</t>
  </si>
  <si>
    <t xml:space="preserve">- w ramach systemu pieczy zastępczej - dla jednostek samorządu terytorialnego realizujących zadania w tym zakresie </t>
  </si>
  <si>
    <t>W obszarze oświaty, z tego:</t>
  </si>
  <si>
    <t>7a.</t>
  </si>
  <si>
    <t>- sfinansowanie skutków wzrostu w roku 2025 średnich wynagrodzeń nauczycieli ponad poziom tego wzrostu przyjęty do ustalenia potrzeb oświatowych na rok 2025.</t>
  </si>
  <si>
    <t>7b.</t>
  </si>
  <si>
    <t>- pomoc jednostkom samorządu terytorialnego w usuwaniu skutków działania powodzi z września 2024 r. w publicznych szkołach i placówkach oświatowych prowadzonych przez jednostki samorządu terytorialnego.</t>
  </si>
  <si>
    <t>7c.</t>
  </si>
  <si>
    <t>- pomoc jednostkom samorządu terytorialnego w usuwaniu skutków zdarzeń losowych w budynkach publicznych szkół i placówek oświatowych prowadzonych przez jednostki samorządu terytorialnego.</t>
  </si>
  <si>
    <t>7d.</t>
  </si>
  <si>
    <t>- zwiększenie dochodów jednostek samorządu terytorialnego w związku ze wzrostem poziomu potrzeb oświatowych w 2025 r.</t>
  </si>
  <si>
    <t>7e.</t>
  </si>
  <si>
    <t xml:space="preserve">- dofinansowanie wzrostu zakresu zadań oświatowych w stosunku do zakresu zadań przyjętego do obliczenia potrzeb oświatowych na rok 2025. </t>
  </si>
  <si>
    <t>7f.</t>
  </si>
  <si>
    <t>- dofinansowanie innych zadań o jednorazowym charakterze</t>
  </si>
  <si>
    <t>Na uzupełnienie dochodów jednostek samorządu terytorialnego</t>
  </si>
  <si>
    <t xml:space="preserve">Dla miast na prawach powiatu i powiatów, których dochody, obliczone na podstawie uchwalonej ustawy o dochodach jednostek samorządu terytorialnego, są niższe od wstępnych kwot, wyliczonych na podstawie projektu tej ustawy skierowanego do rozpatrzenia przez Radę Ministrów. </t>
  </si>
  <si>
    <t>846 366 548,43*</t>
  </si>
  <si>
    <t>*/</t>
  </si>
  <si>
    <t>kwota nie uwzględnia zwrotu niewykorzystanych środków, w wysokości 275 698,01 zł</t>
  </si>
  <si>
    <t>Tablica 5. Zestawienie środków przekazanych w roku 2025 z rezerwy na uzupełnienie dochodów jednostek samorządu terytorialnego</t>
  </si>
  <si>
    <t>Tablica 6. Dotacje celowe z budżetu państwa na finansowanie zadań z zakresu administracji rządowej jednostek     
                samorządu terytorialnego według województw</t>
  </si>
  <si>
    <t>Tablica 7.  Dotacje celowe z budżetu państwa na dofinansowanie zadań własnych jednostek samorządu
                   terytorialnego według województw</t>
  </si>
  <si>
    <t>Tablica 9. Dotacje i płatności z budżetu środków europejskich</t>
  </si>
  <si>
    <t>Tablica 10. Dotacje celowe jednostek samorządu terytorialnego przekazane w ramach programów finansowanych z udziałem środków
                  europejskich oraz innych środków zagranicznych niepodlegających zwrotowi oraz płatności z budżetu środków
                  europejskich według działów</t>
  </si>
  <si>
    <t>Tablica 11. Dotacje celowe z budżetu państwa na zadania zlecone z zakresu administracji rządowej jednostek samorządu 
                    terytorialnego według działów</t>
  </si>
  <si>
    <t>Tablica 12. Dotacje celowe z budżetu państwa na finansowanie lub dofinansowanie zadań własnych jednostek samorządu 
                   terytorialnego według działów</t>
  </si>
  <si>
    <t>Tablica 13. Dotacje celowe z budżetu państwa na finansowanie zadań realizowanych przez jednostki samorządu
                   terytorialnego na podstawie porozumień z organami administracji rządowej według działów</t>
  </si>
  <si>
    <t>Tablica 14. Wydatki jednostek samorządu terytorialnego według działów</t>
  </si>
  <si>
    <t>Tablica 15. Wydatki majątkowe i inwestycyjne jednostek samorządu terytorialnego według województw</t>
  </si>
  <si>
    <t>Tablica 16 . Przychody i koszty samorządowych zakładów budżetowych</t>
  </si>
  <si>
    <t>Tablica 17. Dochody i wydatki  na rachunku, o którym mowa w art. 223 ust. 1 ustawy o finansach 
                   publicznych</t>
  </si>
  <si>
    <t>Tablica 18. Informacja z wykonania budżetów gmin za IV kwartały 2025 roku</t>
  </si>
  <si>
    <t>Tablica 19. Informacja z wykonania budżetów gmin miejskich za IV kwartały 2025 roku</t>
  </si>
  <si>
    <t>Tablica 20. Informacja z wykonania budżetów gmin wiejskich za IV kwartały 2025 roku</t>
  </si>
  <si>
    <t>Tablica 21. Informacja z wykonania budżetów gmin miejsko-wiejskich za IV kwartały 2025 roku</t>
  </si>
  <si>
    <t>Tablica 22. Dochody, wydatki, wynik i zobowiązania gmin na 1 mieszkańca według województw</t>
  </si>
  <si>
    <t>Tablica 23. Zestawienie dochodów, wydatków, wyniku oraz zobowiązań gmin według województw</t>
  </si>
  <si>
    <t>Tablica 24. Dochody gmin według źródeł pochodzenia</t>
  </si>
  <si>
    <t>Tablica 25. Dochody gmin według działów</t>
  </si>
  <si>
    <t>Tablica 27. Dotacje celowe z budżetu państwa na finansowanie zadań z zakresu administracji rządowej gmin według
                    województw</t>
  </si>
  <si>
    <t>Tablica 28. Dotacje celowe z budżetu państwa na dofinansowanie zadań własnych gmin według województw</t>
  </si>
  <si>
    <t>Tablica 29. Dotacje celowe z budżetu państwa na finansowanie zadań realizowanych przez gminy na podstawie
                    porozumień z organami administracji rządowej według województw</t>
  </si>
  <si>
    <t>Tablica 30. Dotacje celowe gmin przekazane w ramach programów finansowanych z udziałem środków europejskich oraz
                    innych środków zagranicznych niepodlegających zwrotowi oraz płatności z budżetu środków europejskich
                    według działów</t>
  </si>
  <si>
    <t>Tablica 31. Dotacje celowe z budżetu państwa na zadania zlecone z zakresu administracji rządowej gmin według działów</t>
  </si>
  <si>
    <t>Tablica 32. Dotacje celowe z budżetu państwa na finansowanie lub dofinansowanie zadań własnych gmin według działów</t>
  </si>
  <si>
    <t>Tablica 33. Wydatki gmin według działów i rodzajów</t>
  </si>
  <si>
    <t>Tablica 34. Wydatki gmin wiejskich według działów i rodzajów</t>
  </si>
  <si>
    <t>Tablica 35. Zestawienie wykonania wydatków, wydatków bieżących oraz wydatków majątkowych w dziale 750 – Administracja publiczna w gminach według województw</t>
  </si>
  <si>
    <t>Tablica 36. Wydatki majątkowe i inwestycyjne gmin według województw</t>
  </si>
  <si>
    <t>Tablica 37. Informacja z wykonania budżetów powiatów za IV kwartały 2025 roku</t>
  </si>
  <si>
    <t>Tablica 38. Dochody, wydatki, wynik i zobowiązania powiatów na 1 mieszkańca według województw</t>
  </si>
  <si>
    <t>Tablica 39. Dochody powiatów według źródeł pochodzenia</t>
  </si>
  <si>
    <t>Tablica 40. Dochody powiatów według działów</t>
  </si>
  <si>
    <t>Tablica 41. Zestawienie dochodów, wydatków, wyniku oraz zobowiązań w poszczególnych powiatach</t>
  </si>
  <si>
    <t>Tablica 42. Zestawienie wykonania wydatków powiatów w dziale 801  - Oświata i wychowanie i 854 - Edukacyjna opieka
                    wychowawcza na zadania subwencjonowane</t>
  </si>
  <si>
    <t>Tablica 43. Dotacje celowe z budżetu państwa na finansowanie zadań z zakresu administracji rządowej powiatów według województw</t>
  </si>
  <si>
    <t>Tablica 44. Dotacje celowe z budżetu państwa na dofinansowanie zadań własnych powiatów według województw</t>
  </si>
  <si>
    <t>Tablica 45. Dotacje celowe z budżetu państwa na finansowanie zadań realizowanych przez powiaty na podstawie
                    porozumień z organami administracji rządowej według województw</t>
  </si>
  <si>
    <t>Tablica 46. Dotacje celowe powiatów przekazane w ramach programów finansowanych z udziałem środków europejskich
                    oraz innych środków zagranicznych niepodlegających zwrotowi oraz płatności z budżetu środków 
                    europejskich według działów</t>
  </si>
  <si>
    <t>Tablica 47. Dotacje celowe z budżetu państwa na zadania zlecone z zakresu administracji rządowej powiatów według działów</t>
  </si>
  <si>
    <t>Tablica 48. Dotacje celowe z budżetu państwa na finansowanie lub dofinansowanie zadań własnych powiatów według działów</t>
  </si>
  <si>
    <t>Tablica 49. Zestawienie wykonania wydatków, wydatków bieżących oraz wydatków majątkowych w dziale 750 – Administracja publiczna w poszczególnych powiatach</t>
  </si>
  <si>
    <t>Tablica 50. Wydatki majątkowe i inwestycyjne powiatów według województw</t>
  </si>
  <si>
    <t>Tablica 51. Wydatki powiatów według działów i rodzajów</t>
  </si>
  <si>
    <t>Tablica 52. Informacja z wykonania budżetów miast na prawach powiatu za IV kwartały 2025 roku</t>
  </si>
  <si>
    <t>Tablica 53. Dochody, wydatki i wynik miast na prawach powiatu na 1 mieszkańca według województw</t>
  </si>
  <si>
    <t>Tablica 54. Dochody miast na prawach powiatu według źródeł pochodzenia</t>
  </si>
  <si>
    <t>Tablica 55. Dochody miast na prawach powiatu według działów</t>
  </si>
  <si>
    <t>Tablica 56. Zestawienie dochodów, wydatków, wyniku oraz zobowiązań w poszczególnych miastach na prawach powiatu</t>
  </si>
  <si>
    <t xml:space="preserve">Tablica 57. Zestawienie wykonania wydatków miast na prawach powiatu w dziale 801 - Oświata i wychowanie 
                      i 854 - Edukacyjna opieka wychowawcza na zadania subwencjonowane </t>
  </si>
  <si>
    <t>Tablica 58. Dotacje celowe z budżetu państwa na finansowanie zadań z zakresu administracji rządowej miast na prawach 
                    powiatu (część gminna) według województw</t>
  </si>
  <si>
    <t>Tablica 59. Dotacje celowe z budżetu państwa na dofinansowanie zadań własnych miast na prawach powiatu (część gminna)
                    według województw</t>
  </si>
  <si>
    <t>Tablica 60. Dotacje celowe z budżetu państwa na finansowanie zadań realizowanych przez miasta na prawach powiatu
                    (część gminna) na podstawie porozumień z organami administracji rządowej według województw</t>
  </si>
  <si>
    <t>Tablica 61. Dotacje celowe z budżetu państwa na finansowanie zadań z zakresu administracji rządowej miast na prawach powiatu
                    (część powiatowa) według województw</t>
  </si>
  <si>
    <t>Tablica 62. Dotacje celowe z budżetu państwa na dofinansowanie zadań własnych miast na prawach powiatu (część
                    powiatowa) według województw</t>
  </si>
  <si>
    <t>Tablica 63. Dotacje celowe z budżetu państwa na finansowanie zadań realizowanych przez miasta na prawach powiatu
                    (część powiatowa) na podstawie porozumień z organami administracji rządowej według województw</t>
  </si>
  <si>
    <t>Tablica 64. Dotacje celowe miast na prawach powiatu przekazane w ramach programów finansowanych z udziałem środków europejskich oraz 
                    innych środków zagranicznych niepodlegających zwrotowi oraz płatności z budżetu środków europejskich według działów</t>
  </si>
  <si>
    <t>Tablica 65. Dotacje celowe z budżetu państwa na zadania zlecone z zakresu administracji rządowej miast na prawach powiatu według działów</t>
  </si>
  <si>
    <t>Tablica 66. Dotacje celowe z budżetu państwa na finansowanie lub dofinansowanie zadań własnych miast na prawach powiatu według działów</t>
  </si>
  <si>
    <t>Tablica 67. Wydatki miast na prawach powiatu według działów i rodzajów</t>
  </si>
  <si>
    <t>Tablica 69. Wydatki majątkowe i inwestycyjne miast na prawach powiatu według województw</t>
  </si>
  <si>
    <t>Tablica 70. Informacja z wykonania budżetów województw za IV kwartały 2025 roku</t>
  </si>
  <si>
    <t>Tablica 71. Dochody, wydatki, wynik i zobowiązania województw na 1 mieszkańca</t>
  </si>
  <si>
    <t xml:space="preserve">Tablica 72. Zestawienie dochodów, wydatków, wyniku oraz zobowiązań w poszczególnych województwach </t>
  </si>
  <si>
    <t>Tablica 73. Dochody województw według źródeł pochodzenia</t>
  </si>
  <si>
    <t>Tablica 74. Dochody województw według działów</t>
  </si>
  <si>
    <t>Tablica 75. Zestawienie wykonania wydatków województw w dziale 801 – Oświata i wychowanie 
                      i 854 – Edukacyjna opieka wychowawcza na zadania subwencjonowane</t>
  </si>
  <si>
    <t>Tablica 76. Dotacje celowe z budżetu państwa na finansowanie zadań z zakresu administracji rządowej województw</t>
  </si>
  <si>
    <t>Tablica 77. Dotacje celowe z budżetu państwa na dofinansowanie zadań własnych województw</t>
  </si>
  <si>
    <t xml:space="preserve">Tablica 78. Dotacje celowe z budżetu państwa na finansowanie zadań realizowanych przez województwa na 
                    podstawie porozumień z organami administracji rządowej </t>
  </si>
  <si>
    <t>Tablica 79. Dotacje celowe województw przekazane w ramach programów finansowanych z udziałem środków europejskich
                    oraz innych środków zagranicznych niepodlegających zwrotowi oraz płatności z budżetu środków europejskich
                    według działów</t>
  </si>
  <si>
    <t>Tablica 80. Dotacje celowe z budżetu państwa na zadania zlecone z zakresu administracji rządowej województw 
                    według działów</t>
  </si>
  <si>
    <t>Tablica 81. Dotacje celowe z budżetu państwa na finansowanie lub dofinansowanie zadań własnych województw 
                    według działów</t>
  </si>
  <si>
    <t>Tablica 82. Wydatki województw według działów i rodzajów</t>
  </si>
  <si>
    <t>Tablica 83. Zestawienie wykonania wydatków, wydatków bieżących oraz wydatków majątkowych w dziale 750 – Administracja publiczna w poszczególnych województwach</t>
  </si>
  <si>
    <t>Tablica 84. Wydatki majątkowe i inwestycyjne województw</t>
  </si>
  <si>
    <t>Tablica 86. Informacja z wykonania budżetów związków jednostek samorządu terytorialnego za IV kwartały 2025 roku Górnośląsko-Zagłębiowska Metropolia</t>
  </si>
  <si>
    <t>Tablica 68. Zestawienie wykonania wydatków, wydatków bieżących oraz wydatków majątkowych w dziale 750 – Administracja publiczna w poszczególnych miastach 
                    na prawach powiatu</t>
  </si>
  <si>
    <t>Tablica 85. Informacja z wykonania budżetów związków jednostek samorządu terytorialnego za IV kwartały 2025 roku - bez Metropolii</t>
  </si>
  <si>
    <t>Tablica 8. Dotacje celowe z budżetu państwa na finansowanie zadań realizowanych przez jednostki samorządu
                 terytorialnego na podstawie porozumień z organami administracji rządowej według województw</t>
  </si>
  <si>
    <t xml:space="preserve">otrzymane ze środków z Funduszu Przeciwdziałania COVID-19 </t>
  </si>
  <si>
    <t>otrzymane ze środków z Funduszu Przeciwdziałania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</si>
</sst>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00"/>
    <numFmt numFmtId="166" formatCode="#,##0.00_ ;[Red]\-#,##0.00\ "/>
    <numFmt numFmtId="167" formatCode="#,##0.0_ ;[Red]\-#,##0.0\ "/>
    <numFmt numFmtId="168" formatCode="_-* #,##0.00\ _z_ł_-;\-* #,##0.00\ _z_ł_-;_-* &quot;-&quot;??\ _z_ł_-;_-@_-"/>
    <numFmt numFmtId="169" formatCode="0.0"/>
    <numFmt numFmtId="170" formatCode="_-* #,##0.0\ _z_ł_-;\-* #,##0.00\ _z_ł_-;_-* &quot;-&quot;??\ _z_ł_-;_-@_-"/>
    <numFmt numFmtId="171" formatCode="_-* #,##0\ _z_ł_-;\-* #,##0.0\ _z_ł_-;_-* &quot;-&quot;??\ _z_ł_-;_-@_-"/>
    <numFmt numFmtId="172" formatCode="0.0%"/>
  </numFmts>
  <fonts count="10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6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.5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6"/>
      <name val="Arial Narrow"/>
      <family val="2"/>
      <charset val="238"/>
    </font>
    <font>
      <sz val="7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b/>
      <sz val="7"/>
      <name val="Arial Narrow"/>
      <family val="2"/>
      <charset val="238"/>
    </font>
    <font>
      <b/>
      <sz val="7"/>
      <color indexed="8"/>
      <name val="Arial Narrow"/>
      <family val="2"/>
      <charset val="238"/>
    </font>
    <font>
      <sz val="7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name val="Times New Roman CE"/>
      <charset val="238"/>
    </font>
    <font>
      <sz val="10"/>
      <name val="Arial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"/>
      <charset val="238"/>
    </font>
    <font>
      <sz val="7"/>
      <name val="Arial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rgb="FF242424"/>
      <name val="Arial"/>
      <family val="2"/>
      <charset val="238"/>
    </font>
    <font>
      <sz val="8"/>
      <name val="Arial CE"/>
      <family val="2"/>
      <charset val="238"/>
    </font>
    <font>
      <b/>
      <sz val="9"/>
      <color indexed="8"/>
      <name val="Arial"/>
      <family val="2"/>
      <charset val="238"/>
    </font>
    <font>
      <sz val="16"/>
      <name val="Arial"/>
      <family val="2"/>
      <charset val="238"/>
    </font>
    <font>
      <i/>
      <sz val="8"/>
      <name val="Arial Narrow"/>
      <family val="2"/>
      <charset val="238"/>
    </font>
    <font>
      <i/>
      <sz val="10"/>
      <name val="Arial Narrow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23" fillId="0" borderId="0"/>
    <xf numFmtId="0" fontId="24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43" fontId="23" fillId="0" borderId="0" applyFont="0" applyFill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26" fillId="0" borderId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4" borderId="0" applyNumberFormat="0" applyBorder="0" applyAlignment="0" applyProtection="0"/>
    <xf numFmtId="0" fontId="28" fillId="39" borderId="0" applyNumberFormat="0" applyBorder="0" applyAlignment="0" applyProtection="0"/>
    <xf numFmtId="0" fontId="28" fillId="38" borderId="0" applyNumberFormat="0" applyBorder="0" applyAlignment="0" applyProtection="0"/>
    <xf numFmtId="0" fontId="28" fillId="40" borderId="0" applyNumberFormat="0" applyBorder="0" applyAlignment="0" applyProtection="0"/>
    <xf numFmtId="0" fontId="28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34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5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34" applyNumberFormat="0" applyAlignment="0" applyProtection="0"/>
    <xf numFmtId="0" fontId="33" fillId="48" borderId="35" applyNumberFormat="0" applyAlignment="0" applyProtection="0"/>
    <xf numFmtId="0" fontId="34" fillId="37" borderId="34" applyNumberFormat="0" applyAlignment="0" applyProtection="0"/>
    <xf numFmtId="0" fontId="35" fillId="47" borderId="36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49" borderId="0" applyNumberFormat="0" applyBorder="0" applyAlignment="0" applyProtection="0"/>
    <xf numFmtId="0" fontId="38" fillId="0" borderId="37" applyNumberFormat="0" applyFill="0" applyAlignment="0" applyProtection="0"/>
    <xf numFmtId="0" fontId="39" fillId="0" borderId="38" applyNumberFormat="0" applyFill="0" applyAlignment="0" applyProtection="0"/>
    <xf numFmtId="0" fontId="40" fillId="0" borderId="39" applyNumberFormat="0" applyFill="0" applyAlignment="0" applyProtection="0"/>
    <xf numFmtId="0" fontId="40" fillId="0" borderId="0" applyNumberFormat="0" applyFill="0" applyBorder="0" applyAlignment="0" applyProtection="0"/>
    <xf numFmtId="0" fontId="41" fillId="37" borderId="34" applyNumberFormat="0" applyAlignment="0" applyProtection="0"/>
    <xf numFmtId="0" fontId="42" fillId="0" borderId="40" applyNumberFormat="0" applyFill="0" applyAlignment="0" applyProtection="0"/>
    <xf numFmtId="0" fontId="43" fillId="48" borderId="35" applyNumberFormat="0" applyAlignment="0" applyProtection="0"/>
    <xf numFmtId="0" fontId="44" fillId="0" borderId="40" applyNumberFormat="0" applyFill="0" applyAlignment="0" applyProtection="0"/>
    <xf numFmtId="0" fontId="45" fillId="0" borderId="37" applyNumberFormat="0" applyFill="0" applyAlignment="0" applyProtection="0"/>
    <xf numFmtId="0" fontId="46" fillId="0" borderId="38" applyNumberFormat="0" applyFill="0" applyAlignment="0" applyProtection="0"/>
    <xf numFmtId="0" fontId="47" fillId="0" borderId="39" applyNumberFormat="0" applyFill="0" applyAlignment="0" applyProtection="0"/>
    <xf numFmtId="0" fontId="47" fillId="0" borderId="0" applyNumberFormat="0" applyFill="0" applyBorder="0" applyAlignment="0" applyProtection="0"/>
    <xf numFmtId="0" fontId="48" fillId="39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</xf>
    <xf numFmtId="0" fontId="26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6" fillId="35" borderId="41" applyNumberFormat="0" applyFont="0" applyAlignment="0" applyProtection="0"/>
    <xf numFmtId="0" fontId="26" fillId="35" borderId="41" applyNumberFormat="0" applyFont="0" applyAlignment="0" applyProtection="0"/>
    <xf numFmtId="0" fontId="26" fillId="35" borderId="41" applyNumberFormat="0" applyFont="0" applyAlignment="0" applyProtection="0"/>
    <xf numFmtId="0" fontId="26" fillId="35" borderId="41" applyNumberFormat="0" applyFont="0" applyAlignment="0" applyProtection="0"/>
    <xf numFmtId="0" fontId="49" fillId="47" borderId="34" applyNumberFormat="0" applyAlignment="0" applyProtection="0"/>
    <xf numFmtId="0" fontId="50" fillId="47" borderId="36" applyNumberFormat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1" fillId="0" borderId="4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2" applyNumberFormat="0" applyFill="0" applyAlignment="0" applyProtection="0"/>
    <xf numFmtId="0" fontId="54" fillId="0" borderId="0" applyNumberFormat="0" applyFill="0" applyBorder="0" applyAlignment="0" applyProtection="0"/>
    <xf numFmtId="0" fontId="26" fillId="35" borderId="41" applyNumberFormat="0" applyFont="0" applyAlignment="0" applyProtection="0"/>
    <xf numFmtId="0" fontId="56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8" borderId="8" applyNumberFormat="0" applyFont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79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80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80" fillId="0" borderId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07">
    <xf numFmtId="0" fontId="0" fillId="0" borderId="0" xfId="0"/>
    <xf numFmtId="0" fontId="19" fillId="0" borderId="0" xfId="34" applyFont="1" applyAlignment="1">
      <alignment vertical="center" wrapText="1"/>
    </xf>
    <xf numFmtId="0" fontId="19" fillId="0" borderId="0" xfId="34" applyFont="1" applyAlignment="1">
      <alignment vertical="center"/>
    </xf>
    <xf numFmtId="0" fontId="18" fillId="0" borderId="12" xfId="34" applyFont="1" applyBorder="1" applyAlignment="1">
      <alignment horizontal="center" vertical="center"/>
    </xf>
    <xf numFmtId="0" fontId="18" fillId="0" borderId="13" xfId="34" applyFont="1" applyBorder="1" applyAlignment="1">
      <alignment horizontal="center" vertical="center"/>
    </xf>
    <xf numFmtId="0" fontId="18" fillId="0" borderId="14" xfId="34" applyFont="1" applyBorder="1" applyAlignment="1">
      <alignment horizontal="center" vertical="center"/>
    </xf>
    <xf numFmtId="0" fontId="18" fillId="0" borderId="15" xfId="34" applyFont="1" applyBorder="1" applyAlignment="1">
      <alignment horizontal="center" vertical="center"/>
    </xf>
    <xf numFmtId="0" fontId="18" fillId="0" borderId="18" xfId="34" applyFont="1" applyBorder="1" applyAlignment="1">
      <alignment horizontal="center" vertical="center"/>
    </xf>
    <xf numFmtId="0" fontId="18" fillId="0" borderId="19" xfId="34" applyFont="1" applyBorder="1" applyAlignment="1">
      <alignment horizontal="center" vertical="center"/>
    </xf>
    <xf numFmtId="0" fontId="18" fillId="0" borderId="20" xfId="34" applyFont="1" applyBorder="1" applyAlignment="1">
      <alignment horizontal="center" vertical="center"/>
    </xf>
    <xf numFmtId="0" fontId="18" fillId="0" borderId="21" xfId="34" applyFont="1" applyBorder="1" applyAlignment="1">
      <alignment horizontal="center" vertical="center"/>
    </xf>
    <xf numFmtId="0" fontId="19" fillId="0" borderId="28" xfId="34" applyFont="1" applyBorder="1" applyAlignment="1">
      <alignment horizontal="center" vertical="center"/>
    </xf>
    <xf numFmtId="0" fontId="19" fillId="0" borderId="29" xfId="34" applyFont="1" applyBorder="1" applyAlignment="1">
      <alignment horizontal="center" vertical="center" wrapText="1"/>
    </xf>
    <xf numFmtId="0" fontId="19" fillId="0" borderId="30" xfId="34" applyFont="1" applyBorder="1" applyAlignment="1">
      <alignment horizontal="center" vertical="center"/>
    </xf>
    <xf numFmtId="0" fontId="19" fillId="0" borderId="31" xfId="34" applyFont="1" applyBorder="1" applyAlignment="1">
      <alignment horizontal="center" vertical="center"/>
    </xf>
    <xf numFmtId="0" fontId="19" fillId="0" borderId="29" xfId="34" applyFont="1" applyBorder="1" applyAlignment="1">
      <alignment horizontal="center" vertical="center"/>
    </xf>
    <xf numFmtId="0" fontId="19" fillId="0" borderId="0" xfId="34" applyFont="1" applyAlignment="1">
      <alignment horizontal="left" vertical="center"/>
    </xf>
    <xf numFmtId="0" fontId="19" fillId="0" borderId="0" xfId="34" applyFont="1" applyAlignment="1">
      <alignment horizontal="center" vertical="center"/>
    </xf>
    <xf numFmtId="0" fontId="19" fillId="0" borderId="0" xfId="34" applyFont="1"/>
    <xf numFmtId="164" fontId="18" fillId="0" borderId="19" xfId="34" applyNumberFormat="1" applyFont="1" applyBorder="1" applyAlignment="1">
      <alignment vertical="center"/>
    </xf>
    <xf numFmtId="0" fontId="19" fillId="0" borderId="30" xfId="34" applyFont="1" applyBorder="1" applyAlignment="1">
      <alignment horizontal="center" vertical="center"/>
    </xf>
    <xf numFmtId="166" fontId="18" fillId="0" borderId="18" xfId="34" applyNumberFormat="1" applyFont="1" applyBorder="1" applyAlignment="1">
      <alignment vertical="center"/>
    </xf>
    <xf numFmtId="166" fontId="19" fillId="0" borderId="25" xfId="34" applyNumberFormat="1" applyFont="1" applyBorder="1" applyAlignment="1">
      <alignment vertical="center"/>
    </xf>
    <xf numFmtId="166" fontId="19" fillId="0" borderId="30" xfId="34" applyNumberFormat="1" applyFont="1" applyBorder="1" applyAlignment="1">
      <alignment vertical="center"/>
    </xf>
    <xf numFmtId="0" fontId="18" fillId="0" borderId="22" xfId="34" applyFont="1" applyBorder="1" applyAlignment="1">
      <alignment vertical="center"/>
    </xf>
    <xf numFmtId="0" fontId="19" fillId="0" borderId="21" xfId="34" applyFont="1" applyBorder="1" applyAlignment="1">
      <alignment vertical="center"/>
    </xf>
    <xf numFmtId="0" fontId="19" fillId="0" borderId="29" xfId="34" applyFont="1" applyBorder="1" applyAlignment="1">
      <alignment vertical="center"/>
    </xf>
    <xf numFmtId="167" fontId="18" fillId="0" borderId="23" xfId="34" applyNumberFormat="1" applyFont="1" applyBorder="1" applyAlignment="1">
      <alignment vertical="center"/>
    </xf>
    <xf numFmtId="167" fontId="19" fillId="0" borderId="21" xfId="34" applyNumberFormat="1" applyFont="1" applyBorder="1" applyAlignment="1">
      <alignment vertical="center"/>
    </xf>
    <xf numFmtId="167" fontId="19" fillId="0" borderId="29" xfId="34" applyNumberFormat="1" applyFont="1" applyBorder="1" applyAlignment="1">
      <alignment vertical="center"/>
    </xf>
    <xf numFmtId="0" fontId="17" fillId="0" borderId="0" xfId="34"/>
    <xf numFmtId="166" fontId="19" fillId="0" borderId="20" xfId="34" applyNumberFormat="1" applyFont="1" applyBorder="1" applyAlignment="1">
      <alignment vertical="center"/>
    </xf>
    <xf numFmtId="0" fontId="19" fillId="0" borderId="0" xfId="34" applyFont="1" applyAlignment="1">
      <alignment horizontal="left" vertical="center"/>
    </xf>
    <xf numFmtId="164" fontId="19" fillId="0" borderId="20" xfId="34" applyNumberFormat="1" applyFont="1" applyBorder="1" applyAlignment="1">
      <alignment vertical="center"/>
    </xf>
    <xf numFmtId="0" fontId="19" fillId="0" borderId="32" xfId="34" applyFont="1" applyBorder="1" applyAlignment="1">
      <alignment horizontal="center" vertical="center"/>
    </xf>
    <xf numFmtId="0" fontId="19" fillId="0" borderId="28" xfId="34" applyFont="1" applyBorder="1" applyAlignment="1">
      <alignment horizontal="center" vertical="center"/>
    </xf>
    <xf numFmtId="166" fontId="19" fillId="0" borderId="31" xfId="34" applyNumberFormat="1" applyFont="1" applyBorder="1" applyAlignment="1">
      <alignment vertical="center"/>
    </xf>
    <xf numFmtId="164" fontId="19" fillId="0" borderId="31" xfId="34" applyNumberFormat="1" applyFont="1" applyBorder="1" applyAlignment="1">
      <alignment vertical="center"/>
    </xf>
    <xf numFmtId="166" fontId="18" fillId="0" borderId="19" xfId="34" applyNumberFormat="1" applyFont="1" applyBorder="1" applyAlignment="1">
      <alignment vertical="center"/>
    </xf>
    <xf numFmtId="0" fontId="19" fillId="0" borderId="31" xfId="34" applyFont="1" applyBorder="1" applyAlignment="1">
      <alignment horizontal="center" vertical="center"/>
    </xf>
    <xf numFmtId="0" fontId="19" fillId="0" borderId="29" xfId="34" applyFont="1" applyBorder="1" applyAlignment="1">
      <alignment horizontal="center" vertical="center"/>
    </xf>
    <xf numFmtId="0" fontId="19" fillId="0" borderId="29" xfId="34" applyFont="1" applyBorder="1" applyAlignment="1">
      <alignment horizontal="center" vertical="center" wrapText="1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34" applyFont="1" applyBorder="1" applyAlignment="1">
      <alignment horizontal="center" vertical="center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167" fontId="19" fillId="0" borderId="31" xfId="34" applyNumberFormat="1" applyFont="1" applyBorder="1" applyAlignment="1">
      <alignment vertical="center"/>
    </xf>
    <xf numFmtId="167" fontId="19" fillId="0" borderId="20" xfId="34" applyNumberFormat="1" applyFont="1" applyBorder="1" applyAlignment="1">
      <alignment vertical="center"/>
    </xf>
    <xf numFmtId="167" fontId="18" fillId="0" borderId="19" xfId="34" applyNumberFormat="1" applyFont="1" applyBorder="1" applyAlignment="1">
      <alignment vertical="center"/>
    </xf>
    <xf numFmtId="0" fontId="25" fillId="0" borderId="32" xfId="183" applyFont="1" applyBorder="1" applyAlignment="1">
      <alignment horizontal="center" vertical="center" wrapText="1"/>
    </xf>
    <xf numFmtId="166" fontId="19" fillId="0" borderId="32" xfId="34" applyNumberFormat="1" applyFont="1" applyBorder="1" applyAlignment="1">
      <alignment vertical="center"/>
    </xf>
    <xf numFmtId="166" fontId="19" fillId="0" borderId="28" xfId="34" applyNumberFormat="1" applyFont="1" applyBorder="1" applyAlignment="1">
      <alignment vertical="center"/>
    </xf>
    <xf numFmtId="166" fontId="18" fillId="0" borderId="22" xfId="34" applyNumberFormat="1" applyFont="1" applyBorder="1" applyAlignment="1">
      <alignment vertical="center"/>
    </xf>
    <xf numFmtId="0" fontId="18" fillId="0" borderId="15" xfId="34" applyFont="1" applyBorder="1" applyAlignment="1">
      <alignment horizontal="center" vertical="center"/>
    </xf>
    <xf numFmtId="164" fontId="18" fillId="0" borderId="23" xfId="34" applyNumberFormat="1" applyFont="1" applyBorder="1" applyAlignment="1">
      <alignment vertical="center"/>
    </xf>
    <xf numFmtId="164" fontId="19" fillId="0" borderId="21" xfId="34" applyNumberFormat="1" applyFont="1" applyBorder="1" applyAlignment="1">
      <alignment vertical="center"/>
    </xf>
    <xf numFmtId="164" fontId="19" fillId="0" borderId="29" xfId="34" applyNumberFormat="1" applyFont="1" applyBorder="1" applyAlignment="1">
      <alignment vertical="center"/>
    </xf>
    <xf numFmtId="0" fontId="23" fillId="0" borderId="0" xfId="36"/>
    <xf numFmtId="166" fontId="19" fillId="0" borderId="20" xfId="36" applyNumberFormat="1" applyFont="1" applyBorder="1" applyAlignment="1">
      <alignment vertical="center"/>
    </xf>
    <xf numFmtId="0" fontId="19" fillId="0" borderId="0" xfId="36" applyFont="1" applyAlignment="1">
      <alignment horizontal="left" vertical="center"/>
    </xf>
    <xf numFmtId="164" fontId="19" fillId="0" borderId="20" xfId="36" applyNumberFormat="1" applyFont="1" applyBorder="1" applyAlignment="1">
      <alignment vertical="center"/>
    </xf>
    <xf numFmtId="0" fontId="19" fillId="0" borderId="32" xfId="36" applyFont="1" applyBorder="1" applyAlignment="1">
      <alignment horizontal="center" vertical="center"/>
    </xf>
    <xf numFmtId="0" fontId="19" fillId="0" borderId="28" xfId="36" applyFont="1" applyBorder="1" applyAlignment="1">
      <alignment horizontal="center" vertical="center"/>
    </xf>
    <xf numFmtId="166" fontId="19" fillId="0" borderId="31" xfId="36" applyNumberFormat="1" applyFont="1" applyBorder="1" applyAlignment="1">
      <alignment vertical="center"/>
    </xf>
    <xf numFmtId="166" fontId="18" fillId="0" borderId="19" xfId="36" applyNumberFormat="1" applyFont="1" applyBorder="1" applyAlignment="1">
      <alignment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36" applyFont="1" applyBorder="1" applyAlignment="1">
      <alignment horizontal="center" vertical="center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167" fontId="19" fillId="0" borderId="20" xfId="36" applyNumberFormat="1" applyFont="1" applyBorder="1" applyAlignment="1">
      <alignment vertical="center"/>
    </xf>
    <xf numFmtId="167" fontId="18" fillId="0" borderId="19" xfId="36" applyNumberFormat="1" applyFont="1" applyBorder="1" applyAlignment="1">
      <alignment vertical="center"/>
    </xf>
    <xf numFmtId="0" fontId="25" fillId="0" borderId="32" xfId="183" applyFont="1" applyBorder="1" applyAlignment="1">
      <alignment horizontal="center" vertical="center" wrapText="1"/>
    </xf>
    <xf numFmtId="166" fontId="19" fillId="0" borderId="32" xfId="36" applyNumberFormat="1" applyFont="1" applyBorder="1" applyAlignment="1">
      <alignment vertical="center"/>
    </xf>
    <xf numFmtId="166" fontId="19" fillId="0" borderId="28" xfId="36" applyNumberFormat="1" applyFont="1" applyBorder="1" applyAlignment="1">
      <alignment vertical="center"/>
    </xf>
    <xf numFmtId="166" fontId="18" fillId="0" borderId="22" xfId="36" applyNumberFormat="1" applyFont="1" applyBorder="1" applyAlignment="1">
      <alignment vertical="center"/>
    </xf>
    <xf numFmtId="0" fontId="18" fillId="0" borderId="15" xfId="36" applyFont="1" applyBorder="1" applyAlignment="1">
      <alignment horizontal="center" vertical="center"/>
    </xf>
    <xf numFmtId="164" fontId="18" fillId="0" borderId="23" xfId="36" applyNumberFormat="1" applyFont="1" applyBorder="1" applyAlignment="1">
      <alignment vertical="center"/>
    </xf>
    <xf numFmtId="164" fontId="19" fillId="0" borderId="21" xfId="36" applyNumberFormat="1" applyFont="1" applyBorder="1" applyAlignment="1">
      <alignment vertical="center"/>
    </xf>
    <xf numFmtId="0" fontId="23" fillId="0" borderId="0" xfId="36"/>
    <xf numFmtId="166" fontId="19" fillId="0" borderId="20" xfId="36" applyNumberFormat="1" applyFont="1" applyBorder="1" applyAlignment="1">
      <alignment vertical="center"/>
    </xf>
    <xf numFmtId="0" fontId="19" fillId="0" borderId="0" xfId="36" applyFont="1" applyAlignment="1">
      <alignment horizontal="left" vertical="center"/>
    </xf>
    <xf numFmtId="164" fontId="19" fillId="0" borderId="20" xfId="36" applyNumberFormat="1" applyFont="1" applyBorder="1" applyAlignment="1">
      <alignment vertical="center"/>
    </xf>
    <xf numFmtId="0" fontId="19" fillId="0" borderId="32" xfId="36" applyFont="1" applyBorder="1" applyAlignment="1">
      <alignment horizontal="center" vertical="center"/>
    </xf>
    <xf numFmtId="0" fontId="19" fillId="0" borderId="28" xfId="36" applyFont="1" applyBorder="1" applyAlignment="1">
      <alignment horizontal="center" vertical="center"/>
    </xf>
    <xf numFmtId="166" fontId="19" fillId="0" borderId="31" xfId="36" applyNumberFormat="1" applyFont="1" applyBorder="1" applyAlignment="1">
      <alignment vertical="center"/>
    </xf>
    <xf numFmtId="164" fontId="19" fillId="0" borderId="31" xfId="36" applyNumberFormat="1" applyFont="1" applyBorder="1" applyAlignment="1">
      <alignment vertical="center"/>
    </xf>
    <xf numFmtId="166" fontId="18" fillId="0" borderId="19" xfId="36" applyNumberFormat="1" applyFont="1" applyBorder="1" applyAlignment="1">
      <alignment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36" applyFont="1" applyBorder="1" applyAlignment="1">
      <alignment horizontal="center" vertical="center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167" fontId="19" fillId="0" borderId="31" xfId="36" applyNumberFormat="1" applyFont="1" applyBorder="1" applyAlignment="1">
      <alignment vertical="center"/>
    </xf>
    <xf numFmtId="167" fontId="19" fillId="0" borderId="20" xfId="36" applyNumberFormat="1" applyFont="1" applyBorder="1" applyAlignment="1">
      <alignment vertical="center"/>
    </xf>
    <xf numFmtId="167" fontId="18" fillId="0" borderId="19" xfId="36" applyNumberFormat="1" applyFont="1" applyBorder="1" applyAlignment="1">
      <alignment vertical="center"/>
    </xf>
    <xf numFmtId="0" fontId="25" fillId="0" borderId="32" xfId="183" applyFont="1" applyBorder="1" applyAlignment="1">
      <alignment horizontal="center" vertical="center" wrapText="1"/>
    </xf>
    <xf numFmtId="166" fontId="19" fillId="0" borderId="32" xfId="36" applyNumberFormat="1" applyFont="1" applyBorder="1" applyAlignment="1">
      <alignment vertical="center"/>
    </xf>
    <xf numFmtId="166" fontId="19" fillId="0" borderId="28" xfId="36" applyNumberFormat="1" applyFont="1" applyBorder="1" applyAlignment="1">
      <alignment vertical="center"/>
    </xf>
    <xf numFmtId="166" fontId="18" fillId="0" borderId="22" xfId="36" applyNumberFormat="1" applyFont="1" applyBorder="1" applyAlignment="1">
      <alignment vertical="center"/>
    </xf>
    <xf numFmtId="0" fontId="18" fillId="0" borderId="15" xfId="36" applyFont="1" applyBorder="1" applyAlignment="1">
      <alignment horizontal="center" vertical="center"/>
    </xf>
    <xf numFmtId="164" fontId="18" fillId="0" borderId="23" xfId="36" applyNumberFormat="1" applyFont="1" applyBorder="1" applyAlignment="1">
      <alignment vertical="center"/>
    </xf>
    <xf numFmtId="164" fontId="19" fillId="0" borderId="21" xfId="36" applyNumberFormat="1" applyFont="1" applyBorder="1" applyAlignment="1">
      <alignment vertical="center"/>
    </xf>
    <xf numFmtId="164" fontId="19" fillId="0" borderId="29" xfId="36" applyNumberFormat="1" applyFont="1" applyBorder="1" applyAlignment="1">
      <alignment vertical="center"/>
    </xf>
    <xf numFmtId="0" fontId="18" fillId="0" borderId="20" xfId="36" applyFont="1" applyBorder="1" applyAlignment="1">
      <alignment horizontal="center"/>
    </xf>
    <xf numFmtId="20" fontId="18" fillId="0" borderId="20" xfId="36" applyNumberFormat="1" applyFont="1" applyBorder="1" applyAlignment="1">
      <alignment horizontal="center" vertical="center"/>
    </xf>
    <xf numFmtId="20" fontId="18" fillId="0" borderId="21" xfId="36" applyNumberFormat="1" applyFont="1" applyBorder="1" applyAlignment="1">
      <alignment horizontal="center" vertical="center"/>
    </xf>
    <xf numFmtId="0" fontId="19" fillId="0" borderId="50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25" fillId="0" borderId="20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25" fillId="0" borderId="20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0" fontId="23" fillId="0" borderId="0" xfId="36"/>
    <xf numFmtId="0" fontId="19" fillId="0" borderId="0" xfId="36" applyFont="1" applyAlignment="1">
      <alignment horizontal="left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18" fillId="0" borderId="10" xfId="107" applyFont="1" applyBorder="1" applyAlignment="1">
      <alignment horizontal="center" vertical="center" wrapText="1"/>
    </xf>
    <xf numFmtId="0" fontId="18" fillId="0" borderId="14" xfId="107" applyFont="1" applyBorder="1" applyAlignment="1">
      <alignment horizontal="center" vertical="center" wrapText="1"/>
    </xf>
    <xf numFmtId="0" fontId="18" fillId="0" borderId="22" xfId="107" applyFont="1" applyBorder="1" applyAlignment="1">
      <alignment horizontal="center" vertical="center" wrapText="1"/>
    </xf>
    <xf numFmtId="0" fontId="18" fillId="0" borderId="20" xfId="107" applyFont="1" applyBorder="1" applyAlignment="1">
      <alignment horizontal="center" vertical="center" wrapText="1"/>
    </xf>
    <xf numFmtId="0" fontId="18" fillId="0" borderId="21" xfId="46" applyFont="1" applyBorder="1" applyAlignment="1">
      <alignment horizontal="center"/>
    </xf>
    <xf numFmtId="0" fontId="23" fillId="0" borderId="0" xfId="36"/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20" fontId="25" fillId="0" borderId="21" xfId="183" quotePrefix="1" applyNumberFormat="1" applyFont="1" applyBorder="1" applyAlignment="1">
      <alignment horizontal="center" vertical="center" wrapText="1"/>
    </xf>
    <xf numFmtId="20" fontId="25" fillId="0" borderId="20" xfId="183" quotePrefix="1" applyNumberFormat="1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18" fillId="0" borderId="15" xfId="36" applyFont="1" applyBorder="1" applyAlignment="1">
      <alignment horizontal="center" vertical="center"/>
    </xf>
    <xf numFmtId="0" fontId="23" fillId="0" borderId="0" xfId="36"/>
    <xf numFmtId="0" fontId="19" fillId="0" borderId="32" xfId="36" applyFont="1" applyBorder="1" applyAlignment="1">
      <alignment horizontal="center" vertical="center"/>
    </xf>
    <xf numFmtId="0" fontId="19" fillId="0" borderId="28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0" fontId="19" fillId="0" borderId="21" xfId="36" applyFont="1" applyBorder="1" applyAlignment="1">
      <alignment vertical="center"/>
    </xf>
    <xf numFmtId="0" fontId="19" fillId="0" borderId="29" xfId="36" applyFont="1" applyBorder="1" applyAlignment="1">
      <alignment vertical="center"/>
    </xf>
    <xf numFmtId="0" fontId="18" fillId="0" borderId="20" xfId="383" applyFont="1" applyBorder="1" applyAlignment="1">
      <alignment horizontal="center" vertical="center"/>
    </xf>
    <xf numFmtId="3" fontId="19" fillId="0" borderId="20" xfId="383" applyNumberFormat="1" applyFont="1" applyBorder="1" applyAlignment="1">
      <alignment horizontal="center" vertical="center"/>
    </xf>
    <xf numFmtId="3" fontId="19" fillId="0" borderId="21" xfId="383" applyNumberFormat="1" applyFont="1" applyBorder="1" applyAlignment="1">
      <alignment horizontal="center" vertical="center"/>
    </xf>
    <xf numFmtId="0" fontId="57" fillId="0" borderId="31" xfId="383" applyNumberFormat="1" applyFont="1" applyBorder="1" applyAlignment="1">
      <alignment horizontal="center" vertical="center"/>
    </xf>
    <xf numFmtId="0" fontId="57" fillId="0" borderId="29" xfId="383" applyNumberFormat="1" applyFont="1" applyBorder="1" applyAlignment="1">
      <alignment horizontal="center" vertical="center"/>
    </xf>
    <xf numFmtId="0" fontId="58" fillId="0" borderId="0" xfId="36" applyFont="1"/>
    <xf numFmtId="0" fontId="18" fillId="0" borderId="43" xfId="36" applyFont="1" applyBorder="1" applyAlignment="1">
      <alignment vertical="center"/>
    </xf>
    <xf numFmtId="167" fontId="19" fillId="0" borderId="14" xfId="36" applyNumberFormat="1" applyFont="1" applyBorder="1"/>
    <xf numFmtId="167" fontId="19" fillId="0" borderId="15" xfId="36" applyNumberFormat="1" applyFont="1" applyBorder="1"/>
    <xf numFmtId="167" fontId="19" fillId="0" borderId="20" xfId="36" applyNumberFormat="1" applyFont="1" applyBorder="1"/>
    <xf numFmtId="167" fontId="19" fillId="0" borderId="21" xfId="36" applyNumberFormat="1" applyFont="1" applyBorder="1"/>
    <xf numFmtId="167" fontId="19" fillId="0" borderId="31" xfId="36" applyNumberFormat="1" applyFont="1" applyBorder="1"/>
    <xf numFmtId="167" fontId="19" fillId="0" borderId="29" xfId="36" applyNumberFormat="1" applyFont="1" applyBorder="1"/>
    <xf numFmtId="0" fontId="18" fillId="0" borderId="25" xfId="383" applyFont="1" applyBorder="1" applyAlignment="1">
      <alignment horizontal="center" vertical="center"/>
    </xf>
    <xf numFmtId="0" fontId="57" fillId="0" borderId="30" xfId="383" applyNumberFormat="1" applyFont="1" applyBorder="1" applyAlignment="1">
      <alignment horizontal="center" vertical="center"/>
    </xf>
    <xf numFmtId="0" fontId="18" fillId="0" borderId="15" xfId="36" applyFont="1" applyBorder="1" applyAlignment="1">
      <alignment vertical="center"/>
    </xf>
    <xf numFmtId="0" fontId="23" fillId="0" borderId="0" xfId="36"/>
    <xf numFmtId="0" fontId="18" fillId="0" borderId="20" xfId="383" applyFont="1" applyBorder="1" applyAlignment="1">
      <alignment horizontal="center" vertical="center"/>
    </xf>
    <xf numFmtId="3" fontId="19" fillId="0" borderId="20" xfId="383" applyNumberFormat="1" applyFont="1" applyBorder="1" applyAlignment="1">
      <alignment horizontal="center" vertical="center"/>
    </xf>
    <xf numFmtId="3" fontId="19" fillId="0" borderId="21" xfId="383" applyNumberFormat="1" applyFont="1" applyBorder="1" applyAlignment="1">
      <alignment horizontal="center" vertical="center"/>
    </xf>
    <xf numFmtId="0" fontId="57" fillId="0" borderId="31" xfId="383" applyNumberFormat="1" applyFont="1" applyBorder="1" applyAlignment="1">
      <alignment horizontal="center" vertical="center"/>
    </xf>
    <xf numFmtId="0" fontId="57" fillId="0" borderId="29" xfId="383" applyNumberFormat="1" applyFont="1" applyBorder="1" applyAlignment="1">
      <alignment horizontal="center" vertical="center"/>
    </xf>
    <xf numFmtId="0" fontId="58" fillId="0" borderId="0" xfId="36" applyFont="1"/>
    <xf numFmtId="0" fontId="23" fillId="0" borderId="0" xfId="36"/>
    <xf numFmtId="0" fontId="23" fillId="0" borderId="0" xfId="36"/>
    <xf numFmtId="0" fontId="18" fillId="0" borderId="20" xfId="383" applyFont="1" applyBorder="1" applyAlignment="1">
      <alignment horizontal="center" vertical="center"/>
    </xf>
    <xf numFmtId="3" fontId="19" fillId="0" borderId="20" xfId="383" applyNumberFormat="1" applyFont="1" applyBorder="1" applyAlignment="1">
      <alignment horizontal="center" vertical="center"/>
    </xf>
    <xf numFmtId="3" fontId="19" fillId="0" borderId="21" xfId="383" applyNumberFormat="1" applyFont="1" applyBorder="1" applyAlignment="1">
      <alignment horizontal="center" vertical="center"/>
    </xf>
    <xf numFmtId="0" fontId="57" fillId="0" borderId="31" xfId="383" applyNumberFormat="1" applyFont="1" applyBorder="1" applyAlignment="1">
      <alignment horizontal="center" vertical="center"/>
    </xf>
    <xf numFmtId="0" fontId="57" fillId="0" borderId="29" xfId="383" applyNumberFormat="1" applyFont="1" applyBorder="1" applyAlignment="1">
      <alignment horizontal="center" vertical="center"/>
    </xf>
    <xf numFmtId="0" fontId="58" fillId="0" borderId="0" xfId="36" applyFont="1"/>
    <xf numFmtId="0" fontId="18" fillId="0" borderId="20" xfId="383" applyFont="1" applyBorder="1" applyAlignment="1">
      <alignment horizontal="center" vertical="center"/>
    </xf>
    <xf numFmtId="3" fontId="19" fillId="0" borderId="20" xfId="383" applyNumberFormat="1" applyFont="1" applyBorder="1" applyAlignment="1">
      <alignment horizontal="center" vertical="center"/>
    </xf>
    <xf numFmtId="3" fontId="19" fillId="0" borderId="21" xfId="383" applyNumberFormat="1" applyFont="1" applyBorder="1" applyAlignment="1">
      <alignment horizontal="center" vertical="center"/>
    </xf>
    <xf numFmtId="0" fontId="57" fillId="0" borderId="28" xfId="383" applyNumberFormat="1" applyFont="1" applyBorder="1" applyAlignment="1">
      <alignment horizontal="center" vertical="center"/>
    </xf>
    <xf numFmtId="0" fontId="57" fillId="0" borderId="31" xfId="383" applyNumberFormat="1" applyFont="1" applyBorder="1" applyAlignment="1">
      <alignment horizontal="center" vertical="center"/>
    </xf>
    <xf numFmtId="0" fontId="57" fillId="0" borderId="29" xfId="383" applyNumberFormat="1" applyFont="1" applyBorder="1" applyAlignment="1">
      <alignment horizontal="center" vertical="center"/>
    </xf>
    <xf numFmtId="165" fontId="19" fillId="0" borderId="19" xfId="36" applyNumberFormat="1" applyFont="1" applyBorder="1"/>
    <xf numFmtId="167" fontId="19" fillId="0" borderId="19" xfId="36" applyNumberFormat="1" applyFont="1" applyBorder="1"/>
    <xf numFmtId="0" fontId="58" fillId="0" borderId="0" xfId="36" applyFont="1"/>
    <xf numFmtId="0" fontId="18" fillId="0" borderId="20" xfId="36" applyFont="1" applyBorder="1" applyAlignment="1">
      <alignment horizontal="center" vertical="center"/>
    </xf>
    <xf numFmtId="0" fontId="19" fillId="0" borderId="0" xfId="36" applyFont="1" applyAlignment="1">
      <alignment horizontal="left" vertical="center"/>
    </xf>
    <xf numFmtId="0" fontId="18" fillId="0" borderId="19" xfId="36" applyFont="1" applyBorder="1" applyAlignment="1">
      <alignment horizontal="center" vertical="center"/>
    </xf>
    <xf numFmtId="0" fontId="18" fillId="0" borderId="14" xfId="36" applyFont="1" applyBorder="1" applyAlignment="1">
      <alignment horizontal="center" vertical="center"/>
    </xf>
    <xf numFmtId="0" fontId="18" fillId="0" borderId="13" xfId="36" applyFont="1" applyBorder="1" applyAlignment="1">
      <alignment horizontal="center" vertical="center"/>
    </xf>
    <xf numFmtId="0" fontId="18" fillId="0" borderId="15" xfId="36" applyFont="1" applyBorder="1" applyAlignment="1">
      <alignment horizontal="center" vertical="center"/>
    </xf>
    <xf numFmtId="0" fontId="18" fillId="0" borderId="21" xfId="36" applyFont="1" applyBorder="1" applyAlignment="1">
      <alignment horizontal="center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8" fillId="0" borderId="12" xfId="36" applyFont="1" applyBorder="1" applyAlignment="1">
      <alignment horizontal="center" vertical="center"/>
    </xf>
    <xf numFmtId="0" fontId="18" fillId="0" borderId="18" xfId="36" applyFont="1" applyBorder="1" applyAlignment="1">
      <alignment horizontal="center" vertical="center"/>
    </xf>
    <xf numFmtId="0" fontId="19" fillId="0" borderId="30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 wrapText="1"/>
    </xf>
    <xf numFmtId="0" fontId="19" fillId="0" borderId="0" xfId="36" applyFont="1"/>
    <xf numFmtId="0" fontId="19" fillId="0" borderId="29" xfId="36" applyFont="1" applyBorder="1" applyAlignment="1">
      <alignment horizontal="center" vertical="center" wrapText="1"/>
    </xf>
    <xf numFmtId="0" fontId="18" fillId="0" borderId="25" xfId="46" applyFont="1" applyBorder="1" applyAlignment="1">
      <alignment vertical="center"/>
    </xf>
    <xf numFmtId="0" fontId="19" fillId="0" borderId="21" xfId="46" applyFont="1" applyBorder="1" applyAlignment="1">
      <alignment horizontal="center"/>
    </xf>
    <xf numFmtId="0" fontId="18" fillId="0" borderId="22" xfId="36" applyFont="1" applyBorder="1" applyAlignment="1">
      <alignment vertical="center"/>
    </xf>
    <xf numFmtId="0" fontId="18" fillId="0" borderId="23" xfId="36" applyFont="1" applyBorder="1" applyAlignment="1">
      <alignment vertical="center"/>
    </xf>
    <xf numFmtId="0" fontId="19" fillId="0" borderId="21" xfId="36" applyFont="1" applyBorder="1" applyAlignment="1">
      <alignment vertical="center"/>
    </xf>
    <xf numFmtId="0" fontId="19" fillId="0" borderId="29" xfId="36" applyFont="1" applyBorder="1" applyAlignment="1">
      <alignment vertical="center"/>
    </xf>
    <xf numFmtId="3" fontId="18" fillId="0" borderId="18" xfId="36" applyNumberFormat="1" applyFont="1" applyBorder="1" applyAlignment="1">
      <alignment vertical="center"/>
    </xf>
    <xf numFmtId="3" fontId="19" fillId="0" borderId="25" xfId="36" applyNumberFormat="1" applyFont="1" applyBorder="1" applyAlignment="1">
      <alignment vertical="center"/>
    </xf>
    <xf numFmtId="3" fontId="19" fillId="0" borderId="30" xfId="36" applyNumberFormat="1" applyFont="1" applyBorder="1" applyAlignment="1">
      <alignment vertical="center"/>
    </xf>
    <xf numFmtId="167" fontId="18" fillId="0" borderId="23" xfId="36" applyNumberFormat="1" applyFont="1" applyBorder="1" applyAlignment="1">
      <alignment vertical="center"/>
    </xf>
    <xf numFmtId="167" fontId="19" fillId="0" borderId="21" xfId="36" applyNumberFormat="1" applyFont="1" applyBorder="1" applyAlignment="1">
      <alignment vertical="center"/>
    </xf>
    <xf numFmtId="167" fontId="19" fillId="0" borderId="29" xfId="36" applyNumberFormat="1" applyFont="1" applyBorder="1" applyAlignment="1">
      <alignment vertical="center"/>
    </xf>
    <xf numFmtId="167" fontId="18" fillId="0" borderId="19" xfId="36" applyNumberFormat="1" applyFont="1" applyBorder="1" applyAlignment="1">
      <alignment vertical="center"/>
    </xf>
    <xf numFmtId="167" fontId="19" fillId="0" borderId="20" xfId="36" applyNumberFormat="1" applyFont="1" applyBorder="1" applyAlignment="1">
      <alignment vertical="center"/>
    </xf>
    <xf numFmtId="167" fontId="19" fillId="0" borderId="31" xfId="36" applyNumberFormat="1" applyFont="1" applyBorder="1" applyAlignment="1">
      <alignment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23" fillId="0" borderId="0" xfId="36"/>
    <xf numFmtId="0" fontId="19" fillId="0" borderId="0" xfId="36" applyFont="1" applyAlignment="1">
      <alignment horizontal="left" vertical="center"/>
    </xf>
    <xf numFmtId="0" fontId="23" fillId="0" borderId="0" xfId="36"/>
    <xf numFmtId="0" fontId="18" fillId="0" borderId="20" xfId="36" applyFont="1" applyBorder="1" applyAlignment="1">
      <alignment horizontal="center" vertical="center" wrapText="1"/>
    </xf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30" xfId="36" applyFont="1" applyBorder="1" applyAlignment="1">
      <alignment horizontal="center" vertical="center"/>
    </xf>
    <xf numFmtId="0" fontId="18" fillId="0" borderId="21" xfId="36" applyFont="1" applyBorder="1" applyAlignment="1">
      <alignment horizontal="center" vertical="center" wrapText="1"/>
    </xf>
    <xf numFmtId="0" fontId="19" fillId="0" borderId="58" xfId="36" applyFont="1" applyBorder="1" applyAlignment="1">
      <alignment horizontal="center" vertical="center"/>
    </xf>
    <xf numFmtId="0" fontId="18" fillId="0" borderId="32" xfId="36" applyFont="1" applyBorder="1" applyAlignment="1">
      <alignment horizontal="center" vertical="center" wrapText="1"/>
    </xf>
    <xf numFmtId="0" fontId="18" fillId="0" borderId="26" xfId="36" applyFont="1" applyBorder="1" applyAlignment="1">
      <alignment horizontal="center" vertical="center"/>
    </xf>
    <xf numFmtId="0" fontId="18" fillId="0" borderId="24" xfId="36" applyFont="1" applyBorder="1" applyAlignment="1">
      <alignment horizontal="center" vertical="center" wrapText="1"/>
    </xf>
    <xf numFmtId="0" fontId="23" fillId="0" borderId="0" xfId="36"/>
    <xf numFmtId="0" fontId="18" fillId="0" borderId="20" xfId="36" applyFont="1" applyBorder="1" applyAlignment="1">
      <alignment horizontal="center" vertical="center" wrapText="1"/>
    </xf>
    <xf numFmtId="0" fontId="19" fillId="0" borderId="0" xfId="36" applyFont="1" applyAlignment="1">
      <alignment horizontal="left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30" xfId="36" applyFont="1" applyBorder="1" applyAlignment="1">
      <alignment horizontal="center" vertical="center"/>
    </xf>
    <xf numFmtId="0" fontId="18" fillId="0" borderId="21" xfId="36" applyFont="1" applyBorder="1" applyAlignment="1">
      <alignment horizontal="center" vertical="center" wrapText="1"/>
    </xf>
    <xf numFmtId="0" fontId="19" fillId="0" borderId="58" xfId="36" applyFont="1" applyBorder="1" applyAlignment="1">
      <alignment horizontal="center" vertical="center"/>
    </xf>
    <xf numFmtId="0" fontId="18" fillId="0" borderId="32" xfId="36" applyFont="1" applyBorder="1" applyAlignment="1">
      <alignment horizontal="center" vertical="center" wrapText="1"/>
    </xf>
    <xf numFmtId="0" fontId="18" fillId="0" borderId="26" xfId="36" applyFont="1" applyBorder="1" applyAlignment="1">
      <alignment horizontal="center" vertical="center"/>
    </xf>
    <xf numFmtId="0" fontId="18" fillId="0" borderId="24" xfId="36" applyFont="1" applyBorder="1" applyAlignment="1">
      <alignment horizontal="center" vertical="center" wrapText="1"/>
    </xf>
    <xf numFmtId="0" fontId="23" fillId="0" borderId="0" xfId="36"/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8" fillId="0" borderId="0" xfId="36" applyFont="1" applyAlignment="1">
      <alignment horizontal="left" vertical="center"/>
    </xf>
    <xf numFmtId="0" fontId="18" fillId="0" borderId="32" xfId="36" applyFont="1" applyBorder="1" applyAlignment="1">
      <alignment horizontal="center" vertical="center" wrapText="1"/>
    </xf>
    <xf numFmtId="0" fontId="18" fillId="0" borderId="21" xfId="36" applyFont="1" applyBorder="1" applyAlignment="1">
      <alignment horizontal="center" vertical="center" wrapText="1"/>
    </xf>
    <xf numFmtId="0" fontId="18" fillId="0" borderId="20" xfId="36" applyFont="1" applyBorder="1" applyAlignment="1">
      <alignment horizontal="center" vertical="center" wrapText="1"/>
    </xf>
    <xf numFmtId="0" fontId="18" fillId="0" borderId="26" xfId="36" applyFont="1" applyBorder="1" applyAlignment="1">
      <alignment horizontal="center" vertical="center"/>
    </xf>
    <xf numFmtId="0" fontId="18" fillId="0" borderId="24" xfId="36" applyFont="1" applyBorder="1" applyAlignment="1">
      <alignment horizontal="center" vertical="center" wrapText="1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8" fillId="0" borderId="32" xfId="36" applyFont="1" applyBorder="1" applyAlignment="1">
      <alignment horizontal="center" vertical="center" wrapText="1"/>
    </xf>
    <xf numFmtId="0" fontId="18" fillId="0" borderId="21" xfId="36" applyFont="1" applyBorder="1" applyAlignment="1">
      <alignment horizontal="center" vertical="center" wrapText="1"/>
    </xf>
    <xf numFmtId="0" fontId="18" fillId="0" borderId="20" xfId="36" applyFont="1" applyBorder="1" applyAlignment="1">
      <alignment horizontal="center" vertical="center" wrapText="1"/>
    </xf>
    <xf numFmtId="0" fontId="18" fillId="0" borderId="26" xfId="36" applyFont="1" applyBorder="1" applyAlignment="1">
      <alignment horizontal="center" vertical="center"/>
    </xf>
    <xf numFmtId="0" fontId="18" fillId="0" borderId="24" xfId="36" applyFont="1" applyBorder="1" applyAlignment="1">
      <alignment horizontal="center" vertical="center" wrapText="1"/>
    </xf>
    <xf numFmtId="0" fontId="19" fillId="0" borderId="0" xfId="36" applyFont="1" applyAlignment="1">
      <alignment vertical="center"/>
    </xf>
    <xf numFmtId="0" fontId="19" fillId="0" borderId="0" xfId="36" applyFont="1" applyAlignment="1">
      <alignment horizontal="left" vertical="center"/>
    </xf>
    <xf numFmtId="0" fontId="19" fillId="0" borderId="32" xfId="36" applyFont="1" applyBorder="1" applyAlignment="1">
      <alignment horizontal="center" vertical="center"/>
    </xf>
    <xf numFmtId="0" fontId="19" fillId="0" borderId="28" xfId="36" applyFont="1" applyBorder="1" applyAlignment="1">
      <alignment horizontal="center" vertical="center"/>
    </xf>
    <xf numFmtId="0" fontId="19" fillId="0" borderId="31" xfId="36" applyFont="1" applyBorder="1" applyAlignment="1">
      <alignment horizontal="center" vertical="center"/>
    </xf>
    <xf numFmtId="0" fontId="19" fillId="0" borderId="29" xfId="36" applyFont="1" applyBorder="1" applyAlignment="1">
      <alignment horizontal="center" vertical="center"/>
    </xf>
    <xf numFmtId="0" fontId="19" fillId="0" borderId="30" xfId="36" applyFont="1" applyBorder="1" applyAlignment="1">
      <alignment horizontal="center" vertical="center"/>
    </xf>
    <xf numFmtId="0" fontId="20" fillId="0" borderId="23" xfId="35" applyFont="1" applyFill="1" applyBorder="1" applyAlignment="1">
      <alignment vertical="center" wrapText="1"/>
    </xf>
    <xf numFmtId="0" fontId="18" fillId="0" borderId="13" xfId="107" applyFont="1" applyBorder="1" applyAlignment="1">
      <alignment horizontal="center" vertical="center" wrapText="1"/>
    </xf>
    <xf numFmtId="0" fontId="18" fillId="0" borderId="19" xfId="107" applyFont="1" applyBorder="1" applyAlignment="1">
      <alignment horizontal="center" vertical="center" wrapText="1"/>
    </xf>
    <xf numFmtId="0" fontId="18" fillId="0" borderId="14" xfId="36" applyFont="1" applyBorder="1" applyAlignment="1">
      <alignment horizontal="center" vertical="center"/>
    </xf>
    <xf numFmtId="0" fontId="18" fillId="0" borderId="25" xfId="36" applyFont="1" applyBorder="1" applyAlignment="1">
      <alignment horizontal="center" vertical="center"/>
    </xf>
    <xf numFmtId="0" fontId="18" fillId="0" borderId="15" xfId="46" applyFont="1" applyBorder="1" applyAlignment="1">
      <alignment horizontal="center" vertical="center" wrapText="1"/>
    </xf>
    <xf numFmtId="0" fontId="19" fillId="0" borderId="20" xfId="46" applyFont="1" applyBorder="1" applyAlignment="1">
      <alignment horizontal="center"/>
    </xf>
    <xf numFmtId="0" fontId="18" fillId="0" borderId="14" xfId="46" applyFont="1" applyBorder="1" applyAlignment="1">
      <alignment horizontal="center" vertical="center" wrapText="1"/>
    </xf>
    <xf numFmtId="0" fontId="18" fillId="0" borderId="20" xfId="36" applyFont="1" applyBorder="1" applyAlignment="1">
      <alignment horizontal="center" vertical="center"/>
    </xf>
    <xf numFmtId="0" fontId="18" fillId="0" borderId="44" xfId="36" applyFont="1" applyBorder="1" applyAlignment="1">
      <alignment horizontal="center" vertical="center"/>
    </xf>
    <xf numFmtId="0" fontId="19" fillId="0" borderId="20" xfId="46" applyFont="1" applyBorder="1" applyAlignment="1">
      <alignment horizontal="center"/>
    </xf>
    <xf numFmtId="0" fontId="59" fillId="0" borderId="0" xfId="0" applyFont="1" applyFill="1" applyAlignment="1">
      <alignment vertical="center"/>
    </xf>
    <xf numFmtId="0" fontId="60" fillId="0" borderId="0" xfId="0" applyFont="1" applyFill="1"/>
    <xf numFmtId="0" fontId="61" fillId="0" borderId="61" xfId="0" applyFont="1" applyFill="1" applyBorder="1" applyAlignment="1">
      <alignment horizontal="left" vertical="center" wrapText="1"/>
    </xf>
    <xf numFmtId="4" fontId="64" fillId="0" borderId="61" xfId="0" applyNumberFormat="1" applyFont="1" applyFill="1" applyBorder="1" applyAlignment="1">
      <alignment horizontal="right" vertical="center"/>
    </xf>
    <xf numFmtId="164" fontId="64" fillId="0" borderId="61" xfId="0" applyNumberFormat="1" applyFont="1" applyFill="1" applyBorder="1" applyAlignment="1">
      <alignment horizontal="right" vertical="center"/>
    </xf>
    <xf numFmtId="0" fontId="61" fillId="0" borderId="61" xfId="0" applyFont="1" applyFill="1" applyBorder="1" applyAlignment="1">
      <alignment horizontal="left" vertical="center" wrapText="1" indent="1"/>
    </xf>
    <xf numFmtId="0" fontId="62" fillId="0" borderId="61" xfId="0" applyFont="1" applyFill="1" applyBorder="1" applyAlignment="1">
      <alignment horizontal="left" vertical="center" wrapText="1" indent="2"/>
    </xf>
    <xf numFmtId="4" fontId="62" fillId="0" borderId="61" xfId="0" applyNumberFormat="1" applyFont="1" applyFill="1" applyBorder="1" applyAlignment="1">
      <alignment horizontal="right" vertical="center"/>
    </xf>
    <xf numFmtId="164" fontId="62" fillId="0" borderId="61" xfId="0" applyNumberFormat="1" applyFont="1" applyFill="1" applyBorder="1" applyAlignment="1">
      <alignment horizontal="right" vertical="center"/>
    </xf>
    <xf numFmtId="164" fontId="62" fillId="0" borderId="0" xfId="0" applyNumberFormat="1" applyFont="1" applyFill="1" applyAlignment="1">
      <alignment horizontal="right" vertical="center"/>
    </xf>
    <xf numFmtId="0" fontId="61" fillId="0" borderId="61" xfId="0" applyFont="1" applyFill="1" applyBorder="1" applyAlignment="1">
      <alignment horizontal="left" vertical="center" wrapText="1" indent="2"/>
    </xf>
    <xf numFmtId="0" fontId="62" fillId="0" borderId="61" xfId="0" applyFont="1" applyFill="1" applyBorder="1" applyAlignment="1">
      <alignment horizontal="left" vertical="center" wrapText="1" indent="3"/>
    </xf>
    <xf numFmtId="164" fontId="63" fillId="0" borderId="0" xfId="0" applyNumberFormat="1" applyFont="1" applyFill="1" applyAlignment="1">
      <alignment horizontal="right" vertical="center"/>
    </xf>
    <xf numFmtId="0" fontId="62" fillId="0" borderId="61" xfId="0" applyFont="1" applyFill="1" applyBorder="1" applyAlignment="1">
      <alignment horizontal="left" vertical="center" wrapText="1" indent="4"/>
    </xf>
    <xf numFmtId="0" fontId="62" fillId="0" borderId="0" xfId="0" applyFont="1" applyFill="1" applyAlignment="1">
      <alignment horizontal="left" vertical="center" wrapText="1" indent="1"/>
    </xf>
    <xf numFmtId="3" fontId="57" fillId="0" borderId="0" xfId="0" applyNumberFormat="1" applyFont="1" applyFill="1" applyAlignment="1">
      <alignment horizontal="left" vertical="center"/>
    </xf>
    <xf numFmtId="3" fontId="57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164" fontId="57" fillId="0" borderId="0" xfId="0" applyNumberFormat="1" applyFont="1" applyFill="1" applyAlignment="1">
      <alignment horizontal="center" vertical="center"/>
    </xf>
    <xf numFmtId="164" fontId="60" fillId="0" borderId="0" xfId="0" applyNumberFormat="1" applyFont="1" applyFill="1"/>
    <xf numFmtId="4" fontId="65" fillId="0" borderId="61" xfId="0" applyNumberFormat="1" applyFont="1" applyFill="1" applyBorder="1" applyAlignment="1">
      <alignment horizontal="right" vertical="center"/>
    </xf>
    <xf numFmtId="164" fontId="63" fillId="0" borderId="61" xfId="0" applyNumberFormat="1" applyFont="1" applyFill="1" applyBorder="1" applyAlignment="1">
      <alignment horizontal="right" vertical="center"/>
    </xf>
    <xf numFmtId="4" fontId="63" fillId="0" borderId="61" xfId="0" applyNumberFormat="1" applyFont="1" applyFill="1" applyBorder="1" applyAlignment="1">
      <alignment horizontal="right" vertical="center"/>
    </xf>
    <xf numFmtId="0" fontId="62" fillId="0" borderId="0" xfId="0" applyFont="1" applyFill="1" applyAlignment="1">
      <alignment vertical="center"/>
    </xf>
    <xf numFmtId="0" fontId="66" fillId="0" borderId="0" xfId="0" applyFont="1" applyFill="1" applyAlignment="1">
      <alignment horizontal="center" vertical="center" wrapText="1"/>
    </xf>
    <xf numFmtId="0" fontId="67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vertical="center"/>
    </xf>
    <xf numFmtId="0" fontId="62" fillId="0" borderId="61" xfId="0" applyFont="1" applyFill="1" applyBorder="1" applyAlignment="1">
      <alignment vertical="center"/>
    </xf>
    <xf numFmtId="4" fontId="65" fillId="0" borderId="61" xfId="0" applyNumberFormat="1" applyFont="1" applyFill="1" applyBorder="1" applyAlignment="1">
      <alignment vertical="center"/>
    </xf>
    <xf numFmtId="164" fontId="65" fillId="0" borderId="61" xfId="0" applyNumberFormat="1" applyFont="1" applyFill="1" applyBorder="1" applyAlignment="1">
      <alignment horizontal="right" vertical="center"/>
    </xf>
    <xf numFmtId="4" fontId="64" fillId="0" borderId="61" xfId="0" applyNumberFormat="1" applyFont="1" applyFill="1" applyBorder="1" applyAlignment="1">
      <alignment horizontal="right" vertical="center" wrapText="1"/>
    </xf>
    <xf numFmtId="4" fontId="64" fillId="0" borderId="61" xfId="0" applyNumberFormat="1" applyFont="1" applyFill="1" applyBorder="1" applyAlignment="1">
      <alignment vertical="center" wrapText="1"/>
    </xf>
    <xf numFmtId="4" fontId="62" fillId="0" borderId="61" xfId="0" applyNumberFormat="1" applyFont="1" applyFill="1" applyBorder="1" applyAlignment="1">
      <alignment vertical="center"/>
    </xf>
    <xf numFmtId="4" fontId="63" fillId="0" borderId="0" xfId="0" applyNumberFormat="1" applyFont="1" applyFill="1" applyAlignment="1">
      <alignment horizontal="right" vertical="center"/>
    </xf>
    <xf numFmtId="0" fontId="60" fillId="0" borderId="0" xfId="0" applyFont="1" applyFill="1" applyAlignment="1">
      <alignment horizontal="center" vertical="center"/>
    </xf>
    <xf numFmtId="0" fontId="58" fillId="0" borderId="61" xfId="0" applyFont="1" applyFill="1" applyBorder="1" applyAlignment="1">
      <alignment horizontal="center" vertical="center" wrapText="1"/>
    </xf>
    <xf numFmtId="4" fontId="65" fillId="0" borderId="61" xfId="0" applyNumberFormat="1" applyFont="1" applyFill="1" applyBorder="1" applyAlignment="1">
      <alignment vertical="center" wrapText="1"/>
    </xf>
    <xf numFmtId="4" fontId="63" fillId="0" borderId="61" xfId="0" applyNumberFormat="1" applyFont="1" applyFill="1" applyBorder="1" applyAlignment="1">
      <alignment horizontal="right" vertical="center" wrapText="1"/>
    </xf>
    <xf numFmtId="4" fontId="63" fillId="0" borderId="61" xfId="0" applyNumberFormat="1" applyFont="1" applyFill="1" applyBorder="1" applyAlignment="1">
      <alignment vertical="center" wrapText="1"/>
    </xf>
    <xf numFmtId="0" fontId="63" fillId="0" borderId="62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61" xfId="0" applyFont="1" applyFill="1" applyBorder="1" applyAlignment="1">
      <alignment horizontal="center"/>
    </xf>
    <xf numFmtId="4" fontId="65" fillId="0" borderId="62" xfId="0" applyNumberFormat="1" applyFont="1" applyFill="1" applyBorder="1" applyAlignment="1">
      <alignment horizontal="right" vertical="center"/>
    </xf>
    <xf numFmtId="164" fontId="65" fillId="0" borderId="61" xfId="223" applyNumberFormat="1" applyFont="1" applyFill="1" applyBorder="1" applyAlignment="1">
      <alignment horizontal="right" vertical="center"/>
    </xf>
    <xf numFmtId="0" fontId="63" fillId="0" borderId="61" xfId="0" applyFont="1" applyFill="1" applyBorder="1" applyAlignment="1">
      <alignment horizontal="left" vertical="center" wrapText="1" indent="1"/>
    </xf>
    <xf numFmtId="4" fontId="63" fillId="0" borderId="62" xfId="0" applyNumberFormat="1" applyFont="1" applyFill="1" applyBorder="1" applyAlignment="1">
      <alignment horizontal="right" vertical="center"/>
    </xf>
    <xf numFmtId="0" fontId="63" fillId="0" borderId="61" xfId="0" applyFont="1" applyFill="1" applyBorder="1" applyAlignment="1">
      <alignment horizontal="left" vertical="center" wrapText="1" indent="2"/>
    </xf>
    <xf numFmtId="0" fontId="69" fillId="0" borderId="61" xfId="108" applyFont="1" applyFill="1" applyBorder="1" applyAlignment="1">
      <alignment horizontal="left" vertical="center" wrapText="1"/>
    </xf>
    <xf numFmtId="0" fontId="69" fillId="0" borderId="61" xfId="108" applyFont="1" applyFill="1" applyBorder="1" applyAlignment="1">
      <alignment horizontal="left" vertical="center" wrapText="1" indent="1"/>
    </xf>
    <xf numFmtId="0" fontId="60" fillId="0" borderId="0" xfId="580" applyFont="1" applyFill="1" applyAlignment="1">
      <alignment horizontal="center" vertical="center" wrapText="1"/>
    </xf>
    <xf numFmtId="0" fontId="70" fillId="0" borderId="0" xfId="580" applyFont="1" applyFill="1" applyAlignment="1">
      <alignment horizontal="center" vertical="center" wrapText="1"/>
    </xf>
    <xf numFmtId="0" fontId="65" fillId="0" borderId="61" xfId="580" applyFont="1" applyFill="1" applyBorder="1" applyAlignment="1">
      <alignment horizontal="left" vertical="top" wrapText="1"/>
    </xf>
    <xf numFmtId="4" fontId="71" fillId="0" borderId="61" xfId="580" applyNumberFormat="1" applyFont="1" applyFill="1" applyBorder="1" applyAlignment="1">
      <alignment horizontal="right" vertical="center" wrapText="1"/>
    </xf>
    <xf numFmtId="0" fontId="63" fillId="0" borderId="61" xfId="580" applyFont="1" applyFill="1" applyBorder="1" applyAlignment="1">
      <alignment horizontal="left" vertical="center" wrapText="1"/>
    </xf>
    <xf numFmtId="0" fontId="65" fillId="0" borderId="61" xfId="580" applyFont="1" applyFill="1" applyBorder="1" applyAlignment="1">
      <alignment horizontal="left" vertical="center" wrapText="1"/>
    </xf>
    <xf numFmtId="0" fontId="63" fillId="0" borderId="61" xfId="580" applyFont="1" applyFill="1" applyBorder="1" applyAlignment="1">
      <alignment horizontal="left" vertical="top" wrapText="1"/>
    </xf>
    <xf numFmtId="0" fontId="71" fillId="0" borderId="0" xfId="0" applyFont="1" applyFill="1" applyAlignment="1">
      <alignment horizontal="left" indent="1"/>
    </xf>
    <xf numFmtId="4" fontId="71" fillId="0" borderId="0" xfId="580" applyNumberFormat="1" applyFont="1" applyFill="1" applyAlignment="1">
      <alignment horizontal="right" vertical="center" wrapText="1"/>
    </xf>
    <xf numFmtId="0" fontId="18" fillId="0" borderId="15" xfId="36" applyFont="1" applyBorder="1" applyAlignment="1">
      <alignment horizontal="center"/>
    </xf>
    <xf numFmtId="0" fontId="68" fillId="0" borderId="0" xfId="0" applyFont="1"/>
    <xf numFmtId="0" fontId="58" fillId="0" borderId="0" xfId="34" applyFont="1" applyAlignment="1">
      <alignment horizontal="left" vertical="center"/>
    </xf>
    <xf numFmtId="0" fontId="60" fillId="0" borderId="0" xfId="36" applyFont="1"/>
    <xf numFmtId="0" fontId="58" fillId="0" borderId="0" xfId="34" applyFont="1" applyFill="1" applyAlignment="1">
      <alignment horizontal="left" vertical="center"/>
    </xf>
    <xf numFmtId="0" fontId="58" fillId="0" borderId="0" xfId="36" applyFont="1" applyAlignment="1">
      <alignment horizontal="left" vertical="center"/>
    </xf>
    <xf numFmtId="0" fontId="58" fillId="0" borderId="0" xfId="34" applyFont="1"/>
    <xf numFmtId="0" fontId="60" fillId="0" borderId="0" xfId="34" applyFont="1"/>
    <xf numFmtId="0" fontId="60" fillId="0" borderId="0" xfId="36" applyFont="1" applyAlignment="1">
      <alignment vertical="center"/>
    </xf>
    <xf numFmtId="0" fontId="72" fillId="0" borderId="0" xfId="0" applyFont="1" applyFill="1" applyAlignment="1">
      <alignment vertical="center"/>
    </xf>
    <xf numFmtId="0" fontId="63" fillId="0" borderId="0" xfId="0" applyFont="1" applyFill="1" applyAlignment="1">
      <alignment horizontal="left" vertical="center"/>
    </xf>
    <xf numFmtId="164" fontId="57" fillId="0" borderId="61" xfId="0" applyNumberFormat="1" applyFont="1" applyFill="1" applyBorder="1" applyAlignment="1">
      <alignment horizontal="center" vertical="center"/>
    </xf>
    <xf numFmtId="164" fontId="57" fillId="0" borderId="62" xfId="0" applyNumberFormat="1" applyFont="1" applyFill="1" applyBorder="1" applyAlignment="1">
      <alignment horizontal="center" vertical="center"/>
    </xf>
    <xf numFmtId="164" fontId="57" fillId="0" borderId="69" xfId="0" applyNumberFormat="1" applyFont="1" applyFill="1" applyBorder="1" applyAlignment="1">
      <alignment horizontal="center" vertical="center"/>
    </xf>
    <xf numFmtId="0" fontId="61" fillId="0" borderId="61" xfId="0" applyFont="1" applyFill="1" applyBorder="1" applyAlignment="1">
      <alignment horizontal="right" vertical="center" wrapText="1" indent="1"/>
    </xf>
    <xf numFmtId="4" fontId="62" fillId="0" borderId="0" xfId="0" applyNumberFormat="1" applyFont="1" applyFill="1" applyAlignment="1">
      <alignment horizontal="right" vertical="center"/>
    </xf>
    <xf numFmtId="0" fontId="57" fillId="0" borderId="0" xfId="0" applyFont="1" applyFill="1" applyAlignment="1">
      <alignment horizontal="left" vertical="center"/>
    </xf>
    <xf numFmtId="4" fontId="65" fillId="0" borderId="0" xfId="0" applyNumberFormat="1" applyFont="1" applyFill="1" applyAlignment="1">
      <alignment horizontal="right" vertical="center"/>
    </xf>
    <xf numFmtId="4" fontId="64" fillId="0" borderId="0" xfId="0" applyNumberFormat="1" applyFont="1" applyFill="1" applyAlignment="1">
      <alignment horizontal="right" vertical="center" wrapText="1"/>
    </xf>
    <xf numFmtId="4" fontId="62" fillId="0" borderId="61" xfId="0" applyNumberFormat="1" applyFont="1" applyFill="1" applyBorder="1" applyAlignment="1">
      <alignment horizontal="right" vertical="center" wrapText="1"/>
    </xf>
    <xf numFmtId="4" fontId="62" fillId="0" borderId="61" xfId="0" applyNumberFormat="1" applyFont="1" applyFill="1" applyBorder="1" applyAlignment="1">
      <alignment vertical="center" wrapText="1"/>
    </xf>
    <xf numFmtId="4" fontId="62" fillId="0" borderId="0" xfId="0" applyNumberFormat="1" applyFont="1" applyFill="1" applyAlignment="1">
      <alignment horizontal="right" vertical="center" wrapText="1"/>
    </xf>
    <xf numFmtId="4" fontId="62" fillId="0" borderId="62" xfId="0" applyNumberFormat="1" applyFont="1" applyFill="1" applyBorder="1" applyAlignment="1">
      <alignment vertical="center" wrapText="1"/>
    </xf>
    <xf numFmtId="4" fontId="64" fillId="0" borderId="69" xfId="0" applyNumberFormat="1" applyFont="1" applyFill="1" applyBorder="1" applyAlignment="1">
      <alignment horizontal="right" vertical="center" wrapText="1"/>
    </xf>
    <xf numFmtId="4" fontId="64" fillId="0" borderId="0" xfId="0" applyNumberFormat="1" applyFont="1" applyFill="1" applyAlignment="1">
      <alignment vertical="center" wrapText="1"/>
    </xf>
    <xf numFmtId="0" fontId="61" fillId="0" borderId="61" xfId="0" applyFont="1" applyFill="1" applyBorder="1" applyAlignment="1">
      <alignment horizontal="center" vertical="center" wrapText="1"/>
    </xf>
    <xf numFmtId="0" fontId="61" fillId="0" borderId="72" xfId="0" applyFont="1" applyFill="1" applyBorder="1" applyAlignment="1">
      <alignment vertical="center"/>
    </xf>
    <xf numFmtId="0" fontId="61" fillId="0" borderId="61" xfId="0" applyFont="1" applyFill="1" applyBorder="1" applyAlignment="1">
      <alignment horizontal="right" vertical="center" wrapText="1"/>
    </xf>
    <xf numFmtId="0" fontId="61" fillId="0" borderId="61" xfId="0" applyFont="1" applyFill="1" applyBorder="1" applyAlignment="1">
      <alignment horizontal="right" vertical="center"/>
    </xf>
    <xf numFmtId="0" fontId="60" fillId="0" borderId="0" xfId="0" applyFont="1" applyFill="1" applyAlignment="1">
      <alignment horizontal="center" vertical="top" wrapText="1"/>
    </xf>
    <xf numFmtId="0" fontId="63" fillId="0" borderId="62" xfId="0" applyFont="1" applyFill="1" applyBorder="1" applyAlignment="1">
      <alignment horizontal="center"/>
    </xf>
    <xf numFmtId="0" fontId="58" fillId="0" borderId="61" xfId="0" applyFont="1" applyFill="1" applyBorder="1" applyAlignment="1">
      <alignment horizontal="left" vertical="top" wrapText="1"/>
    </xf>
    <xf numFmtId="164" fontId="65" fillId="0" borderId="61" xfId="221" applyNumberFormat="1" applyFont="1" applyFill="1" applyBorder="1" applyAlignment="1">
      <alignment horizontal="right" vertical="center"/>
    </xf>
    <xf numFmtId="0" fontId="18" fillId="0" borderId="61" xfId="580" applyFont="1" applyFill="1" applyBorder="1" applyAlignment="1">
      <alignment horizontal="left" vertical="center" wrapText="1"/>
    </xf>
    <xf numFmtId="0" fontId="19" fillId="0" borderId="61" xfId="0" applyFont="1" applyFill="1" applyBorder="1" applyAlignment="1">
      <alignment horizontal="left" vertical="center" indent="1"/>
    </xf>
    <xf numFmtId="4" fontId="71" fillId="0" borderId="61" xfId="580" applyNumberFormat="1" applyFont="1" applyFill="1" applyBorder="1" applyAlignment="1">
      <alignment vertical="center" wrapText="1"/>
    </xf>
    <xf numFmtId="0" fontId="73" fillId="0" borderId="0" xfId="0" applyFont="1" applyFill="1" applyAlignment="1">
      <alignment vertical="center"/>
    </xf>
    <xf numFmtId="4" fontId="76" fillId="0" borderId="0" xfId="0" applyNumberFormat="1" applyFont="1" applyFill="1" applyAlignment="1">
      <alignment horizontal="right" vertical="center"/>
    </xf>
    <xf numFmtId="4" fontId="74" fillId="0" borderId="0" xfId="0" applyNumberFormat="1" applyFont="1" applyFill="1" applyAlignment="1">
      <alignment horizontal="right" vertical="center"/>
    </xf>
    <xf numFmtId="4" fontId="75" fillId="0" borderId="0" xfId="0" applyNumberFormat="1" applyFont="1" applyFill="1" applyAlignment="1">
      <alignment horizontal="right" vertical="center" wrapText="1"/>
    </xf>
    <xf numFmtId="4" fontId="76" fillId="0" borderId="0" xfId="0" applyNumberFormat="1" applyFont="1" applyFill="1" applyAlignment="1">
      <alignment horizontal="right" vertical="center" wrapText="1"/>
    </xf>
    <xf numFmtId="0" fontId="63" fillId="0" borderId="0" xfId="0" applyFont="1" applyFill="1"/>
    <xf numFmtId="0" fontId="65" fillId="0" borderId="61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 vertical="center" wrapText="1"/>
    </xf>
    <xf numFmtId="4" fontId="76" fillId="0" borderId="0" xfId="0" applyNumberFormat="1" applyFont="1" applyFill="1" applyAlignment="1">
      <alignment horizontal="center" vertical="center"/>
    </xf>
    <xf numFmtId="164" fontId="60" fillId="0" borderId="0" xfId="0" applyNumberFormat="1" applyFont="1" applyFill="1" applyAlignment="1">
      <alignment horizontal="center"/>
    </xf>
    <xf numFmtId="4" fontId="74" fillId="0" borderId="0" xfId="0" applyNumberFormat="1" applyFont="1" applyFill="1" applyAlignment="1">
      <alignment horizontal="center" vertical="center"/>
    </xf>
    <xf numFmtId="4" fontId="75" fillId="0" borderId="0" xfId="0" applyNumberFormat="1" applyFont="1" applyFill="1" applyAlignment="1">
      <alignment horizontal="center" vertical="center" wrapText="1"/>
    </xf>
    <xf numFmtId="4" fontId="76" fillId="0" borderId="0" xfId="0" applyNumberFormat="1" applyFont="1" applyFill="1" applyAlignment="1">
      <alignment horizontal="center" vertical="center" wrapText="1"/>
    </xf>
    <xf numFmtId="0" fontId="77" fillId="0" borderId="0" xfId="0" applyFont="1" applyFill="1" applyAlignment="1">
      <alignment vertical="center"/>
    </xf>
    <xf numFmtId="164" fontId="62" fillId="0" borderId="0" xfId="0" applyNumberFormat="1" applyFont="1" applyFill="1" applyAlignment="1">
      <alignment horizontal="center" vertical="center"/>
    </xf>
    <xf numFmtId="164" fontId="63" fillId="0" borderId="0" xfId="0" applyNumberFormat="1" applyFont="1" applyFill="1"/>
    <xf numFmtId="0" fontId="73" fillId="0" borderId="0" xfId="0" applyFont="1" applyFill="1" applyAlignment="1">
      <alignment vertical="center" wrapText="1"/>
    </xf>
    <xf numFmtId="0" fontId="73" fillId="0" borderId="0" xfId="0" applyFont="1" applyFill="1" applyAlignment="1">
      <alignment horizontal="center" vertical="center" wrapText="1"/>
    </xf>
    <xf numFmtId="0" fontId="19" fillId="0" borderId="0" xfId="0" applyFont="1" applyFill="1"/>
    <xf numFmtId="4" fontId="64" fillId="0" borderId="0" xfId="0" applyNumberFormat="1" applyFont="1" applyFill="1" applyAlignment="1">
      <alignment horizontal="right" vertical="center"/>
    </xf>
    <xf numFmtId="0" fontId="18" fillId="0" borderId="21" xfId="36" applyFont="1" applyBorder="1" applyAlignment="1">
      <alignment horizontal="center" vertical="center"/>
    </xf>
    <xf numFmtId="0" fontId="19" fillId="0" borderId="0" xfId="581" applyFont="1"/>
    <xf numFmtId="0" fontId="18" fillId="0" borderId="51" xfId="111" applyFont="1" applyBorder="1" applyAlignment="1">
      <alignment horizontal="left" wrapText="1"/>
    </xf>
    <xf numFmtId="4" fontId="78" fillId="0" borderId="19" xfId="107" applyNumberFormat="1" applyFont="1" applyBorder="1" applyAlignment="1">
      <alignment horizontal="right" vertical="center"/>
    </xf>
    <xf numFmtId="4" fontId="78" fillId="0" borderId="33" xfId="107" applyNumberFormat="1" applyFont="1" applyBorder="1" applyAlignment="1">
      <alignment horizontal="right" vertical="center"/>
    </xf>
    <xf numFmtId="169" fontId="18" fillId="0" borderId="22" xfId="111" applyNumberFormat="1" applyFont="1" applyBorder="1" applyAlignment="1">
      <alignment horizontal="right" vertical="center" wrapText="1" indent="1"/>
    </xf>
    <xf numFmtId="169" fontId="18" fillId="0" borderId="19" xfId="111" applyNumberFormat="1" applyFont="1" applyBorder="1" applyAlignment="1">
      <alignment horizontal="right" vertical="center" wrapText="1" indent="1"/>
    </xf>
    <xf numFmtId="169" fontId="18" fillId="0" borderId="23" xfId="111" applyNumberFormat="1" applyFont="1" applyBorder="1" applyAlignment="1">
      <alignment horizontal="right" vertical="center" wrapText="1" indent="1"/>
    </xf>
    <xf numFmtId="0" fontId="18" fillId="0" borderId="49" xfId="111" applyFont="1" applyBorder="1" applyAlignment="1">
      <alignment horizontal="left" wrapText="1"/>
    </xf>
    <xf numFmtId="4" fontId="78" fillId="0" borderId="25" xfId="107" applyNumberFormat="1" applyFont="1" applyBorder="1" applyAlignment="1">
      <alignment horizontal="right" vertical="center"/>
    </xf>
    <xf numFmtId="4" fontId="78" fillId="0" borderId="20" xfId="107" applyNumberFormat="1" applyFont="1" applyBorder="1" applyAlignment="1">
      <alignment horizontal="right" vertical="center"/>
    </xf>
    <xf numFmtId="4" fontId="78" fillId="0" borderId="26" xfId="107" applyNumberFormat="1" applyFont="1" applyBorder="1" applyAlignment="1">
      <alignment horizontal="right" vertical="center"/>
    </xf>
    <xf numFmtId="0" fontId="19" fillId="0" borderId="49" xfId="111" applyFont="1" applyBorder="1" applyAlignment="1">
      <alignment horizontal="left" wrapText="1" indent="1"/>
    </xf>
    <xf numFmtId="4" fontId="57" fillId="0" borderId="25" xfId="107" applyNumberFormat="1" applyFont="1" applyBorder="1" applyAlignment="1">
      <alignment horizontal="right" vertical="center"/>
    </xf>
    <xf numFmtId="4" fontId="57" fillId="0" borderId="20" xfId="107" applyNumberFormat="1" applyFont="1" applyBorder="1" applyAlignment="1">
      <alignment horizontal="right" vertical="center"/>
    </xf>
    <xf numFmtId="4" fontId="57" fillId="0" borderId="26" xfId="107" applyNumberFormat="1" applyFont="1" applyBorder="1" applyAlignment="1">
      <alignment horizontal="right" vertical="center"/>
    </xf>
    <xf numFmtId="169" fontId="19" fillId="0" borderId="22" xfId="111" applyNumberFormat="1" applyFont="1" applyBorder="1" applyAlignment="1">
      <alignment horizontal="right" vertical="center" wrapText="1" indent="1"/>
    </xf>
    <xf numFmtId="169" fontId="19" fillId="0" borderId="19" xfId="111" applyNumberFormat="1" applyFont="1" applyBorder="1" applyAlignment="1">
      <alignment horizontal="right" vertical="center" wrapText="1" indent="1"/>
    </xf>
    <xf numFmtId="169" fontId="19" fillId="0" borderId="23" xfId="111" applyNumberFormat="1" applyFont="1" applyBorder="1" applyAlignment="1">
      <alignment horizontal="right" vertical="center" wrapText="1" indent="1"/>
    </xf>
    <xf numFmtId="0" fontId="19" fillId="0" borderId="49" xfId="111" applyFont="1" applyBorder="1" applyAlignment="1">
      <alignment horizontal="left" vertical="center" wrapText="1" indent="1"/>
    </xf>
    <xf numFmtId="0" fontId="18" fillId="0" borderId="50" xfId="111" applyFont="1" applyBorder="1" applyAlignment="1">
      <alignment horizontal="left" vertical="center" wrapText="1"/>
    </xf>
    <xf numFmtId="4" fontId="78" fillId="0" borderId="30" xfId="107" applyNumberFormat="1" applyFont="1" applyBorder="1" applyAlignment="1">
      <alignment horizontal="right" vertical="center"/>
    </xf>
    <xf numFmtId="4" fontId="78" fillId="0" borderId="31" xfId="107" applyNumberFormat="1" applyFont="1" applyBorder="1" applyAlignment="1">
      <alignment horizontal="right" vertical="center"/>
    </xf>
    <xf numFmtId="4" fontId="78" fillId="0" borderId="58" xfId="107" applyNumberFormat="1" applyFont="1" applyBorder="1" applyAlignment="1">
      <alignment horizontal="right" vertical="center"/>
    </xf>
    <xf numFmtId="169" fontId="18" fillId="0" borderId="28" xfId="111" applyNumberFormat="1" applyFont="1" applyBorder="1" applyAlignment="1">
      <alignment horizontal="right" vertical="center" wrapText="1" indent="1"/>
    </xf>
    <xf numFmtId="169" fontId="18" fillId="0" borderId="31" xfId="111" applyNumberFormat="1" applyFont="1" applyBorder="1" applyAlignment="1">
      <alignment horizontal="right" vertical="center" wrapText="1" indent="1"/>
    </xf>
    <xf numFmtId="169" fontId="18" fillId="0" borderId="29" xfId="111" applyNumberFormat="1" applyFont="1" applyBorder="1" applyAlignment="1">
      <alignment horizontal="right" vertical="center" wrapText="1" indent="1"/>
    </xf>
    <xf numFmtId="0" fontId="19" fillId="0" borderId="0" xfId="582" applyFont="1"/>
    <xf numFmtId="169" fontId="18" fillId="0" borderId="43" xfId="111" applyNumberFormat="1" applyFont="1" applyBorder="1" applyAlignment="1">
      <alignment horizontal="right" vertical="center" wrapText="1" indent="1"/>
    </xf>
    <xf numFmtId="169" fontId="18" fillId="0" borderId="14" xfId="111" applyNumberFormat="1" applyFont="1" applyBorder="1" applyAlignment="1">
      <alignment horizontal="right" vertical="center" wrapText="1" indent="1"/>
    </xf>
    <xf numFmtId="169" fontId="18" fillId="0" borderId="15" xfId="111" applyNumberFormat="1" applyFont="1" applyBorder="1" applyAlignment="1">
      <alignment horizontal="right" vertical="center" wrapText="1" indent="1"/>
    </xf>
    <xf numFmtId="169" fontId="18" fillId="0" borderId="79" xfId="111" applyNumberFormat="1" applyFont="1" applyBorder="1" applyAlignment="1">
      <alignment horizontal="right" vertical="center" wrapText="1" indent="1"/>
    </xf>
    <xf numFmtId="0" fontId="19" fillId="0" borderId="0" xfId="111" applyFont="1"/>
    <xf numFmtId="0" fontId="18" fillId="0" borderId="75" xfId="111" applyFont="1" applyBorder="1" applyAlignment="1">
      <alignment horizontal="left" wrapText="1"/>
    </xf>
    <xf numFmtId="4" fontId="78" fillId="0" borderId="43" xfId="107" applyNumberFormat="1" applyFont="1" applyBorder="1" applyAlignment="1">
      <alignment horizontal="right" vertical="center"/>
    </xf>
    <xf numFmtId="4" fontId="78" fillId="0" borderId="15" xfId="107" applyNumberFormat="1" applyFont="1" applyBorder="1" applyAlignment="1">
      <alignment horizontal="right" vertical="center"/>
    </xf>
    <xf numFmtId="4" fontId="78" fillId="0" borderId="32" xfId="107" applyNumberFormat="1" applyFont="1" applyBorder="1" applyAlignment="1">
      <alignment horizontal="right" vertical="center"/>
    </xf>
    <xf numFmtId="4" fontId="78" fillId="0" borderId="21" xfId="107" applyNumberFormat="1" applyFont="1" applyBorder="1" applyAlignment="1">
      <alignment horizontal="right" vertical="center"/>
    </xf>
    <xf numFmtId="169" fontId="18" fillId="0" borderId="32" xfId="111" applyNumberFormat="1" applyFont="1" applyBorder="1" applyAlignment="1">
      <alignment horizontal="right" vertical="center" wrapText="1" indent="1"/>
    </xf>
    <xf numFmtId="169" fontId="18" fillId="0" borderId="20" xfId="111" applyNumberFormat="1" applyFont="1" applyBorder="1" applyAlignment="1">
      <alignment horizontal="right" vertical="center" wrapText="1" indent="1"/>
    </xf>
    <xf numFmtId="169" fontId="18" fillId="0" borderId="21" xfId="111" applyNumberFormat="1" applyFont="1" applyBorder="1" applyAlignment="1">
      <alignment horizontal="right" vertical="center" wrapText="1" indent="1"/>
    </xf>
    <xf numFmtId="4" fontId="57" fillId="0" borderId="32" xfId="107" applyNumberFormat="1" applyFont="1" applyBorder="1" applyAlignment="1">
      <alignment horizontal="right" vertical="center"/>
    </xf>
    <xf numFmtId="4" fontId="57" fillId="0" borderId="21" xfId="107" applyNumberFormat="1" applyFont="1" applyBorder="1" applyAlignment="1">
      <alignment horizontal="right" vertical="center"/>
    </xf>
    <xf numFmtId="169" fontId="19" fillId="0" borderId="32" xfId="111" applyNumberFormat="1" applyFont="1" applyBorder="1" applyAlignment="1">
      <alignment horizontal="right" vertical="center" wrapText="1" indent="1"/>
    </xf>
    <xf numFmtId="169" fontId="19" fillId="0" borderId="20" xfId="111" applyNumberFormat="1" applyFont="1" applyBorder="1" applyAlignment="1">
      <alignment horizontal="right" vertical="center" wrapText="1" indent="1"/>
    </xf>
    <xf numFmtId="169" fontId="19" fillId="0" borderId="21" xfId="111" applyNumberFormat="1" applyFont="1" applyBorder="1" applyAlignment="1">
      <alignment horizontal="right" vertical="center" wrapText="1" indent="1"/>
    </xf>
    <xf numFmtId="4" fontId="19" fillId="0" borderId="21" xfId="107" applyNumberFormat="1" applyFont="1" applyBorder="1" applyAlignment="1">
      <alignment horizontal="right" vertical="center"/>
    </xf>
    <xf numFmtId="4" fontId="78" fillId="0" borderId="28" xfId="107" applyNumberFormat="1" applyFont="1" applyBorder="1" applyAlignment="1">
      <alignment horizontal="right" vertical="center"/>
    </xf>
    <xf numFmtId="4" fontId="78" fillId="0" borderId="29" xfId="107" applyNumberFormat="1" applyFont="1" applyBorder="1" applyAlignment="1">
      <alignment horizontal="right" vertical="center"/>
    </xf>
    <xf numFmtId="4" fontId="19" fillId="0" borderId="0" xfId="111" applyNumberFormat="1" applyFont="1"/>
    <xf numFmtId="0" fontId="58" fillId="0" borderId="0" xfId="580" applyFont="1" applyAlignment="1">
      <alignment vertical="center" wrapText="1"/>
    </xf>
    <xf numFmtId="4" fontId="19" fillId="0" borderId="26" xfId="107" applyNumberFormat="1" applyFont="1" applyBorder="1" applyAlignment="1">
      <alignment horizontal="right" vertical="center"/>
    </xf>
    <xf numFmtId="0" fontId="18" fillId="0" borderId="50" xfId="111" applyFont="1" applyBorder="1" applyAlignment="1">
      <alignment horizontal="justify" wrapText="1"/>
    </xf>
    <xf numFmtId="169" fontId="19" fillId="0" borderId="0" xfId="111" applyNumberFormat="1" applyFont="1"/>
    <xf numFmtId="0" fontId="18" fillId="0" borderId="49" xfId="111" applyFont="1" applyBorder="1" applyAlignment="1">
      <alignment vertical="center" wrapText="1"/>
    </xf>
    <xf numFmtId="4" fontId="18" fillId="0" borderId="26" xfId="36" applyNumberFormat="1" applyFont="1" applyBorder="1" applyAlignment="1">
      <alignment vertical="center"/>
    </xf>
    <xf numFmtId="0" fontId="19" fillId="0" borderId="49" xfId="111" applyFont="1" applyBorder="1" applyAlignment="1">
      <alignment vertical="center" wrapText="1"/>
    </xf>
    <xf numFmtId="4" fontId="19" fillId="0" borderId="26" xfId="36" applyNumberFormat="1" applyFont="1" applyBorder="1" applyAlignment="1">
      <alignment vertical="center"/>
    </xf>
    <xf numFmtId="0" fontId="18" fillId="0" borderId="50" xfId="111" applyFont="1" applyBorder="1" applyAlignment="1">
      <alignment horizontal="justify" vertical="center" wrapText="1"/>
    </xf>
    <xf numFmtId="4" fontId="18" fillId="0" borderId="58" xfId="36" applyNumberFormat="1" applyFont="1" applyBorder="1" applyAlignment="1">
      <alignment vertical="center"/>
    </xf>
    <xf numFmtId="0" fontId="19" fillId="0" borderId="0" xfId="111" applyFont="1" applyAlignment="1">
      <alignment horizontal="left" vertical="center"/>
    </xf>
    <xf numFmtId="0" fontId="19" fillId="0" borderId="0" xfId="107" applyFont="1"/>
    <xf numFmtId="0" fontId="18" fillId="0" borderId="77" xfId="584" applyFont="1" applyBorder="1" applyAlignment="1">
      <alignment horizontal="center" vertical="center" wrapText="1"/>
    </xf>
    <xf numFmtId="0" fontId="18" fillId="0" borderId="78" xfId="584" applyFont="1" applyBorder="1" applyAlignment="1">
      <alignment horizontal="center" vertical="center" wrapText="1"/>
    </xf>
    <xf numFmtId="20" fontId="18" fillId="0" borderId="61" xfId="584" applyNumberFormat="1" applyFont="1" applyBorder="1" applyAlignment="1">
      <alignment horizontal="center" vertical="center" wrapText="1"/>
    </xf>
    <xf numFmtId="0" fontId="18" fillId="0" borderId="64" xfId="584" applyFont="1" applyBorder="1" applyAlignment="1">
      <alignment horizontal="center" vertical="center" wrapText="1"/>
    </xf>
    <xf numFmtId="0" fontId="19" fillId="0" borderId="69" xfId="584" applyFont="1" applyBorder="1" applyAlignment="1">
      <alignment horizontal="centerContinuous" vertical="center"/>
    </xf>
    <xf numFmtId="0" fontId="63" fillId="0" borderId="61" xfId="584" applyFont="1" applyBorder="1" applyAlignment="1">
      <alignment horizontal="center" vertical="center"/>
    </xf>
    <xf numFmtId="0" fontId="63" fillId="0" borderId="77" xfId="584" applyFont="1" applyBorder="1" applyAlignment="1">
      <alignment horizontal="center" vertical="center"/>
    </xf>
    <xf numFmtId="0" fontId="63" fillId="0" borderId="78" xfId="584" applyFont="1" applyBorder="1" applyAlignment="1">
      <alignment horizontal="center" vertical="center"/>
    </xf>
    <xf numFmtId="0" fontId="63" fillId="0" borderId="63" xfId="584" applyFont="1" applyBorder="1" applyAlignment="1">
      <alignment horizontal="center" vertical="center"/>
    </xf>
    <xf numFmtId="0" fontId="18" fillId="0" borderId="51" xfId="584" applyFont="1" applyBorder="1" applyAlignment="1">
      <alignment vertical="center"/>
    </xf>
    <xf numFmtId="0" fontId="19" fillId="0" borderId="22" xfId="584" applyFont="1" applyBorder="1" applyAlignment="1">
      <alignment vertical="center"/>
    </xf>
    <xf numFmtId="0" fontId="19" fillId="0" borderId="49" xfId="584" applyFont="1" applyBorder="1" applyAlignment="1">
      <alignment vertical="center" wrapText="1"/>
    </xf>
    <xf numFmtId="4" fontId="19" fillId="0" borderId="32" xfId="585" applyNumberFormat="1" applyFont="1" applyBorder="1" applyAlignment="1">
      <alignment vertical="center"/>
    </xf>
    <xf numFmtId="170" fontId="19" fillId="0" borderId="49" xfId="584" applyNumberFormat="1" applyFont="1" applyBorder="1" applyAlignment="1">
      <alignment vertical="center"/>
    </xf>
    <xf numFmtId="0" fontId="19" fillId="0" borderId="49" xfId="584" applyFont="1" applyBorder="1" applyAlignment="1">
      <alignment vertical="center"/>
    </xf>
    <xf numFmtId="0" fontId="18" fillId="50" borderId="49" xfId="584" applyFont="1" applyFill="1" applyBorder="1" applyAlignment="1">
      <alignment vertical="center" wrapText="1"/>
    </xf>
    <xf numFmtId="4" fontId="19" fillId="50" borderId="32" xfId="585" applyNumberFormat="1" applyFont="1" applyFill="1" applyBorder="1" applyAlignment="1">
      <alignment vertical="center"/>
    </xf>
    <xf numFmtId="0" fontId="19" fillId="50" borderId="49" xfId="584" applyFont="1" applyFill="1" applyBorder="1" applyAlignment="1">
      <alignment vertical="center" wrapText="1"/>
    </xf>
    <xf numFmtId="0" fontId="18" fillId="0" borderId="49" xfId="584" applyFont="1" applyBorder="1" applyAlignment="1">
      <alignment vertical="center" wrapText="1"/>
    </xf>
    <xf numFmtId="171" fontId="19" fillId="0" borderId="49" xfId="584" applyNumberFormat="1" applyFont="1" applyBorder="1" applyAlignment="1">
      <alignment vertical="center"/>
    </xf>
    <xf numFmtId="0" fontId="19" fillId="0" borderId="50" xfId="584" applyFont="1" applyBorder="1" applyAlignment="1">
      <alignment vertical="center" wrapText="1"/>
    </xf>
    <xf numFmtId="0" fontId="19" fillId="0" borderId="28" xfId="584" applyFont="1" applyBorder="1" applyAlignment="1">
      <alignment vertical="center"/>
    </xf>
    <xf numFmtId="0" fontId="19" fillId="0" borderId="50" xfId="584" applyFont="1" applyBorder="1" applyAlignment="1">
      <alignment vertical="center"/>
    </xf>
    <xf numFmtId="0" fontId="19" fillId="0" borderId="0" xfId="584" applyFont="1"/>
    <xf numFmtId="170" fontId="19" fillId="0" borderId="0" xfId="584" applyNumberFormat="1" applyFont="1" applyAlignment="1">
      <alignment horizontal="left"/>
    </xf>
    <xf numFmtId="0" fontId="19" fillId="0" borderId="0" xfId="584" applyFont="1" applyAlignment="1">
      <alignment vertical="center"/>
    </xf>
    <xf numFmtId="0" fontId="19" fillId="0" borderId="0" xfId="584" applyFont="1" applyAlignment="1">
      <alignment horizontal="left" vertical="center" wrapText="1"/>
    </xf>
    <xf numFmtId="20" fontId="18" fillId="0" borderId="64" xfId="584" applyNumberFormat="1" applyFont="1" applyBorder="1" applyAlignment="1">
      <alignment horizontal="center" vertical="center" wrapText="1"/>
    </xf>
    <xf numFmtId="0" fontId="19" fillId="0" borderId="71" xfId="584" applyFont="1" applyBorder="1" applyAlignment="1">
      <alignment horizontal="centerContinuous" vertical="center"/>
    </xf>
    <xf numFmtId="0" fontId="19" fillId="0" borderId="65" xfId="584" applyFont="1" applyBorder="1" applyAlignment="1">
      <alignment horizontal="centerContinuous" vertical="center"/>
    </xf>
    <xf numFmtId="0" fontId="19" fillId="0" borderId="73" xfId="584" applyFont="1" applyBorder="1" applyAlignment="1">
      <alignment horizontal="centerContinuous" vertical="center"/>
    </xf>
    <xf numFmtId="0" fontId="63" fillId="0" borderId="71" xfId="584" applyFont="1" applyBorder="1" applyAlignment="1">
      <alignment horizontal="center" vertical="center"/>
    </xf>
    <xf numFmtId="0" fontId="63" fillId="0" borderId="72" xfId="584" applyFont="1" applyBorder="1" applyAlignment="1">
      <alignment horizontal="center" vertical="center"/>
    </xf>
    <xf numFmtId="0" fontId="18" fillId="0" borderId="57" xfId="584" applyFont="1" applyBorder="1"/>
    <xf numFmtId="0" fontId="19" fillId="0" borderId="43" xfId="584" applyFont="1" applyBorder="1"/>
    <xf numFmtId="0" fontId="19" fillId="0" borderId="15" xfId="584" applyFont="1" applyBorder="1"/>
    <xf numFmtId="0" fontId="19" fillId="0" borderId="56" xfId="584" applyFont="1" applyBorder="1"/>
    <xf numFmtId="0" fontId="19" fillId="0" borderId="75" xfId="584" applyFont="1" applyBorder="1"/>
    <xf numFmtId="0" fontId="19" fillId="0" borderId="45" xfId="584" applyFont="1" applyBorder="1" applyAlignment="1">
      <alignment wrapText="1"/>
    </xf>
    <xf numFmtId="170" fontId="19" fillId="0" borderId="24" xfId="584" applyNumberFormat="1" applyFont="1" applyBorder="1"/>
    <xf numFmtId="170" fontId="19" fillId="0" borderId="49" xfId="584" applyNumberFormat="1" applyFont="1" applyBorder="1"/>
    <xf numFmtId="170" fontId="19" fillId="0" borderId="24" xfId="584" applyNumberFormat="1" applyFont="1" applyBorder="1" applyAlignment="1">
      <alignment horizontal="center"/>
    </xf>
    <xf numFmtId="0" fontId="19" fillId="0" borderId="32" xfId="584" applyFont="1" applyBorder="1"/>
    <xf numFmtId="0" fontId="19" fillId="0" borderId="21" xfId="584" applyFont="1" applyBorder="1"/>
    <xf numFmtId="0" fontId="19" fillId="0" borderId="24" xfId="584" applyFont="1" applyBorder="1"/>
    <xf numFmtId="0" fontId="19" fillId="0" borderId="49" xfId="584" applyFont="1" applyBorder="1"/>
    <xf numFmtId="0" fontId="18" fillId="0" borderId="45" xfId="584" applyFont="1" applyBorder="1" applyAlignment="1">
      <alignment wrapText="1"/>
    </xf>
    <xf numFmtId="0" fontId="19" fillId="0" borderId="82" xfId="584" applyFont="1" applyBorder="1" applyAlignment="1">
      <alignment wrapText="1"/>
    </xf>
    <xf numFmtId="0" fontId="19" fillId="0" borderId="28" xfId="584" applyFont="1" applyBorder="1"/>
    <xf numFmtId="0" fontId="19" fillId="0" borderId="29" xfId="584" applyFont="1" applyBorder="1"/>
    <xf numFmtId="0" fontId="19" fillId="0" borderId="81" xfId="584" applyFont="1" applyBorder="1"/>
    <xf numFmtId="0" fontId="19" fillId="0" borderId="50" xfId="584" applyFont="1" applyBorder="1"/>
    <xf numFmtId="0" fontId="19" fillId="0" borderId="58" xfId="584" applyFont="1" applyBorder="1" applyAlignment="1">
      <alignment vertical="center"/>
    </xf>
    <xf numFmtId="0" fontId="19" fillId="0" borderId="0" xfId="584" applyFont="1" applyBorder="1" applyAlignment="1">
      <alignment horizontal="centerContinuous" vertical="center"/>
    </xf>
    <xf numFmtId="0" fontId="58" fillId="0" borderId="0" xfId="584" applyFont="1" applyAlignment="1">
      <alignment horizontal="left" vertical="center"/>
    </xf>
    <xf numFmtId="4" fontId="19" fillId="0" borderId="26" xfId="585" applyNumberFormat="1" applyFont="1" applyBorder="1" applyAlignment="1">
      <alignment vertical="center"/>
    </xf>
    <xf numFmtId="0" fontId="19" fillId="0" borderId="75" xfId="584" applyFont="1" applyBorder="1" applyAlignment="1">
      <alignment vertical="center"/>
    </xf>
    <xf numFmtId="0" fontId="58" fillId="0" borderId="0" xfId="584" applyFont="1" applyAlignment="1">
      <alignment horizontal="left" vertical="center" wrapText="1"/>
    </xf>
    <xf numFmtId="166" fontId="19" fillId="0" borderId="22" xfId="34" applyNumberFormat="1" applyFont="1" applyBorder="1" applyAlignment="1">
      <alignment vertical="center"/>
    </xf>
    <xf numFmtId="4" fontId="19" fillId="50" borderId="26" xfId="585" applyNumberFormat="1" applyFont="1" applyFill="1" applyBorder="1" applyAlignment="1">
      <alignment vertical="center"/>
    </xf>
    <xf numFmtId="166" fontId="19" fillId="0" borderId="23" xfId="34" applyNumberFormat="1" applyFont="1" applyBorder="1" applyAlignment="1">
      <alignment vertical="center"/>
    </xf>
    <xf numFmtId="0" fontId="19" fillId="0" borderId="33" xfId="584" applyFont="1" applyBorder="1" applyAlignment="1">
      <alignment vertical="center"/>
    </xf>
    <xf numFmtId="4" fontId="19" fillId="0" borderId="20" xfId="36" applyNumberFormat="1" applyFont="1" applyBorder="1" applyAlignment="1">
      <alignment vertical="center"/>
    </xf>
    <xf numFmtId="4" fontId="19" fillId="0" borderId="31" xfId="36" applyNumberFormat="1" applyFont="1" applyBorder="1" applyAlignment="1">
      <alignment vertical="center"/>
    </xf>
    <xf numFmtId="4" fontId="19" fillId="0" borderId="20" xfId="34" applyNumberFormat="1" applyFont="1" applyBorder="1" applyAlignment="1">
      <alignment vertical="center"/>
    </xf>
    <xf numFmtId="4" fontId="19" fillId="0" borderId="31" xfId="34" applyNumberFormat="1" applyFont="1" applyBorder="1" applyAlignment="1">
      <alignment vertical="center"/>
    </xf>
    <xf numFmtId="0" fontId="25" fillId="0" borderId="20" xfId="183" applyFont="1" applyFill="1" applyBorder="1" applyAlignment="1">
      <alignment horizontal="center" vertical="center" wrapText="1"/>
    </xf>
    <xf numFmtId="0" fontId="25" fillId="0" borderId="32" xfId="183" applyFont="1" applyFill="1" applyBorder="1" applyAlignment="1">
      <alignment horizontal="center" vertical="center" wrapText="1"/>
    </xf>
    <xf numFmtId="166" fontId="19" fillId="0" borderId="19" xfId="0" applyNumberFormat="1" applyFont="1" applyBorder="1"/>
    <xf numFmtId="167" fontId="19" fillId="0" borderId="19" xfId="0" applyNumberFormat="1" applyFont="1" applyBorder="1"/>
    <xf numFmtId="166" fontId="19" fillId="0" borderId="44" xfId="36" applyNumberFormat="1" applyFont="1" applyBorder="1"/>
    <xf numFmtId="166" fontId="19" fillId="0" borderId="14" xfId="36" applyNumberFormat="1" applyFont="1" applyBorder="1"/>
    <xf numFmtId="166" fontId="19" fillId="0" borderId="25" xfId="36" applyNumberFormat="1" applyFont="1" applyBorder="1"/>
    <xf numFmtId="166" fontId="19" fillId="0" borderId="20" xfId="36" applyNumberFormat="1" applyFont="1" applyBorder="1"/>
    <xf numFmtId="166" fontId="19" fillId="0" borderId="30" xfId="36" applyNumberFormat="1" applyFont="1" applyBorder="1"/>
    <xf numFmtId="166" fontId="19" fillId="0" borderId="31" xfId="36" applyNumberFormat="1" applyFont="1" applyBorder="1"/>
    <xf numFmtId="166" fontId="19" fillId="0" borderId="19" xfId="36" applyNumberFormat="1" applyFont="1" applyBorder="1"/>
    <xf numFmtId="0" fontId="19" fillId="0" borderId="0" xfId="36" applyFont="1" applyFill="1" applyAlignment="1">
      <alignment horizontal="left" vertical="center"/>
    </xf>
    <xf numFmtId="0" fontId="23" fillId="0" borderId="0" xfId="36" applyFill="1"/>
    <xf numFmtId="164" fontId="19" fillId="0" borderId="20" xfId="34" applyNumberFormat="1" applyFont="1" applyBorder="1" applyAlignment="1">
      <alignment vertical="center"/>
    </xf>
    <xf numFmtId="0" fontId="19" fillId="0" borderId="32" xfId="34" applyFont="1" applyBorder="1" applyAlignment="1">
      <alignment horizontal="center" vertical="center"/>
    </xf>
    <xf numFmtId="164" fontId="19" fillId="0" borderId="21" xfId="34" applyNumberFormat="1" applyFont="1" applyBorder="1" applyAlignment="1">
      <alignment vertical="center"/>
    </xf>
    <xf numFmtId="0" fontId="19" fillId="0" borderId="28" xfId="34" applyFont="1" applyBorder="1" applyAlignment="1">
      <alignment horizontal="center" vertical="center"/>
    </xf>
    <xf numFmtId="164" fontId="19" fillId="0" borderId="31" xfId="34" applyNumberFormat="1" applyFont="1" applyBorder="1" applyAlignment="1">
      <alignment vertical="center"/>
    </xf>
    <xf numFmtId="164" fontId="19" fillId="0" borderId="29" xfId="34" applyNumberFormat="1" applyFont="1" applyBorder="1" applyAlignment="1">
      <alignment vertical="center"/>
    </xf>
    <xf numFmtId="0" fontId="18" fillId="0" borderId="22" xfId="34" applyFont="1" applyBorder="1" applyAlignment="1">
      <alignment horizontal="center" vertical="center"/>
    </xf>
    <xf numFmtId="166" fontId="18" fillId="0" borderId="19" xfId="34" applyNumberFormat="1" applyFont="1" applyBorder="1" applyAlignment="1">
      <alignment vertical="center"/>
    </xf>
    <xf numFmtId="164" fontId="18" fillId="0" borderId="19" xfId="34" applyNumberFormat="1" applyFont="1" applyBorder="1" applyAlignment="1">
      <alignment vertical="center"/>
    </xf>
    <xf numFmtId="164" fontId="18" fillId="0" borderId="23" xfId="34" applyNumberFormat="1" applyFont="1" applyBorder="1" applyAlignment="1">
      <alignment vertical="center"/>
    </xf>
    <xf numFmtId="166" fontId="18" fillId="0" borderId="18" xfId="34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9" fillId="0" borderId="25" xfId="34" applyNumberFormat="1" applyFont="1" applyBorder="1" applyAlignment="1">
      <alignment vertical="center"/>
    </xf>
    <xf numFmtId="166" fontId="19" fillId="0" borderId="20" xfId="34" applyNumberFormat="1" applyFont="1" applyBorder="1" applyAlignment="1">
      <alignment vertical="center"/>
    </xf>
    <xf numFmtId="166" fontId="19" fillId="0" borderId="30" xfId="34" applyNumberFormat="1" applyFont="1" applyBorder="1" applyAlignment="1">
      <alignment vertical="center"/>
    </xf>
    <xf numFmtId="166" fontId="19" fillId="0" borderId="31" xfId="34" applyNumberFormat="1" applyFont="1" applyBorder="1" applyAlignment="1">
      <alignment vertical="center"/>
    </xf>
    <xf numFmtId="164" fontId="19" fillId="0" borderId="20" xfId="34" applyNumberFormat="1" applyFont="1" applyBorder="1" applyAlignment="1">
      <alignment vertical="center"/>
    </xf>
    <xf numFmtId="0" fontId="19" fillId="0" borderId="32" xfId="34" applyFont="1" applyBorder="1" applyAlignment="1">
      <alignment horizontal="center" vertical="center"/>
    </xf>
    <xf numFmtId="164" fontId="19" fillId="0" borderId="21" xfId="34" applyNumberFormat="1" applyFont="1" applyBorder="1" applyAlignment="1">
      <alignment vertical="center"/>
    </xf>
    <xf numFmtId="0" fontId="19" fillId="0" borderId="28" xfId="34" applyFont="1" applyBorder="1" applyAlignment="1">
      <alignment horizontal="center" vertical="center"/>
    </xf>
    <xf numFmtId="164" fontId="19" fillId="0" borderId="31" xfId="34" applyNumberFormat="1" applyFont="1" applyBorder="1" applyAlignment="1">
      <alignment vertical="center"/>
    </xf>
    <xf numFmtId="164" fontId="19" fillId="0" borderId="29" xfId="34" applyNumberFormat="1" applyFont="1" applyBorder="1" applyAlignment="1">
      <alignment vertical="center"/>
    </xf>
    <xf numFmtId="0" fontId="18" fillId="0" borderId="22" xfId="34" applyFont="1" applyBorder="1" applyAlignment="1">
      <alignment horizontal="center" vertical="center"/>
    </xf>
    <xf numFmtId="166" fontId="18" fillId="0" borderId="19" xfId="34" applyNumberFormat="1" applyFont="1" applyBorder="1" applyAlignment="1">
      <alignment vertical="center"/>
    </xf>
    <xf numFmtId="164" fontId="18" fillId="0" borderId="19" xfId="34" applyNumberFormat="1" applyFont="1" applyBorder="1" applyAlignment="1">
      <alignment vertical="center"/>
    </xf>
    <xf numFmtId="164" fontId="18" fillId="0" borderId="23" xfId="34" applyNumberFormat="1" applyFont="1" applyBorder="1" applyAlignment="1">
      <alignment vertical="center"/>
    </xf>
    <xf numFmtId="166" fontId="18" fillId="0" borderId="18" xfId="34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9" fillId="0" borderId="25" xfId="34" applyNumberFormat="1" applyFont="1" applyBorder="1" applyAlignment="1">
      <alignment vertical="center"/>
    </xf>
    <xf numFmtId="166" fontId="19" fillId="0" borderId="20" xfId="34" applyNumberFormat="1" applyFont="1" applyBorder="1" applyAlignment="1">
      <alignment vertical="center"/>
    </xf>
    <xf numFmtId="166" fontId="19" fillId="0" borderId="30" xfId="34" applyNumberFormat="1" applyFont="1" applyBorder="1" applyAlignment="1">
      <alignment vertical="center"/>
    </xf>
    <xf numFmtId="166" fontId="19" fillId="0" borderId="31" xfId="34" applyNumberFormat="1" applyFont="1" applyBorder="1" applyAlignment="1">
      <alignment vertical="center"/>
    </xf>
    <xf numFmtId="164" fontId="19" fillId="0" borderId="20" xfId="34" applyNumberFormat="1" applyFont="1" applyBorder="1" applyAlignment="1">
      <alignment vertical="center"/>
    </xf>
    <xf numFmtId="0" fontId="19" fillId="0" borderId="32" xfId="34" applyFont="1" applyBorder="1" applyAlignment="1">
      <alignment horizontal="center" vertical="center"/>
    </xf>
    <xf numFmtId="164" fontId="19" fillId="0" borderId="21" xfId="34" applyNumberFormat="1" applyFont="1" applyBorder="1" applyAlignment="1">
      <alignment vertical="center"/>
    </xf>
    <xf numFmtId="0" fontId="19" fillId="0" borderId="28" xfId="34" applyFont="1" applyBorder="1" applyAlignment="1">
      <alignment horizontal="center" vertical="center"/>
    </xf>
    <xf numFmtId="164" fontId="19" fillId="0" borderId="31" xfId="34" applyNumberFormat="1" applyFont="1" applyBorder="1" applyAlignment="1">
      <alignment vertical="center"/>
    </xf>
    <xf numFmtId="164" fontId="19" fillId="0" borderId="29" xfId="34" applyNumberFormat="1" applyFont="1" applyBorder="1" applyAlignment="1">
      <alignment vertical="center"/>
    </xf>
    <xf numFmtId="0" fontId="18" fillId="0" borderId="22" xfId="34" applyFont="1" applyBorder="1" applyAlignment="1">
      <alignment horizontal="center" vertical="center"/>
    </xf>
    <xf numFmtId="166" fontId="18" fillId="0" borderId="19" xfId="34" applyNumberFormat="1" applyFont="1" applyBorder="1" applyAlignment="1">
      <alignment vertical="center"/>
    </xf>
    <xf numFmtId="164" fontId="18" fillId="0" borderId="19" xfId="34" applyNumberFormat="1" applyFont="1" applyBorder="1" applyAlignment="1">
      <alignment vertical="center"/>
    </xf>
    <xf numFmtId="164" fontId="18" fillId="0" borderId="23" xfId="34" applyNumberFormat="1" applyFont="1" applyBorder="1" applyAlignment="1">
      <alignment vertical="center"/>
    </xf>
    <xf numFmtId="166" fontId="18" fillId="0" borderId="18" xfId="34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9" fillId="0" borderId="25" xfId="34" applyNumberFormat="1" applyFont="1" applyBorder="1" applyAlignment="1">
      <alignment vertical="center"/>
    </xf>
    <xf numFmtId="166" fontId="19" fillId="0" borderId="20" xfId="34" applyNumberFormat="1" applyFont="1" applyBorder="1" applyAlignment="1">
      <alignment vertical="center"/>
    </xf>
    <xf numFmtId="166" fontId="19" fillId="0" borderId="30" xfId="34" applyNumberFormat="1" applyFont="1" applyBorder="1" applyAlignment="1">
      <alignment vertical="center"/>
    </xf>
    <xf numFmtId="166" fontId="19" fillId="0" borderId="31" xfId="34" applyNumberFormat="1" applyFont="1" applyBorder="1" applyAlignment="1">
      <alignment vertical="center"/>
    </xf>
    <xf numFmtId="164" fontId="19" fillId="0" borderId="20" xfId="34" applyNumberFormat="1" applyFont="1" applyBorder="1" applyAlignment="1">
      <alignment vertical="center"/>
    </xf>
    <xf numFmtId="0" fontId="19" fillId="0" borderId="32" xfId="34" applyFont="1" applyBorder="1" applyAlignment="1">
      <alignment horizontal="center" vertical="center"/>
    </xf>
    <xf numFmtId="164" fontId="19" fillId="0" borderId="21" xfId="34" applyNumberFormat="1" applyFont="1" applyBorder="1" applyAlignment="1">
      <alignment vertical="center"/>
    </xf>
    <xf numFmtId="0" fontId="19" fillId="0" borderId="28" xfId="34" applyFont="1" applyBorder="1" applyAlignment="1">
      <alignment horizontal="center" vertical="center"/>
    </xf>
    <xf numFmtId="164" fontId="19" fillId="0" borderId="31" xfId="34" applyNumberFormat="1" applyFont="1" applyBorder="1" applyAlignment="1">
      <alignment vertical="center"/>
    </xf>
    <xf numFmtId="164" fontId="19" fillId="0" borderId="29" xfId="34" applyNumberFormat="1" applyFont="1" applyBorder="1" applyAlignment="1">
      <alignment vertical="center"/>
    </xf>
    <xf numFmtId="0" fontId="18" fillId="0" borderId="22" xfId="34" applyFont="1" applyBorder="1" applyAlignment="1">
      <alignment horizontal="center" vertical="center"/>
    </xf>
    <xf numFmtId="166" fontId="18" fillId="0" borderId="19" xfId="34" applyNumberFormat="1" applyFont="1" applyBorder="1" applyAlignment="1">
      <alignment vertical="center"/>
    </xf>
    <xf numFmtId="164" fontId="18" fillId="0" borderId="19" xfId="34" applyNumberFormat="1" applyFont="1" applyBorder="1" applyAlignment="1">
      <alignment vertical="center"/>
    </xf>
    <xf numFmtId="164" fontId="18" fillId="0" borderId="23" xfId="34" applyNumberFormat="1" applyFont="1" applyBorder="1" applyAlignment="1">
      <alignment vertical="center"/>
    </xf>
    <xf numFmtId="166" fontId="18" fillId="0" borderId="18" xfId="34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9" fillId="0" borderId="25" xfId="34" applyNumberFormat="1" applyFont="1" applyBorder="1" applyAlignment="1">
      <alignment vertical="center"/>
    </xf>
    <xf numFmtId="166" fontId="19" fillId="0" borderId="20" xfId="34" applyNumberFormat="1" applyFont="1" applyBorder="1" applyAlignment="1">
      <alignment vertical="center"/>
    </xf>
    <xf numFmtId="166" fontId="19" fillId="0" borderId="30" xfId="34" applyNumberFormat="1" applyFont="1" applyBorder="1" applyAlignment="1">
      <alignment vertical="center"/>
    </xf>
    <xf numFmtId="166" fontId="19" fillId="0" borderId="31" xfId="34" applyNumberFormat="1" applyFont="1" applyBorder="1" applyAlignment="1">
      <alignment vertical="center"/>
    </xf>
    <xf numFmtId="0" fontId="19" fillId="0" borderId="0" xfId="36" applyFont="1" applyAlignment="1"/>
    <xf numFmtId="0" fontId="25" fillId="0" borderId="32" xfId="183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19" fillId="0" borderId="20" xfId="46" applyFont="1" applyBorder="1" applyAlignment="1">
      <alignment horizontal="center"/>
    </xf>
    <xf numFmtId="0" fontId="18" fillId="0" borderId="21" xfId="36" applyFont="1" applyBorder="1" applyAlignment="1">
      <alignment horizontal="center" vertical="center"/>
    </xf>
    <xf numFmtId="0" fontId="18" fillId="0" borderId="15" xfId="36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32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166" fontId="19" fillId="0" borderId="31" xfId="0" applyNumberFormat="1" applyFont="1" applyBorder="1" applyAlignment="1">
      <alignment vertical="center"/>
    </xf>
    <xf numFmtId="166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166" fontId="19" fillId="0" borderId="25" xfId="0" applyNumberFormat="1" applyFont="1" applyBorder="1" applyAlignment="1">
      <alignment vertical="center"/>
    </xf>
    <xf numFmtId="166" fontId="19" fillId="0" borderId="30" xfId="0" applyNumberFormat="1" applyFont="1" applyBorder="1" applyAlignment="1">
      <alignment vertical="center"/>
    </xf>
    <xf numFmtId="0" fontId="63" fillId="0" borderId="72" xfId="111" applyFont="1" applyBorder="1" applyAlignment="1">
      <alignment horizontal="center" vertical="center" wrapText="1"/>
    </xf>
    <xf numFmtId="0" fontId="63" fillId="0" borderId="73" xfId="111" applyFont="1" applyBorder="1" applyAlignment="1">
      <alignment horizontal="center" vertical="center" wrapText="1"/>
    </xf>
    <xf numFmtId="0" fontId="63" fillId="0" borderId="31" xfId="111" applyFont="1" applyBorder="1" applyAlignment="1">
      <alignment horizontal="center" vertical="center" wrapText="1"/>
    </xf>
    <xf numFmtId="0" fontId="63" fillId="0" borderId="30" xfId="111" applyFont="1" applyBorder="1" applyAlignment="1">
      <alignment horizontal="center" vertical="center" wrapText="1"/>
    </xf>
    <xf numFmtId="4" fontId="78" fillId="0" borderId="60" xfId="107" applyNumberFormat="1" applyFont="1" applyBorder="1" applyAlignment="1">
      <alignment horizontal="right" vertical="center"/>
    </xf>
    <xf numFmtId="4" fontId="78" fillId="0" borderId="24" xfId="107" applyNumberFormat="1" applyFont="1" applyBorder="1" applyAlignment="1">
      <alignment horizontal="right" vertical="center"/>
    </xf>
    <xf numFmtId="4" fontId="57" fillId="0" borderId="24" xfId="107" applyNumberFormat="1" applyFont="1" applyBorder="1" applyAlignment="1">
      <alignment horizontal="right" vertical="center"/>
    </xf>
    <xf numFmtId="4" fontId="78" fillId="0" borderId="81" xfId="107" applyNumberFormat="1" applyFont="1" applyBorder="1" applyAlignment="1">
      <alignment horizontal="right" vertical="center"/>
    </xf>
    <xf numFmtId="0" fontId="63" fillId="0" borderId="65" xfId="111" applyFont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28" xfId="111" applyFont="1" applyBorder="1" applyAlignment="1">
      <alignment horizontal="center" vertical="center" wrapText="1"/>
    </xf>
    <xf numFmtId="0" fontId="63" fillId="0" borderId="29" xfId="111" applyFont="1" applyBorder="1" applyAlignment="1">
      <alignment horizontal="center" vertical="center" wrapText="1"/>
    </xf>
    <xf numFmtId="4" fontId="78" fillId="0" borderId="44" xfId="107" applyNumberFormat="1" applyFont="1" applyBorder="1" applyAlignment="1">
      <alignment horizontal="right" vertical="center"/>
    </xf>
    <xf numFmtId="4" fontId="19" fillId="0" borderId="32" xfId="107" applyNumberFormat="1" applyFont="1" applyBorder="1" applyAlignment="1">
      <alignment horizontal="right" vertical="center"/>
    </xf>
    <xf numFmtId="0" fontId="19" fillId="0" borderId="82" xfId="36" applyFont="1" applyBorder="1" applyAlignment="1">
      <alignment horizontal="center" vertical="center"/>
    </xf>
    <xf numFmtId="0" fontId="19" fillId="0" borderId="81" xfId="36" applyFont="1" applyBorder="1" applyAlignment="1">
      <alignment horizontal="center" vertical="center"/>
    </xf>
    <xf numFmtId="0" fontId="19" fillId="0" borderId="86" xfId="36" applyFont="1" applyBorder="1" applyAlignment="1">
      <alignment horizontal="center" vertical="center"/>
    </xf>
    <xf numFmtId="4" fontId="19" fillId="0" borderId="24" xfId="107" applyNumberFormat="1" applyFont="1" applyBorder="1" applyAlignment="1">
      <alignment horizontal="right" vertical="center"/>
    </xf>
    <xf numFmtId="0" fontId="63" fillId="0" borderId="50" xfId="111" applyFont="1" applyBorder="1" applyAlignment="1">
      <alignment horizontal="center" vertical="center" wrapText="1"/>
    </xf>
    <xf numFmtId="0" fontId="63" fillId="0" borderId="58" xfId="111" applyFont="1" applyBorder="1" applyAlignment="1">
      <alignment horizontal="center" vertical="center" wrapText="1"/>
    </xf>
    <xf numFmtId="165" fontId="19" fillId="0" borderId="43" xfId="36" applyNumberFormat="1" applyFont="1" applyBorder="1"/>
    <xf numFmtId="165" fontId="19" fillId="0" borderId="14" xfId="36" applyNumberFormat="1" applyFont="1" applyBorder="1"/>
    <xf numFmtId="165" fontId="19" fillId="0" borderId="22" xfId="36" applyNumberFormat="1" applyFont="1" applyBorder="1"/>
    <xf numFmtId="167" fontId="19" fillId="0" borderId="23" xfId="36" applyNumberFormat="1" applyFont="1" applyBorder="1"/>
    <xf numFmtId="165" fontId="19" fillId="0" borderId="83" xfId="36" applyNumberFormat="1" applyFont="1" applyBorder="1"/>
    <xf numFmtId="165" fontId="19" fillId="0" borderId="84" xfId="36" applyNumberFormat="1" applyFont="1" applyBorder="1"/>
    <xf numFmtId="166" fontId="19" fillId="0" borderId="84" xfId="36" applyNumberFormat="1" applyFont="1" applyBorder="1"/>
    <xf numFmtId="167" fontId="19" fillId="0" borderId="84" xfId="36" applyNumberFormat="1" applyFont="1" applyBorder="1"/>
    <xf numFmtId="167" fontId="19" fillId="0" borderId="79" xfId="36" applyNumberFormat="1" applyFont="1" applyBorder="1"/>
    <xf numFmtId="166" fontId="19" fillId="0" borderId="18" xfId="36" applyNumberFormat="1" applyFont="1" applyBorder="1"/>
    <xf numFmtId="166" fontId="19" fillId="0" borderId="85" xfId="36" applyNumberFormat="1" applyFont="1" applyBorder="1"/>
    <xf numFmtId="0" fontId="19" fillId="0" borderId="15" xfId="36" applyFont="1" applyBorder="1"/>
    <xf numFmtId="0" fontId="19" fillId="0" borderId="23" xfId="36" applyFont="1" applyBorder="1"/>
    <xf numFmtId="0" fontId="19" fillId="0" borderId="79" xfId="36" applyFont="1" applyBorder="1"/>
    <xf numFmtId="0" fontId="19" fillId="0" borderId="58" xfId="0" applyFont="1" applyBorder="1" applyAlignment="1">
      <alignment horizontal="center" vertical="center"/>
    </xf>
    <xf numFmtId="0" fontId="18" fillId="0" borderId="32" xfId="183" applyFont="1" applyBorder="1" applyAlignment="1">
      <alignment horizontal="center" vertical="center" wrapText="1"/>
    </xf>
    <xf numFmtId="0" fontId="18" fillId="0" borderId="20" xfId="183" applyFont="1" applyBorder="1" applyAlignment="1">
      <alignment horizontal="center" vertical="center" wrapText="1"/>
    </xf>
    <xf numFmtId="20" fontId="18" fillId="0" borderId="20" xfId="183" quotePrefix="1" applyNumberFormat="1" applyFont="1" applyBorder="1" applyAlignment="1">
      <alignment horizontal="center" vertical="center" wrapText="1"/>
    </xf>
    <xf numFmtId="20" fontId="18" fillId="0" borderId="21" xfId="183" quotePrefix="1" applyNumberFormat="1" applyFont="1" applyBorder="1" applyAlignment="1">
      <alignment horizontal="center" vertical="center" wrapText="1"/>
    </xf>
    <xf numFmtId="0" fontId="18" fillId="0" borderId="75" xfId="111" applyFont="1" applyBorder="1" applyAlignment="1">
      <alignment vertical="center" wrapText="1"/>
    </xf>
    <xf numFmtId="4" fontId="18" fillId="0" borderId="46" xfId="36" applyNumberFormat="1" applyFont="1" applyBorder="1" applyAlignment="1">
      <alignment vertical="center"/>
    </xf>
    <xf numFmtId="166" fontId="19" fillId="0" borderId="18" xfId="0" applyNumberFormat="1" applyFont="1" applyBorder="1"/>
    <xf numFmtId="0" fontId="19" fillId="0" borderId="23" xfId="0" applyFont="1" applyBorder="1"/>
    <xf numFmtId="0" fontId="19" fillId="0" borderId="79" xfId="0" applyFont="1" applyBorder="1"/>
    <xf numFmtId="0" fontId="19" fillId="0" borderId="15" xfId="0" applyFont="1" applyBorder="1"/>
    <xf numFmtId="166" fontId="19" fillId="0" borderId="44" xfId="0" applyNumberFormat="1" applyFont="1" applyBorder="1"/>
    <xf numFmtId="166" fontId="19" fillId="0" borderId="14" xfId="0" applyNumberFormat="1" applyFont="1" applyBorder="1"/>
    <xf numFmtId="167" fontId="19" fillId="0" borderId="14" xfId="0" applyNumberFormat="1" applyFont="1" applyBorder="1"/>
    <xf numFmtId="167" fontId="19" fillId="0" borderId="15" xfId="0" applyNumberFormat="1" applyFont="1" applyBorder="1"/>
    <xf numFmtId="167" fontId="19" fillId="0" borderId="23" xfId="0" applyNumberFormat="1" applyFont="1" applyBorder="1"/>
    <xf numFmtId="166" fontId="19" fillId="0" borderId="85" xfId="0" applyNumberFormat="1" applyFont="1" applyBorder="1"/>
    <xf numFmtId="166" fontId="19" fillId="0" borderId="84" xfId="0" applyNumberFormat="1" applyFont="1" applyBorder="1"/>
    <xf numFmtId="167" fontId="19" fillId="0" borderId="84" xfId="0" applyNumberFormat="1" applyFont="1" applyBorder="1"/>
    <xf numFmtId="167" fontId="19" fillId="0" borderId="79" xfId="0" applyNumberFormat="1" applyFont="1" applyBorder="1"/>
    <xf numFmtId="165" fontId="19" fillId="0" borderId="43" xfId="0" applyNumberFormat="1" applyFont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/>
    </xf>
    <xf numFmtId="165" fontId="19" fillId="0" borderId="22" xfId="0" applyNumberFormat="1" applyFont="1" applyBorder="1" applyAlignment="1">
      <alignment horizontal="center" vertical="center"/>
    </xf>
    <xf numFmtId="165" fontId="19" fillId="0" borderId="19" xfId="0" applyNumberFormat="1" applyFont="1" applyBorder="1" applyAlignment="1">
      <alignment horizontal="center" vertical="center"/>
    </xf>
    <xf numFmtId="165" fontId="19" fillId="0" borderId="83" xfId="0" applyNumberFormat="1" applyFont="1" applyBorder="1" applyAlignment="1">
      <alignment horizontal="center" vertical="center"/>
    </xf>
    <xf numFmtId="165" fontId="19" fillId="0" borderId="84" xfId="0" applyNumberFormat="1" applyFont="1" applyBorder="1" applyAlignment="1">
      <alignment horizontal="center" vertical="center"/>
    </xf>
    <xf numFmtId="0" fontId="25" fillId="0" borderId="25" xfId="183" applyFont="1" applyFill="1" applyBorder="1" applyAlignment="1">
      <alignment horizontal="center" vertical="center" wrapText="1"/>
    </xf>
    <xf numFmtId="0" fontId="18" fillId="0" borderId="43" xfId="36" applyFont="1" applyBorder="1" applyAlignment="1">
      <alignment horizontal="center" vertical="center" wrapText="1"/>
    </xf>
    <xf numFmtId="4" fontId="18" fillId="0" borderId="14" xfId="36" applyNumberFormat="1" applyFont="1" applyBorder="1" applyAlignment="1">
      <alignment vertical="center"/>
    </xf>
    <xf numFmtId="4" fontId="18" fillId="0" borderId="20" xfId="36" applyNumberFormat="1" applyFont="1" applyBorder="1" applyAlignment="1">
      <alignment vertical="center"/>
    </xf>
    <xf numFmtId="4" fontId="18" fillId="0" borderId="31" xfId="36" applyNumberFormat="1" applyFont="1" applyBorder="1" applyAlignment="1">
      <alignment vertical="center"/>
    </xf>
    <xf numFmtId="4" fontId="78" fillId="0" borderId="14" xfId="107" applyNumberFormat="1" applyFont="1" applyBorder="1" applyAlignment="1">
      <alignment horizontal="right" vertical="center"/>
    </xf>
    <xf numFmtId="0" fontId="17" fillId="0" borderId="0" xfId="36" applyFont="1"/>
    <xf numFmtId="0" fontId="21" fillId="0" borderId="0" xfId="0" applyFont="1" applyAlignment="1">
      <alignment vertical="center"/>
    </xf>
    <xf numFmtId="0" fontId="19" fillId="0" borderId="0" xfId="589" applyFont="1"/>
    <xf numFmtId="0" fontId="19" fillId="0" borderId="0" xfId="589" applyFont="1" applyAlignment="1">
      <alignment horizontal="left" vertical="center"/>
    </xf>
    <xf numFmtId="0" fontId="19" fillId="0" borderId="0" xfId="0" applyFont="1"/>
    <xf numFmtId="164" fontId="19" fillId="0" borderId="31" xfId="589" applyNumberFormat="1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21" fillId="0" borderId="29" xfId="35" applyFont="1" applyBorder="1" applyAlignment="1">
      <alignment vertical="center" wrapText="1"/>
    </xf>
    <xf numFmtId="0" fontId="19" fillId="0" borderId="21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166" fontId="19" fillId="0" borderId="30" xfId="589" applyNumberFormat="1" applyFont="1" applyBorder="1" applyAlignment="1">
      <alignment vertical="center"/>
    </xf>
    <xf numFmtId="0" fontId="21" fillId="0" borderId="29" xfId="35" applyFont="1" applyBorder="1" applyAlignment="1">
      <alignment vertical="center" wrapText="1"/>
    </xf>
    <xf numFmtId="164" fontId="18" fillId="0" borderId="23" xfId="589" applyNumberFormat="1" applyFont="1" applyBorder="1" applyAlignment="1">
      <alignment vertical="center"/>
    </xf>
    <xf numFmtId="164" fontId="19" fillId="0" borderId="32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164" fontId="18" fillId="0" borderId="23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0" fillId="0" borderId="23" xfId="35" applyFont="1" applyFill="1" applyBorder="1" applyAlignment="1">
      <alignment vertical="center" wrapText="1"/>
    </xf>
    <xf numFmtId="166" fontId="18" fillId="0" borderId="19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18" fillId="0" borderId="22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0" fontId="19" fillId="0" borderId="0" xfId="589" applyFont="1"/>
    <xf numFmtId="0" fontId="19" fillId="0" borderId="0" xfId="589" applyFont="1" applyAlignment="1">
      <alignment horizontal="left"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0" fontId="21" fillId="0" borderId="21" xfId="35" applyFont="1" applyBorder="1" applyAlignment="1">
      <alignment vertical="center" wrapText="1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18" fillId="0" borderId="22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0" fontId="19" fillId="0" borderId="0" xfId="589" applyFont="1"/>
    <xf numFmtId="0" fontId="19" fillId="0" borderId="0" xfId="589" applyFont="1" applyAlignment="1">
      <alignment horizontal="left"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18" fillId="0" borderId="22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18" fillId="0" borderId="22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 wrapText="1"/>
    </xf>
    <xf numFmtId="166" fontId="19" fillId="0" borderId="31" xfId="589" applyNumberFormat="1" applyFont="1" applyBorder="1" applyAlignment="1">
      <alignment vertical="center" wrapText="1"/>
    </xf>
    <xf numFmtId="166" fontId="19" fillId="0" borderId="25" xfId="589" applyNumberFormat="1" applyFont="1" applyBorder="1" applyAlignment="1">
      <alignment vertical="center" wrapText="1"/>
    </xf>
    <xf numFmtId="166" fontId="19" fillId="0" borderId="30" xfId="589" applyNumberFormat="1" applyFont="1" applyBorder="1" applyAlignment="1">
      <alignment vertical="center" wrapText="1"/>
    </xf>
    <xf numFmtId="0" fontId="19" fillId="0" borderId="49" xfId="589" applyFont="1" applyBorder="1" applyAlignment="1">
      <alignment vertical="center" wrapText="1"/>
    </xf>
    <xf numFmtId="0" fontId="18" fillId="0" borderId="51" xfId="589" applyFont="1" applyBorder="1" applyAlignment="1">
      <alignment vertical="center" wrapText="1"/>
    </xf>
    <xf numFmtId="166" fontId="18" fillId="0" borderId="18" xfId="589" applyNumberFormat="1" applyFont="1" applyBorder="1" applyAlignment="1">
      <alignment vertical="center" wrapText="1"/>
    </xf>
    <xf numFmtId="166" fontId="18" fillId="0" borderId="19" xfId="589" applyNumberFormat="1" applyFont="1" applyBorder="1" applyAlignment="1">
      <alignment vertical="center" wrapText="1"/>
    </xf>
    <xf numFmtId="0" fontId="19" fillId="0" borderId="49" xfId="589" applyFont="1" applyBorder="1" applyAlignment="1">
      <alignment horizontal="left" vertical="center" wrapText="1"/>
    </xf>
    <xf numFmtId="0" fontId="19" fillId="0" borderId="50" xfId="589" quotePrefix="1" applyFont="1" applyBorder="1" applyAlignment="1">
      <alignment vertical="center" wrapText="1"/>
    </xf>
    <xf numFmtId="0" fontId="19" fillId="0" borderId="52" xfId="589" applyFont="1" applyBorder="1" applyAlignment="1">
      <alignment vertical="center" wrapText="1"/>
    </xf>
    <xf numFmtId="164" fontId="19" fillId="0" borderId="54" xfId="589" applyNumberFormat="1" applyFont="1" applyBorder="1" applyAlignment="1">
      <alignment vertical="center"/>
    </xf>
    <xf numFmtId="166" fontId="19" fillId="0" borderId="53" xfId="589" applyNumberFormat="1" applyFont="1" applyBorder="1" applyAlignment="1">
      <alignment vertical="center" wrapText="1"/>
    </xf>
    <xf numFmtId="164" fontId="19" fillId="0" borderId="55" xfId="589" applyNumberFormat="1" applyFont="1" applyBorder="1" applyAlignment="1">
      <alignment vertical="center"/>
    </xf>
    <xf numFmtId="166" fontId="19" fillId="0" borderId="54" xfId="589" applyNumberFormat="1" applyFont="1" applyBorder="1" applyAlignment="1">
      <alignment vertical="center"/>
    </xf>
    <xf numFmtId="166" fontId="19" fillId="0" borderId="54" xfId="589" applyNumberFormat="1" applyFont="1" applyBorder="1" applyAlignment="1">
      <alignment vertical="center" wrapText="1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31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31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31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4" fontId="18" fillId="0" borderId="22" xfId="589" applyNumberFormat="1" applyFont="1" applyBorder="1" applyAlignment="1">
      <alignment vertical="center"/>
    </xf>
    <xf numFmtId="0" fontId="19" fillId="0" borderId="28" xfId="589" applyFont="1" applyBorder="1" applyAlignment="1">
      <alignment horizontal="center" vertical="center"/>
    </xf>
    <xf numFmtId="164" fontId="19" fillId="0" borderId="21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0" fontId="21" fillId="0" borderId="21" xfId="35" applyFont="1" applyBorder="1" applyAlignment="1">
      <alignment vertical="center" wrapText="1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horizontal="center" vertical="center"/>
    </xf>
    <xf numFmtId="166" fontId="18" fillId="0" borderId="18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8" fillId="0" borderId="22" xfId="589" applyFont="1" applyBorder="1" applyAlignment="1">
      <alignment horizontal="center"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0" fontId="19" fillId="0" borderId="0" xfId="589" applyFont="1"/>
    <xf numFmtId="0" fontId="19" fillId="0" borderId="0" xfId="589" applyFont="1" applyAlignment="1">
      <alignment horizontal="left"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31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31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18" fillId="0" borderId="22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18" fillId="0" borderId="22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31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31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166" fontId="19" fillId="0" borderId="3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7" fontId="19" fillId="0" borderId="20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6" fontId="19" fillId="0" borderId="32" xfId="589" applyNumberFormat="1" applyFont="1" applyBorder="1" applyAlignment="1">
      <alignment vertical="center"/>
    </xf>
    <xf numFmtId="166" fontId="19" fillId="0" borderId="28" xfId="589" applyNumberFormat="1" applyFont="1" applyBorder="1" applyAlignment="1">
      <alignment vertical="center"/>
    </xf>
    <xf numFmtId="166" fontId="18" fillId="0" borderId="22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3" fontId="18" fillId="0" borderId="18" xfId="589" applyNumberFormat="1" applyFont="1" applyBorder="1" applyAlignment="1">
      <alignment vertical="center"/>
    </xf>
    <xf numFmtId="3" fontId="19" fillId="0" borderId="25" xfId="589" applyNumberFormat="1" applyFont="1" applyBorder="1" applyAlignment="1">
      <alignment vertical="center"/>
    </xf>
    <xf numFmtId="3" fontId="19" fillId="0" borderId="30" xfId="589" applyNumberFormat="1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3" fontId="18" fillId="0" borderId="18" xfId="589" applyNumberFormat="1" applyFont="1" applyBorder="1" applyAlignment="1">
      <alignment vertical="center"/>
    </xf>
    <xf numFmtId="3" fontId="19" fillId="0" borderId="25" xfId="589" applyNumberFormat="1" applyFont="1" applyBorder="1" applyAlignment="1">
      <alignment vertical="center"/>
    </xf>
    <xf numFmtId="3" fontId="19" fillId="0" borderId="30" xfId="589" applyNumberFormat="1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3" fontId="18" fillId="0" borderId="18" xfId="589" applyNumberFormat="1" applyFont="1" applyBorder="1" applyAlignment="1">
      <alignment vertical="center"/>
    </xf>
    <xf numFmtId="3" fontId="19" fillId="0" borderId="25" xfId="589" applyNumberFormat="1" applyFont="1" applyBorder="1" applyAlignment="1">
      <alignment vertical="center"/>
    </xf>
    <xf numFmtId="3" fontId="19" fillId="0" borderId="30" xfId="589" applyNumberFormat="1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3" fontId="18" fillId="0" borderId="18" xfId="589" applyNumberFormat="1" applyFont="1" applyBorder="1" applyAlignment="1">
      <alignment vertical="center"/>
    </xf>
    <xf numFmtId="3" fontId="19" fillId="0" borderId="25" xfId="589" applyNumberFormat="1" applyFont="1" applyBorder="1" applyAlignment="1">
      <alignment vertical="center"/>
    </xf>
    <xf numFmtId="3" fontId="19" fillId="0" borderId="30" xfId="589" applyNumberFormat="1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vertical="center"/>
    </xf>
    <xf numFmtId="0" fontId="18" fillId="0" borderId="23" xfId="589" applyFont="1" applyBorder="1" applyAlignment="1">
      <alignment vertical="center"/>
    </xf>
    <xf numFmtId="0" fontId="19" fillId="0" borderId="21" xfId="589" applyFont="1" applyBorder="1" applyAlignment="1">
      <alignment vertical="center"/>
    </xf>
    <xf numFmtId="0" fontId="19" fillId="0" borderId="29" xfId="589" applyFont="1" applyBorder="1" applyAlignment="1">
      <alignment vertical="center"/>
    </xf>
    <xf numFmtId="3" fontId="18" fillId="0" borderId="18" xfId="589" applyNumberFormat="1" applyFont="1" applyBorder="1" applyAlignment="1">
      <alignment vertical="center"/>
    </xf>
    <xf numFmtId="3" fontId="19" fillId="0" borderId="25" xfId="589" applyNumberFormat="1" applyFont="1" applyBorder="1" applyAlignment="1">
      <alignment vertical="center"/>
    </xf>
    <xf numFmtId="3" fontId="19" fillId="0" borderId="30" xfId="589" applyNumberFormat="1" applyFont="1" applyBorder="1" applyAlignment="1">
      <alignment vertical="center"/>
    </xf>
    <xf numFmtId="167" fontId="18" fillId="0" borderId="23" xfId="589" applyNumberFormat="1" applyFont="1" applyBorder="1" applyAlignment="1">
      <alignment vertical="center"/>
    </xf>
    <xf numFmtId="167" fontId="19" fillId="0" borderId="21" xfId="589" applyNumberFormat="1" applyFont="1" applyBorder="1" applyAlignment="1">
      <alignment vertical="center"/>
    </xf>
    <xf numFmtId="167" fontId="19" fillId="0" borderId="29" xfId="589" applyNumberFormat="1" applyFont="1" applyBorder="1" applyAlignment="1">
      <alignment vertical="center"/>
    </xf>
    <xf numFmtId="167" fontId="18" fillId="0" borderId="19" xfId="589" applyNumberFormat="1" applyFont="1" applyBorder="1" applyAlignment="1">
      <alignment vertical="center"/>
    </xf>
    <xf numFmtId="167" fontId="19" fillId="0" borderId="20" xfId="589" applyNumberFormat="1" applyFont="1" applyBorder="1" applyAlignment="1">
      <alignment vertical="center"/>
    </xf>
    <xf numFmtId="167" fontId="19" fillId="0" borderId="31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horizontal="center"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8" fillId="0" borderId="23" xfId="589" applyNumberFormat="1" applyFont="1" applyBorder="1" applyAlignment="1">
      <alignment vertical="center"/>
    </xf>
    <xf numFmtId="166" fontId="19" fillId="0" borderId="21" xfId="589" applyNumberFormat="1" applyFont="1" applyBorder="1" applyAlignment="1">
      <alignment vertical="center"/>
    </xf>
    <xf numFmtId="166" fontId="19" fillId="0" borderId="29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horizontal="center"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8" fillId="0" borderId="23" xfId="589" applyNumberFormat="1" applyFont="1" applyBorder="1" applyAlignment="1">
      <alignment vertical="center"/>
    </xf>
    <xf numFmtId="166" fontId="19" fillId="0" borderId="21" xfId="589" applyNumberFormat="1" applyFont="1" applyBorder="1" applyAlignment="1">
      <alignment vertical="center"/>
    </xf>
    <xf numFmtId="166" fontId="19" fillId="0" borderId="29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horizontal="center"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8" fillId="0" borderId="23" xfId="589" applyNumberFormat="1" applyFont="1" applyBorder="1" applyAlignment="1">
      <alignment vertical="center"/>
    </xf>
    <xf numFmtId="166" fontId="19" fillId="0" borderId="21" xfId="589" applyNumberFormat="1" applyFont="1" applyBorder="1" applyAlignment="1">
      <alignment vertical="center"/>
    </xf>
    <xf numFmtId="166" fontId="19" fillId="0" borderId="29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horizontal="center"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8" fillId="0" borderId="23" xfId="589" applyNumberFormat="1" applyFont="1" applyBorder="1" applyAlignment="1">
      <alignment vertical="center"/>
    </xf>
    <xf numFmtId="166" fontId="19" fillId="0" borderId="21" xfId="589" applyNumberFormat="1" applyFont="1" applyBorder="1" applyAlignment="1">
      <alignment vertical="center"/>
    </xf>
    <xf numFmtId="166" fontId="19" fillId="0" borderId="29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0" fontId="19" fillId="0" borderId="28" xfId="589" applyFont="1" applyBorder="1" applyAlignment="1">
      <alignment horizontal="center" vertical="center"/>
    </xf>
    <xf numFmtId="0" fontId="18" fillId="0" borderId="22" xfId="589" applyFont="1" applyBorder="1" applyAlignment="1">
      <alignment horizontal="center"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8" fillId="0" borderId="23" xfId="589" applyNumberFormat="1" applyFont="1" applyBorder="1" applyAlignment="1">
      <alignment vertical="center"/>
    </xf>
    <xf numFmtId="166" fontId="19" fillId="0" borderId="21" xfId="589" applyNumberFormat="1" applyFont="1" applyBorder="1" applyAlignment="1">
      <alignment vertical="center"/>
    </xf>
    <xf numFmtId="166" fontId="19" fillId="0" borderId="29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164" fontId="19" fillId="0" borderId="21" xfId="589" applyNumberFormat="1" applyFont="1" applyBorder="1" applyAlignment="1">
      <alignment vertical="center"/>
    </xf>
    <xf numFmtId="0" fontId="19" fillId="0" borderId="28" xfId="589" applyFont="1" applyBorder="1" applyAlignment="1">
      <alignment horizontal="center" vertical="center"/>
    </xf>
    <xf numFmtId="164" fontId="19" fillId="0" borderId="3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0" fontId="18" fillId="0" borderId="22" xfId="589" applyFont="1" applyBorder="1" applyAlignment="1">
      <alignment horizontal="center" vertical="center"/>
    </xf>
    <xf numFmtId="164" fontId="18" fillId="0" borderId="19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4" fontId="18" fillId="0" borderId="22" xfId="589" applyNumberFormat="1" applyFont="1" applyBorder="1" applyAlignment="1">
      <alignment vertical="center"/>
    </xf>
    <xf numFmtId="164" fontId="19" fillId="0" borderId="32" xfId="589" applyNumberFormat="1" applyFont="1" applyBorder="1" applyAlignment="1">
      <alignment vertical="center"/>
    </xf>
    <xf numFmtId="164" fontId="19" fillId="0" borderId="28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8" fillId="0" borderId="33" xfId="589" applyNumberFormat="1" applyFont="1" applyBorder="1" applyAlignment="1">
      <alignment vertical="center"/>
    </xf>
    <xf numFmtId="166" fontId="19" fillId="0" borderId="26" xfId="589" applyNumberFormat="1" applyFont="1" applyBorder="1" applyAlignment="1">
      <alignment vertical="center"/>
    </xf>
    <xf numFmtId="166" fontId="19" fillId="0" borderId="58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0" fontId="19" fillId="0" borderId="32" xfId="589" applyFont="1" applyBorder="1" applyAlignment="1">
      <alignment horizontal="center" vertical="center"/>
    </xf>
    <xf numFmtId="164" fontId="19" fillId="0" borderId="21" xfId="589" applyNumberFormat="1" applyFont="1" applyBorder="1" applyAlignment="1">
      <alignment vertical="center"/>
    </xf>
    <xf numFmtId="0" fontId="19" fillId="0" borderId="28" xfId="589" applyFont="1" applyBorder="1" applyAlignment="1">
      <alignment horizontal="center" vertical="center"/>
    </xf>
    <xf numFmtId="164" fontId="19" fillId="0" borderId="3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0" fontId="18" fillId="0" borderId="22" xfId="589" applyFont="1" applyBorder="1" applyAlignment="1">
      <alignment horizontal="center" vertical="center"/>
    </xf>
    <xf numFmtId="164" fontId="18" fillId="0" borderId="19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4" fontId="18" fillId="0" borderId="22" xfId="589" applyNumberFormat="1" applyFont="1" applyBorder="1" applyAlignment="1">
      <alignment vertical="center"/>
    </xf>
    <xf numFmtId="164" fontId="19" fillId="0" borderId="32" xfId="589" applyNumberFormat="1" applyFont="1" applyBorder="1" applyAlignment="1">
      <alignment vertical="center"/>
    </xf>
    <xf numFmtId="164" fontId="19" fillId="0" borderId="28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6" fontId="18" fillId="0" borderId="33" xfId="589" applyNumberFormat="1" applyFont="1" applyBorder="1" applyAlignment="1">
      <alignment vertical="center"/>
    </xf>
    <xf numFmtId="166" fontId="19" fillId="0" borderId="26" xfId="589" applyNumberFormat="1" applyFont="1" applyBorder="1" applyAlignment="1">
      <alignment vertical="center"/>
    </xf>
    <xf numFmtId="166" fontId="19" fillId="0" borderId="58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28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0" fontId="19" fillId="0" borderId="28" xfId="589" applyFont="1" applyBorder="1" applyAlignment="1">
      <alignment horizontal="center" vertical="center"/>
    </xf>
    <xf numFmtId="166" fontId="18" fillId="0" borderId="18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164" fontId="18" fillId="0" borderId="22" xfId="589" applyNumberFormat="1" applyFont="1" applyBorder="1" applyAlignment="1">
      <alignment vertical="center"/>
    </xf>
    <xf numFmtId="164" fontId="19" fillId="0" borderId="32" xfId="589" applyNumberFormat="1" applyFont="1" applyBorder="1" applyAlignment="1">
      <alignment vertical="center"/>
    </xf>
    <xf numFmtId="0" fontId="18" fillId="0" borderId="22" xfId="589" applyFont="1" applyBorder="1" applyAlignment="1">
      <alignment horizontal="center" vertical="center"/>
    </xf>
    <xf numFmtId="0" fontId="18" fillId="0" borderId="60" xfId="589" applyFont="1" applyBorder="1" applyAlignment="1">
      <alignment horizontal="center" vertical="center"/>
    </xf>
    <xf numFmtId="165" fontId="19" fillId="0" borderId="32" xfId="589" applyNumberFormat="1" applyFont="1" applyBorder="1" applyAlignment="1">
      <alignment vertical="center"/>
    </xf>
    <xf numFmtId="165" fontId="19" fillId="0" borderId="20" xfId="589" applyNumberFormat="1" applyFont="1" applyBorder="1" applyAlignment="1">
      <alignment horizontal="center" vertical="center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164" fontId="18" fillId="0" borderId="22" xfId="589" applyNumberFormat="1" applyFont="1" applyBorder="1" applyAlignment="1">
      <alignment vertical="center"/>
    </xf>
    <xf numFmtId="164" fontId="19" fillId="0" borderId="32" xfId="589" applyNumberFormat="1" applyFont="1" applyBorder="1" applyAlignment="1">
      <alignment vertical="center"/>
    </xf>
    <xf numFmtId="0" fontId="18" fillId="0" borderId="22" xfId="589" applyFont="1" applyBorder="1" applyAlignment="1">
      <alignment horizontal="center" vertical="center"/>
    </xf>
    <xf numFmtId="0" fontId="18" fillId="0" borderId="60" xfId="589" applyFont="1" applyBorder="1" applyAlignment="1">
      <alignment horizontal="center" vertical="center"/>
    </xf>
    <xf numFmtId="165" fontId="19" fillId="0" borderId="32" xfId="589" applyNumberFormat="1" applyFont="1" applyBorder="1" applyAlignment="1">
      <alignment vertical="center"/>
    </xf>
    <xf numFmtId="165" fontId="19" fillId="0" borderId="20" xfId="589" applyNumberFormat="1" applyFont="1" applyBorder="1" applyAlignment="1">
      <alignment horizontal="center" vertical="center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0" fontId="21" fillId="0" borderId="21" xfId="35" applyFont="1" applyBorder="1" applyAlignment="1">
      <alignment vertical="center" wrapText="1"/>
    </xf>
    <xf numFmtId="164" fontId="18" fillId="0" borderId="22" xfId="589" applyNumberFormat="1" applyFont="1" applyBorder="1" applyAlignment="1">
      <alignment vertical="center"/>
    </xf>
    <xf numFmtId="164" fontId="19" fillId="0" borderId="32" xfId="589" applyNumberFormat="1" applyFont="1" applyBorder="1" applyAlignment="1">
      <alignment vertical="center"/>
    </xf>
    <xf numFmtId="0" fontId="18" fillId="0" borderId="43" xfId="589" applyFont="1" applyBorder="1" applyAlignment="1">
      <alignment horizontal="center" vertical="center"/>
    </xf>
    <xf numFmtId="0" fontId="18" fillId="0" borderId="14" xfId="589" applyFont="1" applyBorder="1" applyAlignment="1">
      <alignment horizontal="center" vertical="center"/>
    </xf>
    <xf numFmtId="0" fontId="20" fillId="0" borderId="15" xfId="35" applyFont="1" applyFill="1" applyBorder="1" applyAlignment="1">
      <alignment vertical="center" wrapText="1"/>
    </xf>
    <xf numFmtId="165" fontId="19" fillId="0" borderId="32" xfId="589" applyNumberFormat="1" applyFont="1" applyBorder="1" applyAlignment="1">
      <alignment vertical="center"/>
    </xf>
    <xf numFmtId="165" fontId="19" fillId="0" borderId="20" xfId="589" applyNumberFormat="1" applyFont="1" applyBorder="1" applyAlignment="1">
      <alignment horizontal="center" vertical="center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0" fontId="18" fillId="0" borderId="43" xfId="589" applyFont="1" applyBorder="1" applyAlignment="1">
      <alignment horizontal="center" vertical="center"/>
    </xf>
    <xf numFmtId="0" fontId="18" fillId="0" borderId="14" xfId="589" applyFont="1" applyBorder="1" applyAlignment="1">
      <alignment horizontal="center" vertical="center"/>
    </xf>
    <xf numFmtId="0" fontId="20" fillId="0" borderId="15" xfId="35" applyFont="1" applyFill="1" applyBorder="1" applyAlignment="1">
      <alignment vertical="center" wrapText="1"/>
    </xf>
    <xf numFmtId="165" fontId="19" fillId="0" borderId="32" xfId="589" applyNumberFormat="1" applyFont="1" applyBorder="1" applyAlignment="1">
      <alignment vertical="center"/>
    </xf>
    <xf numFmtId="165" fontId="19" fillId="0" borderId="20" xfId="589" applyNumberFormat="1" applyFont="1" applyBorder="1" applyAlignment="1">
      <alignment horizontal="center" vertical="center"/>
    </xf>
    <xf numFmtId="0" fontId="19" fillId="0" borderId="32" xfId="589" applyFont="1" applyBorder="1" applyAlignment="1">
      <alignment horizontal="center" vertical="center"/>
    </xf>
    <xf numFmtId="164" fontId="19" fillId="0" borderId="21" xfId="589" applyNumberFormat="1" applyFont="1" applyBorder="1" applyAlignment="1">
      <alignment vertical="center"/>
    </xf>
    <xf numFmtId="0" fontId="19" fillId="0" borderId="28" xfId="589" applyFont="1" applyBorder="1" applyAlignment="1">
      <alignment horizontal="center" vertical="center"/>
    </xf>
    <xf numFmtId="164" fontId="19" fillId="0" borderId="29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0" fontId="18" fillId="0" borderId="22" xfId="589" applyFont="1" applyBorder="1" applyAlignment="1">
      <alignment horizontal="center" vertical="center"/>
    </xf>
    <xf numFmtId="164" fontId="18" fillId="0" borderId="22" xfId="589" applyNumberFormat="1" applyFont="1" applyBorder="1" applyAlignment="1">
      <alignment vertical="center"/>
    </xf>
    <xf numFmtId="164" fontId="19" fillId="0" borderId="32" xfId="589" applyNumberFormat="1" applyFont="1" applyBorder="1" applyAlignment="1">
      <alignment vertical="center"/>
    </xf>
    <xf numFmtId="164" fontId="19" fillId="0" borderId="28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166" fontId="18" fillId="0" borderId="19" xfId="589" applyNumberFormat="1" applyFont="1" applyBorder="1" applyAlignment="1">
      <alignment vertical="center"/>
    </xf>
    <xf numFmtId="166" fontId="19" fillId="0" borderId="25" xfId="589" applyNumberFormat="1" applyFont="1" applyBorder="1" applyAlignment="1">
      <alignment vertical="center"/>
    </xf>
    <xf numFmtId="166" fontId="19" fillId="0" borderId="20" xfId="589" applyNumberFormat="1" applyFont="1" applyBorder="1" applyAlignment="1">
      <alignment vertical="center"/>
    </xf>
    <xf numFmtId="166" fontId="19" fillId="0" borderId="30" xfId="589" applyNumberFormat="1" applyFont="1" applyBorder="1" applyAlignment="1">
      <alignment vertical="center"/>
    </xf>
    <xf numFmtId="166" fontId="19" fillId="0" borderId="31" xfId="589" applyNumberFormat="1" applyFont="1" applyBorder="1" applyAlignment="1">
      <alignment vertical="center"/>
    </xf>
    <xf numFmtId="164" fontId="19" fillId="0" borderId="52" xfId="34" applyNumberFormat="1" applyFont="1" applyBorder="1" applyAlignment="1">
      <alignment vertical="center" wrapText="1"/>
    </xf>
    <xf numFmtId="4" fontId="19" fillId="0" borderId="33" xfId="34" applyNumberFormat="1" applyFont="1" applyBorder="1" applyAlignment="1">
      <alignment horizontal="right" vertical="center" wrapText="1"/>
    </xf>
    <xf numFmtId="164" fontId="19" fillId="0" borderId="51" xfId="34" applyNumberFormat="1" applyFont="1" applyBorder="1" applyAlignment="1">
      <alignment vertical="center" wrapText="1"/>
    </xf>
    <xf numFmtId="4" fontId="19" fillId="0" borderId="19" xfId="34" applyNumberFormat="1" applyFont="1" applyBorder="1" applyAlignment="1">
      <alignment horizontal="right" vertical="center" wrapText="1"/>
    </xf>
    <xf numFmtId="4" fontId="19" fillId="0" borderId="26" xfId="34" applyNumberFormat="1" applyFont="1" applyBorder="1" applyAlignment="1">
      <alignment horizontal="right" vertical="center" wrapText="1"/>
    </xf>
    <xf numFmtId="4" fontId="19" fillId="0" borderId="24" xfId="34" applyNumberFormat="1" applyFont="1" applyBorder="1" applyAlignment="1">
      <alignment vertical="center" wrapText="1"/>
    </xf>
    <xf numFmtId="164" fontId="19" fillId="0" borderId="49" xfId="34" applyNumberFormat="1" applyFont="1" applyBorder="1" applyAlignment="1">
      <alignment vertical="center" wrapText="1"/>
    </xf>
    <xf numFmtId="4" fontId="19" fillId="0" borderId="0" xfId="34" applyNumberFormat="1" applyFont="1" applyBorder="1" applyAlignment="1">
      <alignment vertical="center" wrapText="1"/>
    </xf>
    <xf numFmtId="4" fontId="19" fillId="0" borderId="33" xfId="585" applyNumberFormat="1" applyFont="1" applyBorder="1" applyAlignment="1">
      <alignment vertical="center"/>
    </xf>
    <xf numFmtId="4" fontId="19" fillId="0" borderId="22" xfId="585" applyNumberFormat="1" applyFont="1" applyBorder="1" applyAlignment="1">
      <alignment vertical="center"/>
    </xf>
    <xf numFmtId="4" fontId="19" fillId="0" borderId="26" xfId="34" applyNumberFormat="1" applyFont="1" applyBorder="1" applyAlignment="1">
      <alignment vertical="center" wrapText="1"/>
    </xf>
    <xf numFmtId="4" fontId="19" fillId="0" borderId="45" xfId="34" applyNumberFormat="1" applyFont="1" applyBorder="1" applyAlignment="1">
      <alignment vertical="center" wrapText="1"/>
    </xf>
    <xf numFmtId="164" fontId="19" fillId="0" borderId="49" xfId="34" applyNumberFormat="1" applyFont="1" applyBorder="1" applyAlignment="1">
      <alignment horizontal="right" vertical="center" wrapText="1"/>
    </xf>
    <xf numFmtId="4" fontId="19" fillId="0" borderId="20" xfId="34" applyNumberFormat="1" applyFont="1" applyBorder="1" applyAlignment="1">
      <alignment horizontal="right" vertical="center" wrapText="1"/>
    </xf>
    <xf numFmtId="4" fontId="19" fillId="0" borderId="20" xfId="34" applyNumberFormat="1" applyFont="1" applyBorder="1" applyAlignment="1">
      <alignment vertical="center" wrapText="1"/>
    </xf>
    <xf numFmtId="4" fontId="19" fillId="0" borderId="20" xfId="34" applyNumberFormat="1" applyFont="1" applyBorder="1" applyAlignment="1">
      <alignment horizontal="right" vertical="center" wrapText="1"/>
    </xf>
    <xf numFmtId="4" fontId="19" fillId="0" borderId="20" xfId="34" applyNumberFormat="1" applyFont="1" applyBorder="1" applyAlignment="1">
      <alignment vertical="center" wrapText="1"/>
    </xf>
    <xf numFmtId="4" fontId="19" fillId="0" borderId="20" xfId="34" applyNumberFormat="1" applyFont="1" applyBorder="1" applyAlignment="1">
      <alignment horizontal="right" vertical="center" wrapText="1"/>
    </xf>
    <xf numFmtId="4" fontId="19" fillId="0" borderId="20" xfId="34" applyNumberFormat="1" applyFont="1" applyBorder="1" applyAlignment="1">
      <alignment vertical="center" wrapText="1"/>
    </xf>
    <xf numFmtId="4" fontId="19" fillId="0" borderId="20" xfId="34" applyNumberFormat="1" applyFont="1" applyBorder="1" applyAlignment="1">
      <alignment horizontal="right" vertical="center" wrapText="1"/>
    </xf>
    <xf numFmtId="4" fontId="19" fillId="0" borderId="20" xfId="34" applyNumberFormat="1" applyFont="1" applyBorder="1" applyAlignment="1">
      <alignment vertical="center" wrapText="1"/>
    </xf>
    <xf numFmtId="4" fontId="19" fillId="0" borderId="20" xfId="34" applyNumberFormat="1" applyFont="1" applyBorder="1" applyAlignment="1">
      <alignment horizontal="right" vertical="center" wrapText="1"/>
    </xf>
    <xf numFmtId="4" fontId="19" fillId="0" borderId="20" xfId="34" applyNumberFormat="1" applyFont="1" applyBorder="1" applyAlignment="1">
      <alignment vertical="center" wrapText="1"/>
    </xf>
    <xf numFmtId="4" fontId="19" fillId="0" borderId="20" xfId="34" applyNumberFormat="1" applyFont="1" applyBorder="1" applyAlignment="1">
      <alignment horizontal="right" vertical="center" wrapText="1"/>
    </xf>
    <xf numFmtId="4" fontId="19" fillId="0" borderId="20" xfId="34" applyNumberFormat="1" applyFont="1" applyBorder="1" applyAlignment="1">
      <alignment vertical="center" wrapText="1"/>
    </xf>
    <xf numFmtId="0" fontId="63" fillId="0" borderId="0" xfId="0" applyFont="1" applyFill="1" applyAlignment="1">
      <alignment vertical="center" wrapText="1"/>
    </xf>
    <xf numFmtId="166" fontId="18" fillId="0" borderId="19" xfId="589" applyNumberFormat="1" applyFont="1" applyFill="1" applyBorder="1" applyAlignment="1">
      <alignment vertical="center"/>
    </xf>
    <xf numFmtId="166" fontId="19" fillId="0" borderId="0" xfId="34" applyNumberFormat="1" applyFont="1" applyAlignment="1">
      <alignment vertical="center"/>
    </xf>
    <xf numFmtId="164" fontId="19" fillId="0" borderId="20" xfId="589" applyNumberFormat="1" applyFont="1" applyBorder="1" applyAlignment="1">
      <alignment vertical="center"/>
    </xf>
    <xf numFmtId="164" fontId="19" fillId="0" borderId="21" xfId="589" applyNumberFormat="1" applyFont="1" applyBorder="1" applyAlignment="1">
      <alignment vertical="center"/>
    </xf>
    <xf numFmtId="164" fontId="19" fillId="0" borderId="31" xfId="589" applyNumberFormat="1" applyFont="1" applyBorder="1" applyAlignment="1">
      <alignment vertical="center"/>
    </xf>
    <xf numFmtId="164" fontId="19" fillId="0" borderId="29" xfId="589" applyNumberFormat="1" applyFont="1" applyBorder="1" applyAlignment="1">
      <alignment vertical="center"/>
    </xf>
    <xf numFmtId="0" fontId="18" fillId="0" borderId="22" xfId="589" applyFont="1" applyBorder="1" applyAlignment="1">
      <alignment horizontal="center" vertical="center"/>
    </xf>
    <xf numFmtId="166" fontId="18" fillId="0" borderId="19" xfId="589" applyNumberFormat="1" applyFont="1" applyBorder="1" applyAlignment="1">
      <alignment vertical="center"/>
    </xf>
    <xf numFmtId="164" fontId="18" fillId="0" borderId="19" xfId="589" applyNumberFormat="1" applyFont="1" applyBorder="1" applyAlignment="1">
      <alignment vertical="center"/>
    </xf>
    <xf numFmtId="164" fontId="18" fillId="0" borderId="23" xfId="589" applyNumberFormat="1" applyFont="1" applyBorder="1" applyAlignment="1">
      <alignment vertical="center"/>
    </xf>
    <xf numFmtId="166" fontId="18" fillId="0" borderId="18" xfId="589" applyNumberFormat="1" applyFont="1" applyBorder="1" applyAlignment="1">
      <alignment vertical="center"/>
    </xf>
    <xf numFmtId="0" fontId="20" fillId="0" borderId="23" xfId="35" applyFont="1" applyFill="1" applyBorder="1" applyAlignment="1">
      <alignment vertical="center" wrapText="1"/>
    </xf>
    <xf numFmtId="0" fontId="21" fillId="0" borderId="21" xfId="35" applyFont="1" applyBorder="1" applyAlignment="1">
      <alignment vertical="center" wrapText="1"/>
    </xf>
    <xf numFmtId="0" fontId="21" fillId="0" borderId="29" xfId="35" applyFont="1" applyBorder="1" applyAlignment="1">
      <alignment vertical="center" wrapText="1"/>
    </xf>
    <xf numFmtId="169" fontId="0" fillId="0" borderId="0" xfId="0" applyNumberFormat="1"/>
    <xf numFmtId="0" fontId="19" fillId="0" borderId="75" xfId="584" applyFont="1" applyFill="1" applyBorder="1" applyAlignment="1">
      <alignment vertical="center"/>
    </xf>
    <xf numFmtId="164" fontId="19" fillId="0" borderId="49" xfId="34" applyNumberFormat="1" applyFont="1" applyFill="1" applyBorder="1" applyAlignment="1">
      <alignment vertical="center" wrapText="1"/>
    </xf>
    <xf numFmtId="0" fontId="19" fillId="0" borderId="51" xfId="584" applyFont="1" applyFill="1" applyBorder="1" applyAlignment="1">
      <alignment vertical="center"/>
    </xf>
    <xf numFmtId="0" fontId="19" fillId="0" borderId="49" xfId="584" applyFont="1" applyFill="1" applyBorder="1" applyAlignment="1">
      <alignment vertical="center"/>
    </xf>
    <xf numFmtId="164" fontId="19" fillId="0" borderId="51" xfId="34" applyNumberFormat="1" applyFont="1" applyFill="1" applyBorder="1" applyAlignment="1">
      <alignment vertical="center" wrapText="1"/>
    </xf>
    <xf numFmtId="4" fontId="78" fillId="0" borderId="75" xfId="107" applyNumberFormat="1" applyFont="1" applyBorder="1" applyAlignment="1">
      <alignment horizontal="right" vertical="center"/>
    </xf>
    <xf numFmtId="4" fontId="78" fillId="0" borderId="49" xfId="107" applyNumberFormat="1" applyFont="1" applyBorder="1" applyAlignment="1">
      <alignment horizontal="right" vertical="center"/>
    </xf>
    <xf numFmtId="4" fontId="57" fillId="0" borderId="49" xfId="107" applyNumberFormat="1" applyFont="1" applyBorder="1" applyAlignment="1">
      <alignment horizontal="right" vertical="center"/>
    </xf>
    <xf numFmtId="4" fontId="78" fillId="0" borderId="57" xfId="107" applyNumberFormat="1" applyFont="1" applyBorder="1" applyAlignment="1">
      <alignment horizontal="right" vertical="center"/>
    </xf>
    <xf numFmtId="4" fontId="78" fillId="0" borderId="45" xfId="107" applyNumberFormat="1" applyFont="1" applyBorder="1" applyAlignment="1">
      <alignment horizontal="right" vertical="center"/>
    </xf>
    <xf numFmtId="4" fontId="57" fillId="0" borderId="45" xfId="107" applyNumberFormat="1" applyFont="1" applyBorder="1" applyAlignment="1">
      <alignment horizontal="right" vertical="center"/>
    </xf>
    <xf numFmtId="4" fontId="19" fillId="0" borderId="45" xfId="107" applyNumberFormat="1" applyFont="1" applyBorder="1" applyAlignment="1">
      <alignment horizontal="right" vertical="center"/>
    </xf>
    <xf numFmtId="4" fontId="78" fillId="0" borderId="50" xfId="107" applyNumberFormat="1" applyFont="1" applyBorder="1" applyAlignment="1">
      <alignment horizontal="right" vertical="center"/>
    </xf>
    <xf numFmtId="0" fontId="63" fillId="0" borderId="61" xfId="0" applyFont="1" applyFill="1" applyBorder="1" applyAlignment="1">
      <alignment horizontal="center" vertical="center"/>
    </xf>
    <xf numFmtId="0" fontId="62" fillId="0" borderId="61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61" xfId="0" applyFont="1" applyFill="1" applyBorder="1" applyAlignment="1">
      <alignment horizontal="center" vertical="center" wrapText="1"/>
    </xf>
    <xf numFmtId="0" fontId="63" fillId="0" borderId="61" xfId="580" applyFont="1" applyFill="1" applyBorder="1" applyAlignment="1">
      <alignment horizontal="center" vertical="center" wrapText="1"/>
    </xf>
    <xf numFmtId="0" fontId="58" fillId="0" borderId="0" xfId="580" applyFont="1" applyFill="1" applyAlignment="1">
      <alignment horizontal="left" vertical="center" wrapText="1"/>
    </xf>
    <xf numFmtId="0" fontId="70" fillId="0" borderId="0" xfId="580" applyFont="1" applyFill="1" applyAlignment="1">
      <alignment horizontal="center" vertical="center" wrapText="1"/>
    </xf>
    <xf numFmtId="0" fontId="62" fillId="0" borderId="61" xfId="0" applyFont="1" applyFill="1" applyBorder="1" applyAlignment="1">
      <alignment horizontal="center" vertical="center" wrapText="1"/>
    </xf>
    <xf numFmtId="0" fontId="71" fillId="0" borderId="61" xfId="580" applyFont="1" applyFill="1" applyBorder="1" applyAlignment="1">
      <alignment horizontal="center" vertical="center" wrapText="1"/>
    </xf>
    <xf numFmtId="0" fontId="60" fillId="0" borderId="61" xfId="580" applyFont="1" applyFill="1" applyBorder="1" applyAlignment="1">
      <alignment horizontal="center" vertical="center" wrapText="1"/>
    </xf>
    <xf numFmtId="0" fontId="70" fillId="0" borderId="0" xfId="580" applyFont="1" applyFill="1" applyAlignment="1">
      <alignment horizontal="center" vertical="center" wrapText="1"/>
    </xf>
    <xf numFmtId="4" fontId="65" fillId="0" borderId="0" xfId="0" applyNumberFormat="1" applyFont="1" applyFill="1" applyAlignment="1">
      <alignment vertical="center" wrapText="1"/>
    </xf>
    <xf numFmtId="0" fontId="65" fillId="0" borderId="61" xfId="0" applyFont="1" applyFill="1" applyBorder="1" applyAlignment="1">
      <alignment horizontal="center" vertical="center"/>
    </xf>
    <xf numFmtId="0" fontId="63" fillId="0" borderId="61" xfId="0" applyFont="1" applyFill="1" applyBorder="1" applyAlignment="1">
      <alignment horizontal="right" vertical="center" wrapText="1"/>
    </xf>
    <xf numFmtId="3" fontId="63" fillId="0" borderId="61" xfId="0" applyNumberFormat="1" applyFont="1" applyFill="1" applyBorder="1" applyAlignment="1">
      <alignment vertical="center" wrapText="1"/>
    </xf>
    <xf numFmtId="166" fontId="63" fillId="0" borderId="61" xfId="0" applyNumberFormat="1" applyFont="1" applyFill="1" applyBorder="1" applyAlignment="1">
      <alignment vertical="center" wrapText="1"/>
    </xf>
    <xf numFmtId="0" fontId="64" fillId="0" borderId="61" xfId="0" applyFont="1" applyFill="1" applyBorder="1" applyAlignment="1">
      <alignment horizontal="left" vertical="center" wrapText="1"/>
    </xf>
    <xf numFmtId="0" fontId="64" fillId="0" borderId="61" xfId="0" applyFont="1" applyFill="1" applyBorder="1" applyAlignment="1">
      <alignment horizontal="left" vertical="center" wrapText="1" indent="1"/>
    </xf>
    <xf numFmtId="0" fontId="64" fillId="0" borderId="61" xfId="0" applyFont="1" applyFill="1" applyBorder="1" applyAlignment="1">
      <alignment horizontal="left" vertical="center" wrapText="1" indent="2"/>
    </xf>
    <xf numFmtId="3" fontId="62" fillId="0" borderId="0" xfId="0" applyNumberFormat="1" applyFont="1" applyFill="1" applyAlignment="1">
      <alignment horizontal="left" vertical="center"/>
    </xf>
    <xf numFmtId="3" fontId="62" fillId="0" borderId="0" xfId="0" applyNumberFormat="1" applyFont="1" applyFill="1" applyAlignment="1">
      <alignment horizontal="right" vertical="center"/>
    </xf>
    <xf numFmtId="0" fontId="65" fillId="0" borderId="61" xfId="0" applyFont="1" applyFill="1" applyBorder="1" applyAlignment="1">
      <alignment horizontal="left" vertical="center" wrapText="1"/>
    </xf>
    <xf numFmtId="0" fontId="65" fillId="0" borderId="61" xfId="0" applyFont="1" applyFill="1" applyBorder="1" applyAlignment="1">
      <alignment horizontal="right" vertical="center" wrapText="1"/>
    </xf>
    <xf numFmtId="0" fontId="62" fillId="0" borderId="0" xfId="0" applyFont="1" applyFill="1" applyAlignment="1">
      <alignment horizontal="left" vertical="center"/>
    </xf>
    <xf numFmtId="0" fontId="64" fillId="0" borderId="61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0" fontId="65" fillId="0" borderId="0" xfId="0" applyFont="1" applyFill="1" applyAlignment="1">
      <alignment horizontal="left" vertical="center"/>
    </xf>
    <xf numFmtId="3" fontId="65" fillId="0" borderId="0" xfId="0" applyNumberFormat="1" applyFont="1" applyFill="1" applyAlignment="1">
      <alignment horizontal="right" vertical="center"/>
    </xf>
    <xf numFmtId="0" fontId="65" fillId="0" borderId="0" xfId="108" applyFont="1" applyFill="1" applyAlignment="1">
      <alignment horizontal="left" vertical="center"/>
    </xf>
    <xf numFmtId="0" fontId="61" fillId="0" borderId="0" xfId="0" applyFont="1" applyFill="1" applyAlignment="1">
      <alignment horizontal="center" vertical="center" wrapText="1"/>
    </xf>
    <xf numFmtId="0" fontId="61" fillId="0" borderId="87" xfId="0" applyFont="1" applyFill="1" applyBorder="1" applyAlignment="1">
      <alignment vertical="center"/>
    </xf>
    <xf numFmtId="0" fontId="18" fillId="0" borderId="87" xfId="0" applyFont="1" applyFill="1" applyBorder="1" applyAlignment="1">
      <alignment vertical="center" wrapText="1"/>
    </xf>
    <xf numFmtId="0" fontId="19" fillId="0" borderId="87" xfId="0" applyFont="1" applyFill="1" applyBorder="1" applyAlignment="1">
      <alignment vertical="center"/>
    </xf>
    <xf numFmtId="0" fontId="18" fillId="0" borderId="87" xfId="0" applyFont="1" applyFill="1" applyBorder="1" applyAlignment="1">
      <alignment vertical="center"/>
    </xf>
    <xf numFmtId="0" fontId="19" fillId="0" borderId="87" xfId="0" applyFont="1" applyFill="1" applyBorder="1" applyAlignment="1">
      <alignment vertical="center" wrapText="1"/>
    </xf>
    <xf numFmtId="164" fontId="89" fillId="0" borderId="61" xfId="221" applyNumberFormat="1" applyFont="1" applyFill="1" applyBorder="1" applyAlignment="1">
      <alignment horizontal="right" vertical="center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84" fillId="0" borderId="61" xfId="0" applyFont="1" applyFill="1" applyBorder="1" applyAlignment="1">
      <alignment horizontal="center" vertical="center"/>
    </xf>
    <xf numFmtId="0" fontId="83" fillId="0" borderId="61" xfId="0" applyFont="1" applyFill="1" applyBorder="1" applyAlignment="1">
      <alignment horizontal="left" vertical="center" wrapText="1"/>
    </xf>
    <xf numFmtId="4" fontId="85" fillId="0" borderId="61" xfId="0" applyNumberFormat="1" applyFont="1" applyFill="1" applyBorder="1" applyAlignment="1">
      <alignment horizontal="right" vertical="center"/>
    </xf>
    <xf numFmtId="164" fontId="85" fillId="0" borderId="61" xfId="0" applyNumberFormat="1" applyFont="1" applyFill="1" applyBorder="1" applyAlignment="1">
      <alignment horizontal="right" vertical="center"/>
    </xf>
    <xf numFmtId="0" fontId="83" fillId="0" borderId="61" xfId="0" applyFont="1" applyFill="1" applyBorder="1" applyAlignment="1">
      <alignment horizontal="left" vertical="center" wrapText="1" indent="1"/>
    </xf>
    <xf numFmtId="0" fontId="27" fillId="0" borderId="61" xfId="0" applyFont="1" applyFill="1" applyBorder="1" applyAlignment="1">
      <alignment horizontal="left" vertical="center" wrapText="1" indent="2"/>
    </xf>
    <xf numFmtId="4" fontId="27" fillId="0" borderId="61" xfId="0" applyNumberFormat="1" applyFont="1" applyFill="1" applyBorder="1" applyAlignment="1">
      <alignment horizontal="right" vertical="center"/>
    </xf>
    <xf numFmtId="164" fontId="27" fillId="0" borderId="61" xfId="0" applyNumberFormat="1" applyFont="1" applyFill="1" applyBorder="1" applyAlignment="1">
      <alignment horizontal="right" vertical="center"/>
    </xf>
    <xf numFmtId="4" fontId="84" fillId="0" borderId="61" xfId="0" applyNumberFormat="1" applyFont="1" applyFill="1" applyBorder="1" applyAlignment="1">
      <alignment horizontal="right" vertical="center"/>
    </xf>
    <xf numFmtId="164" fontId="84" fillId="0" borderId="0" xfId="0" applyNumberFormat="1" applyFont="1" applyFill="1" applyAlignment="1">
      <alignment horizontal="right" vertical="center"/>
    </xf>
    <xf numFmtId="0" fontId="83" fillId="0" borderId="61" xfId="0" applyFont="1" applyFill="1" applyBorder="1" applyAlignment="1">
      <alignment horizontal="left" vertical="center" wrapText="1" indent="2"/>
    </xf>
    <xf numFmtId="0" fontId="27" fillId="0" borderId="61" xfId="0" applyFont="1" applyFill="1" applyBorder="1" applyAlignment="1">
      <alignment horizontal="left" vertical="center" wrapText="1" indent="3"/>
    </xf>
    <xf numFmtId="0" fontId="27" fillId="0" borderId="61" xfId="0" applyFont="1" applyFill="1" applyBorder="1" applyAlignment="1">
      <alignment horizontal="left" vertical="center" wrapText="1" indent="4"/>
    </xf>
    <xf numFmtId="0" fontId="27" fillId="0" borderId="0" xfId="0" applyFont="1" applyFill="1" applyAlignment="1">
      <alignment horizontal="left" vertical="center" wrapText="1" indent="1"/>
    </xf>
    <xf numFmtId="3" fontId="86" fillId="0" borderId="0" xfId="0" applyNumberFormat="1" applyFont="1" applyFill="1" applyAlignment="1">
      <alignment horizontal="left" vertical="center"/>
    </xf>
    <xf numFmtId="3" fontId="86" fillId="0" borderId="0" xfId="0" applyNumberFormat="1" applyFont="1" applyFill="1" applyAlignment="1">
      <alignment horizontal="right" vertical="center"/>
    </xf>
    <xf numFmtId="0" fontId="87" fillId="0" borderId="0" xfId="0" applyFont="1" applyFill="1" applyAlignment="1">
      <alignment vertical="center"/>
    </xf>
    <xf numFmtId="164" fontId="86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/>
    <xf numFmtId="164" fontId="86" fillId="0" borderId="61" xfId="0" applyNumberFormat="1" applyFont="1" applyFill="1" applyBorder="1" applyAlignment="1">
      <alignment horizontal="center" vertical="center"/>
    </xf>
    <xf numFmtId="164" fontId="86" fillId="0" borderId="62" xfId="0" applyNumberFormat="1" applyFont="1" applyFill="1" applyBorder="1" applyAlignment="1">
      <alignment horizontal="center" vertical="center"/>
    </xf>
    <xf numFmtId="164" fontId="86" fillId="0" borderId="69" xfId="0" applyNumberFormat="1" applyFont="1" applyFill="1" applyBorder="1" applyAlignment="1">
      <alignment horizontal="center" vertical="center"/>
    </xf>
    <xf numFmtId="0" fontId="83" fillId="0" borderId="61" xfId="0" applyFont="1" applyFill="1" applyBorder="1" applyAlignment="1">
      <alignment horizontal="right" vertical="center" wrapText="1" indent="1"/>
    </xf>
    <xf numFmtId="0" fontId="27" fillId="0" borderId="0" xfId="0" applyFont="1" applyFill="1" applyAlignment="1">
      <alignment vertical="center"/>
    </xf>
    <xf numFmtId="4" fontId="27" fillId="0" borderId="0" xfId="0" applyNumberFormat="1" applyFont="1" applyFill="1" applyAlignment="1">
      <alignment horizontal="right" vertical="center"/>
    </xf>
    <xf numFmtId="0" fontId="86" fillId="0" borderId="0" xfId="0" applyFont="1" applyFill="1" applyAlignment="1">
      <alignment horizontal="left" vertical="center"/>
    </xf>
    <xf numFmtId="0" fontId="27" fillId="0" borderId="6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84" fillId="0" borderId="61" xfId="0" applyFont="1" applyFill="1" applyBorder="1" applyAlignment="1">
      <alignment horizontal="center" vertical="center"/>
    </xf>
    <xf numFmtId="0" fontId="88" fillId="0" borderId="0" xfId="0" applyFont="1" applyFill="1" applyAlignment="1">
      <alignment horizontal="center" vertical="center" wrapText="1"/>
    </xf>
    <xf numFmtId="0" fontId="84" fillId="0" borderId="61" xfId="0" applyFont="1" applyFill="1" applyBorder="1" applyAlignment="1">
      <alignment horizontal="center" vertical="center" wrapText="1"/>
    </xf>
    <xf numFmtId="4" fontId="89" fillId="0" borderId="61" xfId="0" applyNumberFormat="1" applyFont="1" applyFill="1" applyBorder="1" applyAlignment="1">
      <alignment horizontal="right" vertical="center"/>
    </xf>
    <xf numFmtId="4" fontId="89" fillId="0" borderId="61" xfId="0" applyNumberFormat="1" applyFont="1" applyFill="1" applyBorder="1" applyAlignment="1">
      <alignment vertical="center"/>
    </xf>
    <xf numFmtId="164" fontId="89" fillId="0" borderId="61" xfId="0" applyNumberFormat="1" applyFont="1" applyFill="1" applyBorder="1" applyAlignment="1">
      <alignment horizontal="right" vertical="center"/>
    </xf>
    <xf numFmtId="4" fontId="85" fillId="0" borderId="61" xfId="0" applyNumberFormat="1" applyFont="1" applyFill="1" applyBorder="1" applyAlignment="1">
      <alignment horizontal="right" vertical="center" wrapText="1"/>
    </xf>
    <xf numFmtId="4" fontId="85" fillId="0" borderId="61" xfId="0" applyNumberFormat="1" applyFont="1" applyFill="1" applyBorder="1" applyAlignment="1">
      <alignment vertical="center" wrapText="1"/>
    </xf>
    <xf numFmtId="4" fontId="27" fillId="0" borderId="61" xfId="0" applyNumberFormat="1" applyFont="1" applyFill="1" applyBorder="1" applyAlignment="1">
      <alignment vertical="center"/>
    </xf>
    <xf numFmtId="4" fontId="27" fillId="0" borderId="61" xfId="0" applyNumberFormat="1" applyFont="1" applyFill="1" applyBorder="1" applyAlignment="1">
      <alignment horizontal="right" vertical="center" wrapText="1"/>
    </xf>
    <xf numFmtId="4" fontId="27" fillId="0" borderId="61" xfId="0" applyNumberFormat="1" applyFont="1" applyFill="1" applyBorder="1" applyAlignment="1">
      <alignment vertical="center" wrapText="1"/>
    </xf>
    <xf numFmtId="4" fontId="27" fillId="0" borderId="62" xfId="0" applyNumberFormat="1" applyFont="1" applyFill="1" applyBorder="1" applyAlignment="1">
      <alignment vertical="center" wrapText="1"/>
    </xf>
    <xf numFmtId="4" fontId="85" fillId="0" borderId="69" xfId="0" applyNumberFormat="1" applyFont="1" applyFill="1" applyBorder="1" applyAlignment="1">
      <alignment horizontal="right" vertical="center" wrapText="1"/>
    </xf>
    <xf numFmtId="4" fontId="85" fillId="0" borderId="0" xfId="0" applyNumberFormat="1" applyFont="1" applyFill="1" applyAlignment="1">
      <alignment horizontal="right" vertical="center" wrapText="1"/>
    </xf>
    <xf numFmtId="4" fontId="85" fillId="0" borderId="0" xfId="0" applyNumberFormat="1" applyFont="1" applyFill="1" applyAlignment="1">
      <alignment vertical="center" wrapText="1"/>
    </xf>
    <xf numFmtId="4" fontId="84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83" fillId="0" borderId="61" xfId="0" applyFont="1" applyFill="1" applyBorder="1" applyAlignment="1">
      <alignment horizontal="center" vertical="center" wrapText="1"/>
    </xf>
    <xf numFmtId="0" fontId="83" fillId="0" borderId="0" xfId="0" applyFont="1" applyFill="1" applyAlignment="1">
      <alignment horizontal="center" vertical="center" wrapText="1"/>
    </xf>
    <xf numFmtId="0" fontId="83" fillId="0" borderId="61" xfId="0" applyFont="1" applyFill="1" applyBorder="1" applyAlignment="1">
      <alignment horizontal="left" vertical="center" wrapText="1"/>
    </xf>
    <xf numFmtId="0" fontId="89" fillId="0" borderId="61" xfId="0" applyFont="1" applyFill="1" applyBorder="1" applyAlignment="1">
      <alignment horizontal="center" vertical="center"/>
    </xf>
    <xf numFmtId="0" fontId="91" fillId="0" borderId="61" xfId="0" applyFont="1" applyFill="1" applyBorder="1" applyAlignment="1">
      <alignment horizontal="center" vertical="center" wrapText="1"/>
    </xf>
    <xf numFmtId="0" fontId="91" fillId="0" borderId="61" xfId="0" applyFont="1" applyFill="1" applyBorder="1" applyAlignment="1">
      <alignment horizontal="right" vertical="center" wrapText="1"/>
    </xf>
    <xf numFmtId="3" fontId="91" fillId="0" borderId="61" xfId="0" applyNumberFormat="1" applyFont="1" applyFill="1" applyBorder="1" applyAlignment="1">
      <alignment vertical="center" wrapText="1"/>
    </xf>
    <xf numFmtId="166" fontId="91" fillId="0" borderId="61" xfId="0" applyNumberFormat="1" applyFont="1" applyFill="1" applyBorder="1" applyAlignment="1">
      <alignment vertical="center" wrapText="1"/>
    </xf>
    <xf numFmtId="0" fontId="84" fillId="0" borderId="0" xfId="0" applyFont="1" applyFill="1"/>
    <xf numFmtId="0" fontId="83" fillId="0" borderId="87" xfId="0" applyFont="1" applyFill="1" applyBorder="1" applyAlignment="1">
      <alignment vertical="center"/>
    </xf>
    <xf numFmtId="0" fontId="83" fillId="0" borderId="72" xfId="0" applyFont="1" applyFill="1" applyBorder="1" applyAlignment="1">
      <alignment vertical="center"/>
    </xf>
    <xf numFmtId="164" fontId="84" fillId="0" borderId="61" xfId="0" applyNumberFormat="1" applyFont="1" applyFill="1" applyBorder="1" applyAlignment="1">
      <alignment horizontal="right" vertical="center"/>
    </xf>
    <xf numFmtId="0" fontId="83" fillId="0" borderId="61" xfId="0" applyFont="1" applyFill="1" applyBorder="1" applyAlignment="1">
      <alignment horizontal="right" vertical="center" wrapText="1"/>
    </xf>
    <xf numFmtId="0" fontId="83" fillId="0" borderId="61" xfId="0" applyFont="1" applyFill="1" applyBorder="1" applyAlignment="1">
      <alignment horizontal="right" vertical="center"/>
    </xf>
    <xf numFmtId="0" fontId="22" fillId="0" borderId="61" xfId="0" applyFont="1" applyFill="1" applyBorder="1" applyAlignment="1">
      <alignment horizontal="center" vertical="center" wrapText="1"/>
    </xf>
    <xf numFmtId="0" fontId="84" fillId="0" borderId="62" xfId="0" applyFont="1" applyFill="1" applyBorder="1" applyAlignment="1">
      <alignment horizontal="center" vertical="center"/>
    </xf>
    <xf numFmtId="0" fontId="84" fillId="0" borderId="62" xfId="0" applyFont="1" applyFill="1" applyBorder="1" applyAlignment="1">
      <alignment horizontal="center"/>
    </xf>
    <xf numFmtId="0" fontId="84" fillId="0" borderId="61" xfId="0" applyFont="1" applyFill="1" applyBorder="1" applyAlignment="1">
      <alignment horizontal="center"/>
    </xf>
    <xf numFmtId="0" fontId="22" fillId="0" borderId="61" xfId="0" applyFont="1" applyFill="1" applyBorder="1" applyAlignment="1">
      <alignment horizontal="left" vertical="top" wrapText="1"/>
    </xf>
    <xf numFmtId="4" fontId="89" fillId="0" borderId="62" xfId="0" applyNumberFormat="1" applyFont="1" applyFill="1" applyBorder="1" applyAlignment="1">
      <alignment horizontal="right" vertical="center"/>
    </xf>
    <xf numFmtId="0" fontId="84" fillId="0" borderId="61" xfId="0" applyFont="1" applyFill="1" applyBorder="1" applyAlignment="1">
      <alignment horizontal="left" vertical="center" wrapText="1" indent="1"/>
    </xf>
    <xf numFmtId="4" fontId="84" fillId="0" borderId="62" xfId="0" applyNumberFormat="1" applyFont="1" applyFill="1" applyBorder="1" applyAlignment="1">
      <alignment horizontal="right" vertical="center"/>
    </xf>
    <xf numFmtId="0" fontId="84" fillId="0" borderId="61" xfId="0" applyFont="1" applyFill="1" applyBorder="1" applyAlignment="1">
      <alignment horizontal="left" vertical="center" wrapText="1" indent="2"/>
    </xf>
    <xf numFmtId="0" fontId="92" fillId="0" borderId="61" xfId="108" applyFont="1" applyFill="1" applyBorder="1" applyAlignment="1">
      <alignment horizontal="left" vertical="center" wrapText="1"/>
    </xf>
    <xf numFmtId="0" fontId="92" fillId="0" borderId="61" xfId="108" applyFont="1" applyFill="1" applyBorder="1" applyAlignment="1">
      <alignment horizontal="left" vertical="center" wrapText="1" indent="1"/>
    </xf>
    <xf numFmtId="0" fontId="93" fillId="0" borderId="61" xfId="580" applyFont="1" applyFill="1" applyBorder="1" applyAlignment="1">
      <alignment horizontal="center" vertical="center" wrapText="1"/>
    </xf>
    <xf numFmtId="0" fontId="25" fillId="0" borderId="61" xfId="580" applyFont="1" applyFill="1" applyBorder="1" applyAlignment="1">
      <alignment horizontal="left" vertical="center" wrapText="1"/>
    </xf>
    <xf numFmtId="4" fontId="93" fillId="0" borderId="61" xfId="580" applyNumberFormat="1" applyFont="1" applyFill="1" applyBorder="1" applyAlignment="1">
      <alignment horizontal="right" vertical="center" wrapText="1"/>
    </xf>
    <xf numFmtId="0" fontId="87" fillId="0" borderId="61" xfId="0" applyFont="1" applyFill="1" applyBorder="1" applyAlignment="1">
      <alignment horizontal="left" vertical="center" indent="1"/>
    </xf>
    <xf numFmtId="0" fontId="93" fillId="0" borderId="0" xfId="0" applyFont="1" applyFill="1" applyAlignment="1">
      <alignment horizontal="left" indent="1"/>
    </xf>
    <xf numFmtId="4" fontId="93" fillId="0" borderId="0" xfId="580" applyNumberFormat="1" applyFont="1" applyFill="1" applyAlignment="1">
      <alignment horizontal="right" vertical="center" wrapText="1"/>
    </xf>
    <xf numFmtId="0" fontId="17" fillId="0" borderId="0" xfId="580" applyFill="1" applyAlignment="1">
      <alignment horizontal="center" vertical="center" wrapText="1"/>
    </xf>
    <xf numFmtId="0" fontId="96" fillId="0" borderId="87" xfId="0" applyFont="1" applyFill="1" applyBorder="1" applyAlignment="1">
      <alignment vertical="center" wrapText="1"/>
    </xf>
    <xf numFmtId="4" fontId="93" fillId="0" borderId="61" xfId="580" applyNumberFormat="1" applyFont="1" applyFill="1" applyBorder="1" applyAlignment="1">
      <alignment vertical="center" wrapText="1"/>
    </xf>
    <xf numFmtId="0" fontId="97" fillId="0" borderId="87" xfId="0" applyFont="1" applyFill="1" applyBorder="1" applyAlignment="1">
      <alignment vertical="center"/>
    </xf>
    <xf numFmtId="0" fontId="96" fillId="0" borderId="87" xfId="0" applyFont="1" applyFill="1" applyBorder="1" applyAlignment="1">
      <alignment vertical="center"/>
    </xf>
    <xf numFmtId="0" fontId="97" fillId="0" borderId="87" xfId="0" applyFont="1" applyFill="1" applyBorder="1" applyAlignment="1">
      <alignment vertical="center" wrapText="1"/>
    </xf>
    <xf numFmtId="0" fontId="98" fillId="0" borderId="61" xfId="580" applyFont="1" applyFill="1" applyBorder="1" applyAlignment="1">
      <alignment horizontal="center" vertical="center" wrapText="1"/>
    </xf>
    <xf numFmtId="0" fontId="17" fillId="0" borderId="61" xfId="580" applyFill="1" applyBorder="1" applyAlignment="1">
      <alignment horizontal="center" vertical="center" wrapText="1"/>
    </xf>
    <xf numFmtId="164" fontId="95" fillId="0" borderId="61" xfId="221" applyNumberFormat="1" applyFont="1" applyFill="1" applyBorder="1" applyAlignment="1">
      <alignment horizontal="right" vertical="center"/>
    </xf>
    <xf numFmtId="0" fontId="83" fillId="0" borderId="61" xfId="0" applyFont="1" applyFill="1" applyBorder="1" applyAlignment="1">
      <alignment vertical="center" wrapText="1"/>
    </xf>
    <xf numFmtId="4" fontId="100" fillId="0" borderId="61" xfId="0" applyNumberFormat="1" applyFont="1" applyFill="1" applyBorder="1" applyAlignment="1">
      <alignment horizontal="right" vertical="center"/>
    </xf>
    <xf numFmtId="4" fontId="100" fillId="0" borderId="61" xfId="0" applyNumberFormat="1" applyFont="1" applyFill="1" applyBorder="1" applyAlignment="1">
      <alignment horizontal="center" vertical="center"/>
    </xf>
    <xf numFmtId="164" fontId="100" fillId="0" borderId="61" xfId="0" applyNumberFormat="1" applyFont="1" applyFill="1" applyBorder="1" applyAlignment="1">
      <alignment horizontal="right" vertical="center"/>
    </xf>
    <xf numFmtId="4" fontId="101" fillId="0" borderId="61" xfId="0" applyNumberFormat="1" applyFont="1" applyFill="1" applyBorder="1" applyAlignment="1">
      <alignment horizontal="right" vertical="center"/>
    </xf>
    <xf numFmtId="164" fontId="101" fillId="0" borderId="61" xfId="0" applyNumberFormat="1" applyFont="1" applyFill="1" applyBorder="1" applyAlignment="1">
      <alignment horizontal="right" vertical="center"/>
    </xf>
    <xf numFmtId="4" fontId="93" fillId="0" borderId="61" xfId="0" applyNumberFormat="1" applyFont="1" applyFill="1" applyBorder="1" applyAlignment="1">
      <alignment horizontal="right" vertical="center"/>
    </xf>
    <xf numFmtId="164" fontId="101" fillId="0" borderId="0" xfId="0" applyNumberFormat="1" applyFont="1" applyFill="1" applyAlignment="1">
      <alignment horizontal="right" vertical="center"/>
    </xf>
    <xf numFmtId="164" fontId="93" fillId="0" borderId="0" xfId="0" applyNumberFormat="1" applyFont="1" applyFill="1" applyAlignment="1">
      <alignment horizontal="right" vertical="center"/>
    </xf>
    <xf numFmtId="0" fontId="83" fillId="0" borderId="61" xfId="0" applyFont="1" applyFill="1" applyBorder="1" applyAlignment="1">
      <alignment horizontal="left" vertical="center" wrapText="1" indent="3"/>
    </xf>
    <xf numFmtId="0" fontId="102" fillId="0" borderId="0" xfId="0" applyFont="1" applyFill="1"/>
    <xf numFmtId="4" fontId="101" fillId="0" borderId="0" xfId="0" applyNumberFormat="1" applyFont="1" applyFill="1" applyAlignment="1">
      <alignment horizontal="right" vertical="center"/>
    </xf>
    <xf numFmtId="4" fontId="100" fillId="0" borderId="0" xfId="0" applyNumberFormat="1" applyFont="1" applyFill="1" applyAlignment="1">
      <alignment horizontal="center" vertical="center"/>
    </xf>
    <xf numFmtId="0" fontId="94" fillId="0" borderId="0" xfId="0" applyFont="1" applyFill="1" applyAlignment="1">
      <alignment vertical="center"/>
    </xf>
    <xf numFmtId="4" fontId="95" fillId="0" borderId="61" xfId="0" applyNumberFormat="1" applyFont="1" applyFill="1" applyBorder="1" applyAlignment="1">
      <alignment horizontal="right" vertical="center"/>
    </xf>
    <xf numFmtId="4" fontId="95" fillId="0" borderId="61" xfId="0" applyNumberFormat="1" applyFont="1" applyFill="1" applyBorder="1" applyAlignment="1">
      <alignment vertical="center"/>
    </xf>
    <xf numFmtId="164" fontId="95" fillId="0" borderId="61" xfId="0" applyNumberFormat="1" applyFont="1" applyFill="1" applyBorder="1" applyAlignment="1">
      <alignment horizontal="right" vertical="center"/>
    </xf>
    <xf numFmtId="4" fontId="100" fillId="0" borderId="61" xfId="0" applyNumberFormat="1" applyFont="1" applyFill="1" applyBorder="1" applyAlignment="1">
      <alignment horizontal="right" vertical="center" wrapText="1"/>
    </xf>
    <xf numFmtId="4" fontId="100" fillId="0" borderId="61" xfId="0" applyNumberFormat="1" applyFont="1" applyFill="1" applyBorder="1" applyAlignment="1">
      <alignment vertical="center" wrapText="1"/>
    </xf>
    <xf numFmtId="0" fontId="27" fillId="0" borderId="61" xfId="0" applyFont="1" applyFill="1" applyBorder="1" applyAlignment="1">
      <alignment horizontal="left" vertical="center" wrapText="1" indent="1"/>
    </xf>
    <xf numFmtId="4" fontId="101" fillId="0" borderId="61" xfId="0" applyNumberFormat="1" applyFont="1" applyFill="1" applyBorder="1" applyAlignment="1">
      <alignment vertical="center"/>
    </xf>
    <xf numFmtId="4" fontId="101" fillId="0" borderId="61" xfId="0" applyNumberFormat="1" applyFont="1" applyFill="1" applyBorder="1" applyAlignment="1">
      <alignment horizontal="right" vertical="center" wrapText="1"/>
    </xf>
    <xf numFmtId="4" fontId="101" fillId="0" borderId="61" xfId="0" applyNumberFormat="1" applyFont="1" applyFill="1" applyBorder="1" applyAlignment="1">
      <alignment vertical="center" wrapText="1"/>
    </xf>
    <xf numFmtId="4" fontId="101" fillId="0" borderId="62" xfId="0" applyNumberFormat="1" applyFont="1" applyFill="1" applyBorder="1" applyAlignment="1">
      <alignment vertical="center" wrapText="1"/>
    </xf>
    <xf numFmtId="4" fontId="101" fillId="0" borderId="47" xfId="0" applyNumberFormat="1" applyFont="1" applyFill="1" applyBorder="1" applyAlignment="1">
      <alignment horizontal="right" vertical="center"/>
    </xf>
    <xf numFmtId="4" fontId="101" fillId="0" borderId="66" xfId="0" applyNumberFormat="1" applyFont="1" applyFill="1" applyBorder="1" applyAlignment="1">
      <alignment vertical="center" wrapText="1"/>
    </xf>
    <xf numFmtId="4" fontId="100" fillId="0" borderId="66" xfId="0" applyNumberFormat="1" applyFont="1" applyFill="1" applyBorder="1" applyAlignment="1">
      <alignment horizontal="right" vertical="center" wrapText="1"/>
    </xf>
    <xf numFmtId="4" fontId="100" fillId="0" borderId="67" xfId="0" applyNumberFormat="1" applyFont="1" applyFill="1" applyBorder="1" applyAlignment="1">
      <alignment horizontal="right" vertical="center" wrapText="1"/>
    </xf>
    <xf numFmtId="4" fontId="93" fillId="0" borderId="67" xfId="0" applyNumberFormat="1" applyFont="1" applyFill="1" applyBorder="1" applyAlignment="1">
      <alignment horizontal="right" vertical="center"/>
    </xf>
    <xf numFmtId="4" fontId="93" fillId="0" borderId="0" xfId="0" applyNumberFormat="1" applyFont="1" applyFill="1" applyAlignment="1">
      <alignment horizontal="right" vertical="center"/>
    </xf>
    <xf numFmtId="4" fontId="100" fillId="0" borderId="65" xfId="0" applyNumberFormat="1" applyFont="1" applyFill="1" applyBorder="1" applyAlignment="1">
      <alignment horizontal="right" vertical="center" wrapText="1"/>
    </xf>
    <xf numFmtId="4" fontId="100" fillId="0" borderId="69" xfId="0" applyNumberFormat="1" applyFont="1" applyFill="1" applyBorder="1" applyAlignment="1">
      <alignment horizontal="right" vertical="center" wrapText="1"/>
    </xf>
    <xf numFmtId="0" fontId="100" fillId="0" borderId="0" xfId="0" applyFont="1" applyFill="1" applyAlignment="1">
      <alignment horizontal="left" vertical="center"/>
    </xf>
    <xf numFmtId="0" fontId="93" fillId="0" borderId="0" xfId="0" applyFont="1" applyFill="1"/>
    <xf numFmtId="0" fontId="85" fillId="0" borderId="0" xfId="0" applyFont="1" applyFill="1" applyAlignment="1">
      <alignment horizontal="left" vertical="center"/>
    </xf>
    <xf numFmtId="3" fontId="100" fillId="0" borderId="0" xfId="0" applyNumberFormat="1" applyFont="1" applyFill="1" applyAlignment="1">
      <alignment horizontal="right" vertical="center"/>
    </xf>
    <xf numFmtId="164" fontId="93" fillId="0" borderId="0" xfId="0" applyNumberFormat="1" applyFont="1" applyFill="1"/>
    <xf numFmtId="0" fontId="22" fillId="0" borderId="0" xfId="108" applyFont="1" applyFill="1" applyAlignment="1">
      <alignment horizontal="left" vertical="center"/>
    </xf>
    <xf numFmtId="0" fontId="83" fillId="0" borderId="61" xfId="0" applyFont="1" applyFill="1" applyBorder="1" applyAlignment="1">
      <alignment horizontal="left" vertical="top" wrapText="1"/>
    </xf>
    <xf numFmtId="4" fontId="101" fillId="0" borderId="64" xfId="0" applyNumberFormat="1" applyFont="1" applyFill="1" applyBorder="1" applyAlignment="1">
      <alignment horizontal="right" vertical="center" wrapText="1"/>
    </xf>
    <xf numFmtId="164" fontId="93" fillId="0" borderId="61" xfId="0" applyNumberFormat="1" applyFont="1" applyFill="1" applyBorder="1" applyAlignment="1">
      <alignment horizontal="right" vertical="center"/>
    </xf>
    <xf numFmtId="0" fontId="22" fillId="0" borderId="61" xfId="0" applyFont="1" applyFill="1" applyBorder="1" applyAlignment="1">
      <alignment horizontal="right"/>
    </xf>
    <xf numFmtId="0" fontId="84" fillId="0" borderId="62" xfId="0" applyFont="1" applyFill="1" applyBorder="1" applyAlignment="1">
      <alignment vertical="center"/>
    </xf>
    <xf numFmtId="4" fontId="95" fillId="0" borderId="62" xfId="0" applyNumberFormat="1" applyFont="1" applyFill="1" applyBorder="1" applyAlignment="1">
      <alignment horizontal="right" vertical="center"/>
    </xf>
    <xf numFmtId="4" fontId="95" fillId="0" borderId="61" xfId="0" applyNumberFormat="1" applyFont="1" applyFill="1" applyBorder="1" applyAlignment="1">
      <alignment horizontal="center" vertical="center"/>
    </xf>
    <xf numFmtId="4" fontId="93" fillId="0" borderId="62" xfId="0" applyNumberFormat="1" applyFont="1" applyFill="1" applyBorder="1" applyAlignment="1">
      <alignment horizontal="right" vertical="center"/>
    </xf>
    <xf numFmtId="0" fontId="89" fillId="0" borderId="61" xfId="0" applyFont="1" applyFill="1" applyBorder="1" applyAlignment="1">
      <alignment horizontal="center" vertical="center" wrapText="1"/>
    </xf>
    <xf numFmtId="0" fontId="84" fillId="0" borderId="61" xfId="0" applyFont="1" applyFill="1" applyBorder="1" applyAlignment="1">
      <alignment vertical="center"/>
    </xf>
    <xf numFmtId="0" fontId="92" fillId="0" borderId="61" xfId="108" applyFont="1" applyFill="1" applyBorder="1" applyAlignment="1">
      <alignment horizontal="left" vertical="top" wrapText="1"/>
    </xf>
    <xf numFmtId="0" fontId="84" fillId="0" borderId="61" xfId="108" applyFont="1" applyFill="1" applyBorder="1" applyAlignment="1">
      <alignment horizontal="left" vertical="center" wrapText="1" indent="1"/>
    </xf>
    <xf numFmtId="0" fontId="89" fillId="0" borderId="61" xfId="580" applyFont="1" applyFill="1" applyBorder="1" applyAlignment="1">
      <alignment horizontal="left" vertical="center" wrapText="1"/>
    </xf>
    <xf numFmtId="0" fontId="84" fillId="0" borderId="61" xfId="580" applyFont="1" applyFill="1" applyBorder="1" applyAlignment="1">
      <alignment horizontal="left" vertical="center" wrapText="1"/>
    </xf>
    <xf numFmtId="0" fontId="90" fillId="0" borderId="87" xfId="0" applyFont="1" applyFill="1" applyBorder="1" applyAlignment="1">
      <alignment vertical="center" wrapText="1"/>
    </xf>
    <xf numFmtId="0" fontId="91" fillId="0" borderId="87" xfId="0" applyFont="1" applyFill="1" applyBorder="1" applyAlignment="1">
      <alignment vertical="center" wrapText="1"/>
    </xf>
    <xf numFmtId="164" fontId="95" fillId="0" borderId="61" xfId="221" applyNumberFormat="1" applyFont="1" applyFill="1" applyBorder="1" applyAlignment="1">
      <alignment horizontal="center" vertical="center"/>
    </xf>
    <xf numFmtId="164" fontId="100" fillId="0" borderId="61" xfId="0" applyNumberFormat="1" applyFont="1" applyFill="1" applyBorder="1" applyAlignment="1">
      <alignment horizontal="center" vertical="center"/>
    </xf>
    <xf numFmtId="164" fontId="101" fillId="0" borderId="61" xfId="0" applyNumberFormat="1" applyFont="1" applyFill="1" applyBorder="1" applyAlignment="1">
      <alignment horizontal="center" vertical="center"/>
    </xf>
    <xf numFmtId="4" fontId="101" fillId="0" borderId="61" xfId="0" applyNumberFormat="1" applyFont="1" applyFill="1" applyBorder="1" applyAlignment="1">
      <alignment horizontal="center" vertical="center"/>
    </xf>
    <xf numFmtId="164" fontId="101" fillId="0" borderId="0" xfId="0" applyNumberFormat="1" applyFont="1" applyFill="1" applyAlignment="1">
      <alignment horizontal="center" vertical="center"/>
    </xf>
    <xf numFmtId="164" fontId="93" fillId="0" borderId="0" xfId="0" applyNumberFormat="1" applyFont="1" applyFill="1" applyAlignment="1">
      <alignment horizontal="center" vertical="center"/>
    </xf>
    <xf numFmtId="0" fontId="83" fillId="0" borderId="61" xfId="0" quotePrefix="1" applyFont="1" applyFill="1" applyBorder="1" applyAlignment="1">
      <alignment horizontal="left" vertical="center" wrapText="1" indent="2"/>
    </xf>
    <xf numFmtId="0" fontId="27" fillId="0" borderId="0" xfId="0" applyFont="1" applyFill="1" applyAlignment="1">
      <alignment horizontal="center" vertical="center" wrapText="1"/>
    </xf>
    <xf numFmtId="4" fontId="101" fillId="0" borderId="0" xfId="0" applyNumberFormat="1" applyFont="1" applyFill="1" applyAlignment="1">
      <alignment horizontal="center" vertical="center"/>
    </xf>
    <xf numFmtId="164" fontId="93" fillId="0" borderId="0" xfId="0" applyNumberFormat="1" applyFont="1" applyFill="1" applyAlignment="1">
      <alignment horizontal="center"/>
    </xf>
    <xf numFmtId="0" fontId="86" fillId="0" borderId="0" xfId="0" applyFont="1" applyFill="1" applyAlignment="1">
      <alignment horizontal="center" vertical="center"/>
    </xf>
    <xf numFmtId="3" fontId="86" fillId="0" borderId="0" xfId="0" applyNumberFormat="1" applyFont="1" applyFill="1" applyAlignment="1">
      <alignment horizontal="center" vertical="center"/>
    </xf>
    <xf numFmtId="0" fontId="8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95" fillId="0" borderId="61" xfId="0" applyNumberFormat="1" applyFont="1" applyFill="1" applyBorder="1" applyAlignment="1">
      <alignment horizontal="center" vertical="center"/>
    </xf>
    <xf numFmtId="4" fontId="101" fillId="0" borderId="62" xfId="0" applyNumberFormat="1" applyFont="1" applyFill="1" applyBorder="1" applyAlignment="1">
      <alignment horizontal="right" vertical="center" wrapText="1"/>
    </xf>
    <xf numFmtId="4" fontId="100" fillId="0" borderId="69" xfId="0" applyNumberFormat="1" applyFont="1" applyFill="1" applyBorder="1" applyAlignment="1">
      <alignment horizontal="center" vertical="center" wrapText="1"/>
    </xf>
    <xf numFmtId="4" fontId="100" fillId="0" borderId="0" xfId="0" applyNumberFormat="1" applyFont="1" applyFill="1" applyAlignment="1">
      <alignment horizontal="center" vertical="center" wrapText="1"/>
    </xf>
    <xf numFmtId="4" fontId="93" fillId="0" borderId="0" xfId="0" applyNumberFormat="1" applyFont="1" applyFill="1" applyAlignment="1">
      <alignment horizontal="center" vertical="center"/>
    </xf>
    <xf numFmtId="4" fontId="100" fillId="0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85" fillId="0" borderId="0" xfId="0" applyFont="1" applyFill="1" applyAlignment="1">
      <alignment horizontal="center" vertical="center"/>
    </xf>
    <xf numFmtId="3" fontId="100" fillId="0" borderId="0" xfId="0" applyNumberFormat="1" applyFont="1" applyFill="1" applyAlignment="1">
      <alignment horizontal="center" vertical="center"/>
    </xf>
    <xf numFmtId="0" fontId="93" fillId="0" borderId="0" xfId="0" applyFont="1" applyFill="1" applyAlignment="1">
      <alignment horizontal="center"/>
    </xf>
    <xf numFmtId="0" fontId="22" fillId="0" borderId="72" xfId="108" applyFont="1" applyFill="1" applyBorder="1" applyAlignment="1">
      <alignment horizontal="left" vertical="center"/>
    </xf>
    <xf numFmtId="3" fontId="100" fillId="0" borderId="72" xfId="0" applyNumberFormat="1" applyFont="1" applyFill="1" applyBorder="1" applyAlignment="1">
      <alignment horizontal="center" vertical="center"/>
    </xf>
    <xf numFmtId="164" fontId="93" fillId="0" borderId="72" xfId="0" applyNumberFormat="1" applyFont="1" applyFill="1" applyBorder="1" applyAlignment="1">
      <alignment horizontal="center"/>
    </xf>
    <xf numFmtId="0" fontId="93" fillId="0" borderId="72" xfId="0" applyFont="1" applyFill="1" applyBorder="1" applyAlignment="1">
      <alignment horizontal="center"/>
    </xf>
    <xf numFmtId="4" fontId="101" fillId="0" borderId="73" xfId="0" applyNumberFormat="1" applyFont="1" applyFill="1" applyBorder="1" applyAlignment="1">
      <alignment horizontal="right" vertical="center" wrapText="1"/>
    </xf>
    <xf numFmtId="4" fontId="101" fillId="0" borderId="65" xfId="0" applyNumberFormat="1" applyFont="1" applyFill="1" applyBorder="1" applyAlignment="1">
      <alignment horizontal="right" vertical="center" wrapText="1"/>
    </xf>
    <xf numFmtId="164" fontId="95" fillId="0" borderId="65" xfId="0" applyNumberFormat="1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left" vertical="center" wrapText="1"/>
    </xf>
    <xf numFmtId="0" fontId="84" fillId="0" borderId="61" xfId="0" applyFont="1" applyFill="1" applyBorder="1" applyAlignment="1">
      <alignment horizontal="left" vertical="top" wrapText="1" indent="1"/>
    </xf>
    <xf numFmtId="0" fontId="84" fillId="0" borderId="61" xfId="0" applyFont="1" applyFill="1" applyBorder="1" applyAlignment="1">
      <alignment horizontal="left" vertical="top" wrapText="1" indent="2"/>
    </xf>
    <xf numFmtId="0" fontId="17" fillId="0" borderId="69" xfId="0" applyFont="1" applyFill="1" applyBorder="1" applyAlignment="1">
      <alignment horizontal="center"/>
    </xf>
    <xf numFmtId="0" fontId="103" fillId="0" borderId="87" xfId="0" applyFont="1" applyFill="1" applyBorder="1" applyAlignment="1">
      <alignment vertical="center" wrapText="1"/>
    </xf>
    <xf numFmtId="4" fontId="85" fillId="0" borderId="61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Alignment="1">
      <alignment horizontal="right" vertical="center"/>
    </xf>
    <xf numFmtId="164" fontId="27" fillId="0" borderId="62" xfId="0" applyNumberFormat="1" applyFont="1" applyFill="1" applyBorder="1" applyAlignment="1">
      <alignment horizontal="right" vertical="center"/>
    </xf>
    <xf numFmtId="164" fontId="27" fillId="0" borderId="69" xfId="0" applyNumberFormat="1" applyFont="1" applyFill="1" applyBorder="1" applyAlignment="1">
      <alignment horizontal="right" vertical="center"/>
    </xf>
    <xf numFmtId="4" fontId="85" fillId="0" borderId="0" xfId="0" applyNumberFormat="1" applyFont="1" applyFill="1" applyAlignment="1">
      <alignment horizontal="center" vertical="center"/>
    </xf>
    <xf numFmtId="4" fontId="27" fillId="0" borderId="47" xfId="0" applyNumberFormat="1" applyFont="1" applyFill="1" applyBorder="1" applyAlignment="1">
      <alignment horizontal="right" vertical="center"/>
    </xf>
    <xf numFmtId="4" fontId="27" fillId="0" borderId="66" xfId="0" applyNumberFormat="1" applyFont="1" applyFill="1" applyBorder="1" applyAlignment="1">
      <alignment vertical="center" wrapText="1"/>
    </xf>
    <xf numFmtId="164" fontId="89" fillId="0" borderId="47" xfId="0" applyNumberFormat="1" applyFont="1" applyFill="1" applyBorder="1" applyAlignment="1">
      <alignment horizontal="right" vertical="center"/>
    </xf>
    <xf numFmtId="4" fontId="27" fillId="0" borderId="66" xfId="0" applyNumberFormat="1" applyFont="1" applyFill="1" applyBorder="1" applyAlignment="1">
      <alignment horizontal="right" vertical="center" wrapText="1"/>
    </xf>
    <xf numFmtId="4" fontId="85" fillId="0" borderId="67" xfId="0" applyNumberFormat="1" applyFont="1" applyFill="1" applyBorder="1" applyAlignment="1">
      <alignment horizontal="right" vertical="center" wrapText="1"/>
    </xf>
    <xf numFmtId="4" fontId="27" fillId="0" borderId="69" xfId="0" applyNumberFormat="1" applyFont="1" applyFill="1" applyBorder="1" applyAlignment="1">
      <alignment horizontal="right" vertical="center" wrapText="1"/>
    </xf>
    <xf numFmtId="164" fontId="84" fillId="0" borderId="0" xfId="0" applyNumberFormat="1" applyFont="1" applyFill="1"/>
    <xf numFmtId="3" fontId="85" fillId="0" borderId="0" xfId="0" applyNumberFormat="1" applyFont="1" applyFill="1" applyAlignment="1">
      <alignment horizontal="right" vertical="center"/>
    </xf>
    <xf numFmtId="0" fontId="22" fillId="0" borderId="74" xfId="108" applyFont="1" applyFill="1" applyBorder="1" applyAlignment="1">
      <alignment horizontal="left" vertical="center"/>
    </xf>
    <xf numFmtId="0" fontId="22" fillId="0" borderId="61" xfId="0" applyFont="1" applyFill="1" applyBorder="1" applyAlignment="1">
      <alignment horizontal="right" vertical="center"/>
    </xf>
    <xf numFmtId="4" fontId="84" fillId="0" borderId="62" xfId="0" applyNumberFormat="1" applyFont="1" applyFill="1" applyBorder="1" applyAlignment="1">
      <alignment vertical="center" wrapText="1"/>
    </xf>
    <xf numFmtId="4" fontId="89" fillId="0" borderId="62" xfId="0" applyNumberFormat="1" applyFont="1" applyFill="1" applyBorder="1" applyAlignment="1">
      <alignment horizontal="center" vertical="center"/>
    </xf>
    <xf numFmtId="4" fontId="84" fillId="0" borderId="61" xfId="580" applyNumberFormat="1" applyFont="1" applyFill="1" applyBorder="1" applyAlignment="1">
      <alignment horizontal="right" vertical="center" wrapText="1"/>
    </xf>
    <xf numFmtId="4" fontId="84" fillId="0" borderId="61" xfId="580" applyNumberFormat="1" applyFont="1" applyFill="1" applyBorder="1" applyAlignment="1">
      <alignment vertical="center" wrapText="1"/>
    </xf>
    <xf numFmtId="0" fontId="86" fillId="0" borderId="61" xfId="0" applyFont="1" applyFill="1" applyBorder="1" applyAlignment="1">
      <alignment horizontal="center" vertical="center" wrapText="1"/>
    </xf>
    <xf numFmtId="0" fontId="86" fillId="0" borderId="61" xfId="0" applyFont="1" applyFill="1" applyBorder="1" applyAlignment="1">
      <alignment horizontal="center" vertical="center"/>
    </xf>
    <xf numFmtId="0" fontId="87" fillId="0" borderId="61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left" vertical="top" wrapText="1" indent="3"/>
    </xf>
    <xf numFmtId="0" fontId="84" fillId="0" borderId="0" xfId="0" applyFont="1" applyFill="1" applyAlignment="1">
      <alignment vertical="center"/>
    </xf>
    <xf numFmtId="0" fontId="27" fillId="0" borderId="0" xfId="0" applyFont="1" applyFill="1" applyAlignment="1">
      <alignment vertical="center" wrapText="1"/>
    </xf>
    <xf numFmtId="4" fontId="27" fillId="0" borderId="61" xfId="0" applyNumberFormat="1" applyFont="1" applyFill="1" applyBorder="1" applyAlignment="1">
      <alignment horizontal="center" vertical="center"/>
    </xf>
    <xf numFmtId="0" fontId="87" fillId="0" borderId="0" xfId="0" applyFont="1" applyFill="1"/>
    <xf numFmtId="0" fontId="86" fillId="0" borderId="0" xfId="0" applyFont="1" applyFill="1" applyAlignment="1">
      <alignment horizontal="center" vertical="center" wrapText="1"/>
    </xf>
    <xf numFmtId="0" fontId="87" fillId="0" borderId="61" xfId="0" applyFont="1" applyFill="1" applyBorder="1" applyAlignment="1">
      <alignment horizontal="center" vertical="center" wrapText="1"/>
    </xf>
    <xf numFmtId="0" fontId="87" fillId="0" borderId="61" xfId="0" applyFont="1" applyFill="1" applyBorder="1" applyAlignment="1">
      <alignment vertical="center"/>
    </xf>
    <xf numFmtId="4" fontId="85" fillId="0" borderId="66" xfId="0" applyNumberFormat="1" applyFont="1" applyFill="1" applyBorder="1" applyAlignment="1">
      <alignment horizontal="right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87" fillId="0" borderId="62" xfId="0" applyFont="1" applyFill="1" applyBorder="1" applyAlignment="1">
      <alignment horizontal="center" vertical="center"/>
    </xf>
    <xf numFmtId="0" fontId="87" fillId="0" borderId="62" xfId="0" applyFont="1" applyFill="1" applyBorder="1" applyAlignment="1">
      <alignment horizontal="center"/>
    </xf>
    <xf numFmtId="0" fontId="87" fillId="0" borderId="61" xfId="0" applyFont="1" applyFill="1" applyBorder="1" applyAlignment="1">
      <alignment horizontal="center"/>
    </xf>
    <xf numFmtId="0" fontId="22" fillId="0" borderId="61" xfId="0" applyFont="1" applyFill="1" applyBorder="1" applyAlignment="1">
      <alignment vertical="center" wrapText="1"/>
    </xf>
    <xf numFmtId="4" fontId="84" fillId="0" borderId="62" xfId="0" applyNumberFormat="1" applyFont="1" applyFill="1" applyBorder="1" applyAlignment="1">
      <alignment horizontal="center" vertical="center"/>
    </xf>
    <xf numFmtId="0" fontId="92" fillId="0" borderId="61" xfId="108" applyFont="1" applyFill="1" applyBorder="1" applyAlignment="1">
      <alignment vertical="center" wrapText="1"/>
    </xf>
    <xf numFmtId="0" fontId="105" fillId="0" borderId="0" xfId="580" applyFont="1" applyFill="1" applyAlignment="1">
      <alignment horizontal="center" vertical="center" wrapText="1"/>
    </xf>
    <xf numFmtId="0" fontId="19" fillId="0" borderId="0" xfId="36" applyFont="1" applyFill="1" applyBorder="1" applyAlignment="1">
      <alignment horizontal="center" vertical="center"/>
    </xf>
    <xf numFmtId="4" fontId="19" fillId="0" borderId="0" xfId="581" applyNumberFormat="1" applyFont="1"/>
    <xf numFmtId="4" fontId="78" fillId="0" borderId="24" xfId="107" applyNumberFormat="1" applyFont="1" applyFill="1" applyBorder="1" applyAlignment="1">
      <alignment horizontal="right" vertical="center"/>
    </xf>
    <xf numFmtId="4" fontId="78" fillId="0" borderId="32" xfId="107" applyNumberFormat="1" applyFont="1" applyFill="1" applyBorder="1" applyAlignment="1">
      <alignment horizontal="right" vertical="center"/>
    </xf>
    <xf numFmtId="4" fontId="18" fillId="0" borderId="26" xfId="36" applyNumberFormat="1" applyFont="1" applyFill="1" applyBorder="1" applyAlignment="1">
      <alignment vertical="center"/>
    </xf>
    <xf numFmtId="0" fontId="19" fillId="0" borderId="0" xfId="599" applyFont="1"/>
    <xf numFmtId="0" fontId="19" fillId="0" borderId="0" xfId="599" applyFont="1" applyAlignment="1">
      <alignment vertical="center"/>
    </xf>
    <xf numFmtId="0" fontId="19" fillId="51" borderId="29" xfId="599" applyFont="1" applyFill="1" applyBorder="1" applyAlignment="1">
      <alignment horizontal="center" vertical="center"/>
    </xf>
    <xf numFmtId="0" fontId="19" fillId="50" borderId="0" xfId="599" applyFont="1" applyFill="1" applyAlignment="1">
      <alignment vertical="center"/>
    </xf>
    <xf numFmtId="0" fontId="19" fillId="50" borderId="0" xfId="599" applyFont="1" applyFill="1"/>
    <xf numFmtId="4" fontId="19" fillId="50" borderId="0" xfId="599" applyNumberFormat="1" applyFont="1" applyFill="1" applyAlignment="1">
      <alignment vertical="center"/>
    </xf>
    <xf numFmtId="4" fontId="19" fillId="0" borderId="0" xfId="599" applyNumberFormat="1" applyFont="1" applyAlignment="1">
      <alignment vertical="center"/>
    </xf>
    <xf numFmtId="0" fontId="18" fillId="0" borderId="0" xfId="599" applyFont="1" applyAlignment="1">
      <alignment horizontal="center" vertical="top" wrapText="1"/>
    </xf>
    <xf numFmtId="0" fontId="19" fillId="0" borderId="0" xfId="599" applyFont="1" applyAlignment="1">
      <alignment horizontal="left" vertical="top" wrapText="1"/>
    </xf>
    <xf numFmtId="4" fontId="18" fillId="0" borderId="0" xfId="599" applyNumberFormat="1" applyFont="1" applyAlignment="1">
      <alignment horizontal="right" vertical="top"/>
    </xf>
    <xf numFmtId="0" fontId="19" fillId="0" borderId="0" xfId="599" applyFont="1" applyAlignment="1">
      <alignment vertical="top"/>
    </xf>
    <xf numFmtId="4" fontId="19" fillId="0" borderId="0" xfId="599" applyNumberFormat="1" applyFont="1"/>
    <xf numFmtId="0" fontId="58" fillId="0" borderId="22" xfId="599" applyFont="1" applyFill="1" applyBorder="1" applyAlignment="1">
      <alignment horizontal="center" vertical="center"/>
    </xf>
    <xf numFmtId="0" fontId="60" fillId="0" borderId="23" xfId="599" applyFont="1" applyFill="1" applyBorder="1" applyAlignment="1">
      <alignment vertical="center" wrapText="1"/>
    </xf>
    <xf numFmtId="4" fontId="60" fillId="0" borderId="43" xfId="599" applyNumberFormat="1" applyFont="1" applyFill="1" applyBorder="1" applyAlignment="1">
      <alignment horizontal="right" vertical="center"/>
    </xf>
    <xf numFmtId="4" fontId="60" fillId="0" borderId="14" xfId="599" applyNumberFormat="1" applyFont="1" applyFill="1" applyBorder="1" applyAlignment="1">
      <alignment horizontal="right" vertical="center"/>
    </xf>
    <xf numFmtId="4" fontId="60" fillId="0" borderId="46" xfId="599" applyNumberFormat="1" applyFont="1" applyFill="1" applyBorder="1" applyAlignment="1">
      <alignment horizontal="right" vertical="center"/>
    </xf>
    <xf numFmtId="172" fontId="60" fillId="0" borderId="23" xfId="750" applyNumberFormat="1" applyFont="1" applyFill="1" applyBorder="1" applyAlignment="1">
      <alignment horizontal="right" vertical="center"/>
    </xf>
    <xf numFmtId="0" fontId="58" fillId="0" borderId="32" xfId="599" applyFont="1" applyFill="1" applyBorder="1" applyAlignment="1">
      <alignment horizontal="center" vertical="center"/>
    </xf>
    <xf numFmtId="0" fontId="60" fillId="0" borderId="21" xfId="599" applyFont="1" applyFill="1" applyBorder="1" applyAlignment="1">
      <alignment vertical="center" wrapText="1"/>
    </xf>
    <xf numFmtId="4" fontId="60" fillId="0" borderId="32" xfId="599" quotePrefix="1" applyNumberFormat="1" applyFont="1" applyFill="1" applyBorder="1" applyAlignment="1">
      <alignment horizontal="center" vertical="center"/>
    </xf>
    <xf numFmtId="4" fontId="60" fillId="0" borderId="20" xfId="599" applyNumberFormat="1" applyFont="1" applyFill="1" applyBorder="1" applyAlignment="1">
      <alignment horizontal="right" vertical="center"/>
    </xf>
    <xf numFmtId="4" fontId="60" fillId="0" borderId="26" xfId="599" applyNumberFormat="1" applyFont="1" applyFill="1" applyBorder="1" applyAlignment="1">
      <alignment horizontal="right" vertical="center"/>
    </xf>
    <xf numFmtId="4" fontId="60" fillId="0" borderId="22" xfId="599" applyNumberFormat="1" applyFont="1" applyFill="1" applyBorder="1" applyAlignment="1">
      <alignment horizontal="right" vertical="center"/>
    </xf>
    <xf numFmtId="4" fontId="60" fillId="0" borderId="45" xfId="599" applyNumberFormat="1" applyFont="1" applyFill="1" applyBorder="1" applyAlignment="1">
      <alignment horizontal="right" vertical="center"/>
    </xf>
    <xf numFmtId="4" fontId="60" fillId="0" borderId="20" xfId="599" quotePrefix="1" applyNumberFormat="1" applyFont="1" applyFill="1" applyBorder="1" applyAlignment="1">
      <alignment horizontal="center" vertical="center"/>
    </xf>
    <xf numFmtId="4" fontId="60" fillId="0" borderId="24" xfId="599" quotePrefix="1" applyNumberFormat="1" applyFont="1" applyFill="1" applyBorder="1" applyAlignment="1">
      <alignment horizontal="center" vertical="center"/>
    </xf>
    <xf numFmtId="4" fontId="60" fillId="0" borderId="32" xfId="599" applyNumberFormat="1" applyFont="1" applyFill="1" applyBorder="1" applyAlignment="1">
      <alignment horizontal="right" vertical="center"/>
    </xf>
    <xf numFmtId="0" fontId="106" fillId="0" borderId="32" xfId="599" applyFont="1" applyFill="1" applyBorder="1" applyAlignment="1">
      <alignment horizontal="center" vertical="center"/>
    </xf>
    <xf numFmtId="0" fontId="106" fillId="0" borderId="21" xfId="599" quotePrefix="1" applyFont="1" applyFill="1" applyBorder="1" applyAlignment="1">
      <alignment vertical="center" wrapText="1"/>
    </xf>
    <xf numFmtId="4" fontId="19" fillId="0" borderId="32" xfId="599" quotePrefix="1" applyNumberFormat="1" applyFont="1" applyFill="1" applyBorder="1" applyAlignment="1">
      <alignment horizontal="center" vertical="center"/>
    </xf>
    <xf numFmtId="4" fontId="106" fillId="0" borderId="20" xfId="599" applyNumberFormat="1" applyFont="1" applyFill="1" applyBorder="1" applyAlignment="1">
      <alignment horizontal="right" vertical="center"/>
    </xf>
    <xf numFmtId="4" fontId="19" fillId="0" borderId="20" xfId="599" quotePrefix="1" applyNumberFormat="1" applyFont="1" applyFill="1" applyBorder="1" applyAlignment="1">
      <alignment horizontal="right" vertical="center"/>
    </xf>
    <xf numFmtId="4" fontId="106" fillId="0" borderId="26" xfId="599" applyNumberFormat="1" applyFont="1" applyFill="1" applyBorder="1" applyAlignment="1">
      <alignment horizontal="right" vertical="center"/>
    </xf>
    <xf numFmtId="4" fontId="106" fillId="0" borderId="22" xfId="599" applyNumberFormat="1" applyFont="1" applyFill="1" applyBorder="1" applyAlignment="1">
      <alignment horizontal="right" vertical="center"/>
    </xf>
    <xf numFmtId="172" fontId="106" fillId="0" borderId="23" xfId="750" applyNumberFormat="1" applyFont="1" applyFill="1" applyBorder="1" applyAlignment="1">
      <alignment horizontal="right" vertical="center"/>
    </xf>
    <xf numFmtId="4" fontId="106" fillId="0" borderId="32" xfId="599" applyNumberFormat="1" applyFont="1" applyFill="1" applyBorder="1" applyAlignment="1">
      <alignment horizontal="right" vertical="center"/>
    </xf>
    <xf numFmtId="4" fontId="19" fillId="0" borderId="20" xfId="599" quotePrefix="1" applyNumberFormat="1" applyFont="1" applyFill="1" applyBorder="1" applyAlignment="1">
      <alignment horizontal="center" vertical="center"/>
    </xf>
    <xf numFmtId="4" fontId="19" fillId="0" borderId="24" xfId="599" quotePrefix="1" applyNumberFormat="1" applyFont="1" applyFill="1" applyBorder="1" applyAlignment="1">
      <alignment horizontal="center" vertical="center"/>
    </xf>
    <xf numFmtId="172" fontId="107" fillId="0" borderId="23" xfId="750" applyNumberFormat="1" applyFont="1" applyFill="1" applyBorder="1" applyAlignment="1">
      <alignment horizontal="right" vertical="center"/>
    </xf>
    <xf numFmtId="4" fontId="60" fillId="0" borderId="21" xfId="599" applyNumberFormat="1" applyFont="1" applyFill="1" applyBorder="1" applyAlignment="1">
      <alignment horizontal="right" vertical="center"/>
    </xf>
    <xf numFmtId="4" fontId="60" fillId="0" borderId="83" xfId="599" applyNumberFormat="1" applyFont="1" applyFill="1" applyBorder="1" applyAlignment="1">
      <alignment horizontal="right" vertical="center"/>
    </xf>
    <xf numFmtId="172" fontId="60" fillId="0" borderId="17" xfId="750" applyNumberFormat="1" applyFont="1" applyFill="1" applyBorder="1" applyAlignment="1">
      <alignment horizontal="right" vertical="center"/>
    </xf>
    <xf numFmtId="4" fontId="18" fillId="0" borderId="77" xfId="599" applyNumberFormat="1" applyFont="1" applyFill="1" applyBorder="1" applyAlignment="1">
      <alignment horizontal="right" vertical="center"/>
    </xf>
    <xf numFmtId="4" fontId="18" fillId="0" borderId="76" xfId="599" applyNumberFormat="1" applyFont="1" applyFill="1" applyBorder="1" applyAlignment="1">
      <alignment horizontal="right" vertical="center"/>
    </xf>
    <xf numFmtId="4" fontId="18" fillId="0" borderId="78" xfId="599" applyNumberFormat="1" applyFont="1" applyFill="1" applyBorder="1" applyAlignment="1">
      <alignment horizontal="right" vertical="center"/>
    </xf>
    <xf numFmtId="0" fontId="60" fillId="0" borderId="0" xfId="580" applyFont="1" applyFill="1" applyAlignment="1">
      <alignment horizontal="left" vertical="center" wrapText="1"/>
    </xf>
    <xf numFmtId="0" fontId="25" fillId="0" borderId="20" xfId="183" applyFont="1" applyBorder="1" applyAlignment="1">
      <alignment horizontal="center" vertical="center" wrapText="1"/>
    </xf>
    <xf numFmtId="0" fontId="19" fillId="0" borderId="0" xfId="36" applyFont="1" applyAlignment="1">
      <alignment horizontal="left"/>
    </xf>
    <xf numFmtId="0" fontId="18" fillId="0" borderId="15" xfId="36" applyFont="1" applyBorder="1" applyAlignment="1">
      <alignment horizontal="center" vertical="center"/>
    </xf>
    <xf numFmtId="164" fontId="19" fillId="0" borderId="20" xfId="589" applyNumberFormat="1" applyFont="1" applyBorder="1" applyAlignment="1">
      <alignment horizontal="right" vertical="center"/>
    </xf>
    <xf numFmtId="4" fontId="18" fillId="0" borderId="0" xfId="599" applyNumberFormat="1" applyFont="1" applyBorder="1" applyAlignment="1">
      <alignment horizontal="right" vertical="top"/>
    </xf>
    <xf numFmtId="172" fontId="19" fillId="0" borderId="0" xfId="750" applyNumberFormat="1" applyFont="1" applyBorder="1" applyAlignment="1">
      <alignment horizontal="right" vertical="top"/>
    </xf>
    <xf numFmtId="4" fontId="19" fillId="0" borderId="0" xfId="599" applyNumberFormat="1" applyFont="1" applyBorder="1"/>
    <xf numFmtId="172" fontId="19" fillId="0" borderId="0" xfId="750" applyNumberFormat="1" applyFont="1" applyBorder="1" applyAlignment="1">
      <alignment horizontal="right" vertical="center"/>
    </xf>
    <xf numFmtId="4" fontId="18" fillId="0" borderId="61" xfId="599" applyNumberFormat="1" applyFont="1" applyFill="1" applyBorder="1" applyAlignment="1">
      <alignment horizontal="right" vertical="center"/>
    </xf>
    <xf numFmtId="172" fontId="19" fillId="0" borderId="61" xfId="750" applyNumberFormat="1" applyFont="1" applyFill="1" applyBorder="1" applyAlignment="1">
      <alignment horizontal="right" vertical="center"/>
    </xf>
    <xf numFmtId="164" fontId="19" fillId="0" borderId="20" xfId="34" applyNumberFormat="1" applyFont="1" applyBorder="1" applyAlignment="1">
      <alignment horizontal="right" vertical="center"/>
    </xf>
    <xf numFmtId="164" fontId="19" fillId="0" borderId="21" xfId="34" applyNumberFormat="1" applyFont="1" applyBorder="1" applyAlignment="1">
      <alignment horizontal="right" vertical="center"/>
    </xf>
    <xf numFmtId="167" fontId="19" fillId="0" borderId="20" xfId="34" applyNumberFormat="1" applyFont="1" applyBorder="1" applyAlignment="1">
      <alignment horizontal="right" vertical="center"/>
    </xf>
    <xf numFmtId="167" fontId="19" fillId="0" borderId="20" xfId="36" applyNumberFormat="1" applyFont="1" applyBorder="1" applyAlignment="1">
      <alignment horizontal="right" vertical="center"/>
    </xf>
    <xf numFmtId="164" fontId="19" fillId="0" borderId="20" xfId="36" applyNumberFormat="1" applyFont="1" applyBorder="1" applyAlignment="1">
      <alignment horizontal="right" vertical="center"/>
    </xf>
    <xf numFmtId="164" fontId="19" fillId="0" borderId="21" xfId="36" applyNumberFormat="1" applyFont="1" applyBorder="1" applyAlignment="1">
      <alignment horizontal="right" vertical="center"/>
    </xf>
    <xf numFmtId="167" fontId="19" fillId="0" borderId="31" xfId="36" applyNumberFormat="1" applyFont="1" applyBorder="1" applyAlignment="1">
      <alignment horizontal="right" vertical="center"/>
    </xf>
    <xf numFmtId="164" fontId="19" fillId="0" borderId="31" xfId="36" applyNumberFormat="1" applyFont="1" applyBorder="1" applyAlignment="1">
      <alignment horizontal="right" vertical="center"/>
    </xf>
    <xf numFmtId="164" fontId="19" fillId="0" borderId="29" xfId="36" applyNumberFormat="1" applyFont="1" applyBorder="1" applyAlignment="1">
      <alignment horizontal="right" vertical="center"/>
    </xf>
    <xf numFmtId="164" fontId="19" fillId="0" borderId="21" xfId="589" applyNumberFormat="1" applyFont="1" applyBorder="1" applyAlignment="1">
      <alignment horizontal="right" vertical="center"/>
    </xf>
    <xf numFmtId="167" fontId="19" fillId="0" borderId="20" xfId="589" applyNumberFormat="1" applyFont="1" applyBorder="1" applyAlignment="1">
      <alignment horizontal="right" vertical="center"/>
    </xf>
    <xf numFmtId="167" fontId="19" fillId="0" borderId="31" xfId="589" applyNumberFormat="1" applyFont="1" applyBorder="1" applyAlignment="1">
      <alignment horizontal="right" vertical="center"/>
    </xf>
    <xf numFmtId="164" fontId="19" fillId="0" borderId="31" xfId="589" applyNumberFormat="1" applyFont="1" applyBorder="1" applyAlignment="1">
      <alignment horizontal="right" vertical="center"/>
    </xf>
    <xf numFmtId="164" fontId="19" fillId="0" borderId="29" xfId="589" applyNumberFormat="1" applyFont="1" applyBorder="1" applyAlignment="1">
      <alignment horizontal="right" vertical="center"/>
    </xf>
    <xf numFmtId="167" fontId="18" fillId="0" borderId="19" xfId="589" applyNumberFormat="1" applyFont="1" applyBorder="1" applyAlignment="1">
      <alignment horizontal="right" vertical="center"/>
    </xf>
    <xf numFmtId="164" fontId="18" fillId="0" borderId="23" xfId="589" applyNumberFormat="1" applyFont="1" applyBorder="1" applyAlignment="1">
      <alignment horizontal="right" vertical="center"/>
    </xf>
    <xf numFmtId="0" fontId="71" fillId="0" borderId="61" xfId="580" applyFont="1" applyFill="1" applyBorder="1" applyAlignment="1">
      <alignment horizontal="center" vertical="center" wrapText="1"/>
    </xf>
    <xf numFmtId="0" fontId="93" fillId="0" borderId="61" xfId="58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7" fillId="0" borderId="61" xfId="580" applyFill="1" applyBorder="1" applyAlignment="1">
      <alignment horizontal="center" vertical="center" wrapText="1"/>
    </xf>
    <xf numFmtId="0" fontId="64" fillId="0" borderId="61" xfId="0" applyFont="1" applyFill="1" applyBorder="1" applyAlignment="1">
      <alignment horizontal="center" vertical="center"/>
    </xf>
    <xf numFmtId="0" fontId="62" fillId="0" borderId="62" xfId="0" applyFont="1" applyFill="1" applyBorder="1" applyAlignment="1">
      <alignment horizontal="center" vertical="center"/>
    </xf>
    <xf numFmtId="0" fontId="62" fillId="0" borderId="63" xfId="0" applyFont="1" applyFill="1" applyBorder="1" applyAlignment="1">
      <alignment horizontal="center" vertical="center"/>
    </xf>
    <xf numFmtId="0" fontId="62" fillId="0" borderId="64" xfId="0" applyFont="1" applyFill="1" applyBorder="1" applyAlignment="1">
      <alignment horizontal="center" vertical="center"/>
    </xf>
    <xf numFmtId="0" fontId="62" fillId="0" borderId="61" xfId="0" applyFont="1" applyFill="1" applyBorder="1" applyAlignment="1">
      <alignment horizontal="center" vertical="center"/>
    </xf>
    <xf numFmtId="0" fontId="63" fillId="0" borderId="47" xfId="0" applyFont="1" applyFill="1" applyBorder="1" applyAlignment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63" fillId="0" borderId="65" xfId="0" applyFont="1" applyFill="1" applyBorder="1" applyAlignment="1">
      <alignment horizontal="center" vertical="center" wrapText="1"/>
    </xf>
    <xf numFmtId="0" fontId="62" fillId="0" borderId="47" xfId="0" applyFont="1" applyFill="1" applyBorder="1" applyAlignment="1">
      <alignment horizontal="center" vertical="center" wrapText="1"/>
    </xf>
    <xf numFmtId="0" fontId="62" fillId="0" borderId="48" xfId="0" applyFont="1" applyFill="1" applyBorder="1" applyAlignment="1">
      <alignment horizontal="center" vertical="center" wrapText="1"/>
    </xf>
    <xf numFmtId="0" fontId="62" fillId="0" borderId="65" xfId="0" applyFont="1" applyFill="1" applyBorder="1" applyAlignment="1">
      <alignment horizontal="center" vertical="center" wrapText="1"/>
    </xf>
    <xf numFmtId="0" fontId="63" fillId="0" borderId="62" xfId="0" applyFont="1" applyFill="1" applyBorder="1" applyAlignment="1">
      <alignment horizontal="center" vertical="center" wrapText="1"/>
    </xf>
    <xf numFmtId="0" fontId="63" fillId="0" borderId="61" xfId="0" applyFont="1" applyFill="1" applyBorder="1" applyAlignment="1">
      <alignment horizontal="center" vertical="center"/>
    </xf>
    <xf numFmtId="0" fontId="63" fillId="0" borderId="64" xfId="0" applyFont="1" applyFill="1" applyBorder="1" applyAlignment="1">
      <alignment horizontal="center" vertical="center"/>
    </xf>
    <xf numFmtId="0" fontId="63" fillId="0" borderId="62" xfId="0" applyFont="1" applyFill="1" applyBorder="1" applyAlignment="1">
      <alignment horizontal="center" vertical="top" wrapText="1"/>
    </xf>
    <xf numFmtId="0" fontId="69" fillId="0" borderId="64" xfId="0" applyFont="1" applyFill="1" applyBorder="1" applyAlignment="1">
      <alignment horizontal="center" vertical="top" wrapText="1"/>
    </xf>
    <xf numFmtId="0" fontId="64" fillId="0" borderId="61" xfId="0" applyFont="1" applyFill="1" applyBorder="1" applyAlignment="1">
      <alignment horizontal="left" vertical="center" wrapText="1"/>
    </xf>
    <xf numFmtId="0" fontId="65" fillId="0" borderId="61" xfId="0" applyFont="1" applyFill="1" applyBorder="1" applyAlignment="1">
      <alignment horizontal="center" vertical="center" wrapText="1"/>
    </xf>
    <xf numFmtId="0" fontId="63" fillId="0" borderId="61" xfId="0" applyFont="1" applyFill="1" applyBorder="1" applyAlignment="1">
      <alignment horizontal="center" vertical="center" wrapText="1"/>
    </xf>
    <xf numFmtId="0" fontId="63" fillId="0" borderId="64" xfId="0" applyFont="1" applyFill="1" applyBorder="1" applyAlignment="1">
      <alignment horizontal="center" vertical="center" wrapText="1"/>
    </xf>
    <xf numFmtId="0" fontId="60" fillId="0" borderId="0" xfId="580" applyFont="1" applyFill="1" applyAlignment="1">
      <alignment horizontal="left" vertical="center" wrapText="1"/>
    </xf>
    <xf numFmtId="0" fontId="63" fillId="0" borderId="66" xfId="0" applyFont="1" applyFill="1" applyBorder="1" applyAlignment="1">
      <alignment horizontal="center" vertical="center"/>
    </xf>
    <xf numFmtId="0" fontId="63" fillId="0" borderId="67" xfId="0" applyFont="1" applyFill="1" applyBorder="1" applyAlignment="1">
      <alignment horizontal="center" vertical="center"/>
    </xf>
    <xf numFmtId="0" fontId="63" fillId="0" borderId="68" xfId="0" applyFont="1" applyFill="1" applyBorder="1" applyAlignment="1">
      <alignment horizontal="center" vertical="center"/>
    </xf>
    <xf numFmtId="0" fontId="63" fillId="0" borderId="69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70" xfId="0" applyFont="1" applyFill="1" applyBorder="1" applyAlignment="1">
      <alignment horizontal="center" vertical="center"/>
    </xf>
    <xf numFmtId="0" fontId="63" fillId="0" borderId="71" xfId="0" applyFont="1" applyFill="1" applyBorder="1" applyAlignment="1">
      <alignment horizontal="center" vertical="center"/>
    </xf>
    <xf numFmtId="0" fontId="63" fillId="0" borderId="72" xfId="0" applyFont="1" applyFill="1" applyBorder="1" applyAlignment="1">
      <alignment horizontal="center" vertical="center"/>
    </xf>
    <xf numFmtId="0" fontId="63" fillId="0" borderId="73" xfId="0" applyFont="1" applyFill="1" applyBorder="1" applyAlignment="1">
      <alignment horizontal="center" vertical="center"/>
    </xf>
    <xf numFmtId="0" fontId="58" fillId="0" borderId="0" xfId="580" applyFont="1" applyFill="1" applyAlignment="1">
      <alignment horizontal="left" vertical="center" wrapText="1"/>
    </xf>
    <xf numFmtId="0" fontId="70" fillId="0" borderId="0" xfId="580" applyFont="1" applyFill="1" applyAlignment="1">
      <alignment horizontal="center" vertical="center" wrapText="1"/>
    </xf>
    <xf numFmtId="0" fontId="65" fillId="0" borderId="47" xfId="580" applyFont="1" applyFill="1" applyBorder="1" applyAlignment="1">
      <alignment horizontal="center" vertical="center" wrapText="1"/>
    </xf>
    <xf numFmtId="0" fontId="65" fillId="0" borderId="48" xfId="580" applyFont="1" applyFill="1" applyBorder="1" applyAlignment="1">
      <alignment horizontal="center" vertical="center" wrapText="1"/>
    </xf>
    <xf numFmtId="0" fontId="65" fillId="0" borderId="65" xfId="580" applyFont="1" applyFill="1" applyBorder="1" applyAlignment="1">
      <alignment horizontal="center" vertical="center" wrapText="1"/>
    </xf>
    <xf numFmtId="0" fontId="63" fillId="0" borderId="47" xfId="580" applyFont="1" applyFill="1" applyBorder="1" applyAlignment="1">
      <alignment horizontal="center" vertical="center" wrapText="1"/>
    </xf>
    <xf numFmtId="0" fontId="63" fillId="0" borderId="48" xfId="580" applyFont="1" applyFill="1" applyBorder="1" applyAlignment="1">
      <alignment horizontal="center" vertical="center" wrapText="1"/>
    </xf>
    <xf numFmtId="0" fontId="63" fillId="0" borderId="65" xfId="580" applyFont="1" applyFill="1" applyBorder="1" applyAlignment="1">
      <alignment horizontal="center" vertical="center" wrapText="1"/>
    </xf>
    <xf numFmtId="0" fontId="63" fillId="0" borderId="62" xfId="580" applyFont="1" applyFill="1" applyBorder="1" applyAlignment="1">
      <alignment horizontal="center" vertical="center" wrapText="1"/>
    </xf>
    <xf numFmtId="0" fontId="63" fillId="0" borderId="63" xfId="580" applyFont="1" applyFill="1" applyBorder="1" applyAlignment="1">
      <alignment horizontal="center" vertical="center" wrapText="1"/>
    </xf>
    <xf numFmtId="0" fontId="63" fillId="0" borderId="64" xfId="580" applyFont="1" applyFill="1" applyBorder="1" applyAlignment="1">
      <alignment horizontal="center" vertical="center" wrapText="1"/>
    </xf>
    <xf numFmtId="0" fontId="63" fillId="0" borderId="61" xfId="580" applyFont="1" applyFill="1" applyBorder="1" applyAlignment="1">
      <alignment horizontal="center" vertical="center" wrapText="1"/>
    </xf>
    <xf numFmtId="0" fontId="63" fillId="0" borderId="69" xfId="580" applyFont="1" applyFill="1" applyBorder="1" applyAlignment="1">
      <alignment horizontal="center" vertical="center" wrapText="1"/>
    </xf>
    <xf numFmtId="0" fontId="63" fillId="0" borderId="71" xfId="580" applyFont="1" applyFill="1" applyBorder="1" applyAlignment="1">
      <alignment horizontal="center" vertical="center" wrapText="1"/>
    </xf>
    <xf numFmtId="0" fontId="82" fillId="0" borderId="0" xfId="580" applyFont="1" applyFill="1" applyAlignment="1">
      <alignment horizontal="left" vertical="center" wrapText="1"/>
    </xf>
    <xf numFmtId="0" fontId="65" fillId="0" borderId="62" xfId="580" applyFont="1" applyFill="1" applyBorder="1" applyAlignment="1">
      <alignment horizontal="center" vertical="center" wrapText="1"/>
    </xf>
    <xf numFmtId="0" fontId="65" fillId="0" borderId="63" xfId="580" applyFont="1" applyFill="1" applyBorder="1" applyAlignment="1">
      <alignment horizontal="center" vertical="center" wrapText="1"/>
    </xf>
    <xf numFmtId="0" fontId="65" fillId="0" borderId="64" xfId="580" applyFont="1" applyFill="1" applyBorder="1" applyAlignment="1">
      <alignment horizontal="center" vertical="center" wrapText="1"/>
    </xf>
    <xf numFmtId="0" fontId="81" fillId="0" borderId="0" xfId="580" applyFont="1" applyFill="1" applyAlignment="1">
      <alignment horizontal="left" vertical="center" wrapText="1"/>
    </xf>
    <xf numFmtId="0" fontId="65" fillId="0" borderId="66" xfId="580" applyFont="1" applyFill="1" applyBorder="1" applyAlignment="1">
      <alignment horizontal="center" vertical="center" wrapText="1"/>
    </xf>
    <xf numFmtId="0" fontId="65" fillId="0" borderId="67" xfId="580" applyFont="1" applyFill="1" applyBorder="1" applyAlignment="1">
      <alignment horizontal="center" vertical="center" wrapText="1"/>
    </xf>
    <xf numFmtId="0" fontId="65" fillId="0" borderId="68" xfId="580" applyFont="1" applyFill="1" applyBorder="1" applyAlignment="1">
      <alignment horizontal="center" vertical="center" wrapText="1"/>
    </xf>
    <xf numFmtId="0" fontId="65" fillId="0" borderId="69" xfId="580" applyFont="1" applyFill="1" applyBorder="1" applyAlignment="1">
      <alignment horizontal="center" vertical="center" wrapText="1"/>
    </xf>
    <xf numFmtId="0" fontId="65" fillId="0" borderId="0" xfId="580" applyFont="1" applyFill="1" applyAlignment="1">
      <alignment horizontal="center" vertical="center" wrapText="1"/>
    </xf>
    <xf numFmtId="0" fontId="65" fillId="0" borderId="70" xfId="580" applyFont="1" applyFill="1" applyBorder="1" applyAlignment="1">
      <alignment horizontal="center" vertical="center" wrapText="1"/>
    </xf>
    <xf numFmtId="0" fontId="65" fillId="0" borderId="71" xfId="580" applyFont="1" applyFill="1" applyBorder="1" applyAlignment="1">
      <alignment horizontal="center" vertical="center" wrapText="1"/>
    </xf>
    <xf numFmtId="0" fontId="65" fillId="0" borderId="72" xfId="580" applyFont="1" applyFill="1" applyBorder="1" applyAlignment="1">
      <alignment horizontal="center" vertical="center" wrapText="1"/>
    </xf>
    <xf numFmtId="0" fontId="65" fillId="0" borderId="73" xfId="580" applyFont="1" applyFill="1" applyBorder="1" applyAlignment="1">
      <alignment horizontal="center" vertical="center" wrapText="1"/>
    </xf>
    <xf numFmtId="0" fontId="63" fillId="0" borderId="66" xfId="580" applyFont="1" applyFill="1" applyBorder="1" applyAlignment="1">
      <alignment horizontal="center" vertical="center" wrapText="1"/>
    </xf>
    <xf numFmtId="0" fontId="63" fillId="0" borderId="62" xfId="580" applyFont="1" applyFill="1" applyBorder="1" applyAlignment="1">
      <alignment horizontal="left" vertical="center" wrapText="1"/>
    </xf>
    <xf numFmtId="0" fontId="63" fillId="0" borderId="63" xfId="580" applyFont="1" applyFill="1" applyBorder="1" applyAlignment="1">
      <alignment horizontal="left" vertical="center" wrapText="1"/>
    </xf>
    <xf numFmtId="0" fontId="63" fillId="0" borderId="64" xfId="580" applyFont="1" applyFill="1" applyBorder="1" applyAlignment="1">
      <alignment horizontal="left" vertical="center" wrapText="1"/>
    </xf>
    <xf numFmtId="0" fontId="58" fillId="0" borderId="0" xfId="36" applyFont="1" applyFill="1" applyAlignment="1">
      <alignment horizontal="left" wrapText="1"/>
    </xf>
    <xf numFmtId="0" fontId="18" fillId="0" borderId="43" xfId="36" applyFont="1" applyBorder="1" applyAlignment="1">
      <alignment horizontal="center" vertical="center"/>
    </xf>
    <xf numFmtId="0" fontId="18" fillId="0" borderId="32" xfId="36" applyFont="1" applyBorder="1" applyAlignment="1">
      <alignment horizontal="center" vertical="center"/>
    </xf>
    <xf numFmtId="0" fontId="18" fillId="0" borderId="15" xfId="36" applyFont="1" applyBorder="1" applyAlignment="1">
      <alignment horizontal="center" vertical="center" wrapText="1"/>
    </xf>
    <xf numFmtId="0" fontId="18" fillId="0" borderId="21" xfId="36" applyFont="1" applyBorder="1" applyAlignment="1">
      <alignment horizontal="center" vertical="center" wrapText="1"/>
    </xf>
    <xf numFmtId="0" fontId="18" fillId="0" borderId="44" xfId="46" applyFont="1" applyBorder="1" applyAlignment="1">
      <alignment horizontal="center" vertical="center" wrapText="1"/>
    </xf>
    <xf numFmtId="0" fontId="18" fillId="0" borderId="25" xfId="46" applyFont="1" applyBorder="1" applyAlignment="1">
      <alignment horizontal="center" vertical="center" wrapText="1"/>
    </xf>
    <xf numFmtId="0" fontId="18" fillId="0" borderId="26" xfId="46" applyFont="1" applyBorder="1" applyAlignment="1">
      <alignment horizontal="center" vertical="center" wrapText="1"/>
    </xf>
    <xf numFmtId="0" fontId="18" fillId="0" borderId="24" xfId="46" applyFont="1" applyBorder="1" applyAlignment="1">
      <alignment horizontal="center" vertical="center" wrapText="1"/>
    </xf>
    <xf numFmtId="0" fontId="18" fillId="0" borderId="27" xfId="46" applyFont="1" applyBorder="1" applyAlignment="1">
      <alignment horizontal="center" vertical="center" wrapText="1"/>
    </xf>
    <xf numFmtId="0" fontId="19" fillId="0" borderId="26" xfId="46" applyFont="1" applyBorder="1" applyAlignment="1">
      <alignment horizontal="center"/>
    </xf>
    <xf numFmtId="0" fontId="19" fillId="0" borderId="24" xfId="46" applyFont="1" applyBorder="1" applyAlignment="1">
      <alignment horizontal="center"/>
    </xf>
    <xf numFmtId="0" fontId="19" fillId="0" borderId="27" xfId="46" applyFont="1" applyBorder="1" applyAlignment="1">
      <alignment horizontal="center"/>
    </xf>
    <xf numFmtId="0" fontId="58" fillId="0" borderId="0" xfId="581" applyFont="1" applyAlignment="1">
      <alignment vertical="center" wrapText="1"/>
    </xf>
    <xf numFmtId="0" fontId="60" fillId="0" borderId="0" xfId="581" applyFont="1" applyAlignment="1">
      <alignment vertical="center" wrapText="1"/>
    </xf>
    <xf numFmtId="0" fontId="60" fillId="0" borderId="0" xfId="581" applyFont="1" applyAlignment="1">
      <alignment wrapText="1"/>
    </xf>
    <xf numFmtId="0" fontId="18" fillId="0" borderId="47" xfId="111" applyFont="1" applyBorder="1" applyAlignment="1">
      <alignment horizontal="center" vertical="center" wrapText="1"/>
    </xf>
    <xf numFmtId="0" fontId="18" fillId="0" borderId="48" xfId="111" applyFont="1" applyBorder="1" applyAlignment="1">
      <alignment horizontal="center" vertical="center" wrapText="1"/>
    </xf>
    <xf numFmtId="0" fontId="18" fillId="0" borderId="51" xfId="111" applyFont="1" applyBorder="1" applyAlignment="1">
      <alignment horizontal="center" vertical="center" wrapText="1"/>
    </xf>
    <xf numFmtId="0" fontId="18" fillId="0" borderId="67" xfId="111" applyFont="1" applyBorder="1" applyAlignment="1">
      <alignment horizontal="center" vertical="center" wrapText="1"/>
    </xf>
    <xf numFmtId="0" fontId="18" fillId="0" borderId="0" xfId="111" applyFont="1" applyBorder="1" applyAlignment="1">
      <alignment horizontal="center" vertical="center" wrapText="1"/>
    </xf>
    <xf numFmtId="0" fontId="18" fillId="0" borderId="13" xfId="111" applyFont="1" applyBorder="1" applyAlignment="1">
      <alignment horizontal="center" vertical="center" wrapText="1"/>
    </xf>
    <xf numFmtId="0" fontId="18" fillId="0" borderId="59" xfId="111" applyFont="1" applyBorder="1" applyAlignment="1">
      <alignment horizontal="center" vertical="center" wrapText="1"/>
    </xf>
    <xf numFmtId="0" fontId="18" fillId="0" borderId="19" xfId="111" applyFont="1" applyBorder="1" applyAlignment="1">
      <alignment horizontal="center" vertical="center" wrapText="1"/>
    </xf>
    <xf numFmtId="0" fontId="18" fillId="0" borderId="68" xfId="111" applyFont="1" applyBorder="1" applyAlignment="1">
      <alignment horizontal="center" vertical="center" wrapText="1"/>
    </xf>
    <xf numFmtId="0" fontId="18" fillId="0" borderId="70" xfId="111" applyFont="1" applyBorder="1" applyAlignment="1">
      <alignment horizontal="center" vertical="center" wrapText="1"/>
    </xf>
    <xf numFmtId="0" fontId="19" fillId="0" borderId="24" xfId="111" applyFont="1" applyBorder="1" applyAlignment="1">
      <alignment horizontal="center" vertical="center" wrapText="1"/>
    </xf>
    <xf numFmtId="0" fontId="19" fillId="0" borderId="25" xfId="111" applyFont="1" applyBorder="1" applyAlignment="1">
      <alignment horizontal="center" vertical="center" wrapText="1"/>
    </xf>
    <xf numFmtId="0" fontId="19" fillId="0" borderId="26" xfId="111" applyFont="1" applyBorder="1" applyAlignment="1">
      <alignment horizontal="center" vertical="center" wrapText="1"/>
    </xf>
    <xf numFmtId="0" fontId="19" fillId="0" borderId="27" xfId="111" applyFont="1" applyBorder="1" applyAlignment="1">
      <alignment horizontal="center" vertical="center" wrapText="1"/>
    </xf>
    <xf numFmtId="0" fontId="18" fillId="0" borderId="10" xfId="34" applyFont="1" applyBorder="1" applyAlignment="1">
      <alignment horizontal="center" vertical="center"/>
    </xf>
    <xf numFmtId="0" fontId="18" fillId="0" borderId="16" xfId="34" applyFont="1" applyBorder="1" applyAlignment="1">
      <alignment horizontal="center" vertical="center"/>
    </xf>
    <xf numFmtId="0" fontId="18" fillId="0" borderId="22" xfId="34" applyFont="1" applyBorder="1" applyAlignment="1">
      <alignment horizontal="center" vertical="center"/>
    </xf>
    <xf numFmtId="0" fontId="18" fillId="0" borderId="11" xfId="34" applyFont="1" applyBorder="1" applyAlignment="1">
      <alignment horizontal="center" vertical="center" wrapText="1"/>
    </xf>
    <xf numFmtId="0" fontId="18" fillId="0" borderId="17" xfId="34" applyFont="1" applyBorder="1" applyAlignment="1">
      <alignment horizontal="center" vertical="center" wrapText="1"/>
    </xf>
    <xf numFmtId="0" fontId="18" fillId="0" borderId="23" xfId="34" applyFont="1" applyBorder="1" applyAlignment="1">
      <alignment horizontal="center" vertical="center" wrapText="1"/>
    </xf>
    <xf numFmtId="0" fontId="18" fillId="0" borderId="13" xfId="34" applyFont="1" applyBorder="1" applyAlignment="1">
      <alignment horizontal="center" vertical="center"/>
    </xf>
    <xf numFmtId="0" fontId="18" fillId="0" borderId="19" xfId="34" applyFont="1" applyBorder="1" applyAlignment="1">
      <alignment horizontal="center" vertical="center"/>
    </xf>
    <xf numFmtId="0" fontId="18" fillId="0" borderId="24" xfId="34" applyFont="1" applyBorder="1" applyAlignment="1">
      <alignment horizontal="center" vertical="center"/>
    </xf>
    <xf numFmtId="0" fontId="18" fillId="0" borderId="25" xfId="34" applyFont="1" applyBorder="1" applyAlignment="1">
      <alignment horizontal="center" vertical="center"/>
    </xf>
    <xf numFmtId="0" fontId="18" fillId="0" borderId="26" xfId="34" applyFont="1" applyBorder="1" applyAlignment="1">
      <alignment horizontal="center" vertical="center"/>
    </xf>
    <xf numFmtId="0" fontId="18" fillId="0" borderId="27" xfId="34" applyFont="1" applyBorder="1" applyAlignment="1">
      <alignment horizontal="center" vertical="center"/>
    </xf>
    <xf numFmtId="0" fontId="19" fillId="51" borderId="82" xfId="599" applyFont="1" applyFill="1" applyBorder="1" applyAlignment="1">
      <alignment horizontal="center" vertical="center"/>
    </xf>
    <xf numFmtId="0" fontId="19" fillId="51" borderId="81" xfId="599" applyFont="1" applyFill="1" applyBorder="1" applyAlignment="1">
      <alignment horizontal="center" vertical="center"/>
    </xf>
    <xf numFmtId="0" fontId="19" fillId="51" borderId="30" xfId="599" applyFont="1" applyFill="1" applyBorder="1" applyAlignment="1">
      <alignment horizontal="center" vertical="center"/>
    </xf>
    <xf numFmtId="0" fontId="18" fillId="0" borderId="77" xfId="599" applyFont="1" applyFill="1" applyBorder="1" applyAlignment="1">
      <alignment horizontal="center" vertical="center" wrapText="1"/>
    </xf>
    <xf numFmtId="0" fontId="18" fillId="0" borderId="78" xfId="599" applyFont="1" applyFill="1" applyBorder="1" applyAlignment="1">
      <alignment horizontal="center" vertical="center" wrapText="1"/>
    </xf>
    <xf numFmtId="0" fontId="58" fillId="0" borderId="0" xfId="599" applyFont="1" applyAlignment="1">
      <alignment horizontal="left" vertical="center" wrapText="1"/>
    </xf>
    <xf numFmtId="0" fontId="18" fillId="51" borderId="10" xfId="599" applyFont="1" applyFill="1" applyBorder="1" applyAlignment="1">
      <alignment horizontal="center" vertical="center"/>
    </xf>
    <xf numFmtId="0" fontId="18" fillId="51" borderId="13" xfId="599" applyFont="1" applyFill="1" applyBorder="1" applyAlignment="1">
      <alignment horizontal="center" vertical="center"/>
    </xf>
    <xf numFmtId="0" fontId="18" fillId="51" borderId="11" xfId="599" applyFont="1" applyFill="1" applyBorder="1" applyAlignment="1">
      <alignment horizontal="center" vertical="center"/>
    </xf>
    <xf numFmtId="0" fontId="18" fillId="51" borderId="57" xfId="599" applyFont="1" applyFill="1" applyBorder="1" applyAlignment="1">
      <alignment horizontal="center" vertical="center"/>
    </xf>
    <xf numFmtId="0" fontId="18" fillId="51" borderId="45" xfId="599" applyFont="1" applyFill="1" applyBorder="1" applyAlignment="1">
      <alignment horizontal="center" vertical="center"/>
    </xf>
    <xf numFmtId="0" fontId="18" fillId="51" borderId="82" xfId="599" applyFont="1" applyFill="1" applyBorder="1" applyAlignment="1">
      <alignment horizontal="center" vertical="center"/>
    </xf>
    <xf numFmtId="0" fontId="18" fillId="51" borderId="75" xfId="599" applyFont="1" applyFill="1" applyBorder="1" applyAlignment="1">
      <alignment horizontal="center" vertical="center" wrapText="1"/>
    </xf>
    <xf numFmtId="0" fontId="18" fillId="51" borderId="49" xfId="599" applyFont="1" applyFill="1" applyBorder="1" applyAlignment="1">
      <alignment horizontal="center" vertical="center" wrapText="1"/>
    </xf>
    <xf numFmtId="0" fontId="18" fillId="51" borderId="50" xfId="599" applyFont="1" applyFill="1" applyBorder="1" applyAlignment="1">
      <alignment horizontal="center" vertical="center" wrapText="1"/>
    </xf>
    <xf numFmtId="0" fontId="18" fillId="51" borderId="43" xfId="599" applyFont="1" applyFill="1" applyBorder="1" applyAlignment="1">
      <alignment horizontal="center" vertical="center" wrapText="1"/>
    </xf>
    <xf numFmtId="0" fontId="18" fillId="51" borderId="80" xfId="599" applyFont="1" applyFill="1" applyBorder="1" applyAlignment="1">
      <alignment horizontal="center" vertical="center" wrapText="1"/>
    </xf>
    <xf numFmtId="0" fontId="18" fillId="51" borderId="13" xfId="599" applyFont="1" applyFill="1" applyBorder="1" applyAlignment="1">
      <alignment horizontal="center" vertical="center" wrapText="1"/>
    </xf>
    <xf numFmtId="0" fontId="18" fillId="51" borderId="19" xfId="599" applyFont="1" applyFill="1" applyBorder="1" applyAlignment="1">
      <alignment horizontal="center" vertical="center" wrapText="1"/>
    </xf>
    <xf numFmtId="0" fontId="18" fillId="51" borderId="11" xfId="599" applyFont="1" applyFill="1" applyBorder="1" applyAlignment="1">
      <alignment horizontal="center" vertical="center" wrapText="1"/>
    </xf>
    <xf numFmtId="0" fontId="18" fillId="51" borderId="23" xfId="599" applyFont="1" applyFill="1" applyBorder="1" applyAlignment="1">
      <alignment horizontal="center" vertical="center" wrapText="1"/>
    </xf>
    <xf numFmtId="0" fontId="18" fillId="51" borderId="32" xfId="599" applyFont="1" applyFill="1" applyBorder="1" applyAlignment="1">
      <alignment horizontal="center" vertical="center" wrapText="1"/>
    </xf>
    <xf numFmtId="0" fontId="18" fillId="51" borderId="15" xfId="599" applyFont="1" applyFill="1" applyBorder="1" applyAlignment="1">
      <alignment horizontal="center" vertical="center" wrapText="1"/>
    </xf>
    <xf numFmtId="0" fontId="18" fillId="51" borderId="21" xfId="599" applyFont="1" applyFill="1" applyBorder="1" applyAlignment="1">
      <alignment horizontal="center" vertical="center" wrapText="1"/>
    </xf>
    <xf numFmtId="0" fontId="58" fillId="0" borderId="0" xfId="36" applyFont="1" applyAlignment="1">
      <alignment horizontal="left" wrapText="1"/>
    </xf>
    <xf numFmtId="0" fontId="18" fillId="0" borderId="15" xfId="107" applyFont="1" applyBorder="1" applyAlignment="1">
      <alignment horizontal="center" vertical="center" wrapText="1"/>
    </xf>
    <xf numFmtId="0" fontId="18" fillId="0" borderId="21" xfId="107" applyFont="1" applyBorder="1" applyAlignment="1">
      <alignment horizontal="center" vertical="center" wrapText="1"/>
    </xf>
    <xf numFmtId="0" fontId="18" fillId="0" borderId="45" xfId="46" applyFont="1" applyBorder="1" applyAlignment="1">
      <alignment horizontal="center"/>
    </xf>
    <xf numFmtId="0" fontId="18" fillId="0" borderId="24" xfId="46" applyFont="1" applyBorder="1" applyAlignment="1">
      <alignment horizontal="center"/>
    </xf>
    <xf numFmtId="0" fontId="18" fillId="0" borderId="25" xfId="46" applyFont="1" applyBorder="1" applyAlignment="1">
      <alignment horizontal="center"/>
    </xf>
    <xf numFmtId="0" fontId="18" fillId="0" borderId="46" xfId="107" applyFont="1" applyBorder="1" applyAlignment="1">
      <alignment horizontal="center" vertical="center"/>
    </xf>
    <xf numFmtId="0" fontId="18" fillId="0" borderId="44" xfId="107" applyFont="1" applyBorder="1" applyAlignment="1">
      <alignment horizontal="center" vertical="center"/>
    </xf>
    <xf numFmtId="0" fontId="18" fillId="0" borderId="20" xfId="46" applyFont="1" applyBorder="1" applyAlignment="1">
      <alignment horizontal="center"/>
    </xf>
    <xf numFmtId="0" fontId="18" fillId="0" borderId="13" xfId="107" applyFont="1" applyBorder="1" applyAlignment="1">
      <alignment horizontal="center" vertical="center" wrapText="1"/>
    </xf>
    <xf numFmtId="0" fontId="18" fillId="0" borderId="19" xfId="107" applyFont="1" applyBorder="1" applyAlignment="1">
      <alignment horizontal="center" vertical="center" wrapText="1"/>
    </xf>
    <xf numFmtId="0" fontId="58" fillId="0" borderId="0" xfId="36" applyFont="1" applyAlignment="1">
      <alignment horizontal="left" vertical="center" wrapText="1"/>
    </xf>
    <xf numFmtId="0" fontId="18" fillId="0" borderId="14" xfId="36" applyFont="1" applyBorder="1" applyAlignment="1">
      <alignment horizontal="center" vertical="center"/>
    </xf>
    <xf numFmtId="0" fontId="18" fillId="0" borderId="47" xfId="36" applyFont="1" applyBorder="1" applyAlignment="1">
      <alignment horizontal="center" vertical="center"/>
    </xf>
    <xf numFmtId="0" fontId="18" fillId="0" borderId="48" xfId="36" applyFont="1" applyBorder="1" applyAlignment="1">
      <alignment horizontal="center" vertical="center"/>
    </xf>
    <xf numFmtId="0" fontId="18" fillId="0" borderId="51" xfId="36" applyFont="1" applyBorder="1" applyAlignment="1">
      <alignment horizontal="center" vertical="center"/>
    </xf>
    <xf numFmtId="0" fontId="18" fillId="0" borderId="45" xfId="36" applyFont="1" applyBorder="1" applyAlignment="1">
      <alignment horizontal="center" vertical="center"/>
    </xf>
    <xf numFmtId="0" fontId="18" fillId="0" borderId="24" xfId="36" applyFont="1" applyBorder="1" applyAlignment="1">
      <alignment horizontal="center" vertical="center"/>
    </xf>
    <xf numFmtId="0" fontId="18" fillId="0" borderId="25" xfId="36" applyFont="1" applyBorder="1" applyAlignment="1">
      <alignment horizontal="center" vertical="center"/>
    </xf>
    <xf numFmtId="0" fontId="18" fillId="0" borderId="26" xfId="36" applyFont="1" applyBorder="1" applyAlignment="1">
      <alignment horizontal="center" vertical="center"/>
    </xf>
    <xf numFmtId="0" fontId="18" fillId="0" borderId="27" xfId="36" applyFont="1" applyBorder="1" applyAlignment="1">
      <alignment horizontal="center" vertical="center"/>
    </xf>
    <xf numFmtId="0" fontId="25" fillId="0" borderId="14" xfId="183" applyFont="1" applyBorder="1" applyAlignment="1">
      <alignment horizontal="center" vertical="center" wrapText="1"/>
    </xf>
    <xf numFmtId="0" fontId="25" fillId="0" borderId="32" xfId="183" applyFont="1" applyBorder="1" applyAlignment="1">
      <alignment horizontal="center" vertical="center" wrapText="1"/>
    </xf>
    <xf numFmtId="0" fontId="25" fillId="0" borderId="20" xfId="183" applyFont="1" applyBorder="1" applyAlignment="1">
      <alignment horizontal="center" vertical="center" wrapText="1"/>
    </xf>
    <xf numFmtId="0" fontId="25" fillId="0" borderId="21" xfId="183" applyFont="1" applyBorder="1" applyAlignment="1">
      <alignment horizontal="center" vertical="center" wrapText="1"/>
    </xf>
    <xf numFmtId="0" fontId="18" fillId="0" borderId="10" xfId="36" applyFont="1" applyBorder="1" applyAlignment="1">
      <alignment horizontal="center" vertical="center"/>
    </xf>
    <xf numFmtId="0" fontId="18" fillId="0" borderId="16" xfId="36" applyFont="1" applyBorder="1" applyAlignment="1">
      <alignment horizontal="center" vertical="center"/>
    </xf>
    <xf numFmtId="0" fontId="18" fillId="0" borderId="22" xfId="36" applyFont="1" applyBorder="1" applyAlignment="1">
      <alignment horizontal="center" vertical="center"/>
    </xf>
    <xf numFmtId="0" fontId="18" fillId="0" borderId="11" xfId="36" applyFont="1" applyBorder="1" applyAlignment="1">
      <alignment horizontal="center" vertical="center" wrapText="1"/>
    </xf>
    <xf numFmtId="0" fontId="18" fillId="0" borderId="17" xfId="36" applyFont="1" applyBorder="1" applyAlignment="1">
      <alignment horizontal="center" vertical="center" wrapText="1"/>
    </xf>
    <xf numFmtId="0" fontId="18" fillId="0" borderId="23" xfId="36" applyFont="1" applyBorder="1" applyAlignment="1">
      <alignment horizontal="center" vertical="center" wrapText="1"/>
    </xf>
    <xf numFmtId="0" fontId="18" fillId="0" borderId="13" xfId="36" applyFont="1" applyBorder="1" applyAlignment="1">
      <alignment horizontal="center" vertical="center"/>
    </xf>
    <xf numFmtId="0" fontId="18" fillId="0" borderId="19" xfId="36" applyFont="1" applyBorder="1" applyAlignment="1">
      <alignment horizontal="center" vertical="center"/>
    </xf>
    <xf numFmtId="0" fontId="18" fillId="0" borderId="15" xfId="46" applyFont="1" applyBorder="1" applyAlignment="1">
      <alignment horizontal="center" vertical="center" wrapText="1"/>
    </xf>
    <xf numFmtId="0" fontId="18" fillId="0" borderId="21" xfId="46" applyFont="1" applyBorder="1" applyAlignment="1">
      <alignment horizontal="center" vertical="center" wrapText="1"/>
    </xf>
    <xf numFmtId="0" fontId="19" fillId="0" borderId="20" xfId="46" applyFont="1" applyBorder="1" applyAlignment="1">
      <alignment horizontal="center"/>
    </xf>
    <xf numFmtId="0" fontId="18" fillId="0" borderId="14" xfId="46" applyFont="1" applyBorder="1" applyAlignment="1">
      <alignment horizontal="center" vertical="center" wrapText="1"/>
    </xf>
    <xf numFmtId="0" fontId="18" fillId="0" borderId="20" xfId="46" applyFont="1" applyBorder="1" applyAlignment="1">
      <alignment horizontal="center" vertical="center" wrapText="1"/>
    </xf>
    <xf numFmtId="0" fontId="58" fillId="0" borderId="0" xfId="584" applyFont="1" applyAlignment="1">
      <alignment horizontal="left" vertical="center" wrapText="1"/>
    </xf>
    <xf numFmtId="0" fontId="58" fillId="0" borderId="0" xfId="584" applyFont="1" applyAlignment="1">
      <alignment horizontal="left" vertical="center"/>
    </xf>
    <xf numFmtId="0" fontId="18" fillId="0" borderId="47" xfId="584" applyFont="1" applyBorder="1" applyAlignment="1">
      <alignment horizontal="center" vertical="center"/>
    </xf>
    <xf numFmtId="0" fontId="18" fillId="0" borderId="48" xfId="584" applyFont="1" applyBorder="1" applyAlignment="1">
      <alignment horizontal="center" vertical="center"/>
    </xf>
    <xf numFmtId="0" fontId="19" fillId="0" borderId="69" xfId="584" applyFont="1" applyBorder="1" applyAlignment="1">
      <alignment horizontal="center" vertical="center"/>
    </xf>
    <xf numFmtId="0" fontId="19" fillId="0" borderId="70" xfId="584" applyFont="1" applyBorder="1" applyAlignment="1">
      <alignment horizontal="center" vertical="center"/>
    </xf>
    <xf numFmtId="0" fontId="19" fillId="0" borderId="0" xfId="584" applyFont="1" applyAlignment="1">
      <alignment horizontal="left" wrapText="1"/>
    </xf>
    <xf numFmtId="0" fontId="58" fillId="0" borderId="0" xfId="584" applyFont="1" applyAlignment="1">
      <alignment horizontal="left" wrapText="1"/>
    </xf>
    <xf numFmtId="0" fontId="58" fillId="0" borderId="0" xfId="584" applyFont="1" applyAlignment="1">
      <alignment horizontal="left"/>
    </xf>
    <xf numFmtId="0" fontId="18" fillId="0" borderId="66" xfId="584" applyFont="1" applyBorder="1" applyAlignment="1">
      <alignment horizontal="center" vertical="center"/>
    </xf>
    <xf numFmtId="0" fontId="18" fillId="0" borderId="71" xfId="584" applyFont="1" applyBorder="1" applyAlignment="1">
      <alignment horizontal="center" vertical="center"/>
    </xf>
    <xf numFmtId="0" fontId="61" fillId="0" borderId="61" xfId="0" applyFont="1" applyFill="1" applyBorder="1" applyAlignment="1">
      <alignment horizontal="center" vertical="center"/>
    </xf>
    <xf numFmtId="0" fontId="68" fillId="0" borderId="64" xfId="0" applyFont="1" applyFill="1" applyBorder="1" applyAlignment="1">
      <alignment horizontal="center" vertical="center" wrapText="1"/>
    </xf>
    <xf numFmtId="0" fontId="62" fillId="0" borderId="61" xfId="0" applyFont="1" applyFill="1" applyBorder="1" applyAlignment="1">
      <alignment horizontal="center" vertical="center" wrapText="1"/>
    </xf>
    <xf numFmtId="0" fontId="19" fillId="0" borderId="0" xfId="36" applyFont="1" applyAlignment="1">
      <alignment horizontal="left"/>
    </xf>
    <xf numFmtId="0" fontId="61" fillId="0" borderId="61" xfId="0" applyFont="1" applyFill="1" applyBorder="1" applyAlignment="1">
      <alignment horizontal="left" vertical="center" wrapText="1"/>
    </xf>
    <xf numFmtId="4" fontId="63" fillId="0" borderId="62" xfId="580" applyNumberFormat="1" applyFont="1" applyFill="1" applyBorder="1" applyAlignment="1">
      <alignment horizontal="center" vertical="center" wrapText="1"/>
    </xf>
    <xf numFmtId="4" fontId="63" fillId="0" borderId="63" xfId="580" applyNumberFormat="1" applyFont="1" applyFill="1" applyBorder="1" applyAlignment="1">
      <alignment horizontal="center" vertical="center" wrapText="1"/>
    </xf>
    <xf numFmtId="0" fontId="68" fillId="0" borderId="63" xfId="0" applyFont="1" applyFill="1" applyBorder="1" applyAlignment="1">
      <alignment horizontal="center" vertical="center" wrapText="1"/>
    </xf>
    <xf numFmtId="0" fontId="74" fillId="0" borderId="62" xfId="580" applyFont="1" applyFill="1" applyBorder="1" applyAlignment="1">
      <alignment horizontal="center" vertical="center" wrapText="1"/>
    </xf>
    <xf numFmtId="0" fontId="74" fillId="0" borderId="63" xfId="580" applyFont="1" applyFill="1" applyBorder="1" applyAlignment="1">
      <alignment horizontal="center" vertical="center" wrapText="1"/>
    </xf>
    <xf numFmtId="0" fontId="74" fillId="0" borderId="64" xfId="580" applyFont="1" applyFill="1" applyBorder="1" applyAlignment="1">
      <alignment horizontal="center" vertical="center" wrapText="1"/>
    </xf>
    <xf numFmtId="0" fontId="74" fillId="0" borderId="47" xfId="580" applyFont="1" applyFill="1" applyBorder="1" applyAlignment="1">
      <alignment horizontal="center" vertical="center" wrapText="1"/>
    </xf>
    <xf numFmtId="0" fontId="74" fillId="0" borderId="48" xfId="580" applyFont="1" applyFill="1" applyBorder="1" applyAlignment="1">
      <alignment horizontal="center" vertical="center" wrapText="1"/>
    </xf>
    <xf numFmtId="0" fontId="74" fillId="0" borderId="65" xfId="580" applyFont="1" applyFill="1" applyBorder="1" applyAlignment="1">
      <alignment horizontal="center" vertical="center" wrapText="1"/>
    </xf>
    <xf numFmtId="0" fontId="71" fillId="0" borderId="62" xfId="580" applyFont="1" applyFill="1" applyBorder="1" applyAlignment="1">
      <alignment horizontal="center" vertical="center" wrapText="1"/>
    </xf>
    <xf numFmtId="0" fontId="71" fillId="0" borderId="63" xfId="580" applyFont="1" applyFill="1" applyBorder="1" applyAlignment="1">
      <alignment horizontal="center" vertical="center" wrapText="1"/>
    </xf>
    <xf numFmtId="0" fontId="71" fillId="0" borderId="64" xfId="580" applyFont="1" applyFill="1" applyBorder="1" applyAlignment="1">
      <alignment horizontal="center" vertical="center" wrapText="1"/>
    </xf>
    <xf numFmtId="0" fontId="71" fillId="0" borderId="61" xfId="580" applyFont="1" applyFill="1" applyBorder="1" applyAlignment="1">
      <alignment horizontal="center" vertical="center" wrapText="1"/>
    </xf>
    <xf numFmtId="0" fontId="71" fillId="0" borderId="47" xfId="580" applyFont="1" applyFill="1" applyBorder="1" applyAlignment="1">
      <alignment horizontal="center" vertical="center" wrapText="1"/>
    </xf>
    <xf numFmtId="0" fontId="71" fillId="0" borderId="48" xfId="580" applyFont="1" applyFill="1" applyBorder="1" applyAlignment="1">
      <alignment horizontal="center" vertical="center" wrapText="1"/>
    </xf>
    <xf numFmtId="0" fontId="71" fillId="0" borderId="65" xfId="580" applyFont="1" applyFill="1" applyBorder="1" applyAlignment="1">
      <alignment horizontal="center" vertical="center" wrapText="1"/>
    </xf>
    <xf numFmtId="0" fontId="60" fillId="0" borderId="61" xfId="58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/>
    </xf>
    <xf numFmtId="0" fontId="84" fillId="0" borderId="67" xfId="0" applyFont="1" applyFill="1" applyBorder="1" applyAlignment="1">
      <alignment horizontal="center" vertical="center"/>
    </xf>
    <xf numFmtId="0" fontId="84" fillId="0" borderId="68" xfId="0" applyFont="1" applyFill="1" applyBorder="1" applyAlignment="1">
      <alignment horizontal="center" vertical="center"/>
    </xf>
    <xf numFmtId="0" fontId="84" fillId="0" borderId="69" xfId="0" applyFont="1" applyFill="1" applyBorder="1" applyAlignment="1">
      <alignment horizontal="center" vertical="center"/>
    </xf>
    <xf numFmtId="0" fontId="84" fillId="0" borderId="0" xfId="0" applyFont="1" applyFill="1" applyAlignment="1">
      <alignment horizontal="center" vertical="center"/>
    </xf>
    <xf numFmtId="0" fontId="84" fillId="0" borderId="70" xfId="0" applyFont="1" applyFill="1" applyBorder="1" applyAlignment="1">
      <alignment horizontal="center" vertical="center"/>
    </xf>
    <xf numFmtId="0" fontId="84" fillId="0" borderId="71" xfId="0" applyFont="1" applyFill="1" applyBorder="1" applyAlignment="1">
      <alignment horizontal="center" vertical="center"/>
    </xf>
    <xf numFmtId="0" fontId="84" fillId="0" borderId="72" xfId="0" applyFont="1" applyFill="1" applyBorder="1" applyAlignment="1">
      <alignment horizontal="center" vertical="center"/>
    </xf>
    <xf numFmtId="0" fontId="84" fillId="0" borderId="73" xfId="0" applyFont="1" applyFill="1" applyBorder="1" applyAlignment="1">
      <alignment horizontal="center" vertical="center"/>
    </xf>
    <xf numFmtId="0" fontId="84" fillId="0" borderId="62" xfId="0" applyFont="1" applyFill="1" applyBorder="1" applyAlignment="1">
      <alignment horizontal="center" vertical="center" wrapText="1"/>
    </xf>
    <xf numFmtId="0" fontId="84" fillId="0" borderId="64" xfId="0" applyFont="1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83" fillId="0" borderId="61" xfId="0" applyFont="1" applyFill="1" applyBorder="1" applyAlignment="1">
      <alignment horizontal="left" vertical="center" wrapText="1"/>
    </xf>
    <xf numFmtId="0" fontId="90" fillId="0" borderId="61" xfId="0" applyFont="1" applyFill="1" applyBorder="1" applyAlignment="1">
      <alignment horizontal="center" vertical="center" wrapText="1"/>
    </xf>
    <xf numFmtId="0" fontId="84" fillId="0" borderId="64" xfId="0" applyFont="1" applyFill="1" applyBorder="1" applyAlignment="1">
      <alignment horizontal="center" vertical="center"/>
    </xf>
    <xf numFmtId="0" fontId="84" fillId="0" borderId="61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83" fillId="0" borderId="61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center" vertical="center"/>
    </xf>
    <xf numFmtId="0" fontId="84" fillId="0" borderId="61" xfId="0" applyFont="1" applyFill="1" applyBorder="1" applyAlignment="1">
      <alignment horizontal="center" vertical="center" wrapText="1"/>
    </xf>
    <xf numFmtId="0" fontId="84" fillId="0" borderId="47" xfId="0" applyFont="1" applyFill="1" applyBorder="1" applyAlignment="1">
      <alignment horizontal="center" vertical="center" wrapText="1"/>
    </xf>
    <xf numFmtId="0" fontId="84" fillId="0" borderId="48" xfId="0" applyFont="1" applyFill="1" applyBorder="1" applyAlignment="1">
      <alignment horizontal="center" vertical="center" wrapText="1"/>
    </xf>
    <xf numFmtId="0" fontId="84" fillId="0" borderId="65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84" fillId="0" borderId="62" xfId="580" applyFont="1" applyFill="1" applyBorder="1" applyAlignment="1">
      <alignment horizontal="left" vertical="center" wrapText="1"/>
    </xf>
    <xf numFmtId="0" fontId="84" fillId="0" borderId="63" xfId="580" applyFont="1" applyFill="1" applyBorder="1" applyAlignment="1">
      <alignment horizontal="left" vertical="center" wrapText="1"/>
    </xf>
    <xf numFmtId="0" fontId="84" fillId="0" borderId="64" xfId="580" applyFont="1" applyFill="1" applyBorder="1" applyAlignment="1">
      <alignment horizontal="left" vertical="center" wrapText="1"/>
    </xf>
    <xf numFmtId="0" fontId="98" fillId="0" borderId="61" xfId="580" applyFont="1" applyFill="1" applyBorder="1" applyAlignment="1">
      <alignment horizontal="center" vertical="center" wrapText="1"/>
    </xf>
    <xf numFmtId="0" fontId="98" fillId="0" borderId="62" xfId="580" applyFont="1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89" fillId="0" borderId="66" xfId="580" applyFont="1" applyFill="1" applyBorder="1" applyAlignment="1">
      <alignment horizontal="center" vertical="center" wrapText="1"/>
    </xf>
    <xf numFmtId="0" fontId="89" fillId="0" borderId="67" xfId="580" applyFont="1" applyFill="1" applyBorder="1" applyAlignment="1">
      <alignment horizontal="center" vertical="center" wrapText="1"/>
    </xf>
    <xf numFmtId="0" fontId="89" fillId="0" borderId="68" xfId="580" applyFont="1" applyFill="1" applyBorder="1" applyAlignment="1">
      <alignment horizontal="center" vertical="center" wrapText="1"/>
    </xf>
    <xf numFmtId="0" fontId="89" fillId="0" borderId="69" xfId="580" applyFont="1" applyFill="1" applyBorder="1" applyAlignment="1">
      <alignment horizontal="center" vertical="center" wrapText="1"/>
    </xf>
    <xf numFmtId="0" fontId="89" fillId="0" borderId="0" xfId="580" applyFont="1" applyFill="1" applyAlignment="1">
      <alignment horizontal="center" vertical="center" wrapText="1"/>
    </xf>
    <xf numFmtId="0" fontId="89" fillId="0" borderId="70" xfId="580" applyFont="1" applyFill="1" applyBorder="1" applyAlignment="1">
      <alignment horizontal="center" vertical="center" wrapText="1"/>
    </xf>
    <xf numFmtId="0" fontId="89" fillId="0" borderId="71" xfId="580" applyFont="1" applyFill="1" applyBorder="1" applyAlignment="1">
      <alignment horizontal="center" vertical="center" wrapText="1"/>
    </xf>
    <xf numFmtId="0" fontId="89" fillId="0" borderId="72" xfId="580" applyFont="1" applyFill="1" applyBorder="1" applyAlignment="1">
      <alignment horizontal="center" vertical="center" wrapText="1"/>
    </xf>
    <xf numFmtId="0" fontId="89" fillId="0" borderId="73" xfId="580" applyFont="1" applyFill="1" applyBorder="1" applyAlignment="1">
      <alignment horizontal="center" vertical="center" wrapText="1"/>
    </xf>
    <xf numFmtId="0" fontId="98" fillId="0" borderId="66" xfId="580" applyFont="1" applyFill="1" applyBorder="1" applyAlignment="1">
      <alignment horizontal="center" vertical="center" wrapText="1"/>
    </xf>
    <xf numFmtId="0" fontId="98" fillId="0" borderId="69" xfId="580" applyFont="1" applyFill="1" applyBorder="1" applyAlignment="1">
      <alignment horizontal="center" vertical="center" wrapText="1"/>
    </xf>
    <xf numFmtId="0" fontId="98" fillId="0" borderId="71" xfId="580" applyFont="1" applyFill="1" applyBorder="1" applyAlignment="1">
      <alignment horizontal="center" vertical="center" wrapText="1"/>
    </xf>
    <xf numFmtId="0" fontId="98" fillId="0" borderId="63" xfId="580" applyFont="1" applyFill="1" applyBorder="1" applyAlignment="1">
      <alignment horizontal="center" vertical="center" wrapText="1"/>
    </xf>
    <xf numFmtId="0" fontId="98" fillId="0" borderId="64" xfId="580" applyFont="1" applyFill="1" applyBorder="1" applyAlignment="1">
      <alignment horizontal="center" vertical="center" wrapText="1"/>
    </xf>
    <xf numFmtId="0" fontId="99" fillId="0" borderId="61" xfId="580" applyFont="1" applyFill="1" applyBorder="1" applyAlignment="1">
      <alignment horizontal="center" vertical="center" wrapText="1"/>
    </xf>
    <xf numFmtId="0" fontId="80" fillId="0" borderId="61" xfId="580" applyFont="1" applyFill="1" applyBorder="1" applyAlignment="1">
      <alignment horizontal="center" vertical="center" wrapText="1"/>
    </xf>
    <xf numFmtId="0" fontId="84" fillId="0" borderId="62" xfId="580" applyFont="1" applyFill="1" applyBorder="1" applyAlignment="1">
      <alignment horizontal="center" vertical="center" wrapText="1"/>
    </xf>
    <xf numFmtId="0" fontId="84" fillId="0" borderId="63" xfId="580" applyFont="1" applyFill="1" applyBorder="1" applyAlignment="1">
      <alignment horizontal="center" vertical="center" wrapText="1"/>
    </xf>
    <xf numFmtId="0" fontId="84" fillId="0" borderId="64" xfId="580" applyFont="1" applyFill="1" applyBorder="1" applyAlignment="1">
      <alignment horizontal="center" vertical="center" wrapText="1"/>
    </xf>
    <xf numFmtId="0" fontId="84" fillId="0" borderId="61" xfId="580" applyFont="1" applyFill="1" applyBorder="1" applyAlignment="1">
      <alignment horizontal="center" vertical="center" wrapText="1"/>
    </xf>
    <xf numFmtId="0" fontId="89" fillId="0" borderId="47" xfId="580" applyFont="1" applyFill="1" applyBorder="1" applyAlignment="1">
      <alignment horizontal="center" vertical="center" wrapText="1"/>
    </xf>
    <xf numFmtId="0" fontId="89" fillId="0" borderId="48" xfId="580" applyFont="1" applyFill="1" applyBorder="1" applyAlignment="1">
      <alignment horizontal="center" vertical="center" wrapText="1"/>
    </xf>
    <xf numFmtId="0" fontId="89" fillId="0" borderId="65" xfId="580" applyFont="1" applyFill="1" applyBorder="1" applyAlignment="1">
      <alignment horizontal="center" vertical="center" wrapText="1"/>
    </xf>
    <xf numFmtId="0" fontId="84" fillId="0" borderId="47" xfId="580" applyFont="1" applyFill="1" applyBorder="1" applyAlignment="1">
      <alignment horizontal="center" vertical="center" wrapText="1"/>
    </xf>
    <xf numFmtId="0" fontId="84" fillId="0" borderId="48" xfId="580" applyFont="1" applyFill="1" applyBorder="1" applyAlignment="1">
      <alignment horizontal="center" vertical="center" wrapText="1"/>
    </xf>
    <xf numFmtId="0" fontId="84" fillId="0" borderId="65" xfId="580" applyFont="1" applyFill="1" applyBorder="1" applyAlignment="1">
      <alignment horizontal="center" vertical="center" wrapText="1"/>
    </xf>
    <xf numFmtId="0" fontId="95" fillId="0" borderId="47" xfId="580" applyFont="1" applyFill="1" applyBorder="1" applyAlignment="1">
      <alignment horizontal="center" vertical="center" wrapText="1"/>
    </xf>
    <xf numFmtId="0" fontId="95" fillId="0" borderId="48" xfId="580" applyFont="1" applyFill="1" applyBorder="1" applyAlignment="1">
      <alignment horizontal="center" vertical="center" wrapText="1"/>
    </xf>
    <xf numFmtId="0" fontId="95" fillId="0" borderId="65" xfId="580" applyFont="1" applyFill="1" applyBorder="1" applyAlignment="1">
      <alignment horizontal="center" vertical="center" wrapText="1"/>
    </xf>
    <xf numFmtId="0" fontId="95" fillId="0" borderId="62" xfId="580" applyFont="1" applyFill="1" applyBorder="1" applyAlignment="1">
      <alignment horizontal="center" vertical="center" wrapText="1"/>
    </xf>
    <xf numFmtId="0" fontId="95" fillId="0" borderId="63" xfId="580" applyFont="1" applyFill="1" applyBorder="1" applyAlignment="1">
      <alignment horizontal="center" vertical="center" wrapText="1"/>
    </xf>
    <xf numFmtId="0" fontId="95" fillId="0" borderId="64" xfId="580" applyFont="1" applyFill="1" applyBorder="1" applyAlignment="1">
      <alignment horizontal="center" vertical="center" wrapText="1"/>
    </xf>
    <xf numFmtId="0" fontId="93" fillId="0" borderId="61" xfId="580" applyFont="1" applyFill="1" applyBorder="1" applyAlignment="1">
      <alignment horizontal="center" vertical="center" wrapText="1"/>
    </xf>
    <xf numFmtId="0" fontId="93" fillId="0" borderId="47" xfId="580" applyFont="1" applyFill="1" applyBorder="1" applyAlignment="1">
      <alignment horizontal="center" vertical="center" wrapText="1"/>
    </xf>
    <xf numFmtId="0" fontId="93" fillId="0" borderId="48" xfId="580" applyFont="1" applyFill="1" applyBorder="1" applyAlignment="1">
      <alignment horizontal="center" vertical="center" wrapText="1"/>
    </xf>
    <xf numFmtId="0" fontId="93" fillId="0" borderId="65" xfId="580" applyFont="1" applyFill="1" applyBorder="1" applyAlignment="1">
      <alignment horizontal="center" vertical="center" wrapText="1"/>
    </xf>
    <xf numFmtId="4" fontId="84" fillId="0" borderId="62" xfId="580" applyNumberFormat="1" applyFont="1" applyFill="1" applyBorder="1" applyAlignment="1">
      <alignment horizontal="center" vertical="center" wrapText="1"/>
    </xf>
    <xf numFmtId="4" fontId="84" fillId="0" borderId="63" xfId="580" applyNumberFormat="1" applyFont="1" applyFill="1" applyBorder="1" applyAlignment="1">
      <alignment horizontal="center" vertical="center" wrapText="1"/>
    </xf>
    <xf numFmtId="0" fontId="93" fillId="0" borderId="62" xfId="580" applyFont="1" applyFill="1" applyBorder="1" applyAlignment="1">
      <alignment horizontal="center" vertical="center" wrapText="1"/>
    </xf>
    <xf numFmtId="0" fontId="93" fillId="0" borderId="63" xfId="580" applyFont="1" applyFill="1" applyBorder="1" applyAlignment="1">
      <alignment horizontal="center" vertical="center" wrapText="1"/>
    </xf>
    <xf numFmtId="0" fontId="93" fillId="0" borderId="64" xfId="580" applyFont="1" applyFill="1" applyBorder="1" applyAlignment="1">
      <alignment horizontal="center" vertical="center" wrapText="1"/>
    </xf>
    <xf numFmtId="0" fontId="84" fillId="0" borderId="69" xfId="580" applyFont="1" applyFill="1" applyBorder="1" applyAlignment="1">
      <alignment horizontal="center" vertical="center" wrapText="1"/>
    </xf>
    <xf numFmtId="0" fontId="84" fillId="0" borderId="71" xfId="580" applyFont="1" applyFill="1" applyBorder="1" applyAlignment="1">
      <alignment horizontal="center" vertical="center" wrapText="1"/>
    </xf>
    <xf numFmtId="0" fontId="18" fillId="0" borderId="44" xfId="383" applyFont="1" applyBorder="1" applyAlignment="1">
      <alignment horizontal="center" vertical="center"/>
    </xf>
    <xf numFmtId="0" fontId="18" fillId="0" borderId="14" xfId="383" applyFont="1" applyBorder="1" applyAlignment="1">
      <alignment horizontal="center" vertical="center"/>
    </xf>
    <xf numFmtId="3" fontId="18" fillId="0" borderId="14" xfId="383" applyNumberFormat="1" applyFont="1" applyBorder="1" applyAlignment="1">
      <alignment horizontal="center" vertical="center" wrapText="1"/>
    </xf>
    <xf numFmtId="3" fontId="18" fillId="0" borderId="20" xfId="383" applyNumberFormat="1" applyFont="1" applyBorder="1" applyAlignment="1">
      <alignment horizontal="center" vertical="center" wrapText="1"/>
    </xf>
    <xf numFmtId="3" fontId="18" fillId="0" borderId="15" xfId="383" applyNumberFormat="1" applyFont="1" applyBorder="1" applyAlignment="1">
      <alignment horizontal="center" vertical="center" wrapText="1"/>
    </xf>
    <xf numFmtId="3" fontId="18" fillId="0" borderId="21" xfId="383" applyNumberFormat="1" applyFont="1" applyBorder="1" applyAlignment="1">
      <alignment horizontal="center" vertical="center" wrapText="1"/>
    </xf>
    <xf numFmtId="0" fontId="19" fillId="0" borderId="25" xfId="383" applyFont="1" applyBorder="1" applyAlignment="1">
      <alignment horizontal="center" vertical="center"/>
    </xf>
    <xf numFmtId="0" fontId="19" fillId="0" borderId="20" xfId="383" applyFont="1" applyBorder="1" applyAlignment="1">
      <alignment horizontal="center" vertical="center"/>
    </xf>
    <xf numFmtId="0" fontId="58" fillId="0" borderId="0" xfId="583" applyFont="1" applyAlignment="1">
      <alignment horizontal="left" vertical="center" wrapText="1"/>
    </xf>
    <xf numFmtId="0" fontId="60" fillId="0" borderId="0" xfId="583" applyFont="1" applyAlignment="1">
      <alignment horizontal="left" vertical="center" wrapText="1"/>
    </xf>
    <xf numFmtId="0" fontId="60" fillId="0" borderId="0" xfId="583" applyFont="1" applyAlignment="1">
      <alignment horizontal="left" wrapText="1"/>
    </xf>
    <xf numFmtId="0" fontId="18" fillId="0" borderId="43" xfId="111" applyFont="1" applyBorder="1" applyAlignment="1">
      <alignment horizontal="center" vertical="center" wrapText="1"/>
    </xf>
    <xf numFmtId="0" fontId="18" fillId="0" borderId="32" xfId="111" applyFont="1" applyBorder="1" applyAlignment="1">
      <alignment horizontal="center" vertical="center" wrapText="1"/>
    </xf>
    <xf numFmtId="0" fontId="18" fillId="0" borderId="14" xfId="111" applyFont="1" applyBorder="1" applyAlignment="1">
      <alignment horizontal="center" vertical="center" wrapText="1"/>
    </xf>
    <xf numFmtId="0" fontId="18" fillId="0" borderId="20" xfId="111" applyFont="1" applyBorder="1" applyAlignment="1">
      <alignment horizontal="center" vertical="center" wrapText="1"/>
    </xf>
    <xf numFmtId="0" fontId="18" fillId="0" borderId="15" xfId="111" applyFont="1" applyBorder="1" applyAlignment="1">
      <alignment horizontal="center" vertical="center" wrapText="1"/>
    </xf>
    <xf numFmtId="0" fontId="18" fillId="0" borderId="21" xfId="111" applyFont="1" applyBorder="1" applyAlignment="1">
      <alignment horizontal="center" vertical="center" wrapText="1"/>
    </xf>
    <xf numFmtId="0" fontId="19" fillId="0" borderId="20" xfId="111" applyFont="1" applyBorder="1" applyAlignment="1">
      <alignment horizontal="center" vertical="center" wrapText="1"/>
    </xf>
    <xf numFmtId="0" fontId="19" fillId="0" borderId="20" xfId="111" applyFont="1" applyBorder="1" applyAlignment="1">
      <alignment horizontal="center" wrapText="1"/>
    </xf>
    <xf numFmtId="0" fontId="19" fillId="0" borderId="21" xfId="111" applyFont="1" applyBorder="1" applyAlignment="1">
      <alignment horizont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2" fillId="0" borderId="0" xfId="113" applyFont="1" applyAlignment="1">
      <alignment horizontal="left" vertical="center" wrapText="1"/>
    </xf>
    <xf numFmtId="0" fontId="22" fillId="0" borderId="0" xfId="113" applyFont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58" fillId="0" borderId="0" xfId="34" applyFont="1" applyAlignment="1">
      <alignment horizontal="left" wrapText="1"/>
    </xf>
    <xf numFmtId="0" fontId="18" fillId="0" borderId="43" xfId="34" applyFont="1" applyBorder="1" applyAlignment="1">
      <alignment horizontal="center" vertical="center"/>
    </xf>
    <xf numFmtId="0" fontId="18" fillId="0" borderId="32" xfId="34" applyFont="1" applyBorder="1" applyAlignment="1">
      <alignment horizontal="center" vertical="center"/>
    </xf>
    <xf numFmtId="0" fontId="18" fillId="0" borderId="15" xfId="34" applyFont="1" applyBorder="1" applyAlignment="1">
      <alignment horizontal="center" vertical="center" wrapText="1"/>
    </xf>
    <xf numFmtId="0" fontId="18" fillId="0" borderId="21" xfId="34" applyFont="1" applyBorder="1" applyAlignment="1">
      <alignment horizontal="center" vertical="center" wrapText="1"/>
    </xf>
    <xf numFmtId="0" fontId="58" fillId="0" borderId="0" xfId="34" applyFont="1" applyAlignment="1">
      <alignment horizontal="left" vertical="center" wrapText="1"/>
    </xf>
    <xf numFmtId="0" fontId="18" fillId="0" borderId="14" xfId="34" applyFont="1" applyBorder="1" applyAlignment="1">
      <alignment horizontal="center" vertical="center"/>
    </xf>
    <xf numFmtId="0" fontId="18" fillId="0" borderId="54" xfId="36" applyFont="1" applyBorder="1" applyAlignment="1">
      <alignment horizontal="center" vertical="center" wrapText="1"/>
    </xf>
    <xf numFmtId="0" fontId="18" fillId="0" borderId="19" xfId="36" applyFont="1" applyBorder="1" applyAlignment="1">
      <alignment horizontal="center" vertical="center" wrapText="1"/>
    </xf>
    <xf numFmtId="0" fontId="18" fillId="0" borderId="44" xfId="36" applyFont="1" applyBorder="1" applyAlignment="1">
      <alignment horizontal="center" vertical="center"/>
    </xf>
    <xf numFmtId="0" fontId="18" fillId="0" borderId="15" xfId="36" applyFont="1" applyBorder="1" applyAlignment="1">
      <alignment horizontal="center" vertical="center"/>
    </xf>
    <xf numFmtId="0" fontId="18" fillId="0" borderId="20" xfId="36" applyFont="1" applyBorder="1" applyAlignment="1">
      <alignment horizontal="center" vertical="center" wrapText="1"/>
    </xf>
    <xf numFmtId="0" fontId="18" fillId="0" borderId="20" xfId="36" applyFont="1" applyBorder="1" applyAlignment="1">
      <alignment horizontal="center" vertical="center"/>
    </xf>
    <xf numFmtId="0" fontId="18" fillId="0" borderId="44" xfId="36" applyFont="1" applyBorder="1" applyAlignment="1">
      <alignment horizontal="center" vertical="center" wrapText="1"/>
    </xf>
    <xf numFmtId="0" fontId="18" fillId="0" borderId="25" xfId="36" applyFont="1" applyBorder="1" applyAlignment="1">
      <alignment horizontal="center" vertical="center" wrapText="1"/>
    </xf>
    <xf numFmtId="0" fontId="18" fillId="0" borderId="26" xfId="36" applyFont="1" applyBorder="1" applyAlignment="1">
      <alignment horizontal="center" vertical="center" wrapText="1"/>
    </xf>
    <xf numFmtId="0" fontId="18" fillId="0" borderId="21" xfId="36" applyFont="1" applyBorder="1" applyAlignment="1">
      <alignment horizontal="center" vertical="center"/>
    </xf>
    <xf numFmtId="0" fontId="18" fillId="0" borderId="46" xfId="36" applyFont="1" applyBorder="1" applyAlignment="1">
      <alignment horizontal="center" vertical="center"/>
    </xf>
    <xf numFmtId="0" fontId="84" fillId="0" borderId="62" xfId="0" applyFont="1" applyFill="1" applyBorder="1" applyAlignment="1">
      <alignment horizontal="center" vertical="top" wrapText="1"/>
    </xf>
    <xf numFmtId="0" fontId="0" fillId="0" borderId="64" xfId="0" applyFill="1" applyBorder="1" applyAlignment="1">
      <alignment horizontal="center" vertical="top" wrapText="1"/>
    </xf>
    <xf numFmtId="0" fontId="27" fillId="0" borderId="66" xfId="0" applyFont="1" applyFill="1" applyBorder="1" applyAlignment="1">
      <alignment horizontal="center" vertical="center"/>
    </xf>
    <xf numFmtId="0" fontId="27" fillId="0" borderId="67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4" fontId="100" fillId="0" borderId="67" xfId="0" applyNumberFormat="1" applyFont="1" applyFill="1" applyBorder="1" applyAlignment="1">
      <alignment horizontal="right" vertical="center" wrapText="1"/>
    </xf>
    <xf numFmtId="0" fontId="93" fillId="0" borderId="69" xfId="580" applyFont="1" applyFill="1" applyBorder="1" applyAlignment="1">
      <alignment horizontal="center" vertical="center" wrapText="1"/>
    </xf>
    <xf numFmtId="0" fontId="93" fillId="0" borderId="71" xfId="580" applyFont="1" applyFill="1" applyBorder="1" applyAlignment="1">
      <alignment horizontal="center" vertical="center" wrapText="1"/>
    </xf>
    <xf numFmtId="0" fontId="58" fillId="0" borderId="0" xfId="580" applyFont="1" applyAlignment="1">
      <alignment horizontal="left" vertical="center" wrapText="1"/>
    </xf>
    <xf numFmtId="0" fontId="18" fillId="0" borderId="75" xfId="111" applyFont="1" applyBorder="1" applyAlignment="1">
      <alignment horizontal="center" vertical="center" wrapText="1"/>
    </xf>
    <xf numFmtId="0" fontId="18" fillId="0" borderId="49" xfId="111" applyFont="1" applyBorder="1" applyAlignment="1">
      <alignment horizontal="center" vertical="center" wrapText="1"/>
    </xf>
    <xf numFmtId="0" fontId="18" fillId="0" borderId="44" xfId="111" applyFont="1" applyBorder="1" applyAlignment="1">
      <alignment horizontal="center" vertical="center" wrapText="1"/>
    </xf>
    <xf numFmtId="0" fontId="18" fillId="0" borderId="25" xfId="111" applyFont="1" applyBorder="1" applyAlignment="1">
      <alignment horizontal="center" vertical="center" wrapText="1"/>
    </xf>
    <xf numFmtId="0" fontId="18" fillId="0" borderId="46" xfId="111" applyFont="1" applyBorder="1" applyAlignment="1">
      <alignment horizontal="center" vertical="center" wrapText="1"/>
    </xf>
    <xf numFmtId="0" fontId="18" fillId="0" borderId="26" xfId="111" applyFont="1" applyBorder="1" applyAlignment="1">
      <alignment horizontal="center" vertical="center" wrapText="1"/>
    </xf>
    <xf numFmtId="0" fontId="19" fillId="0" borderId="32" xfId="111" applyFont="1" applyBorder="1" applyAlignment="1">
      <alignment horizontal="center" wrapText="1"/>
    </xf>
    <xf numFmtId="0" fontId="18" fillId="0" borderId="43" xfId="383" applyFont="1" applyBorder="1" applyAlignment="1">
      <alignment horizontal="center" vertical="center" wrapText="1"/>
    </xf>
    <xf numFmtId="0" fontId="19" fillId="0" borderId="32" xfId="383" applyFont="1" applyBorder="1" applyAlignment="1">
      <alignment vertical="center" wrapText="1"/>
    </xf>
    <xf numFmtId="0" fontId="19" fillId="0" borderId="32" xfId="383" applyFont="1" applyBorder="1" applyAlignment="1">
      <alignment vertical="center"/>
    </xf>
    <xf numFmtId="49" fontId="18" fillId="0" borderId="14" xfId="383" applyNumberFormat="1" applyFont="1" applyBorder="1" applyAlignment="1">
      <alignment horizontal="center" vertical="center" wrapText="1"/>
    </xf>
    <xf numFmtId="49" fontId="19" fillId="0" borderId="20" xfId="383" applyNumberFormat="1" applyFont="1" applyBorder="1" applyAlignment="1">
      <alignment horizontal="center" vertical="center" wrapText="1"/>
    </xf>
    <xf numFmtId="49" fontId="19" fillId="0" borderId="20" xfId="383" applyNumberFormat="1" applyFont="1" applyBorder="1" applyAlignment="1">
      <alignment horizontal="center" vertical="center"/>
    </xf>
    <xf numFmtId="0" fontId="18" fillId="0" borderId="15" xfId="383" applyFont="1" applyBorder="1" applyAlignment="1">
      <alignment horizontal="center" vertical="center" wrapText="1"/>
    </xf>
    <xf numFmtId="0" fontId="19" fillId="0" borderId="21" xfId="383" applyFont="1" applyBorder="1" applyAlignment="1">
      <alignment horizontal="center" vertical="center" wrapText="1"/>
    </xf>
    <xf numFmtId="0" fontId="19" fillId="0" borderId="21" xfId="383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183" applyFont="1" applyBorder="1" applyAlignment="1">
      <alignment horizontal="center" vertical="center" wrapText="1"/>
    </xf>
    <xf numFmtId="0" fontId="18" fillId="0" borderId="32" xfId="183" applyFont="1" applyBorder="1" applyAlignment="1">
      <alignment horizontal="center" vertical="center" wrapText="1"/>
    </xf>
    <xf numFmtId="0" fontId="18" fillId="0" borderId="20" xfId="183" applyFont="1" applyBorder="1" applyAlignment="1">
      <alignment horizontal="center" vertical="center" wrapText="1"/>
    </xf>
    <xf numFmtId="0" fontId="18" fillId="0" borderId="21" xfId="183" applyFont="1" applyBorder="1" applyAlignment="1">
      <alignment horizontal="center" vertical="center" wrapText="1"/>
    </xf>
    <xf numFmtId="0" fontId="18" fillId="0" borderId="59" xfId="36" applyFont="1" applyBorder="1" applyAlignment="1">
      <alignment horizontal="center" vertical="center"/>
    </xf>
    <xf numFmtId="0" fontId="85" fillId="0" borderId="61" xfId="0" applyFont="1" applyFill="1" applyBorder="1" applyAlignment="1">
      <alignment horizontal="center" vertical="center"/>
    </xf>
    <xf numFmtId="4" fontId="100" fillId="0" borderId="0" xfId="0" applyNumberFormat="1" applyFont="1" applyFill="1" applyAlignment="1">
      <alignment horizontal="center" vertical="center" wrapText="1"/>
    </xf>
    <xf numFmtId="0" fontId="17" fillId="0" borderId="61" xfId="580" applyFill="1" applyBorder="1" applyAlignment="1">
      <alignment horizontal="center" vertical="center" wrapText="1"/>
    </xf>
    <xf numFmtId="0" fontId="58" fillId="0" borderId="0" xfId="583" applyFont="1" applyAlignment="1">
      <alignment vertical="center" wrapText="1"/>
    </xf>
    <xf numFmtId="0" fontId="60" fillId="0" borderId="0" xfId="583" applyFont="1" applyAlignment="1">
      <alignment vertical="center" wrapText="1"/>
    </xf>
    <xf numFmtId="0" fontId="60" fillId="0" borderId="0" xfId="583" applyFont="1" applyAlignment="1">
      <alignment wrapText="1"/>
    </xf>
    <xf numFmtId="0" fontId="19" fillId="0" borderId="25" xfId="111" applyFont="1" applyBorder="1" applyAlignment="1">
      <alignment horizontal="center" wrapText="1"/>
    </xf>
    <xf numFmtId="0" fontId="19" fillId="0" borderId="26" xfId="111" applyFont="1" applyBorder="1" applyAlignment="1">
      <alignment horizontal="center" wrapText="1"/>
    </xf>
    <xf numFmtId="0" fontId="58" fillId="0" borderId="0" xfId="0" applyFont="1" applyAlignment="1">
      <alignment horizontal="left" vertical="center" wrapText="1"/>
    </xf>
    <xf numFmtId="0" fontId="18" fillId="0" borderId="56" xfId="36" applyFont="1" applyBorder="1" applyAlignment="1">
      <alignment horizontal="center" vertical="center"/>
    </xf>
    <xf numFmtId="0" fontId="25" fillId="0" borderId="24" xfId="183" applyFont="1" applyBorder="1" applyAlignment="1">
      <alignment horizontal="center" vertical="center" wrapText="1"/>
    </xf>
    <xf numFmtId="0" fontId="25" fillId="0" borderId="25" xfId="183" applyFont="1" applyBorder="1" applyAlignment="1">
      <alignment horizontal="center" vertical="center" wrapText="1"/>
    </xf>
    <xf numFmtId="0" fontId="25" fillId="0" borderId="45" xfId="183" applyFont="1" applyBorder="1" applyAlignment="1">
      <alignment horizontal="center" vertical="center" wrapText="1"/>
    </xf>
    <xf numFmtId="164" fontId="84" fillId="0" borderId="0" xfId="0" applyNumberFormat="1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4" fontId="85" fillId="0" borderId="67" xfId="0" applyNumberFormat="1" applyFont="1" applyFill="1" applyBorder="1" applyAlignment="1">
      <alignment horizontal="right" vertical="center" wrapText="1"/>
    </xf>
    <xf numFmtId="0" fontId="87" fillId="0" borderId="62" xfId="0" applyFont="1" applyFill="1" applyBorder="1" applyAlignment="1">
      <alignment horizontal="center" vertical="top" wrapText="1"/>
    </xf>
    <xf numFmtId="0" fontId="97" fillId="0" borderId="64" xfId="0" applyFont="1" applyFill="1" applyBorder="1" applyAlignment="1">
      <alignment horizontal="center" vertical="top" wrapText="1"/>
    </xf>
    <xf numFmtId="0" fontId="104" fillId="0" borderId="61" xfId="0" applyFont="1" applyFill="1" applyBorder="1" applyAlignment="1">
      <alignment horizontal="center" vertical="center"/>
    </xf>
    <xf numFmtId="0" fontId="86" fillId="0" borderId="62" xfId="0" applyFont="1" applyFill="1" applyBorder="1" applyAlignment="1">
      <alignment horizontal="center" vertical="center"/>
    </xf>
    <xf numFmtId="0" fontId="86" fillId="0" borderId="64" xfId="0" applyFont="1" applyFill="1" applyBorder="1" applyAlignment="1">
      <alignment horizontal="center" vertical="center"/>
    </xf>
    <xf numFmtId="0" fontId="86" fillId="0" borderId="66" xfId="0" applyFont="1" applyFill="1" applyBorder="1" applyAlignment="1">
      <alignment horizontal="center" vertical="center"/>
    </xf>
    <xf numFmtId="0" fontId="86" fillId="0" borderId="67" xfId="0" applyFont="1" applyFill="1" applyBorder="1" applyAlignment="1">
      <alignment horizontal="center" vertical="center"/>
    </xf>
    <xf numFmtId="0" fontId="86" fillId="0" borderId="68" xfId="0" applyFont="1" applyFill="1" applyBorder="1" applyAlignment="1">
      <alignment horizontal="center" vertical="center"/>
    </xf>
    <xf numFmtId="0" fontId="86" fillId="0" borderId="71" xfId="0" applyFont="1" applyFill="1" applyBorder="1" applyAlignment="1">
      <alignment horizontal="center" vertical="center"/>
    </xf>
    <xf numFmtId="0" fontId="86" fillId="0" borderId="72" xfId="0" applyFont="1" applyFill="1" applyBorder="1" applyAlignment="1">
      <alignment horizontal="center" vertical="center"/>
    </xf>
    <xf numFmtId="0" fontId="86" fillId="0" borderId="73" xfId="0" applyFont="1" applyFill="1" applyBorder="1" applyAlignment="1">
      <alignment horizontal="center" vertical="center"/>
    </xf>
    <xf numFmtId="0" fontId="86" fillId="0" borderId="63" xfId="0" applyFont="1" applyFill="1" applyBorder="1" applyAlignment="1">
      <alignment horizontal="center" vertical="center"/>
    </xf>
    <xf numFmtId="0" fontId="87" fillId="0" borderId="47" xfId="0" applyFont="1" applyFill="1" applyBorder="1" applyAlignment="1">
      <alignment horizontal="center" vertical="center" wrapText="1"/>
    </xf>
    <xf numFmtId="0" fontId="87" fillId="0" borderId="48" xfId="0" applyFont="1" applyFill="1" applyBorder="1" applyAlignment="1">
      <alignment horizontal="center" vertical="center" wrapText="1"/>
    </xf>
    <xf numFmtId="0" fontId="87" fillId="0" borderId="65" xfId="0" applyFont="1" applyFill="1" applyBorder="1" applyAlignment="1">
      <alignment horizontal="center" vertical="center" wrapText="1"/>
    </xf>
    <xf numFmtId="0" fontId="87" fillId="0" borderId="61" xfId="0" applyFont="1" applyFill="1" applyBorder="1" applyAlignment="1">
      <alignment horizontal="center" vertical="center" wrapText="1"/>
    </xf>
    <xf numFmtId="0" fontId="86" fillId="0" borderId="61" xfId="0" applyFont="1" applyFill="1" applyBorder="1" applyAlignment="1">
      <alignment horizontal="center" vertical="center" wrapText="1"/>
    </xf>
    <xf numFmtId="0" fontId="86" fillId="0" borderId="61" xfId="0" applyFont="1" applyFill="1" applyBorder="1" applyAlignment="1">
      <alignment horizontal="center" vertical="center"/>
    </xf>
    <xf numFmtId="0" fontId="87" fillId="0" borderId="61" xfId="0" applyFont="1" applyFill="1" applyBorder="1" applyAlignment="1">
      <alignment horizontal="center" vertical="center"/>
    </xf>
    <xf numFmtId="0" fontId="87" fillId="0" borderId="62" xfId="0" applyFont="1" applyFill="1" applyBorder="1" applyAlignment="1">
      <alignment horizontal="center" vertical="center" wrapText="1"/>
    </xf>
    <xf numFmtId="0" fontId="87" fillId="0" borderId="64" xfId="0" applyFont="1" applyFill="1" applyBorder="1" applyAlignment="1">
      <alignment horizontal="center" vertical="center"/>
    </xf>
    <xf numFmtId="0" fontId="87" fillId="0" borderId="66" xfId="0" applyFont="1" applyFill="1" applyBorder="1" applyAlignment="1">
      <alignment horizontal="center" vertical="center"/>
    </xf>
    <xf numFmtId="0" fontId="87" fillId="0" borderId="67" xfId="0" applyFont="1" applyFill="1" applyBorder="1" applyAlignment="1">
      <alignment horizontal="center" vertical="center"/>
    </xf>
    <xf numFmtId="0" fontId="87" fillId="0" borderId="68" xfId="0" applyFont="1" applyFill="1" applyBorder="1" applyAlignment="1">
      <alignment horizontal="center" vertical="center"/>
    </xf>
    <xf numFmtId="0" fontId="87" fillId="0" borderId="69" xfId="0" applyFont="1" applyFill="1" applyBorder="1" applyAlignment="1">
      <alignment horizontal="center" vertical="center"/>
    </xf>
    <xf numFmtId="0" fontId="87" fillId="0" borderId="0" xfId="0" applyFont="1" applyFill="1" applyAlignment="1">
      <alignment horizontal="center" vertical="center"/>
    </xf>
    <xf numFmtId="0" fontId="87" fillId="0" borderId="70" xfId="0" applyFont="1" applyFill="1" applyBorder="1" applyAlignment="1">
      <alignment horizontal="center" vertical="center"/>
    </xf>
    <xf numFmtId="0" fontId="87" fillId="0" borderId="71" xfId="0" applyFont="1" applyFill="1" applyBorder="1" applyAlignment="1">
      <alignment horizontal="center" vertical="center"/>
    </xf>
    <xf numFmtId="0" fontId="87" fillId="0" borderId="72" xfId="0" applyFont="1" applyFill="1" applyBorder="1" applyAlignment="1">
      <alignment horizontal="center" vertical="center"/>
    </xf>
    <xf numFmtId="0" fontId="87" fillId="0" borderId="73" xfId="0" applyFont="1" applyFill="1" applyBorder="1" applyAlignment="1">
      <alignment horizontal="center" vertical="center"/>
    </xf>
    <xf numFmtId="0" fontId="87" fillId="0" borderId="64" xfId="0" applyFont="1" applyFill="1" applyBorder="1" applyAlignment="1">
      <alignment horizontal="center" vertical="center" wrapText="1"/>
    </xf>
    <xf numFmtId="0" fontId="65" fillId="0" borderId="71" xfId="0" applyFont="1" applyFill="1" applyBorder="1" applyAlignment="1">
      <alignment vertical="top" wrapText="1"/>
    </xf>
    <xf numFmtId="0" fontId="63" fillId="0" borderId="71" xfId="0" applyFont="1" applyFill="1" applyBorder="1" applyAlignment="1">
      <alignment vertical="top" wrapText="1"/>
    </xf>
    <xf numFmtId="0" fontId="18" fillId="0" borderId="71" xfId="0" applyFont="1" applyFill="1" applyBorder="1" applyAlignment="1">
      <alignment wrapText="1"/>
    </xf>
    <xf numFmtId="0" fontId="19" fillId="0" borderId="71" xfId="0" applyFont="1" applyFill="1" applyBorder="1" applyAlignment="1">
      <alignment horizontal="left" vertical="center" wrapText="1" indent="1"/>
    </xf>
    <xf numFmtId="0" fontId="18" fillId="0" borderId="62" xfId="0" applyFont="1" applyFill="1" applyBorder="1" applyAlignment="1">
      <alignment wrapText="1"/>
    </xf>
    <xf numFmtId="0" fontId="19" fillId="0" borderId="62" xfId="0" applyFont="1" applyFill="1" applyBorder="1" applyAlignment="1">
      <alignment horizontal="left" vertical="center" wrapText="1" indent="1"/>
    </xf>
    <xf numFmtId="0" fontId="19" fillId="0" borderId="71" xfId="0" applyFont="1" applyFill="1" applyBorder="1" applyAlignment="1">
      <alignment horizontal="left" vertical="center" indent="1"/>
    </xf>
    <xf numFmtId="0" fontId="18" fillId="0" borderId="62" xfId="0" applyFont="1" applyFill="1" applyBorder="1" applyAlignment="1">
      <alignment vertical="center"/>
    </xf>
    <xf numFmtId="0" fontId="18" fillId="0" borderId="71" xfId="0" applyFont="1" applyFill="1" applyBorder="1" applyAlignment="1">
      <alignment horizontal="left" wrapText="1"/>
    </xf>
    <xf numFmtId="0" fontId="18" fillId="0" borderId="61" xfId="0" applyFont="1" applyFill="1" applyBorder="1" applyAlignment="1">
      <alignment vertical="center" wrapText="1"/>
    </xf>
    <xf numFmtId="0" fontId="96" fillId="0" borderId="61" xfId="0" applyFont="1" applyFill="1" applyBorder="1" applyAlignment="1">
      <alignment vertical="center" wrapText="1"/>
    </xf>
    <xf numFmtId="0" fontId="25" fillId="0" borderId="71" xfId="0" applyFont="1" applyFill="1" applyBorder="1" applyAlignment="1">
      <alignment wrapText="1"/>
    </xf>
    <xf numFmtId="0" fontId="87" fillId="0" borderId="71" xfId="0" applyFont="1" applyFill="1" applyBorder="1" applyAlignment="1">
      <alignment horizontal="left" vertical="center" wrapText="1" indent="1"/>
    </xf>
    <xf numFmtId="0" fontId="25" fillId="0" borderId="62" xfId="0" applyFont="1" applyFill="1" applyBorder="1" applyAlignment="1">
      <alignment wrapText="1"/>
    </xf>
    <xf numFmtId="0" fontId="87" fillId="0" borderId="62" xfId="0" applyFont="1" applyFill="1" applyBorder="1" applyAlignment="1">
      <alignment horizontal="left" vertical="center" wrapText="1" indent="1"/>
    </xf>
    <xf numFmtId="0" fontId="87" fillId="0" borderId="71" xfId="0" applyFont="1" applyFill="1" applyBorder="1" applyAlignment="1">
      <alignment horizontal="left" vertical="center" indent="1"/>
    </xf>
    <xf numFmtId="0" fontId="25" fillId="0" borderId="62" xfId="0" applyFont="1" applyFill="1" applyBorder="1" applyAlignment="1">
      <alignment vertical="center"/>
    </xf>
    <xf numFmtId="0" fontId="25" fillId="0" borderId="71" xfId="0" applyFont="1" applyFill="1" applyBorder="1" applyAlignment="1">
      <alignment horizontal="left" wrapText="1"/>
    </xf>
    <xf numFmtId="0" fontId="91" fillId="0" borderId="61" xfId="0" applyFont="1" applyFill="1" applyBorder="1" applyAlignment="1">
      <alignment vertical="center" wrapText="1"/>
    </xf>
    <xf numFmtId="0" fontId="103" fillId="0" borderId="61" xfId="0" applyFont="1" applyFill="1" applyBorder="1" applyAlignment="1">
      <alignment vertical="center" wrapText="1"/>
    </xf>
    <xf numFmtId="0" fontId="90" fillId="0" borderId="61" xfId="0" applyFont="1" applyFill="1" applyBorder="1" applyAlignment="1">
      <alignment vertical="center" wrapText="1"/>
    </xf>
    <xf numFmtId="165" fontId="19" fillId="0" borderId="28" xfId="589" applyNumberFormat="1" applyFont="1" applyBorder="1" applyAlignment="1">
      <alignment vertical="center"/>
    </xf>
    <xf numFmtId="165" fontId="19" fillId="0" borderId="31" xfId="589" applyNumberFormat="1" applyFont="1" applyBorder="1" applyAlignment="1">
      <alignment horizontal="center" vertical="center"/>
    </xf>
  </cellXfs>
  <cellStyles count="751">
    <cellStyle name="20% - Accent1" xfId="47" xr:uid="{07E0FD48-CDE5-49DF-B86E-8634A04B53F2}"/>
    <cellStyle name="20% - Accent2" xfId="48" xr:uid="{055AA569-0D8E-44E3-A76B-5B466453ECDE}"/>
    <cellStyle name="20% - Accent3" xfId="49" xr:uid="{D780EFE5-4309-443B-8D54-DF568606EE09}"/>
    <cellStyle name="20% - Accent4" xfId="50" xr:uid="{8AA499D2-C258-40A4-9902-EB17A1FA5D6A}"/>
    <cellStyle name="20% - Accent5" xfId="51" xr:uid="{631F0670-6C16-4D54-9BF4-8F73CEE0F3CC}"/>
    <cellStyle name="20% - Accent6" xfId="52" xr:uid="{50B3DCBE-30BA-4E2A-BC6F-B6BBFF4D6CC7}"/>
    <cellStyle name="20% — akcent 1" xfId="17" builtinId="30" customBuiltin="1"/>
    <cellStyle name="20% — akcent 1 2" xfId="161" xr:uid="{F5A1634D-8424-4D57-AD65-39D28E00AADB}"/>
    <cellStyle name="20% — akcent 1 2 2" xfId="238" xr:uid="{FD91A381-FDB2-4176-B62A-602D57BDB250}"/>
    <cellStyle name="20% — akcent 1 2 2 2" xfId="491" xr:uid="{60ABAE33-82F8-4949-AF4E-36E1B1F6A03E}"/>
    <cellStyle name="20% — akcent 1 2 3" xfId="361" xr:uid="{908E8E03-A426-47B8-AE3F-C6559408723F}"/>
    <cellStyle name="20% — akcent 1 2 3 2" xfId="558" xr:uid="{EDD5BC0F-E0E1-4DFC-ACC5-9676ED396B7B}"/>
    <cellStyle name="20% — akcent 1 2 4" xfId="435" xr:uid="{E8EA4034-EC5B-4BC1-9FB8-5784AF9F76F4}"/>
    <cellStyle name="20% — akcent 1 3" xfId="186" xr:uid="{D8439047-55FA-44EA-A562-5DCE2445FE0B}"/>
    <cellStyle name="20% — akcent 1 3 2" xfId="457" xr:uid="{F5F875FE-D510-4CEB-98D3-9B1D2AF48714}"/>
    <cellStyle name="20% — akcent 1 4" xfId="310" xr:uid="{05911D7F-2E9B-46A4-9D2A-B529BAE7EF22}"/>
    <cellStyle name="20% — akcent 1 4 2" xfId="507" xr:uid="{C3089F29-2BA6-477F-88AC-79C9E90F64F0}"/>
    <cellStyle name="20% — akcent 1 5" xfId="384" xr:uid="{D9D7CD73-852C-4EE3-AEA8-62EC1B562BBB}"/>
    <cellStyle name="20% — akcent 2" xfId="20" builtinId="34" customBuiltin="1"/>
    <cellStyle name="20% — akcent 2 2" xfId="159" xr:uid="{ECD22AA4-DC04-422C-93BC-99E1D8C1BD7C}"/>
    <cellStyle name="20% — akcent 2 2 2" xfId="236" xr:uid="{AE93B929-D92A-43B3-996D-20900633898B}"/>
    <cellStyle name="20% — akcent 2 2 2 2" xfId="489" xr:uid="{8AA5D694-DB35-43FD-8C50-46D80E6E1BF8}"/>
    <cellStyle name="20% — akcent 2 2 3" xfId="359" xr:uid="{97E55DA3-6292-467E-911E-0C721BF0A4EF}"/>
    <cellStyle name="20% — akcent 2 2 3 2" xfId="556" xr:uid="{CF38E1F4-913D-4677-A4D4-DD66D745D628}"/>
    <cellStyle name="20% — akcent 2 2 4" xfId="433" xr:uid="{35DF2067-7337-41A9-8F4F-91F7E5B285BC}"/>
    <cellStyle name="20% — akcent 2 3" xfId="188" xr:uid="{5DD57C31-2D9D-4EB5-97D5-0042DE4440E7}"/>
    <cellStyle name="20% — akcent 2 3 2" xfId="459" xr:uid="{F8225B4C-2175-4635-ABB9-0C9758D9E25E}"/>
    <cellStyle name="20% — akcent 2 4" xfId="312" xr:uid="{CF9AA9B9-9DC9-4B7B-8AF9-58971D8E908D}"/>
    <cellStyle name="20% — akcent 2 4 2" xfId="509" xr:uid="{AD160E5F-6ADD-4718-8ED2-8952F50B8F0D}"/>
    <cellStyle name="20% — akcent 2 5" xfId="386" xr:uid="{91E836A9-173E-4F0D-96D5-83F9EA86528E}"/>
    <cellStyle name="20% — akcent 3" xfId="23" builtinId="38" customBuiltin="1"/>
    <cellStyle name="20% — akcent 3 2" xfId="157" xr:uid="{0DB144BF-C8D0-4266-AA0D-A30C01403C7E}"/>
    <cellStyle name="20% — akcent 3 2 2" xfId="234" xr:uid="{81FBF73D-5C0A-4BB4-AA7F-8439EF6D415A}"/>
    <cellStyle name="20% — akcent 3 2 2 2" xfId="487" xr:uid="{67181CB4-3AC5-4DB3-902B-27D6CA949AFF}"/>
    <cellStyle name="20% — akcent 3 2 3" xfId="357" xr:uid="{C4E63E6C-2C92-4A7A-95C4-DF905AFAEB13}"/>
    <cellStyle name="20% — akcent 3 2 3 2" xfId="554" xr:uid="{040F1578-32DB-4576-8639-68AFABC6C6C5}"/>
    <cellStyle name="20% — akcent 3 2 4" xfId="431" xr:uid="{62729AA5-BB13-4E76-ADB9-CA5072C8DB85}"/>
    <cellStyle name="20% — akcent 3 3" xfId="190" xr:uid="{D1EF159E-3D91-48DA-9FE7-A4D573929B7B}"/>
    <cellStyle name="20% — akcent 3 3 2" xfId="461" xr:uid="{D14963BE-ED4B-480B-9F86-F9BE30AD6AAB}"/>
    <cellStyle name="20% — akcent 3 4" xfId="314" xr:uid="{AFC6640E-BDF1-448A-BCD9-A500F7C5D15D}"/>
    <cellStyle name="20% — akcent 3 4 2" xfId="511" xr:uid="{C469FFF5-B2DF-443C-9367-8E6843C43D80}"/>
    <cellStyle name="20% — akcent 3 5" xfId="388" xr:uid="{CE82DBAB-1862-41F3-877B-EB628526695A}"/>
    <cellStyle name="20% — akcent 4" xfId="26" builtinId="42" customBuiltin="1"/>
    <cellStyle name="20% — akcent 4 2" xfId="155" xr:uid="{AED4B904-C41F-4BA2-B3CF-E0888C9F1AB2}"/>
    <cellStyle name="20% — akcent 4 2 2" xfId="232" xr:uid="{55568F6B-451B-413A-9AB5-78EBB7F76888}"/>
    <cellStyle name="20% — akcent 4 2 2 2" xfId="485" xr:uid="{4B1BAAB3-7AD5-4C72-9A83-BD7D2F8BD19B}"/>
    <cellStyle name="20% — akcent 4 2 3" xfId="355" xr:uid="{D3155D2A-D319-4A94-B0A5-D8BDA8147776}"/>
    <cellStyle name="20% — akcent 4 2 3 2" xfId="552" xr:uid="{5813CACD-FD9A-4521-A4C7-35DDC3D20CA5}"/>
    <cellStyle name="20% — akcent 4 2 4" xfId="429" xr:uid="{D4106046-7C1E-467F-8688-B0EDE2DB0BE0}"/>
    <cellStyle name="20% — akcent 4 3" xfId="192" xr:uid="{F94B065C-FFF1-430B-A2D5-D6953D21C1C1}"/>
    <cellStyle name="20% — akcent 4 3 2" xfId="463" xr:uid="{A50DEFE7-0B6A-4F59-A08B-8CD9E71B6D86}"/>
    <cellStyle name="20% — akcent 4 4" xfId="316" xr:uid="{0D8D50C3-A8A7-41E8-BC90-0A9921A48641}"/>
    <cellStyle name="20% — akcent 4 4 2" xfId="513" xr:uid="{D77F9242-7B82-459C-B678-2C4432BD4AB7}"/>
    <cellStyle name="20% — akcent 4 5" xfId="390" xr:uid="{BDC891AB-AEAA-4539-825C-48BD82A93591}"/>
    <cellStyle name="20% — akcent 5" xfId="29" builtinId="46" customBuiltin="1"/>
    <cellStyle name="20% — akcent 5 2" xfId="135" xr:uid="{A1B5A25B-536D-4E3A-8BE9-3417BE98B26E}"/>
    <cellStyle name="20% — akcent 5 2 2" xfId="213" xr:uid="{03613AAA-9CAD-4CCE-8508-044575474280}"/>
    <cellStyle name="20% — akcent 5 2 2 2" xfId="475" xr:uid="{9C59DC65-B941-4EBA-ADBF-428FEF3C9E25}"/>
    <cellStyle name="20% — akcent 5 2 3" xfId="336" xr:uid="{5DC849AA-492B-4E0D-8621-55E6A649D6F2}"/>
    <cellStyle name="20% — akcent 5 2 3 2" xfId="533" xr:uid="{A974D052-2C1A-435F-B0BF-4B9CF231B9D1}"/>
    <cellStyle name="20% — akcent 5 2 4" xfId="410" xr:uid="{324E957A-083F-45B3-B3C3-A41916A75E7F}"/>
    <cellStyle name="20% — akcent 5 3" xfId="194" xr:uid="{5A7E1121-ADD9-4E3F-8666-ECD394150440}"/>
    <cellStyle name="20% — akcent 5 3 2" xfId="465" xr:uid="{2F7C9BDD-F121-4D8D-A131-3788B7AA87C4}"/>
    <cellStyle name="20% — akcent 5 4" xfId="318" xr:uid="{D0D2A89F-BDAC-49A3-877D-134382E6FDFF}"/>
    <cellStyle name="20% — akcent 5 4 2" xfId="515" xr:uid="{C83B907E-54AA-4653-9E86-002B330D4D57}"/>
    <cellStyle name="20% — akcent 5 5" xfId="392" xr:uid="{FE7FEF25-E1F6-4632-B4BB-7D0F255C2479}"/>
    <cellStyle name="20% — akcent 6" xfId="32" builtinId="50" customBuiltin="1"/>
    <cellStyle name="20% — akcent 6 2" xfId="137" xr:uid="{3856257A-FF87-4179-B8D4-7BF16FFECF56}"/>
    <cellStyle name="20% — akcent 6 2 2" xfId="215" xr:uid="{A68DD84D-4B05-4279-AB9C-1EFB114978E5}"/>
    <cellStyle name="20% — akcent 6 2 2 2" xfId="477" xr:uid="{501C4CD0-5516-4483-8297-5473EF4BF263}"/>
    <cellStyle name="20% — akcent 6 2 3" xfId="338" xr:uid="{72D23704-6662-4169-8ABB-6E5C8DD5C919}"/>
    <cellStyle name="20% — akcent 6 2 3 2" xfId="535" xr:uid="{1C655657-43CF-41FC-A00D-C7B5896C3B39}"/>
    <cellStyle name="20% — akcent 6 2 4" xfId="412" xr:uid="{3949875E-2A93-4D20-A6A8-4AFBFDFFE6CA}"/>
    <cellStyle name="20% — akcent 6 3" xfId="196" xr:uid="{F2748F2B-3E73-4EF7-8B6F-83DE8E024B44}"/>
    <cellStyle name="20% — akcent 6 3 2" xfId="467" xr:uid="{7029BB78-EB86-4DA9-B69D-3B9B5C174E0C}"/>
    <cellStyle name="20% — akcent 6 4" xfId="320" xr:uid="{F585926B-B040-45D1-A07B-6984189FB416}"/>
    <cellStyle name="20% — akcent 6 4 2" xfId="517" xr:uid="{78EBA0C0-24D6-423F-AB57-3BABA3E4A657}"/>
    <cellStyle name="20% — akcent 6 5" xfId="394" xr:uid="{7305B951-CA23-4BF3-9D15-3458404BA928}"/>
    <cellStyle name="40% - Accent1" xfId="53" xr:uid="{9F8ECB84-F473-4792-8838-56EF20A35875}"/>
    <cellStyle name="40% - Accent2" xfId="54" xr:uid="{0C9BD095-D830-405A-8695-6E57DD474311}"/>
    <cellStyle name="40% - Accent3" xfId="55" xr:uid="{95F008B8-0921-4167-8F8B-8C5F947F2425}"/>
    <cellStyle name="40% - Accent4" xfId="56" xr:uid="{A2A4DB59-FFB7-46CB-802D-E4C49EF4BE72}"/>
    <cellStyle name="40% - Accent5" xfId="57" xr:uid="{0956C209-FA1F-4887-BEA3-9A59087FB918}"/>
    <cellStyle name="40% - Accent6" xfId="58" xr:uid="{352AC69F-E853-4381-949C-BF568DBC5242}"/>
    <cellStyle name="40% — akcent 1" xfId="18" builtinId="31" customBuiltin="1"/>
    <cellStyle name="40% — akcent 1 2" xfId="160" xr:uid="{B3C03E9F-E292-4C74-AB4D-AE43C52E1B24}"/>
    <cellStyle name="40% — akcent 1 2 2" xfId="237" xr:uid="{AC827F7B-BF0D-40E8-8362-FB8D0B4B28A5}"/>
    <cellStyle name="40% — akcent 1 2 2 2" xfId="490" xr:uid="{C3C46C83-C99B-4F1E-85BC-6A4D94760A6A}"/>
    <cellStyle name="40% — akcent 1 2 3" xfId="360" xr:uid="{AE08B878-691D-4974-8E36-5053C0E9314B}"/>
    <cellStyle name="40% — akcent 1 2 3 2" xfId="557" xr:uid="{6DC0547B-C427-4020-A4F0-1DE1B2D84E1E}"/>
    <cellStyle name="40% — akcent 1 2 4" xfId="434" xr:uid="{1922FBD9-B3B5-44AF-802C-B85DFE004E72}"/>
    <cellStyle name="40% — akcent 1 3" xfId="187" xr:uid="{AC005E7B-CBCE-4448-9216-47423F753333}"/>
    <cellStyle name="40% — akcent 1 3 2" xfId="458" xr:uid="{7257EB77-CAD6-48F4-B36A-7F9A30D9EE06}"/>
    <cellStyle name="40% — akcent 1 4" xfId="311" xr:uid="{4584C9ED-F41D-430E-A380-16BFFC42267C}"/>
    <cellStyle name="40% — akcent 1 4 2" xfId="508" xr:uid="{8B8C9267-1045-4E53-BCFA-911EED44AE40}"/>
    <cellStyle name="40% — akcent 1 5" xfId="385" xr:uid="{AA65F431-3476-436B-8409-EB3925F99CA8}"/>
    <cellStyle name="40% — akcent 2" xfId="21" builtinId="35" customBuiltin="1"/>
    <cellStyle name="40% — akcent 2 2" xfId="158" xr:uid="{3B9021E1-7767-4234-96AA-5BC1E974FC40}"/>
    <cellStyle name="40% — akcent 2 2 2" xfId="235" xr:uid="{1059D1E2-33CC-4017-8A35-543CE0A67211}"/>
    <cellStyle name="40% — akcent 2 2 2 2" xfId="488" xr:uid="{0384592D-0B3E-4BE7-8BE6-26151C317946}"/>
    <cellStyle name="40% — akcent 2 2 3" xfId="358" xr:uid="{E13A4D7D-0E4D-4E3C-B952-4B82E2125CCB}"/>
    <cellStyle name="40% — akcent 2 2 3 2" xfId="555" xr:uid="{006152BE-CF21-415B-B0C2-5EEA22DFBDB0}"/>
    <cellStyle name="40% — akcent 2 2 4" xfId="432" xr:uid="{886FA659-9FF3-4135-84AA-BB89B9365694}"/>
    <cellStyle name="40% — akcent 2 3" xfId="189" xr:uid="{87BFBF92-39F9-4FD9-855B-CAF911FF173F}"/>
    <cellStyle name="40% — akcent 2 3 2" xfId="460" xr:uid="{FCD978E1-349C-4FD2-8DFB-3745F685C6C2}"/>
    <cellStyle name="40% — akcent 2 4" xfId="313" xr:uid="{00CE81A2-93BD-4D0C-8EB8-4DC2D16DAD3D}"/>
    <cellStyle name="40% — akcent 2 4 2" xfId="510" xr:uid="{5977EAA3-AD00-4C2D-AEA9-AA1B4CD3339B}"/>
    <cellStyle name="40% — akcent 2 5" xfId="387" xr:uid="{158A041D-D7E1-41FB-BFA2-765AEC3876F8}"/>
    <cellStyle name="40% — akcent 3" xfId="24" builtinId="39" customBuiltin="1"/>
    <cellStyle name="40% — akcent 3 2" xfId="156" xr:uid="{3FAAD569-E287-4315-8CE8-6AD2C202550F}"/>
    <cellStyle name="40% — akcent 3 2 2" xfId="233" xr:uid="{8E4BCD7A-81AF-4888-A5FA-E2A232A7C073}"/>
    <cellStyle name="40% — akcent 3 2 2 2" xfId="486" xr:uid="{914C81A4-A8C8-40A3-8CAC-17F8EC2B79CC}"/>
    <cellStyle name="40% — akcent 3 2 3" xfId="356" xr:uid="{10259D7E-744C-40DE-B266-1FA1F9626D62}"/>
    <cellStyle name="40% — akcent 3 2 3 2" xfId="553" xr:uid="{A8622688-A206-402E-91C6-D5B203F76570}"/>
    <cellStyle name="40% — akcent 3 2 4" xfId="430" xr:uid="{15A797A3-A4D7-474B-BF1C-B61D51F175C4}"/>
    <cellStyle name="40% — akcent 3 3" xfId="191" xr:uid="{3733D6DB-4057-496C-9149-4B5E629CCB78}"/>
    <cellStyle name="40% — akcent 3 3 2" xfId="462" xr:uid="{13ED0302-A26E-482E-B0A8-03C2C8278D07}"/>
    <cellStyle name="40% — akcent 3 4" xfId="315" xr:uid="{F2B15FCD-61DD-4CF8-8414-2E88E7CA47EB}"/>
    <cellStyle name="40% — akcent 3 4 2" xfId="512" xr:uid="{B3B5EEDA-131D-4DD8-8517-BBF1C6C1EC34}"/>
    <cellStyle name="40% — akcent 3 5" xfId="389" xr:uid="{23308AB0-2DCA-4382-A089-FE5B147CB0BD}"/>
    <cellStyle name="40% — akcent 4" xfId="27" builtinId="43" customBuiltin="1"/>
    <cellStyle name="40% — akcent 4 2" xfId="154" xr:uid="{36193A5F-A26B-4C0B-9383-DAC07339752F}"/>
    <cellStyle name="40% — akcent 4 2 2" xfId="231" xr:uid="{1B9D7858-3120-4F94-8CC3-588F2FCFF889}"/>
    <cellStyle name="40% — akcent 4 2 2 2" xfId="484" xr:uid="{8FF6A2DF-298C-4862-B43F-60CFE3894FE2}"/>
    <cellStyle name="40% — akcent 4 2 3" xfId="354" xr:uid="{71BD2DB8-E1D2-48A7-94F0-BF9FDA699A99}"/>
    <cellStyle name="40% — akcent 4 2 3 2" xfId="551" xr:uid="{2E1F0897-2B62-44D4-B713-636F97DF13C6}"/>
    <cellStyle name="40% — akcent 4 2 4" xfId="428" xr:uid="{2AC072C0-F9A0-4A09-870F-2432C3811E99}"/>
    <cellStyle name="40% — akcent 4 3" xfId="193" xr:uid="{0ACD26FD-3F1E-407A-835C-3D09D38F23B1}"/>
    <cellStyle name="40% — akcent 4 3 2" xfId="464" xr:uid="{4BC09782-8788-4AB0-868D-E81B405F3D23}"/>
    <cellStyle name="40% — akcent 4 4" xfId="317" xr:uid="{0BD0CEA4-00A9-44FF-A82B-A52F7B5D8220}"/>
    <cellStyle name="40% — akcent 4 4 2" xfId="514" xr:uid="{134DADBC-6C91-4C53-AB59-0FB61801FFB7}"/>
    <cellStyle name="40% — akcent 4 5" xfId="391" xr:uid="{4F608B95-D04C-4F47-BBEA-4B9791915EEF}"/>
    <cellStyle name="40% — akcent 5" xfId="30" builtinId="47" customBuiltin="1"/>
    <cellStyle name="40% — akcent 5 2" xfId="136" xr:uid="{8A926198-A13D-4116-B619-4C6108C9C2A5}"/>
    <cellStyle name="40% — akcent 5 2 2" xfId="214" xr:uid="{BD6E6E5F-894E-4AA2-880B-6B595A7D90D7}"/>
    <cellStyle name="40% — akcent 5 2 2 2" xfId="476" xr:uid="{04B26BBE-6A7F-47C9-9508-EBD7041F3A71}"/>
    <cellStyle name="40% — akcent 5 2 3" xfId="337" xr:uid="{FE9D125D-C2A6-40FE-A77F-670D8CC0D8AA}"/>
    <cellStyle name="40% — akcent 5 2 3 2" xfId="534" xr:uid="{ABE9371A-E4A9-49F0-8932-48B09B5B6FAF}"/>
    <cellStyle name="40% — akcent 5 2 4" xfId="411" xr:uid="{6AE27E48-0749-4407-9646-33215DD020B1}"/>
    <cellStyle name="40% — akcent 5 3" xfId="195" xr:uid="{33D83B34-B034-4158-B74F-3D7741ABCB7F}"/>
    <cellStyle name="40% — akcent 5 3 2" xfId="466" xr:uid="{14A7393F-C1A1-4535-A921-963812BEC417}"/>
    <cellStyle name="40% — akcent 5 4" xfId="319" xr:uid="{D4F5B482-10F4-4D36-B9C9-798B3E411423}"/>
    <cellStyle name="40% — akcent 5 4 2" xfId="516" xr:uid="{01E98F6F-EC9C-47E9-8786-257CFE2ACF43}"/>
    <cellStyle name="40% — akcent 5 5" xfId="393" xr:uid="{F77692BE-1CEB-430E-8C23-5FFE3AC3CCF6}"/>
    <cellStyle name="40% — akcent 6" xfId="33" builtinId="51" customBuiltin="1"/>
    <cellStyle name="40% — akcent 6 2" xfId="138" xr:uid="{4C9A084F-DF34-48FD-A7BF-C36D534178B2}"/>
    <cellStyle name="40% — akcent 6 2 2" xfId="216" xr:uid="{A663360B-4608-4765-B4A9-D0885BD7446F}"/>
    <cellStyle name="40% — akcent 6 2 2 2" xfId="478" xr:uid="{35494F30-036F-4D05-8C85-556CD8E5311B}"/>
    <cellStyle name="40% — akcent 6 2 3" xfId="339" xr:uid="{64C002BC-6B6B-4A0E-9EA2-8A35026D38F4}"/>
    <cellStyle name="40% — akcent 6 2 3 2" xfId="536" xr:uid="{638D681D-D547-4097-AB93-844D8FD0F8C2}"/>
    <cellStyle name="40% — akcent 6 2 4" xfId="413" xr:uid="{F30B1C52-6194-4E65-85E9-455717F55ECE}"/>
    <cellStyle name="40% — akcent 6 3" xfId="197" xr:uid="{E4AFAA21-ACE5-4F26-8D1C-E024A2812152}"/>
    <cellStyle name="40% — akcent 6 3 2" xfId="468" xr:uid="{343934AA-4A5B-405E-B3CA-89959B8A3809}"/>
    <cellStyle name="40% — akcent 6 4" xfId="321" xr:uid="{50472C76-5267-4BDE-A76F-B33B426BC4AA}"/>
    <cellStyle name="40% — akcent 6 4 2" xfId="518" xr:uid="{A33B4C36-FAA3-44A9-93E3-3F00C8C68D00}"/>
    <cellStyle name="40% — akcent 6 5" xfId="395" xr:uid="{B13A9947-CB61-403F-9C47-08C1323C78EE}"/>
    <cellStyle name="60% - Accent1" xfId="59" xr:uid="{E2C64DFD-DE3D-497F-AE4C-B4FE53D179BA}"/>
    <cellStyle name="60% - Accent2" xfId="60" xr:uid="{B37969B6-0CED-4246-B4FF-7DD9EDD099DD}"/>
    <cellStyle name="60% - Accent3" xfId="61" xr:uid="{F27A6222-7AB6-420D-8F4E-B1A0C9AD0CF1}"/>
    <cellStyle name="60% - Accent4" xfId="62" xr:uid="{24469545-E1DD-4102-AA22-6FBE987DE616}"/>
    <cellStyle name="60% - Accent5" xfId="63" xr:uid="{6922C61B-2403-4556-ABD2-6A9326F9CB5D}"/>
    <cellStyle name="60% - Accent6" xfId="64" xr:uid="{0066432C-A725-4544-A940-BB6F3F2DB984}"/>
    <cellStyle name="60% — akcent 1 2" xfId="38" xr:uid="{E4083502-708A-4E90-8A84-4765C1873FA1}"/>
    <cellStyle name="60% — akcent 2 2" xfId="39" xr:uid="{E133166D-4B63-4224-85E6-1CA51C75FFB3}"/>
    <cellStyle name="60% — akcent 3 2" xfId="41" xr:uid="{F684AC1D-EFFE-4D87-847C-9DE6FAD3D680}"/>
    <cellStyle name="60% — akcent 4 2" xfId="42" xr:uid="{4650C0BC-0867-44DE-804B-4D725B606393}"/>
    <cellStyle name="60% — akcent 5 2" xfId="43" xr:uid="{6A9118D5-B38D-46AA-B57A-9886F90FAF28}"/>
    <cellStyle name="60% — akcent 6 2" xfId="44" xr:uid="{51C71B81-54DF-44AD-A4F2-3AC56382CCE6}"/>
    <cellStyle name="Accent1" xfId="65" xr:uid="{FB6243EB-DAE9-4FFA-B3F6-B6675C70CBD7}"/>
    <cellStyle name="Accent2" xfId="66" xr:uid="{990686C5-416A-4F3E-90B1-DF58BF4F7A19}"/>
    <cellStyle name="Accent3" xfId="67" xr:uid="{EFE7FC7B-3049-413D-8A28-E622FCF4099D}"/>
    <cellStyle name="Accent4" xfId="68" xr:uid="{E5F426D0-94C3-4862-ACC7-B28D841D0B47}"/>
    <cellStyle name="Accent5" xfId="69" xr:uid="{E323F2B3-BA9A-4BD3-8EFC-5D4A222936DA}"/>
    <cellStyle name="Accent6" xfId="70" xr:uid="{86251717-0608-408D-85A7-D5C7F329814F}"/>
    <cellStyle name="Akcent 1" xfId="16" builtinId="29" customBuiltin="1"/>
    <cellStyle name="Akcent 1 2" xfId="71" xr:uid="{CB81BC57-7302-4B93-AF4B-389ED2D096A3}"/>
    <cellStyle name="Akcent 2" xfId="19" builtinId="33" customBuiltin="1"/>
    <cellStyle name="Akcent 2 2" xfId="72" xr:uid="{62F14240-3BB5-4532-B171-B8E02A582A82}"/>
    <cellStyle name="Akcent 3" xfId="22" builtinId="37" customBuiltin="1"/>
    <cellStyle name="Akcent 3 2" xfId="73" xr:uid="{BFA4958C-57BA-4BA0-84BC-A07A1CD50DCF}"/>
    <cellStyle name="Akcent 4" xfId="25" builtinId="41" customBuiltin="1"/>
    <cellStyle name="Akcent 4 2" xfId="74" xr:uid="{476332E0-4EC3-43A0-96AA-823944E64355}"/>
    <cellStyle name="Akcent 5" xfId="28" builtinId="45" customBuiltin="1"/>
    <cellStyle name="Akcent 5 2" xfId="75" xr:uid="{2D4589EA-D777-4FFD-A4CC-09383AB144F3}"/>
    <cellStyle name="Akcent 6" xfId="31" builtinId="49" customBuiltin="1"/>
    <cellStyle name="Akcent 6 2" xfId="76" xr:uid="{72B04782-AEC8-4F04-A453-D5AA5576B5BC}"/>
    <cellStyle name="Bad" xfId="77" xr:uid="{79247F39-56FB-48E8-B32C-B4641698E76E}"/>
    <cellStyle name="Calculation" xfId="78" xr:uid="{87F64E4C-8DB4-46FE-94DA-D98450A81042}"/>
    <cellStyle name="Check Cell" xfId="79" xr:uid="{C3783851-3BC9-4490-A636-97A50C2F58E8}"/>
    <cellStyle name="Dane wejściowe" xfId="8" builtinId="20" customBuiltin="1"/>
    <cellStyle name="Dane wejściowe 2" xfId="80" xr:uid="{7AF4C8C0-8181-46D6-AE87-7CEA9748B014}"/>
    <cellStyle name="Dane wyjściowe" xfId="9" builtinId="21" customBuiltin="1"/>
    <cellStyle name="Dane wyjściowe 2" xfId="81" xr:uid="{75E9A1C1-0AF3-4C05-8087-79C29C25C1DA}"/>
    <cellStyle name="Dobry" xfId="6" builtinId="26" customBuiltin="1"/>
    <cellStyle name="Dziesiętny 2" xfId="83" xr:uid="{D9F106ED-87D0-40BB-ACB9-61AABDA3F500}"/>
    <cellStyle name="Dziesiętny 2 2" xfId="84" xr:uid="{3E05CCD8-3097-4EFE-8982-E9608C0F01AF}"/>
    <cellStyle name="Dziesiętny 2 2 2" xfId="143" xr:uid="{02F2E560-5A43-46E8-B2E4-DB74AE297BC3}"/>
    <cellStyle name="Dziesiętny 2 2 2 2" xfId="221" xr:uid="{F429088E-C328-4D0A-8F20-DFE70B013A27}"/>
    <cellStyle name="Dziesiętny 2 2 2 2 2" xfId="274" xr:uid="{EF7409DE-C5EF-41DC-8CB6-FC1C854D4F31}"/>
    <cellStyle name="Dziesiętny 2 2 2 3" xfId="344" xr:uid="{45ACD5A5-D6C3-4FAD-8068-6F1ADE602F3B}"/>
    <cellStyle name="Dziesiętny 2 2 2 3 2" xfId="541" xr:uid="{D05A6A5C-B5A7-4423-9A6B-7BC0CD703E6C}"/>
    <cellStyle name="Dziesiętny 2 2 2 4" xfId="418" xr:uid="{B925C2A8-BB24-478F-8FB6-FF8D4D63FAD9}"/>
    <cellStyle name="Dziesiętny 2 2 3" xfId="164" xr:uid="{8EB7B278-5BD7-4C56-9D85-A82903C3DFDE}"/>
    <cellStyle name="Dziesiętny 2 2 3 2" xfId="241" xr:uid="{0D5AF6D6-DAF0-4657-AA46-AA7D95540232}"/>
    <cellStyle name="Dziesiętny 2 2 3 2 2" xfId="268" xr:uid="{BD742103-0EFD-440D-91E2-2D3675C7AB69}"/>
    <cellStyle name="Dziesiętny 2 2 3 3" xfId="364" xr:uid="{E8928808-D791-4B32-A4F9-0FA1A1ADCE42}"/>
    <cellStyle name="Dziesiętny 2 2 3 3 2" xfId="561" xr:uid="{768C2833-A414-48B4-A555-7FE5D713FCFE}"/>
    <cellStyle name="Dziesiętny 2 2 3 4" xfId="438" xr:uid="{35B09681-C21F-49FD-A65C-3F5308195897}"/>
    <cellStyle name="Dziesiętny 2 2 4" xfId="173" xr:uid="{1877B580-835D-42A8-B856-C76E725FB3B0}"/>
    <cellStyle name="Dziesiętny 2 2 4 2" xfId="250" xr:uid="{24AEC64C-4929-4BCC-8E6D-5EB36304E476}"/>
    <cellStyle name="Dziesiętny 2 2 4 2 2" xfId="296" xr:uid="{2064806B-1C7E-4CEE-8CB7-B6BE22225A6D}"/>
    <cellStyle name="Dziesiętny 2 2 4 3" xfId="373" xr:uid="{0E8037F2-562F-4B09-BA73-47A9F9B63FA2}"/>
    <cellStyle name="Dziesiętny 2 2 4 3 2" xfId="570" xr:uid="{654552A0-E197-4E07-8651-955D7C6FA694}"/>
    <cellStyle name="Dziesiętny 2 2 4 4" xfId="447" xr:uid="{F48939C6-D337-41CC-A87E-418837AB1F33}"/>
    <cellStyle name="Dziesiętny 2 2 5" xfId="203" xr:uid="{12F53D32-4EC6-4FB2-979F-1AF4DCA0DEE8}"/>
    <cellStyle name="Dziesiętny 2 2 5 2" xfId="300" xr:uid="{137137F0-9CB4-4AA0-AD11-76DC44BB1859}"/>
    <cellStyle name="Dziesiętny 2 2 6" xfId="261" xr:uid="{F1DC8819-9136-4A1C-A42F-CC11EFEFE3B1}"/>
    <cellStyle name="Dziesiętny 2 2 6 2" xfId="497" xr:uid="{DA3A2BA0-C7F3-43B3-AFBE-E6F0ACC5F58E}"/>
    <cellStyle name="Dziesiętny 2 2 7" xfId="326" xr:uid="{A7E515AD-41D3-4466-91FC-762DFF44760A}"/>
    <cellStyle name="Dziesiętny 2 2 7 2" xfId="523" xr:uid="{CB4907BF-5734-456A-A183-E16328CE3B54}"/>
    <cellStyle name="Dziesiętny 2 2 8" xfId="400" xr:uid="{0275AE95-1625-4F4C-A02A-06CC52D7DDB2}"/>
    <cellStyle name="Dziesiętny 2 3" xfId="142" xr:uid="{AE075867-1295-49B7-BDB7-18F33C0A20BF}"/>
    <cellStyle name="Dziesiętny 2 3 2" xfId="220" xr:uid="{5F2E5BB6-0E3C-4A60-8519-5309BF18D614}"/>
    <cellStyle name="Dziesiętny 2 3 2 2" xfId="282" xr:uid="{0A86036B-7419-49A4-8179-F4054D084E09}"/>
    <cellStyle name="Dziesiętny 2 3 3" xfId="343" xr:uid="{C4972187-3B0A-4AF6-AD0B-777D465CF972}"/>
    <cellStyle name="Dziesiętny 2 3 3 2" xfId="540" xr:uid="{DB29F673-3416-4DB2-84F7-AF87421B0500}"/>
    <cellStyle name="Dziesiętny 2 3 4" xfId="417" xr:uid="{75D1048A-B9D5-4369-9470-01F15A705C1E}"/>
    <cellStyle name="Dziesiętny 2 4" xfId="163" xr:uid="{4B7A1017-1B9C-4E00-A2A7-A32238F0AD43}"/>
    <cellStyle name="Dziesiętny 2 4 2" xfId="240" xr:uid="{FB367FAE-527E-4D01-8A02-119D1D6CB0EC}"/>
    <cellStyle name="Dziesiętny 2 4 2 2" xfId="287" xr:uid="{F772A3F6-8164-4E0C-A4C9-7D56388D422F}"/>
    <cellStyle name="Dziesiętny 2 4 3" xfId="363" xr:uid="{CE6D0BB2-404A-4AD0-B9DF-6A8EAC9CCD7F}"/>
    <cellStyle name="Dziesiętny 2 4 3 2" xfId="560" xr:uid="{9FA91DF1-35BD-4B9C-8D5B-9F4FE2D71DE5}"/>
    <cellStyle name="Dziesiętny 2 4 4" xfId="437" xr:uid="{B4B086A0-3D81-4373-AF8C-A9732593440C}"/>
    <cellStyle name="Dziesiętny 2 5" xfId="172" xr:uid="{CF712204-4352-421D-875A-3A071B5714B6}"/>
    <cellStyle name="Dziesiętny 2 5 2" xfId="249" xr:uid="{30C1DE94-94E4-4BB6-A2BD-085097930916}"/>
    <cellStyle name="Dziesiętny 2 5 2 2" xfId="277" xr:uid="{4DBE0269-C8C7-4CB8-9808-920C004B35CE}"/>
    <cellStyle name="Dziesiętny 2 5 3" xfId="372" xr:uid="{D7BE5707-8592-47F7-9265-DEC2B7CB9931}"/>
    <cellStyle name="Dziesiętny 2 5 3 2" xfId="569" xr:uid="{7F2505DD-D581-4DFA-AAE5-31B677B7D4CD}"/>
    <cellStyle name="Dziesiętny 2 5 4" xfId="446" xr:uid="{D2D7ABF2-FC10-406B-AFC3-21A5DA936313}"/>
    <cellStyle name="Dziesiętny 2 6" xfId="202" xr:uid="{BC80B660-B216-4861-BBF9-95ED6A768C61}"/>
    <cellStyle name="Dziesiętny 2 6 2" xfId="271" xr:uid="{DE32692B-703E-49AD-953E-D40D634BF786}"/>
    <cellStyle name="Dziesiętny 2 7" xfId="283" xr:uid="{5F61546D-8D59-410C-B23D-26CAD2E77516}"/>
    <cellStyle name="Dziesiętny 2 7 2" xfId="496" xr:uid="{CA4F6EDD-3D28-493D-8190-BCD9E1EEF037}"/>
    <cellStyle name="Dziesiętny 2 8" xfId="325" xr:uid="{4E0DFA77-42F9-4120-946C-84426F0981BA}"/>
    <cellStyle name="Dziesiętny 2 8 2" xfId="522" xr:uid="{D2E8EE72-781D-4A4A-96D6-264AD16D3D35}"/>
    <cellStyle name="Dziesiętny 2 9" xfId="399" xr:uid="{ED07DF02-800D-447A-AB42-6142659A84C7}"/>
    <cellStyle name="Dziesiętny 3" xfId="85" xr:uid="{BB27E3D6-C3F7-4E6A-AAF1-81675DDEE6D4}"/>
    <cellStyle name="Dziesiętny 3 10" xfId="401" xr:uid="{BFD4293A-C957-42E6-AD60-E398ADF74E80}"/>
    <cellStyle name="Dziesiętny 3 10 2" xfId="685" xr:uid="{EC7F7059-4E96-47C3-BD97-DD13249FACA6}"/>
    <cellStyle name="Dziesiętny 3 11" xfId="590" xr:uid="{200A932A-FE0D-4ED1-9483-9D5DFEC7176A}"/>
    <cellStyle name="Dziesiętny 3 2" xfId="86" xr:uid="{01AB3AB8-FE99-4C96-AA34-C761208E5428}"/>
    <cellStyle name="Dziesiętny 3 2 2" xfId="145" xr:uid="{A6C07E34-7A4F-4E3C-BD01-07D366A59E8F}"/>
    <cellStyle name="Dziesiętny 3 2 2 2" xfId="223" xr:uid="{832D34FC-DF23-4D65-9326-6796469307E0}"/>
    <cellStyle name="Dziesiętny 3 2 2 2 2" xfId="266" xr:uid="{4E3CFDF4-9B47-4B66-98D7-144F09A475AF}"/>
    <cellStyle name="Dziesiętny 3 2 2 3" xfId="346" xr:uid="{FF489581-D1A0-4387-9040-D33F427EE8B2}"/>
    <cellStyle name="Dziesiętny 3 2 2 3 2" xfId="543" xr:uid="{7A893820-56D9-4298-B986-55EDFADCA444}"/>
    <cellStyle name="Dziesiętny 3 2 2 4" xfId="420" xr:uid="{BFB06B6B-260A-4575-BF23-8A456D5CE7C5}"/>
    <cellStyle name="Dziesiętny 3 2 3" xfId="166" xr:uid="{FAB933D2-313D-4118-BA7D-F1D538B38D7B}"/>
    <cellStyle name="Dziesiętny 3 2 3 2" xfId="243" xr:uid="{2C792255-9871-4DBE-A967-611CECC42014}"/>
    <cellStyle name="Dziesiętny 3 2 3 2 2" xfId="284" xr:uid="{50B6CF49-A4AE-4C23-82DD-A7B48B9D3DF6}"/>
    <cellStyle name="Dziesiętny 3 2 3 3" xfId="366" xr:uid="{91E420D4-06E9-4D30-821F-278A8484FE15}"/>
    <cellStyle name="Dziesiętny 3 2 3 3 2" xfId="563" xr:uid="{FAAFA698-87D7-43AA-9053-16BBB315E1FC}"/>
    <cellStyle name="Dziesiętny 3 2 3 4" xfId="440" xr:uid="{6260A70D-3730-4EC3-9961-1C413922DAA7}"/>
    <cellStyle name="Dziesiętny 3 2 4" xfId="175" xr:uid="{9B25DF1B-4F38-4CE2-B9C7-DBA6950B2DE2}"/>
    <cellStyle name="Dziesiętny 3 2 4 2" xfId="252" xr:uid="{B6A36E16-4982-4156-B213-BD99D2439563}"/>
    <cellStyle name="Dziesiętny 3 2 4 2 2" xfId="269" xr:uid="{13D5A89C-159E-441B-9AF0-694F7D09B1F2}"/>
    <cellStyle name="Dziesiętny 3 2 4 3" xfId="375" xr:uid="{43E37365-0726-459A-ACF4-176241B6D82A}"/>
    <cellStyle name="Dziesiętny 3 2 4 3 2" xfId="572" xr:uid="{8512B976-F0A5-4B1A-B092-F212141AEAB2}"/>
    <cellStyle name="Dziesiętny 3 2 4 4" xfId="449" xr:uid="{548F02C9-73B6-4E0D-848B-4C2F6058B6CC}"/>
    <cellStyle name="Dziesiętny 3 2 5" xfId="205" xr:uid="{D093F408-4616-49D3-BC83-8F1D44BE1AF2}"/>
    <cellStyle name="Dziesiętny 3 2 5 2" xfId="276" xr:uid="{4BFF5D47-CCB0-4AF2-AE9D-F23478E92E59}"/>
    <cellStyle name="Dziesiętny 3 2 6" xfId="302" xr:uid="{58A3FB9E-931D-45F9-AB9A-532A6B3E07E7}"/>
    <cellStyle name="Dziesiętny 3 2 6 2" xfId="499" xr:uid="{75A7AE0D-FB0D-44AD-8062-F64ACA2BE7B9}"/>
    <cellStyle name="Dziesiętny 3 2 7" xfId="328" xr:uid="{D215AD32-FDC3-4528-9D0E-1078547C50B8}"/>
    <cellStyle name="Dziesiętny 3 2 7 2" xfId="525" xr:uid="{9CAE3168-9367-437B-A501-B6CA9E5D1E31}"/>
    <cellStyle name="Dziesiętny 3 2 8" xfId="402" xr:uid="{BBC68CF4-9543-44EF-A67C-8D88E04E5F30}"/>
    <cellStyle name="Dziesiętny 3 3" xfId="87" xr:uid="{A298DA32-3A09-4938-A592-4227A03D704E}"/>
    <cellStyle name="Dziesiętny 3 3 10" xfId="591" xr:uid="{55736FD2-6B80-45DB-925B-D1C8568AA53D}"/>
    <cellStyle name="Dziesiętny 3 3 2" xfId="88" xr:uid="{A467C439-6BE7-426D-8C26-7CC890FBAD82}"/>
    <cellStyle name="Dziesiętny 3 3 2 2" xfId="147" xr:uid="{C6A96C3A-6A0D-434E-BA03-D83A217B426A}"/>
    <cellStyle name="Dziesiętny 3 3 2 2 2" xfId="225" xr:uid="{D0C0A595-2A71-4BEE-9B1B-7AA30CADA8B3}"/>
    <cellStyle name="Dziesiętny 3 3 2 2 2 2" xfId="295" xr:uid="{9AFE80EE-2DC4-4BC3-9B00-EBC52429304D}"/>
    <cellStyle name="Dziesiętny 3 3 2 2 2 2 2" xfId="711" xr:uid="{EE584C1A-9929-45EC-B403-75A641F64E3A}"/>
    <cellStyle name="Dziesiętny 3 3 2 2 2 3" xfId="623" xr:uid="{1C499902-179F-462B-A54B-FABE6C7E39C2}"/>
    <cellStyle name="Dziesiętny 3 3 2 2 2 4" xfId="671" xr:uid="{4E1ADC4E-2D48-4EC2-95BE-BB688F07DF43}"/>
    <cellStyle name="Dziesiętny 3 3 2 2 3" xfId="348" xr:uid="{6801BFE4-96B4-488C-92D9-8934A173DC31}"/>
    <cellStyle name="Dziesiętny 3 3 2 2 3 2" xfId="545" xr:uid="{0B0AC05A-63BA-46E5-8F57-44DDD5C1DA60}"/>
    <cellStyle name="Dziesiętny 3 3 2 2 3 2 2" xfId="736" xr:uid="{B3DD6B40-BB3E-4641-95A9-096B6C252EDF}"/>
    <cellStyle name="Dziesiętny 3 3 2 2 3 3" xfId="648" xr:uid="{8719139A-37EE-4D84-BBFB-BE163437605F}"/>
    <cellStyle name="Dziesiętny 3 3 2 2 4" xfId="422" xr:uid="{60AFF64F-0901-41D6-8210-F599E319D734}"/>
    <cellStyle name="Dziesiętny 3 3 2 2 4 2" xfId="692" xr:uid="{8322C989-35D1-4B6B-8CA3-40F5367525C3}"/>
    <cellStyle name="Dziesiętny 3 3 2 2 5" xfId="603" xr:uid="{ED9DC4DB-B611-4551-91CF-33E1B943D3A9}"/>
    <cellStyle name="Dziesiętny 3 3 2 3" xfId="168" xr:uid="{596DF857-B5AD-433A-B030-97185C2A76D2}"/>
    <cellStyle name="Dziesiętny 3 3 2 3 2" xfId="245" xr:uid="{EE508EC9-2358-4F59-AD29-840AB0DB0F25}"/>
    <cellStyle name="Dziesiętny 3 3 2 3 2 2" xfId="298" xr:uid="{E2AA500D-6AEB-44D3-ABE5-A2EA581B51BA}"/>
    <cellStyle name="Dziesiętny 3 3 2 3 2 2 2" xfId="716" xr:uid="{B6C2237B-6C09-4587-9209-2A267A804DDB}"/>
    <cellStyle name="Dziesiętny 3 3 2 3 2 3" xfId="628" xr:uid="{710A8592-0F12-4C8B-A704-E13ADB352E81}"/>
    <cellStyle name="Dziesiętny 3 3 2 3 2 4" xfId="676" xr:uid="{A2DCEE44-8495-4658-9498-3F4222617E6C}"/>
    <cellStyle name="Dziesiętny 3 3 2 3 3" xfId="368" xr:uid="{9D79B3BE-0128-4DAF-A62E-10F92ADBBEA6}"/>
    <cellStyle name="Dziesiętny 3 3 2 3 3 2" xfId="565" xr:uid="{59F61764-419C-45BF-BA8A-FE57A11724B1}"/>
    <cellStyle name="Dziesiętny 3 3 2 3 3 2 2" xfId="741" xr:uid="{DDE50FA3-1706-418C-979F-2E3B76A70B3F}"/>
    <cellStyle name="Dziesiętny 3 3 2 3 3 3" xfId="653" xr:uid="{DCC949B1-20B6-4FAE-B105-A3447243A15A}"/>
    <cellStyle name="Dziesiętny 3 3 2 3 4" xfId="442" xr:uid="{B6B3CBCC-313B-41D0-9DE8-8A93618B0FD0}"/>
    <cellStyle name="Dziesiętny 3 3 2 3 4 2" xfId="697" xr:uid="{70EA9A90-6E88-4A3C-8E65-C0E19545CC22}"/>
    <cellStyle name="Dziesiętny 3 3 2 3 5" xfId="609" xr:uid="{E29D279B-7FA0-4EF6-B9CD-01F2826E21C8}"/>
    <cellStyle name="Dziesiętny 3 3 2 4" xfId="177" xr:uid="{49290E80-8D5C-4E5B-913D-263B83DE2BB8}"/>
    <cellStyle name="Dziesiętny 3 3 2 4 2" xfId="254" xr:uid="{D494F7CD-52FA-47C2-9F6F-633077E48347}"/>
    <cellStyle name="Dziesiętny 3 3 2 4 2 2" xfId="292" xr:uid="{E83A37D1-56F8-470B-82DB-9B190E136E07}"/>
    <cellStyle name="Dziesiętny 3 3 2 4 2 2 2" xfId="721" xr:uid="{FCCD0FC8-7AFC-483A-A1E1-30F695B286FE}"/>
    <cellStyle name="Dziesiętny 3 3 2 4 2 3" xfId="633" xr:uid="{3920B3AD-097D-419F-86F3-B8DA796367C4}"/>
    <cellStyle name="Dziesiętny 3 3 2 4 2 4" xfId="681" xr:uid="{F23E6E69-E9B1-4EFF-B5FB-C062582E6F76}"/>
    <cellStyle name="Dziesiętny 3 3 2 4 3" xfId="377" xr:uid="{BC2BB3AB-855A-4E3C-8BE5-601C42BDA666}"/>
    <cellStyle name="Dziesiętny 3 3 2 4 3 2" xfId="574" xr:uid="{79A321BD-2EFA-4C13-A8FC-4E1BC42ED199}"/>
    <cellStyle name="Dziesiętny 3 3 2 4 3 2 2" xfId="746" xr:uid="{CAADE3F9-D3D9-49FC-A2AE-11E14DFE3538}"/>
    <cellStyle name="Dziesiętny 3 3 2 4 3 3" xfId="658" xr:uid="{0CB19AC3-1FFA-4137-8177-7C4FAB591AD6}"/>
    <cellStyle name="Dziesiętny 3 3 2 4 4" xfId="451" xr:uid="{3AD0E298-2551-4365-BFE3-4E9E827C693F}"/>
    <cellStyle name="Dziesiętny 3 3 2 4 4 2" xfId="702" xr:uid="{3DE91F29-EA25-462E-97C1-4A2950653524}"/>
    <cellStyle name="Dziesiętny 3 3 2 4 5" xfId="614" xr:uid="{97125805-B927-4465-B1E2-AC23D3EF8CBA}"/>
    <cellStyle name="Dziesiętny 3 3 2 5" xfId="207" xr:uid="{19466B25-457B-48B9-81BE-4772B8BED059}"/>
    <cellStyle name="Dziesiętny 3 3 2 5 2" xfId="280" xr:uid="{F5D1746E-4C98-4E6F-94D5-651161BA9922}"/>
    <cellStyle name="Dziesiętny 3 3 2 5 2 2" xfId="707" xr:uid="{F14E32F8-AE2E-4AFC-A993-E13AB66EA495}"/>
    <cellStyle name="Dziesiętny 3 3 2 5 3" xfId="619" xr:uid="{6A0224F2-AF80-4C2D-A578-B9BCFB273AC9}"/>
    <cellStyle name="Dziesiętny 3 3 2 5 4" xfId="666" xr:uid="{6BAF6194-5813-4B06-9AB2-274CE868B858}"/>
    <cellStyle name="Dziesiętny 3 3 2 6" xfId="304" xr:uid="{F0AD8598-C9AE-4B19-BF47-E89A020C6E65}"/>
    <cellStyle name="Dziesiętny 3 3 2 6 2" xfId="501" xr:uid="{EEBC9B8D-8B51-4ABE-9407-0BCA003F31C4}"/>
    <cellStyle name="Dziesiętny 3 3 2 6 2 2" xfId="726" xr:uid="{40848970-AD12-4BF5-ABEB-023350CB17E1}"/>
    <cellStyle name="Dziesiętny 3 3 2 6 3" xfId="638" xr:uid="{3E015B62-FF08-460C-97A7-CAF23F338BE1}"/>
    <cellStyle name="Dziesiętny 3 3 2 7" xfId="330" xr:uid="{70E2B541-89C6-4E09-8D21-BA0E5E5A45BA}"/>
    <cellStyle name="Dziesiętny 3 3 2 7 2" xfId="527" xr:uid="{B8E78521-0031-4255-8B3F-D6CF79A0373C}"/>
    <cellStyle name="Dziesiętny 3 3 2 7 2 2" xfId="731" xr:uid="{3742E3B7-9517-46C3-B17C-70632A48D8E5}"/>
    <cellStyle name="Dziesiętny 3 3 2 7 3" xfId="643" xr:uid="{32618CF9-FE33-4121-AF39-A3AF77C6DDFE}"/>
    <cellStyle name="Dziesiętny 3 3 2 8" xfId="404" xr:uid="{3A105E2F-0CCB-4F72-9DA1-DE71D160A92C}"/>
    <cellStyle name="Dziesiętny 3 3 2 8 2" xfId="687" xr:uid="{8493AA8B-9038-47DD-BDF5-734F3B48940A}"/>
    <cellStyle name="Dziesiętny 3 3 2 9" xfId="592" xr:uid="{7909D0F1-5694-44F0-8493-409AE4BA96CE}"/>
    <cellStyle name="Dziesiętny 3 3 3" xfId="146" xr:uid="{0F556A3A-F5E0-4A08-9F0E-E49DDB9424BC}"/>
    <cellStyle name="Dziesiętny 3 3 3 2" xfId="224" xr:uid="{525852AB-A090-43B6-BC2C-5398C722CE60}"/>
    <cellStyle name="Dziesiętny 3 3 3 2 2" xfId="286" xr:uid="{F8F630D5-4999-4447-A8CD-E7A47E4EA255}"/>
    <cellStyle name="Dziesiętny 3 3 3 2 2 2" xfId="710" xr:uid="{C3233399-BDB9-4C71-BFB1-E8C018B5578F}"/>
    <cellStyle name="Dziesiętny 3 3 3 2 3" xfId="622" xr:uid="{67145E10-8C13-4B3E-ADE7-6CC38490229C}"/>
    <cellStyle name="Dziesiętny 3 3 3 2 4" xfId="670" xr:uid="{33D53AA1-F92B-4874-83EB-2AE540CA919E}"/>
    <cellStyle name="Dziesiętny 3 3 3 3" xfId="347" xr:uid="{FF89AB82-953A-4E04-B44D-65C6C3787152}"/>
    <cellStyle name="Dziesiętny 3 3 3 3 2" xfId="544" xr:uid="{87E3C75C-B5D9-45E3-B5B8-F6950D1F88B1}"/>
    <cellStyle name="Dziesiętny 3 3 3 3 2 2" xfId="735" xr:uid="{32979EA0-0F44-4CA6-9490-92E7961CDFE1}"/>
    <cellStyle name="Dziesiętny 3 3 3 3 3" xfId="647" xr:uid="{37DECFE1-0CD1-4B85-85E7-9313C0ED30D4}"/>
    <cellStyle name="Dziesiętny 3 3 3 4" xfId="421" xr:uid="{8FC390EB-8716-4C67-B6B6-35B7B5D0344D}"/>
    <cellStyle name="Dziesiętny 3 3 3 4 2" xfId="691" xr:uid="{514675FF-1D45-40E3-870C-F7FA81036DA2}"/>
    <cellStyle name="Dziesiętny 3 3 3 5" xfId="602" xr:uid="{08BE7390-A8D1-4117-B27B-742B070AE8AB}"/>
    <cellStyle name="Dziesiętny 3 3 4" xfId="167" xr:uid="{F77D80F6-7D09-4034-9D17-3BD440513395}"/>
    <cellStyle name="Dziesiętny 3 3 4 2" xfId="244" xr:uid="{70B051DB-C3F2-4EB0-8E56-06732140671D}"/>
    <cellStyle name="Dziesiętny 3 3 4 2 2" xfId="279" xr:uid="{7A261F68-AF89-48A5-8711-B1D08B5567C1}"/>
    <cellStyle name="Dziesiętny 3 3 4 2 2 2" xfId="715" xr:uid="{13B198D7-E91D-442D-B39C-237968E5066A}"/>
    <cellStyle name="Dziesiętny 3 3 4 2 3" xfId="627" xr:uid="{CF688484-800A-4A63-848C-D841725821F4}"/>
    <cellStyle name="Dziesiętny 3 3 4 2 4" xfId="675" xr:uid="{7379DD5C-3EB9-4884-8B2A-0BF12C6351BF}"/>
    <cellStyle name="Dziesiętny 3 3 4 3" xfId="367" xr:uid="{B3B11A4D-8442-4607-ADB0-53B20B0E506A}"/>
    <cellStyle name="Dziesiętny 3 3 4 3 2" xfId="564" xr:uid="{4F74E567-6DC0-4FDE-9834-E5A65387E808}"/>
    <cellStyle name="Dziesiętny 3 3 4 3 2 2" xfId="740" xr:uid="{E7EE69F4-C951-44D1-932C-E291AADE63C1}"/>
    <cellStyle name="Dziesiętny 3 3 4 3 3" xfId="652" xr:uid="{EC86C617-F084-4765-A7C6-642E0D7D1E6A}"/>
    <cellStyle name="Dziesiętny 3 3 4 4" xfId="441" xr:uid="{38917A4E-279F-4FEA-81BF-27D3EEDF3052}"/>
    <cellStyle name="Dziesiętny 3 3 4 4 2" xfId="696" xr:uid="{8BF35A17-1B5D-45CC-BF0E-3D944C36F6AE}"/>
    <cellStyle name="Dziesiętny 3 3 4 5" xfId="608" xr:uid="{F29BBFCD-E43D-40C6-9F46-998B6D49BA92}"/>
    <cellStyle name="Dziesiętny 3 3 5" xfId="176" xr:uid="{953FFA77-578C-4C05-97FE-3018C5C08886}"/>
    <cellStyle name="Dziesiętny 3 3 5 2" xfId="253" xr:uid="{23461647-8655-4E6A-B42C-6A0CD40189CC}"/>
    <cellStyle name="Dziesiętny 3 3 5 2 2" xfId="278" xr:uid="{60950F84-24B3-44F1-9D06-E730BCFA03D9}"/>
    <cellStyle name="Dziesiętny 3 3 5 2 2 2" xfId="720" xr:uid="{0ADE9BB4-7AA8-4BBD-8911-39762FBDAF90}"/>
    <cellStyle name="Dziesiętny 3 3 5 2 3" xfId="632" xr:uid="{E1B9A004-27EC-488F-A4C7-67D753C1F50B}"/>
    <cellStyle name="Dziesiętny 3 3 5 2 4" xfId="680" xr:uid="{7ACF840D-D364-4C6D-83AB-01F88C82268A}"/>
    <cellStyle name="Dziesiętny 3 3 5 3" xfId="376" xr:uid="{D3EE9CF2-6C27-47C0-BDDB-3B7200EDAFBD}"/>
    <cellStyle name="Dziesiętny 3 3 5 3 2" xfId="573" xr:uid="{58A116CF-5D23-4D9F-9485-F767E57361A7}"/>
    <cellStyle name="Dziesiętny 3 3 5 3 2 2" xfId="745" xr:uid="{10665778-D6BA-410F-824D-6408D0172D8D}"/>
    <cellStyle name="Dziesiętny 3 3 5 3 3" xfId="657" xr:uid="{2C374F48-5EE8-49BB-B673-5C28135EA1EA}"/>
    <cellStyle name="Dziesiętny 3 3 5 4" xfId="450" xr:uid="{7D2634FA-BD78-40BD-B632-EF32ACD5E5AC}"/>
    <cellStyle name="Dziesiętny 3 3 5 4 2" xfId="701" xr:uid="{0D4D31F6-B7C6-4DFF-8F01-F8CC9F75E44D}"/>
    <cellStyle name="Dziesiętny 3 3 5 5" xfId="613" xr:uid="{7B4ABE37-4687-4A52-902C-DF397BCE26BF}"/>
    <cellStyle name="Dziesiętny 3 3 6" xfId="206" xr:uid="{D3DA4208-E81E-4725-A203-0FB35A50360F}"/>
    <cellStyle name="Dziesiętny 3 3 6 2" xfId="273" xr:uid="{5F2D8835-DBCE-407E-9014-5431B9CFAE74}"/>
    <cellStyle name="Dziesiętny 3 3 6 2 2" xfId="706" xr:uid="{0E35CE86-FD2C-483A-821A-FB67B0507BF7}"/>
    <cellStyle name="Dziesiętny 3 3 6 3" xfId="618" xr:uid="{C08E4DDD-CFB5-40C3-B674-B1432757162C}"/>
    <cellStyle name="Dziesiętny 3 3 6 4" xfId="665" xr:uid="{A432F0EB-4571-4A91-9B73-0BC694E727F5}"/>
    <cellStyle name="Dziesiętny 3 3 7" xfId="303" xr:uid="{B4D0F47C-119C-4894-AC6E-54094EDBDF2A}"/>
    <cellStyle name="Dziesiętny 3 3 7 2" xfId="500" xr:uid="{091DD7AB-5716-425E-AB2A-8C026DB7297E}"/>
    <cellStyle name="Dziesiętny 3 3 7 2 2" xfId="725" xr:uid="{A23B1EC3-2691-4FA1-BF60-D5803401B50B}"/>
    <cellStyle name="Dziesiętny 3 3 7 3" xfId="637" xr:uid="{838D164B-D567-457A-B942-733319965EDB}"/>
    <cellStyle name="Dziesiętny 3 3 8" xfId="329" xr:uid="{A2AC4044-FAC0-4BA3-B17A-EBA01D64C014}"/>
    <cellStyle name="Dziesiętny 3 3 8 2" xfId="526" xr:uid="{CB2C5857-D7DA-49EB-9A99-D496131FBFCE}"/>
    <cellStyle name="Dziesiętny 3 3 8 2 2" xfId="730" xr:uid="{32080693-9069-4446-A691-55249B27CF67}"/>
    <cellStyle name="Dziesiętny 3 3 8 3" xfId="642" xr:uid="{EF6F6108-EE68-4E70-BF14-424653C4ACBF}"/>
    <cellStyle name="Dziesiętny 3 3 9" xfId="403" xr:uid="{37B4ADA1-EC8C-4C0F-9CF8-9377B7EA3A58}"/>
    <cellStyle name="Dziesiętny 3 3 9 2" xfId="686" xr:uid="{852F6D74-9249-4FA3-AA12-BB01FB6EA537}"/>
    <cellStyle name="Dziesiętny 3 4" xfId="144" xr:uid="{4138B092-C446-4374-9D21-1EF75E276BB8}"/>
    <cellStyle name="Dziesiętny 3 4 2" xfId="222" xr:uid="{B073B8EE-B5A9-4472-859F-EAEC4647DF93}"/>
    <cellStyle name="Dziesiętny 3 4 2 2" xfId="290" xr:uid="{53DEA860-0056-4D0F-9C47-283B8B7285EB}"/>
    <cellStyle name="Dziesiętny 3 4 2 2 2" xfId="709" xr:uid="{723FEF84-5118-4FC2-A9B8-08DF5E6C222E}"/>
    <cellStyle name="Dziesiętny 3 4 2 3" xfId="621" xr:uid="{BEEDA3C3-C56C-4A33-9104-2EB9338E3231}"/>
    <cellStyle name="Dziesiętny 3 4 2 4" xfId="669" xr:uid="{7D4EEB8A-CDAE-4EA9-A04C-5CCFBF97BBC9}"/>
    <cellStyle name="Dziesiętny 3 4 3" xfId="345" xr:uid="{BC272666-7A00-4F48-B3EE-42C7ADFEC5DC}"/>
    <cellStyle name="Dziesiętny 3 4 3 2" xfId="542" xr:uid="{83EEDE6D-13AB-4A02-92CA-03CD5283632F}"/>
    <cellStyle name="Dziesiętny 3 4 3 2 2" xfId="734" xr:uid="{BAE8C74D-E0E6-4C18-B394-BD8C96CAF793}"/>
    <cellStyle name="Dziesiętny 3 4 3 3" xfId="646" xr:uid="{F1F511C8-267D-4CD6-9A40-17878B59A585}"/>
    <cellStyle name="Dziesiętny 3 4 4" xfId="419" xr:uid="{A610E49F-B99D-4F9C-ABEA-ACE5695223F2}"/>
    <cellStyle name="Dziesiętny 3 4 4 2" xfId="690" xr:uid="{408672B1-CE64-493A-A93B-A3050F11C398}"/>
    <cellStyle name="Dziesiętny 3 4 5" xfId="601" xr:uid="{50132372-AD6F-4626-BEEC-FC6E4C657284}"/>
    <cellStyle name="Dziesiętny 3 5" xfId="165" xr:uid="{ADD289D8-54CB-4EFD-A3EA-69DCE15CCAC1}"/>
    <cellStyle name="Dziesiętny 3 5 2" xfId="242" xr:uid="{F843ABE5-0210-4A33-AB75-978479546C07}"/>
    <cellStyle name="Dziesiętny 3 5 2 2" xfId="294" xr:uid="{FCB943BD-C6FB-44D0-9092-F504E8822645}"/>
    <cellStyle name="Dziesiętny 3 5 2 2 2" xfId="714" xr:uid="{AB5425A3-30B5-433E-BE2E-9FF43EA14F85}"/>
    <cellStyle name="Dziesiętny 3 5 2 3" xfId="626" xr:uid="{6D986D6D-CA91-4D83-B08D-75003F8928AD}"/>
    <cellStyle name="Dziesiętny 3 5 2 4" xfId="674" xr:uid="{536DA8F5-0FB2-4021-A9B8-A661B414ED0E}"/>
    <cellStyle name="Dziesiętny 3 5 3" xfId="365" xr:uid="{774672A7-24F6-4A0E-A563-607E42114056}"/>
    <cellStyle name="Dziesiętny 3 5 3 2" xfId="562" xr:uid="{97EE1727-74CD-42E4-A8D9-48987C5BBC97}"/>
    <cellStyle name="Dziesiętny 3 5 3 2 2" xfId="739" xr:uid="{8BDE5E48-0112-4D3E-9E38-83C66C188820}"/>
    <cellStyle name="Dziesiętny 3 5 3 3" xfId="651" xr:uid="{9F71200C-CAC5-4575-BBBA-6FAEF7FB77CC}"/>
    <cellStyle name="Dziesiętny 3 5 4" xfId="439" xr:uid="{6596B66D-A8F8-44CE-8C92-F5F2CE1249F0}"/>
    <cellStyle name="Dziesiętny 3 5 4 2" xfId="695" xr:uid="{814830CA-AAC1-4F0B-ADB7-B3220D5D0D34}"/>
    <cellStyle name="Dziesiętny 3 5 5" xfId="607" xr:uid="{387A7A5A-5F01-43ED-9140-49DD4B53CBCB}"/>
    <cellStyle name="Dziesiętny 3 6" xfId="174" xr:uid="{A9680FAA-E1D4-4874-B482-70564D4440E6}"/>
    <cellStyle name="Dziesiętny 3 6 2" xfId="251" xr:uid="{16C58715-4841-49A5-97EF-153D93DE4CF7}"/>
    <cellStyle name="Dziesiętny 3 6 2 2" xfId="264" xr:uid="{2C504B90-1339-4AC4-B39A-DC6E5499484F}"/>
    <cellStyle name="Dziesiętny 3 6 2 2 2" xfId="719" xr:uid="{F5B0009B-E7F4-4657-9A62-DD2E6CED0D9A}"/>
    <cellStyle name="Dziesiętny 3 6 2 3" xfId="631" xr:uid="{FB0D337F-CEC4-462C-8F65-30AAC722B66C}"/>
    <cellStyle name="Dziesiętny 3 6 2 4" xfId="679" xr:uid="{483C34D7-5552-4D14-82B3-F665B5B0588E}"/>
    <cellStyle name="Dziesiętny 3 6 3" xfId="374" xr:uid="{1E8F8E3E-D223-4CC9-8497-78BC9128F909}"/>
    <cellStyle name="Dziesiętny 3 6 3 2" xfId="571" xr:uid="{787716F5-6665-461C-8B82-58D33F249DEB}"/>
    <cellStyle name="Dziesiętny 3 6 3 2 2" xfId="744" xr:uid="{D5AF413E-5400-41B2-97D0-C198B177BCA2}"/>
    <cellStyle name="Dziesiętny 3 6 3 3" xfId="656" xr:uid="{76D56C6F-7420-465B-AD29-2405A0B08137}"/>
    <cellStyle name="Dziesiętny 3 6 4" xfId="448" xr:uid="{1F3EDFCA-F697-4908-B7D9-CFBE204CAFB3}"/>
    <cellStyle name="Dziesiętny 3 6 4 2" xfId="700" xr:uid="{0F98604F-BA93-447E-A2E9-B34E5E6B1B4D}"/>
    <cellStyle name="Dziesiętny 3 6 5" xfId="612" xr:uid="{C6ADE860-A1AF-46EA-96F6-38E4CDF96D29}"/>
    <cellStyle name="Dziesiętny 3 7" xfId="204" xr:uid="{9F70150B-0EAD-4BAF-85DB-C342AC1966AD}"/>
    <cellStyle name="Dziesiętny 3 7 2" xfId="270" xr:uid="{A078BA3A-EA64-4912-8391-7442CA29E8E8}"/>
    <cellStyle name="Dziesiętny 3 7 2 2" xfId="705" xr:uid="{00911E2B-509E-4788-9DB1-2DEBA79D42F9}"/>
    <cellStyle name="Dziesiętny 3 7 3" xfId="617" xr:uid="{A6CC129A-ECC3-47F4-B4DC-E69C2156B422}"/>
    <cellStyle name="Dziesiętny 3 7 4" xfId="664" xr:uid="{D27D38C4-FB4C-40A5-AA38-5B03DD30FE35}"/>
    <cellStyle name="Dziesiętny 3 8" xfId="289" xr:uid="{91B65C54-9B25-4954-9A4A-3C81CDAE2EF3}"/>
    <cellStyle name="Dziesiętny 3 8 2" xfId="498" xr:uid="{7BD4F51C-636A-4383-99B9-038FA1A40F5C}"/>
    <cellStyle name="Dziesiętny 3 8 2 2" xfId="724" xr:uid="{41E78575-D395-48DA-98C6-DED035681538}"/>
    <cellStyle name="Dziesiętny 3 8 3" xfId="636" xr:uid="{2C466A78-4E07-4F7C-9C0E-FCF537776889}"/>
    <cellStyle name="Dziesiętny 3 9" xfId="327" xr:uid="{25CF0D7A-7686-4499-A15F-EB6643976CD2}"/>
    <cellStyle name="Dziesiętny 3 9 2" xfId="524" xr:uid="{7696296D-4D6B-4032-A807-17AE8CD63F53}"/>
    <cellStyle name="Dziesiętny 3 9 2 2" xfId="729" xr:uid="{DCFFEA14-E8E3-4D0A-8F05-626679F227C3}"/>
    <cellStyle name="Dziesiętny 3 9 3" xfId="641" xr:uid="{76C3837E-F73E-41A6-BA5B-7EADE6301332}"/>
    <cellStyle name="Dziesiętny 4" xfId="89" xr:uid="{6D52D398-7DF2-44A6-A84E-AF23B377E9B8}"/>
    <cellStyle name="Dziesiętny 4 2" xfId="90" xr:uid="{6059DB66-BA1B-45EE-97C5-94828E58FAD2}"/>
    <cellStyle name="Dziesiętny 4 2 2" xfId="149" xr:uid="{4F80A8EE-131C-4EA7-9918-4B702E5F488B}"/>
    <cellStyle name="Dziesiętny 4 2 2 2" xfId="227" xr:uid="{3DA9F13A-0AD0-47AB-9B3A-A79138A955D2}"/>
    <cellStyle name="Dziesiętny 4 2 2 2 2" xfId="299" xr:uid="{F3D3FD70-ACA1-48BA-965B-E1E95F608E23}"/>
    <cellStyle name="Dziesiętny 4 2 2 2 2 2" xfId="713" xr:uid="{F981D230-87C5-4DBD-A5B9-08D3076F0036}"/>
    <cellStyle name="Dziesiętny 4 2 2 2 3" xfId="625" xr:uid="{DA337489-E2D0-4ED1-BBC0-A06063B90CA5}"/>
    <cellStyle name="Dziesiętny 4 2 2 2 4" xfId="673" xr:uid="{A6658018-3117-4861-95C0-D329F2436B9F}"/>
    <cellStyle name="Dziesiętny 4 2 2 3" xfId="350" xr:uid="{4A924305-FAD2-4BAD-AF41-79E747515BBC}"/>
    <cellStyle name="Dziesiętny 4 2 2 3 2" xfId="547" xr:uid="{A11FDAE4-8922-4401-B32F-84F44A111DC4}"/>
    <cellStyle name="Dziesiętny 4 2 2 3 2 2" xfId="738" xr:uid="{D42CB56B-8E79-429F-8E4B-920EC5F2DB6E}"/>
    <cellStyle name="Dziesiętny 4 2 2 3 3" xfId="650" xr:uid="{4B80B87D-EC09-4127-ACB8-951FFA7E7A2B}"/>
    <cellStyle name="Dziesiętny 4 2 2 4" xfId="424" xr:uid="{A6AC4117-C350-4139-BB3C-4600F74648C7}"/>
    <cellStyle name="Dziesiętny 4 2 2 4 2" xfId="694" xr:uid="{870B5D31-F590-4EC7-9DB5-E41EF87988BD}"/>
    <cellStyle name="Dziesiętny 4 2 2 5" xfId="605" xr:uid="{CB1189D3-7BB6-4672-B0A9-846C6AE370ED}"/>
    <cellStyle name="Dziesiętny 4 2 3" xfId="170" xr:uid="{89F7FE34-CAA2-4182-8494-3D324C0B505B}"/>
    <cellStyle name="Dziesiętny 4 2 3 2" xfId="247" xr:uid="{079DC2B6-B784-4FCF-8C3F-18562987C510}"/>
    <cellStyle name="Dziesiętny 4 2 3 2 2" xfId="293" xr:uid="{74CD2B2F-FD5D-411A-9A80-D3907F5F871A}"/>
    <cellStyle name="Dziesiętny 4 2 3 2 2 2" xfId="718" xr:uid="{E7C1A620-62C4-48B6-8910-B3419DD5017B}"/>
    <cellStyle name="Dziesiętny 4 2 3 2 3" xfId="630" xr:uid="{7D5B0707-C3B2-4828-8374-982C5F3EDCB6}"/>
    <cellStyle name="Dziesiętny 4 2 3 2 4" xfId="678" xr:uid="{F8C33403-C9DA-441C-9EC8-06AA6BEA561A}"/>
    <cellStyle name="Dziesiętny 4 2 3 3" xfId="370" xr:uid="{7DC1F924-889D-42F6-BE4F-1C521D1FF815}"/>
    <cellStyle name="Dziesiętny 4 2 3 3 2" xfId="567" xr:uid="{C8A13286-4318-437D-BFE4-FB8011AF34CE}"/>
    <cellStyle name="Dziesiętny 4 2 3 3 2 2" xfId="743" xr:uid="{F3B5F469-D9B3-49F6-B732-9ECFBE3B6C2F}"/>
    <cellStyle name="Dziesiętny 4 2 3 3 3" xfId="655" xr:uid="{4562AB34-EA79-4A29-AB6F-2924C873D768}"/>
    <cellStyle name="Dziesiętny 4 2 3 4" xfId="444" xr:uid="{640A95D0-2EB5-4E98-AE7A-1B9D2A400887}"/>
    <cellStyle name="Dziesiętny 4 2 3 4 2" xfId="699" xr:uid="{3D034993-1BD1-40E4-8734-5A17591EFA06}"/>
    <cellStyle name="Dziesiętny 4 2 3 5" xfId="611" xr:uid="{7A74AFB3-91DC-40B1-A19F-4E927B7B723C}"/>
    <cellStyle name="Dziesiętny 4 2 4" xfId="179" xr:uid="{6AE1DD89-5D10-4EC3-AD8A-42A8D084944A}"/>
    <cellStyle name="Dziesiętny 4 2 4 2" xfId="256" xr:uid="{80EA3EF3-F951-4F62-A8D9-0BF03BD126EE}"/>
    <cellStyle name="Dziesiętny 4 2 4 2 2" xfId="40" xr:uid="{126F0245-8AE8-46C7-804F-63915A5673CE}"/>
    <cellStyle name="Dziesiętny 4 2 4 2 2 2" xfId="723" xr:uid="{C14E04EE-8A43-4A38-AC9D-2AFDC98E88E8}"/>
    <cellStyle name="Dziesiętny 4 2 4 2 3" xfId="635" xr:uid="{172C4AF0-4F0A-4DB3-8BE3-A3BA9FA7143C}"/>
    <cellStyle name="Dziesiętny 4 2 4 2 4" xfId="683" xr:uid="{776108B0-DE35-43B1-BCA9-488F2423B499}"/>
    <cellStyle name="Dziesiętny 4 2 4 3" xfId="379" xr:uid="{23D1721A-A7B5-4E38-A100-98D2A4FE4D16}"/>
    <cellStyle name="Dziesiętny 4 2 4 3 2" xfId="576" xr:uid="{7E373467-1D89-4277-95C1-47D70739C378}"/>
    <cellStyle name="Dziesiętny 4 2 4 3 2 2" xfId="748" xr:uid="{0C8023A1-B88F-48E6-A8BE-46F434B2EDB8}"/>
    <cellStyle name="Dziesiętny 4 2 4 3 3" xfId="660" xr:uid="{B092913A-BCBB-4A37-A427-8A0B531E4F17}"/>
    <cellStyle name="Dziesiętny 4 2 4 4" xfId="453" xr:uid="{31834D23-60A8-47E4-A142-A5F055648CD8}"/>
    <cellStyle name="Dziesiętny 4 2 4 4 2" xfId="704" xr:uid="{875ED505-D179-46A6-B783-6099AACB89BE}"/>
    <cellStyle name="Dziesiętny 4 2 4 5" xfId="616" xr:uid="{E71A16A9-834D-467A-808E-2C951E51ED95}"/>
    <cellStyle name="Dziesiętny 4 2 5" xfId="209" xr:uid="{4A037824-2B41-43E3-8534-9AAD663C1B85}"/>
    <cellStyle name="Dziesiętny 4 2 5 2" xfId="288" xr:uid="{113077DD-C2D6-433F-96B9-80225598659E}"/>
    <cellStyle name="Dziesiętny 4 2 5 2 2" xfId="471" xr:uid="{4E091233-06DF-4FC4-AB29-F111CB05A0B2}"/>
    <cellStyle name="Dziesiętny 4 2 5 2 3" xfId="588" xr:uid="{CE4CAEB8-B4C1-4B93-AE18-0E50C7BF68E0}"/>
    <cellStyle name="Dziesiętny 4 2 5 2 4" xfId="749" xr:uid="{B66C0DE4-BC58-43FE-8E9D-1824AA4648DF}"/>
    <cellStyle name="Dziesiętny 4 2 5 3" xfId="281" xr:uid="{588558EC-42E4-4956-9C4D-BB1BCF05F82E}"/>
    <cellStyle name="Dziesiętny 4 2 5 4" xfId="586" xr:uid="{4596696E-D3F7-461A-81E4-207AB5379CF7}"/>
    <cellStyle name="Dziesiętny 4 2 5 5" xfId="668" xr:uid="{FEF66618-09E6-40BD-B2E7-94FB251ED38E}"/>
    <cellStyle name="Dziesiętny 4 2 5 6" xfId="661" xr:uid="{1E8B239A-55D8-4C01-8D97-DA97CBCBCB88}"/>
    <cellStyle name="Dziesiętny 4 2 6" xfId="306" xr:uid="{B6B2DB2B-3360-4811-8348-B9397E2713F1}"/>
    <cellStyle name="Dziesiętny 4 2 6 2" xfId="503" xr:uid="{17934CE9-877E-42C9-9C62-B9F504AB95DC}"/>
    <cellStyle name="Dziesiętny 4 2 6 2 2" xfId="728" xr:uid="{97B4EF59-8995-47EF-B786-8F10BB70C4EF}"/>
    <cellStyle name="Dziesiętny 4 2 6 3" xfId="587" xr:uid="{B4CB4A72-085E-4D67-8826-0635544F9265}"/>
    <cellStyle name="Dziesiętny 4 2 6 4" xfId="640" xr:uid="{1EE38607-DCB0-4E78-9F29-E0C572E9C287}"/>
    <cellStyle name="Dziesiętny 4 2 7" xfId="332" xr:uid="{C57059A9-60AB-4168-B30E-E210C7602CE2}"/>
    <cellStyle name="Dziesiętny 4 2 7 2" xfId="529" xr:uid="{133BD22F-A54F-442E-B0E6-C8F768BEBAFE}"/>
    <cellStyle name="Dziesiętny 4 2 7 2 2" xfId="733" xr:uid="{425773E7-A2E3-4D92-A28C-261822D0D840}"/>
    <cellStyle name="Dziesiętny 4 2 7 3" xfId="645" xr:uid="{C1A1B804-1703-4AF1-8730-22EBF304C03A}"/>
    <cellStyle name="Dziesiętny 4 2 7 4" xfId="662" xr:uid="{09080EA6-8662-4F09-B432-7C90833CAC0D}"/>
    <cellStyle name="Dziesiętny 4 2 8" xfId="406" xr:uid="{5D86A722-F014-4AB0-B3DB-668E43557EA1}"/>
    <cellStyle name="Dziesiętny 4 2 8 2" xfId="689" xr:uid="{83E5D23E-A08C-4ECB-9ABE-F33BD4CD3C6C}"/>
    <cellStyle name="Dziesiętny 4 2 9" xfId="593" xr:uid="{7A779FD3-B3E3-43D6-B5C3-34C593582563}"/>
    <cellStyle name="Dziesiętny 4 3" xfId="148" xr:uid="{148BDA52-153B-4095-9827-BF9B812A83ED}"/>
    <cellStyle name="Dziesiętny 4 3 2" xfId="226" xr:uid="{1EF6EEE1-F464-4C2B-8343-0443B28C7775}"/>
    <cellStyle name="Dziesiętny 4 3 2 2" xfId="291" xr:uid="{81D80A5C-E90D-4B9C-887D-6F0A335033BB}"/>
    <cellStyle name="Dziesiętny 4 3 2 2 2" xfId="712" xr:uid="{017A9D02-0199-4E72-B08E-E3D9E6A61407}"/>
    <cellStyle name="Dziesiętny 4 3 2 3" xfId="624" xr:uid="{ACA98131-54FC-48DF-A857-FBAAD7185D43}"/>
    <cellStyle name="Dziesiętny 4 3 2 4" xfId="672" xr:uid="{DE9D03A1-9693-4908-BD6C-2E50D3F7DFE1}"/>
    <cellStyle name="Dziesiętny 4 3 3" xfId="349" xr:uid="{DC99384C-6054-4061-90AC-36C9983E843B}"/>
    <cellStyle name="Dziesiętny 4 3 3 2" xfId="546" xr:uid="{27E94D02-6F3A-4EEB-9E50-AE58EA562D9F}"/>
    <cellStyle name="Dziesiętny 4 3 3 2 2" xfId="737" xr:uid="{4B040F76-84CE-43E1-BB1C-48E30F24BF69}"/>
    <cellStyle name="Dziesiętny 4 3 3 3" xfId="649" xr:uid="{4E0B6334-D8F4-49B8-8390-32631974AA44}"/>
    <cellStyle name="Dziesiętny 4 3 4" xfId="423" xr:uid="{55603149-E083-460A-AAEF-7B781D746B72}"/>
    <cellStyle name="Dziesiętny 4 3 4 2" xfId="693" xr:uid="{B4B02A5B-D210-4702-92D5-2859C8C0DE9B}"/>
    <cellStyle name="Dziesiętny 4 3 5" xfId="604" xr:uid="{74C138E6-9AE1-4E7E-A082-3C333E307163}"/>
    <cellStyle name="Dziesiętny 4 4" xfId="169" xr:uid="{C5FE17D3-7C2F-4F15-B122-A5A7769CA1CD}"/>
    <cellStyle name="Dziesiętny 4 4 2" xfId="246" xr:uid="{99B812E1-9DCA-4039-BE6A-2A5582653249}"/>
    <cellStyle name="Dziesiętny 4 4 2 2" xfId="272" xr:uid="{6A395AFB-FB4A-4D40-9037-90B08FD6CCF3}"/>
    <cellStyle name="Dziesiętny 4 4 2 2 2" xfId="717" xr:uid="{2E55F5CA-DB20-4F2D-9678-49840F0411A2}"/>
    <cellStyle name="Dziesiętny 4 4 2 3" xfId="629" xr:uid="{7644E7F2-09E1-4992-9242-1C53DD733F2E}"/>
    <cellStyle name="Dziesiętny 4 4 2 4" xfId="677" xr:uid="{A6B93642-3544-4258-B28C-DBD828046697}"/>
    <cellStyle name="Dziesiętny 4 4 3" xfId="369" xr:uid="{4B3FBA01-A5E1-4BBD-B654-07452B602CEA}"/>
    <cellStyle name="Dziesiętny 4 4 3 2" xfId="566" xr:uid="{B5E98DF8-B01C-4997-BFAA-1B34F95AA821}"/>
    <cellStyle name="Dziesiętny 4 4 3 2 2" xfId="742" xr:uid="{5662D1AC-6EDA-477C-845D-8604BD098776}"/>
    <cellStyle name="Dziesiętny 4 4 3 3" xfId="654" xr:uid="{0092BEF4-4D0D-4698-B657-FF1790912439}"/>
    <cellStyle name="Dziesiętny 4 4 4" xfId="443" xr:uid="{48B7BD9C-455C-49D3-B28D-A5A61DA955D9}"/>
    <cellStyle name="Dziesiętny 4 4 4 2" xfId="698" xr:uid="{0C6E9F6E-9720-442F-B59A-FF891F926A8E}"/>
    <cellStyle name="Dziesiętny 4 4 5" xfId="610" xr:uid="{2C0D9242-90FD-4464-B20E-5B325F1A882C}"/>
    <cellStyle name="Dziesiętny 4 5" xfId="178" xr:uid="{EE7BAF0D-6B88-4F9B-B33A-95AA770876EA}"/>
    <cellStyle name="Dziesiętny 4 5 2" xfId="255" xr:uid="{37E315E9-93C9-458E-B7B5-662933CB31E1}"/>
    <cellStyle name="Dziesiętny 4 5 2 2" xfId="285" xr:uid="{FED68325-9FED-4AA7-83DF-1BCC6CCBE066}"/>
    <cellStyle name="Dziesiętny 4 5 2 2 2" xfId="722" xr:uid="{03766655-9146-4FBF-8FD1-D9500383405E}"/>
    <cellStyle name="Dziesiętny 4 5 2 3" xfId="634" xr:uid="{CACD4FCB-B43B-42C9-9137-D2F43750E3E6}"/>
    <cellStyle name="Dziesiętny 4 5 2 4" xfId="682" xr:uid="{23AC9254-7623-4DA7-B393-5CD93F778CD0}"/>
    <cellStyle name="Dziesiętny 4 5 3" xfId="378" xr:uid="{85CFBF4B-E89B-4EBB-B373-30221D7F8279}"/>
    <cellStyle name="Dziesiętny 4 5 3 2" xfId="575" xr:uid="{29549616-9E6E-4826-BC0C-017FF0F0A291}"/>
    <cellStyle name="Dziesiętny 4 5 3 2 2" xfId="747" xr:uid="{23E1043D-3996-4340-93EC-9E2ADCBC12DA}"/>
    <cellStyle name="Dziesiętny 4 5 3 3" xfId="659" xr:uid="{3EE50C1A-E6E5-4175-8ECD-9BFCB032CA04}"/>
    <cellStyle name="Dziesiętny 4 5 4" xfId="452" xr:uid="{701FE982-3928-437C-9935-F79E6FB607CE}"/>
    <cellStyle name="Dziesiętny 4 5 4 2" xfId="703" xr:uid="{449C6AD2-99BB-41F6-A81D-39749C0E314B}"/>
    <cellStyle name="Dziesiętny 4 5 5" xfId="615" xr:uid="{20EC1CCB-909C-47E5-82A0-6B9A2563A3C8}"/>
    <cellStyle name="Dziesiętny 4 6" xfId="208" xr:uid="{D13A9D43-6187-4134-B407-C5883C09A33A}"/>
    <cellStyle name="Dziesiętny 4 6 2" xfId="267" xr:uid="{2A202045-5625-4A2E-9B1D-355EB2D85EE0}"/>
    <cellStyle name="Dziesiętny 4 6 2 2" xfId="708" xr:uid="{CA6817C5-555D-4FF7-9DA0-62839575EC37}"/>
    <cellStyle name="Dziesiętny 4 6 3" xfId="620" xr:uid="{E65BC11F-B0EA-499D-9015-62DA39D351E8}"/>
    <cellStyle name="Dziesiętny 4 6 4" xfId="667" xr:uid="{3D441F63-6CDE-4934-B31E-38D637E79094}"/>
    <cellStyle name="Dziesiętny 4 7" xfId="305" xr:uid="{6E031295-C804-430A-8EE8-AEDD603B4128}"/>
    <cellStyle name="Dziesiętny 4 7 2" xfId="502" xr:uid="{A3E5B9A7-CD2A-4E76-A36F-9F5967D6D36D}"/>
    <cellStyle name="Dziesiętny 4 7 2 2" xfId="727" xr:uid="{F118DE16-B355-4484-8099-95EA1748A077}"/>
    <cellStyle name="Dziesiętny 4 7 3" xfId="639" xr:uid="{1A776DF7-8C81-4880-9754-68897EF2D7C8}"/>
    <cellStyle name="Dziesiętny 4 8" xfId="331" xr:uid="{3EBD1874-A1DB-4CD8-A478-9B56132C51E4}"/>
    <cellStyle name="Dziesiętny 4 8 2" xfId="528" xr:uid="{A916391A-B7BA-4A9F-A3D9-E15055EE0DE8}"/>
    <cellStyle name="Dziesiętny 4 8 2 2" xfId="732" xr:uid="{59CD2E74-238A-4A03-B36D-B805A5DE6B79}"/>
    <cellStyle name="Dziesiętny 4 8 3" xfId="644" xr:uid="{54BF9806-6655-4096-8876-2E4536236DBB}"/>
    <cellStyle name="Dziesiętny 4 9" xfId="405" xr:uid="{5981A69D-0220-45D2-97B7-D50E6AE11DE8}"/>
    <cellStyle name="Dziesiętny 4 9 2" xfId="688" xr:uid="{AF0D9DC3-5A2E-43F3-992E-21945C67A95C}"/>
    <cellStyle name="Dziesiętny 5" xfId="82" xr:uid="{A38BD191-2705-46EC-8B75-79D3407E59D9}"/>
    <cellStyle name="Dziesiętny 5 2" xfId="162" xr:uid="{5BC61214-C874-4536-BE66-DCC1A286E631}"/>
    <cellStyle name="Dziesiętny 5 2 2" xfId="239" xr:uid="{3340E010-37F7-4F4B-835C-54D984AC1486}"/>
    <cellStyle name="Dziesiętny 5 2 2 2" xfId="297" xr:uid="{B3B3F4E6-0AE8-43CD-974B-83781EC767F6}"/>
    <cellStyle name="Dziesiętny 5 2 3" xfId="362" xr:uid="{C86B6EDA-829C-43EB-BB52-0F6840FA8C0F}"/>
    <cellStyle name="Dziesiętny 5 2 3 2" xfId="559" xr:uid="{DA7A41E3-3307-4E8C-BABB-2804FD601084}"/>
    <cellStyle name="Dziesiętny 5 2 4" xfId="436" xr:uid="{79CE9C6C-894D-4A58-89D6-60E18FFC0141}"/>
    <cellStyle name="Dziesiętny 5 3" xfId="201" xr:uid="{405DB34F-03A3-4734-964B-4816888C7CFB}"/>
    <cellStyle name="Dziesiętny 5 3 2" xfId="275" xr:uid="{8335D329-04A5-4F7C-A81C-69625457A013}"/>
    <cellStyle name="Dziesiętny 5 4" xfId="324" xr:uid="{A4162B77-4AA3-48EA-9921-BB910F67E3B9}"/>
    <cellStyle name="Dziesiętny 5 4 2" xfId="521" xr:uid="{188F9638-BCEB-4135-BF83-6ED6D8A4B6A2}"/>
    <cellStyle name="Dziesiętny 5 5" xfId="398" xr:uid="{D0407538-07D7-4522-B68F-4E6F5A3F19CB}"/>
    <cellStyle name="Dziesiętny 6" xfId="141" xr:uid="{94706F06-35D5-42C0-8B03-72C2DE5096D6}"/>
    <cellStyle name="Dziesiętny 6 2" xfId="219" xr:uid="{B7D869BD-CFA1-488E-BFCE-EF4DADE81D69}"/>
    <cellStyle name="Dziesiętny 6 2 2" xfId="301" xr:uid="{C25040FA-3EF2-4338-A7F2-026B79A14B97}"/>
    <cellStyle name="Dziesiętny 6 3" xfId="342" xr:uid="{3DF9EFC9-4A78-485C-8229-FD392F9FCD24}"/>
    <cellStyle name="Dziesiętny 6 3 2" xfId="539" xr:uid="{DF352CE7-875B-4216-BD92-94B96C83B714}"/>
    <cellStyle name="Dziesiętny 6 4" xfId="416" xr:uid="{476ADCD7-75E1-4FE6-AD32-326C1CE24B76}"/>
    <cellStyle name="Dziesiętny 7" xfId="171" xr:uid="{9228123E-0A3E-4E20-919D-B48DCCC14959}"/>
    <cellStyle name="Dziesiętny 7 2" xfId="248" xr:uid="{30212271-CDA4-4B26-93C6-C2616B864CD0}"/>
    <cellStyle name="Dziesiętny 7 2 2" xfId="265" xr:uid="{8595FA81-CE2A-4F70-B854-B2D9A1AB6D9D}"/>
    <cellStyle name="Dziesiętny 7 3" xfId="371" xr:uid="{9EEF718F-9F91-4978-B024-D523E343E4A5}"/>
    <cellStyle name="Dziesiętny 7 3 2" xfId="568" xr:uid="{4CB195A1-CE29-4083-A5E1-104CDF8E9CC9}"/>
    <cellStyle name="Dziesiętny 7 4" xfId="445" xr:uid="{1E9F0122-91C1-4325-ADA0-EE6BDAD2EF3E}"/>
    <cellStyle name="Dziesiętny 8" xfId="262" xr:uid="{1BD88151-C54B-4FC3-B604-86A0F1F5E2B5}"/>
    <cellStyle name="Dziesiętny 8 2" xfId="495" xr:uid="{33B45310-AAB7-45E4-9C35-FA3A878FBBA0}"/>
    <cellStyle name="Explanatory Text" xfId="91" xr:uid="{F29BDFB0-93DE-4B47-9B2E-D9897C892C3F}"/>
    <cellStyle name="Good" xfId="92" xr:uid="{249ED8C2-BA1E-4892-9B80-B9F6FBA3AE56}"/>
    <cellStyle name="Heading 1" xfId="93" xr:uid="{AD7D24CC-11CB-4768-8828-96B712052600}"/>
    <cellStyle name="Heading 2" xfId="94" xr:uid="{7C4DD5AC-53FF-4EE0-A079-E1568D8F7912}"/>
    <cellStyle name="Heading 3" xfId="95" xr:uid="{CBCB0F72-46ED-411C-A9C4-F05A250883F3}"/>
    <cellStyle name="Heading 4" xfId="96" xr:uid="{47A9BCFE-EE45-4423-BAEC-0026AC2E0C69}"/>
    <cellStyle name="Input" xfId="97" xr:uid="{5D995146-FF88-4B30-BFCA-B3476B424A9B}"/>
    <cellStyle name="Komórka połączona" xfId="11" builtinId="24" customBuiltin="1"/>
    <cellStyle name="Komórka połączona 2" xfId="98" xr:uid="{00716242-5183-4B4D-B75A-A4F329176AFA}"/>
    <cellStyle name="Komórka zaznaczona" xfId="12" builtinId="23" customBuiltin="1"/>
    <cellStyle name="Komórka zaznaczona 2" xfId="99" xr:uid="{AA37EAE9-8AB7-4537-A08D-FBD8B12F38B6}"/>
    <cellStyle name="Linked Cell" xfId="100" xr:uid="{C5B9C37F-DE03-4A4F-AD03-EA1D893F2E27}"/>
    <cellStyle name="Nagłówek 1" xfId="2" builtinId="16" customBuiltin="1"/>
    <cellStyle name="Nagłówek 1 2" xfId="101" xr:uid="{AB22521D-44EB-4F78-8AC3-AC5EDF2B481A}"/>
    <cellStyle name="Nagłówek 2" xfId="3" builtinId="17" customBuiltin="1"/>
    <cellStyle name="Nagłówek 2 2" xfId="102" xr:uid="{28B81B1C-C502-4A14-8BCF-2555EF0E2B81}"/>
    <cellStyle name="Nagłówek 3" xfId="4" builtinId="18" customBuiltin="1"/>
    <cellStyle name="Nagłówek 3 2" xfId="103" xr:uid="{2CCD67BD-6EB6-4E5D-8391-2C1B75A69A74}"/>
    <cellStyle name="Nagłówek 4" xfId="5" builtinId="19" customBuiltin="1"/>
    <cellStyle name="Nagłówek 4 2" xfId="104" xr:uid="{35DF4E0C-FF56-4E23-8E57-6C629503380E}"/>
    <cellStyle name="Neutral" xfId="105" xr:uid="{2674FFAB-594B-44B6-AE6C-6EDCA767C2BA}"/>
    <cellStyle name="Neutralny 2" xfId="37" xr:uid="{4AB9C8D4-FDF6-4849-90A4-79A9DD69905A}"/>
    <cellStyle name="Normalny" xfId="0" builtinId="0"/>
    <cellStyle name="Normalny 10" xfId="185" xr:uid="{79B9F8C8-2D68-4BF3-A6FA-595750B847F8}"/>
    <cellStyle name="Normalny 11" xfId="589" xr:uid="{49F2A596-DB74-497B-9268-29725AE8B5AE}"/>
    <cellStyle name="Normalny 2" xfId="34" xr:uid="{4735A8B7-91CA-4D60-B770-5B253BDC0067}"/>
    <cellStyle name="Normalny 2 2" xfId="107" xr:uid="{163AF2F0-12A9-4110-BB81-8E5A28D34E6F}"/>
    <cellStyle name="Normalny 2 2 2" xfId="108" xr:uid="{AC04D028-694C-4BE8-A4CA-5BFAFB2027B4}"/>
    <cellStyle name="Normalny 2 2 2 2" xfId="109" xr:uid="{C4B24FD4-5366-4309-9820-32FEA4E4B049}"/>
    <cellStyle name="Normalny 2 2 2 2 2" xfId="151" xr:uid="{54D39630-8EBA-4646-8341-F8E87452BF73}"/>
    <cellStyle name="Normalny 2 2 2 2 2 2" xfId="229" xr:uid="{679035BA-08EB-42CF-BC1F-8F647D84E25A}"/>
    <cellStyle name="Normalny 2 2 2 2 2 2 2" xfId="482" xr:uid="{3D02818A-4297-4A38-8974-6BD49B6B165E}"/>
    <cellStyle name="Normalny 2 2 2 2 2 3" xfId="352" xr:uid="{02B10BB2-F68E-4CB8-BB0D-80AD76CC9B50}"/>
    <cellStyle name="Normalny 2 2 2 2 2 3 2" xfId="549" xr:uid="{E24F14BB-5079-4342-98A8-E373EA932650}"/>
    <cellStyle name="Normalny 2 2 2 2 2 4" xfId="426" xr:uid="{5F98377F-DC7D-452A-8A69-940FFAFE4739}"/>
    <cellStyle name="Normalny 2 2 2 2 3" xfId="181" xr:uid="{713C6CED-79FC-447B-AE7B-A067049B331B}"/>
    <cellStyle name="Normalny 2 2 2 2 3 2" xfId="258" xr:uid="{A727D99D-50B9-4C21-85C2-4EAA9FAFEBB5}"/>
    <cellStyle name="Normalny 2 2 2 2 3 2 2" xfId="493" xr:uid="{F2D93174-D9BF-42E9-9800-62852A5E9DCD}"/>
    <cellStyle name="Normalny 2 2 2 2 3 3" xfId="381" xr:uid="{BE89FB0A-6981-4D56-B5A2-29BB339CCD95}"/>
    <cellStyle name="Normalny 2 2 2 2 3 3 2" xfId="578" xr:uid="{BBB0553A-114B-499A-9825-238EB9A56B3A}"/>
    <cellStyle name="Normalny 2 2 2 2 3 4" xfId="455" xr:uid="{3240D5D1-C390-43FF-93D1-BAD28243DD3F}"/>
    <cellStyle name="Normalny 2 2 2 2 4" xfId="211" xr:uid="{04A63921-781A-41A9-A55A-863A315D2758}"/>
    <cellStyle name="Normalny 2 2 2 2 4 2" xfId="473" xr:uid="{6AFF2FF2-5988-4174-919F-DE29F0E83211}"/>
    <cellStyle name="Normalny 2 2 2 2 5" xfId="308" xr:uid="{88A2C463-7D00-4162-94CB-5CE737E50E46}"/>
    <cellStyle name="Normalny 2 2 2 2 5 2" xfId="505" xr:uid="{D37F006A-16AF-4441-8A7B-4C1DDAC60162}"/>
    <cellStyle name="Normalny 2 2 2 2 6" xfId="334" xr:uid="{9BD3FA0E-1A70-4FCE-B8C1-918BD35BB40C}"/>
    <cellStyle name="Normalny 2 2 2 2 6 2" xfId="531" xr:uid="{3367D0C4-5787-4F24-B07F-48C5666968DE}"/>
    <cellStyle name="Normalny 2 2 2 2 7" xfId="408" xr:uid="{B7339DFE-C7C3-4C67-9ECA-233CBA017660}"/>
    <cellStyle name="Normalny 2 2 2 3" xfId="150" xr:uid="{C01CD93F-3C03-45D8-B1D3-1BFE8266F824}"/>
    <cellStyle name="Normalny 2 2 2 3 2" xfId="228" xr:uid="{0235989B-14E5-42B3-9876-84270750970A}"/>
    <cellStyle name="Normalny 2 2 2 3 2 2" xfId="481" xr:uid="{EE88DBF8-9FAA-4262-8441-E30A052C6601}"/>
    <cellStyle name="Normalny 2 2 2 3 3" xfId="351" xr:uid="{D07F6DD7-EDC9-4569-8ECF-5599FBED3139}"/>
    <cellStyle name="Normalny 2 2 2 3 3 2" xfId="548" xr:uid="{A9A80EDE-B068-43A5-AFC6-74CAA0295F56}"/>
    <cellStyle name="Normalny 2 2 2 3 4" xfId="425" xr:uid="{36D17CF6-8EBA-490F-9CF4-1F34F2D1B1E5}"/>
    <cellStyle name="Normalny 2 2 2 4" xfId="180" xr:uid="{EC14AA61-0179-457D-A67A-ABC87DC2B855}"/>
    <cellStyle name="Normalny 2 2 2 4 2" xfId="257" xr:uid="{E507D480-5E1D-4F36-A9B3-155D9A1574E1}"/>
    <cellStyle name="Normalny 2 2 2 4 2 2" xfId="492" xr:uid="{8B66DF3E-9679-4E98-A935-1A6ECEEB1568}"/>
    <cellStyle name="Normalny 2 2 2 4 3" xfId="380" xr:uid="{DAAFC9F2-3D13-4968-86F2-908DF871E07D}"/>
    <cellStyle name="Normalny 2 2 2 4 3 2" xfId="577" xr:uid="{F6D81E1E-EEBC-4805-B550-AC1725311C64}"/>
    <cellStyle name="Normalny 2 2 2 4 4" xfId="454" xr:uid="{8FA12A08-4CE6-49B5-BF58-FD1BE3F83B0F}"/>
    <cellStyle name="Normalny 2 2 2 5" xfId="210" xr:uid="{A3FB6F54-C417-42F8-96ED-C675A93AC3EC}"/>
    <cellStyle name="Normalny 2 2 2 5 2" xfId="472" xr:uid="{BF53DD58-C396-45F0-9F70-4C8C70A122ED}"/>
    <cellStyle name="Normalny 2 2 2 6" xfId="307" xr:uid="{D2908980-DC46-4ADF-AB0E-368724A4E3D9}"/>
    <cellStyle name="Normalny 2 2 2 6 2" xfId="504" xr:uid="{A1B3B6FC-679F-4547-81A4-595ACA72F85C}"/>
    <cellStyle name="Normalny 2 2 2 7" xfId="333" xr:uid="{855A863D-FAD1-4D41-B549-6399AA5A24D0}"/>
    <cellStyle name="Normalny 2 2 2 7 2" xfId="530" xr:uid="{8754A7EF-C69A-4B82-B828-7FF52AE5F8DF}"/>
    <cellStyle name="Normalny 2 2 2 8" xfId="407" xr:uid="{CEEAF591-A935-4C63-B37A-7D6BB6908056}"/>
    <cellStyle name="Normalny 2 3" xfId="106" xr:uid="{FAE84E9F-7DE8-4120-AC18-4F0FC1C238BF}"/>
    <cellStyle name="Normalny 2 4" xfId="36" xr:uid="{12E80123-5CD1-447A-8919-FD052593F188}"/>
    <cellStyle name="Normalny 3" xfId="35" xr:uid="{703C84D5-0396-439E-8D09-B57C3FD655C6}"/>
    <cellStyle name="Normalny 3 2" xfId="111" xr:uid="{4AC18BF0-ED9A-4D2A-8062-FF4F827BCE3C}"/>
    <cellStyle name="Normalny 3 2 2" xfId="595" xr:uid="{0033537B-BFDF-4504-ABCC-2636E888DE1E}"/>
    <cellStyle name="Normalny 3 3" xfId="110" xr:uid="{5CCAE73B-0102-413F-90CF-2A368C1FE22E}"/>
    <cellStyle name="Normalny 3 3 2" xfId="594" xr:uid="{DAB127F0-AFB4-442A-9E67-31AF7976D9A0}"/>
    <cellStyle name="Normalny 3 4" xfId="139" xr:uid="{90EAEA21-2515-450D-95FD-191A9E05F69B}"/>
    <cellStyle name="Normalny 3 4 2" xfId="217" xr:uid="{4712AFE6-DD9A-479A-A42D-BCF77C4B9A2C}"/>
    <cellStyle name="Normalny 3 4 2 2" xfId="479" xr:uid="{8C30FA76-37FD-40A2-8EC1-6E1D4C733626}"/>
    <cellStyle name="Normalny 3 4 3" xfId="340" xr:uid="{6B6C7C6A-8453-4515-B8EF-BDD18F1D29FA}"/>
    <cellStyle name="Normalny 3 4 3 2" xfId="537" xr:uid="{D1052AF5-FC0D-4CC7-8080-811022E9F830}"/>
    <cellStyle name="Normalny 3 4 4" xfId="414" xr:uid="{F18BD435-BFF2-4446-A699-0B7311790CE6}"/>
    <cellStyle name="Normalny 3 5" xfId="199" xr:uid="{DA0A48D5-1E57-485E-BE80-39E9E791B6FC}"/>
    <cellStyle name="Normalny 3 5 2" xfId="469" xr:uid="{4172F576-AD6F-4CB1-8912-DC4E7CD83B63}"/>
    <cellStyle name="Normalny 3 6" xfId="322" xr:uid="{A5890853-78D9-41F3-985F-569C04F580C1}"/>
    <cellStyle name="Normalny 3 6 2" xfId="519" xr:uid="{A0892C18-D627-477A-A8FD-8FC091A2E4C0}"/>
    <cellStyle name="Normalny 3 7" xfId="396" xr:uid="{DCE5D383-0DA5-44C6-923E-96A508D27D0D}"/>
    <cellStyle name="Normalny 4" xfId="112" xr:uid="{874B7D64-F268-42A0-B0FC-E25DF4015611}"/>
    <cellStyle name="Normalny 4 2" xfId="113" xr:uid="{4E77990B-B596-4526-BE54-388F20E8445E}"/>
    <cellStyle name="Normalny 4 2 2" xfId="596" xr:uid="{4A505290-E515-4DCA-99C5-9F0E96D18FF6}"/>
    <cellStyle name="Normalny 4 3" xfId="152" xr:uid="{F96ECD61-0C7E-49D9-A8D3-7CA37A455D07}"/>
    <cellStyle name="Normalny 4 3 2" xfId="230" xr:uid="{C39A7AC6-FE03-4E33-8CA2-21CD69AB3AF4}"/>
    <cellStyle name="Normalny 4 3 2 2" xfId="483" xr:uid="{7FDFC087-580F-4AD8-954F-DD56E99B2993}"/>
    <cellStyle name="Normalny 4 3 3" xfId="353" xr:uid="{95DF858D-18D4-4E53-B4C8-A810480D9AD9}"/>
    <cellStyle name="Normalny 4 3 3 2" xfId="550" xr:uid="{6A7BF723-BF5A-4906-9F66-828F8C84D195}"/>
    <cellStyle name="Normalny 4 3 4" xfId="427" xr:uid="{62B895C9-F0C9-4AD3-BD14-A4CB81E8CE58}"/>
    <cellStyle name="Normalny 4 4" xfId="182" xr:uid="{43CFA2D1-4AC8-4CAF-AAA6-C50AA450FED1}"/>
    <cellStyle name="Normalny 4 4 2" xfId="259" xr:uid="{DFD0C2BF-E76B-4CE5-9951-3D431529059D}"/>
    <cellStyle name="Normalny 4 4 2 2" xfId="494" xr:uid="{66328932-8944-46A6-BF12-F5D3838E1ABB}"/>
    <cellStyle name="Normalny 4 4 3" xfId="382" xr:uid="{EA11B350-B7D7-49C9-A476-82DCED6CE2A4}"/>
    <cellStyle name="Normalny 4 4 3 2" xfId="579" xr:uid="{DB5631C6-4862-4A05-9D77-AFED0C10CB25}"/>
    <cellStyle name="Normalny 4 4 4" xfId="456" xr:uid="{DA320638-36F9-44A3-AE89-323E5FD6B8FA}"/>
    <cellStyle name="Normalny 4 5" xfId="212" xr:uid="{936A38D2-B704-46B7-B0CD-0F568295FFFA}"/>
    <cellStyle name="Normalny 4 5 2" xfId="474" xr:uid="{88055108-B5CD-483B-8A1C-977DC4CA5E11}"/>
    <cellStyle name="Normalny 4 6" xfId="309" xr:uid="{E59A744A-1773-4C21-B4B1-68A553D704AD}"/>
    <cellStyle name="Normalny 4 6 2" xfId="506" xr:uid="{77FD7CF6-BB3F-415A-B7F8-FB967331D306}"/>
    <cellStyle name="Normalny 4 7" xfId="335" xr:uid="{484D8460-2908-4560-BE2C-1801D786CF33}"/>
    <cellStyle name="Normalny 4 7 2" xfId="532" xr:uid="{73A7700A-753B-4480-BA1A-124B6D309B29}"/>
    <cellStyle name="Normalny 4 8" xfId="409" xr:uid="{771C6112-9A52-40C5-8AFC-3BEF73C98EB6}"/>
    <cellStyle name="Normalny 5" xfId="114" xr:uid="{D4510C89-0F9C-4FF7-8F97-E4EB14EC6C3D}"/>
    <cellStyle name="Normalny 5 2" xfId="597" xr:uid="{669C257B-D060-48E2-A162-178FB2C65397}"/>
    <cellStyle name="Normalny 6" xfId="115" xr:uid="{84473F78-4714-4BE9-96A0-CC63D13E1CCB}"/>
    <cellStyle name="Normalny 6 2" xfId="116" xr:uid="{4C084861-DA38-4DBC-8968-EEE4E6D18021}"/>
    <cellStyle name="Normalny 6 2 2" xfId="117" xr:uid="{A560F03B-9C7D-43FC-BF39-C8E9BC8A766A}"/>
    <cellStyle name="Normalny 6 2 2 2" xfId="153" xr:uid="{047B0960-C148-4C77-9C10-E6D81A13C615}"/>
    <cellStyle name="Normalny 6 2 2 2 2" xfId="606" xr:uid="{489EA699-9B6B-4A3F-B139-C269518AD835}"/>
    <cellStyle name="Normalny 6 2 2 3" xfId="598" xr:uid="{CA35CCD7-29EA-4866-8442-B1415017276C}"/>
    <cellStyle name="Normalny 6 2 3" xfId="118" xr:uid="{8C7D764C-B3D2-4EA0-B178-1707672797C0}"/>
    <cellStyle name="Normalny 6 2 3 2" xfId="599" xr:uid="{CA5545A7-25C6-4300-8787-4B835FE5ED96}"/>
    <cellStyle name="Normalny 7" xfId="46" xr:uid="{651EF6D6-F493-46FE-9821-C9AC1536A3CD}"/>
    <cellStyle name="Normalny 8" xfId="184" xr:uid="{82367FC5-03BD-4709-B53A-A2A174DFAE5C}"/>
    <cellStyle name="Normalny 8 2" xfId="260" xr:uid="{5802B815-B3FD-4D96-892C-4A1EA65E8713}"/>
    <cellStyle name="Normalny 9" xfId="198" xr:uid="{00E1FB1B-0C50-4A3A-8FB6-6FB49CB5CD91}"/>
    <cellStyle name="Normalny 9 2" xfId="263" xr:uid="{1F3E822A-F1DD-4944-9BA1-A5E12CE77900}"/>
    <cellStyle name="Normalny 9 3" xfId="663" xr:uid="{E0A786AD-5B70-4343-8610-6CB659BEC459}"/>
    <cellStyle name="Normalny 9 4" xfId="684" xr:uid="{6CE89E79-EABA-4E67-AD6E-B9575959A8A7}"/>
    <cellStyle name="Normalny_22-" xfId="585" xr:uid="{F778E896-A0C1-4A24-A361-17044406545B}"/>
    <cellStyle name="Normalny_JST_zalaczniki2010" xfId="584" xr:uid="{FE791CD0-5971-4AF5-91A9-016210F86B2D}"/>
    <cellStyle name="Normalny_tabela11_ST2" xfId="183" xr:uid="{AA803CFA-51A6-47A4-8D6A-1DB9EBA02F01}"/>
    <cellStyle name="Normalny_Tablica17 2" xfId="583" xr:uid="{B293E370-0A32-45A4-93FF-0C67143E6DE7}"/>
    <cellStyle name="Normalny_Załączniki_MR_wzór (3)" xfId="581" xr:uid="{25F98F25-3B6B-4EE5-A117-0AC3D13E335B}"/>
    <cellStyle name="Normalny_Załączniki_MR_wzór (5)" xfId="582" xr:uid="{35B3DFF3-3349-4850-BBB9-DECD9926845F}"/>
    <cellStyle name="Normalny_Załączniki_MR_wzór (6)" xfId="383" xr:uid="{52C4EA80-6EAD-4A26-989C-19F3114ADF9B}"/>
    <cellStyle name="Normalny_Zeszyt1" xfId="580" xr:uid="{8FDFC990-DBE4-4252-8A56-8F36B58525A5}"/>
    <cellStyle name="Note" xfId="119" xr:uid="{422445A0-8351-4656-B7C6-7B031A6AC73A}"/>
    <cellStyle name="Note 2" xfId="120" xr:uid="{34BD82C2-FF17-4CAC-B673-931E879E44AE}"/>
    <cellStyle name="Note 2 2" xfId="121" xr:uid="{5A946E37-6C29-41AB-B9B7-A12437BA8A9A}"/>
    <cellStyle name="Note 3" xfId="122" xr:uid="{9BCE351F-77B6-404B-BFE5-1CD746C94424}"/>
    <cellStyle name="Obliczenia" xfId="10" builtinId="22" customBuiltin="1"/>
    <cellStyle name="Obliczenia 2" xfId="123" xr:uid="{A5B8FC59-AEEB-4C5D-8556-4574C48D40A1}"/>
    <cellStyle name="Output" xfId="124" xr:uid="{75D23A81-0D86-4A17-9C85-BFC2FBBDE6C6}"/>
    <cellStyle name="Procentowy" xfId="750" builtinId="5"/>
    <cellStyle name="Procentowy 2" xfId="126" xr:uid="{1508022F-28AE-4520-AFD8-ED2A3623DA6A}"/>
    <cellStyle name="Procentowy 2 2" xfId="600" xr:uid="{AB301FD6-2C97-4B63-823A-CAA8CF9D530B}"/>
    <cellStyle name="Procentowy 3" xfId="125" xr:uid="{17F20A92-25A4-4A0E-A7AB-A965D02733E4}"/>
    <cellStyle name="Suma" xfId="15" builtinId="25" customBuiltin="1"/>
    <cellStyle name="Suma 2" xfId="127" xr:uid="{7C1C82BC-38F0-47A4-8423-016703826D3F}"/>
    <cellStyle name="Tekst objaśnienia" xfId="14" builtinId="53" customBuiltin="1"/>
    <cellStyle name="Tekst objaśnienia 2" xfId="128" xr:uid="{BC401B46-F9E4-44B8-A4D7-1E7E03E6DF62}"/>
    <cellStyle name="Tekst ostrzeżenia" xfId="13" builtinId="11" customBuiltin="1"/>
    <cellStyle name="Tekst ostrzeżenia 2" xfId="129" xr:uid="{3B6072CA-4F40-406B-A9D8-BDBCE311E29A}"/>
    <cellStyle name="Title" xfId="130" xr:uid="{F9E6114A-82B0-486C-A516-54E1126298F6}"/>
    <cellStyle name="Total" xfId="131" xr:uid="{207FFC22-D98A-4338-A963-853A1ACEACC2}"/>
    <cellStyle name="Tytuł" xfId="1" builtinId="15" customBuiltin="1"/>
    <cellStyle name="Tytuł 2" xfId="132" xr:uid="{33E4D84C-88A4-4A80-9861-92BCB6D382C3}"/>
    <cellStyle name="Uwaga 2" xfId="45" xr:uid="{463D6536-2C86-4CCC-8A0A-273B5C257C19}"/>
    <cellStyle name="Uwaga 2 2" xfId="140" xr:uid="{43B5B53B-E180-47B6-A25F-625B89236339}"/>
    <cellStyle name="Uwaga 2 2 2" xfId="218" xr:uid="{FDD519B1-718E-4DDF-90C3-98A4BFA37AD4}"/>
    <cellStyle name="Uwaga 2 2 2 2" xfId="480" xr:uid="{3F69AE42-685F-45BC-AE2E-8D0720657CE2}"/>
    <cellStyle name="Uwaga 2 2 3" xfId="341" xr:uid="{CC5BDC35-A91C-439C-B84E-D41ACC1DF9AB}"/>
    <cellStyle name="Uwaga 2 2 3 2" xfId="538" xr:uid="{5DA0E51E-EF14-4DFB-9514-C0138FA3B2DC}"/>
    <cellStyle name="Uwaga 2 2 4" xfId="415" xr:uid="{0D486AE9-402A-470E-9D55-D3096EB9200C}"/>
    <cellStyle name="Uwaga 2 3" xfId="200" xr:uid="{53A8BE43-F857-404C-8CB5-A769FF662431}"/>
    <cellStyle name="Uwaga 2 3 2" xfId="470" xr:uid="{E248F99D-1BB6-4D22-8A5C-6DE325909DD5}"/>
    <cellStyle name="Uwaga 2 4" xfId="323" xr:uid="{30D77B8A-8604-4746-B4D2-156881175675}"/>
    <cellStyle name="Uwaga 2 4 2" xfId="520" xr:uid="{1C596BFC-F28C-47E7-9186-ED138074FECC}"/>
    <cellStyle name="Uwaga 2 5" xfId="397" xr:uid="{1B3A2B25-1CD3-4939-9D24-5E5419B14DB4}"/>
    <cellStyle name="Uwaga 3" xfId="133" xr:uid="{D1305A40-EE53-4547-B0B5-FFA74B1587AC}"/>
    <cellStyle name="Warning Text" xfId="134" xr:uid="{B4B0F704-D5DF-4087-8C1E-D2E7AFCDD509}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436B-AFFE-4B07-B348-4AF6C84E3D48}">
  <dimension ref="A1:L128"/>
  <sheetViews>
    <sheetView view="pageBreakPreview" topLeftCell="A22" zoomScaleNormal="100" zoomScaleSheetLayoutView="100" workbookViewId="0">
      <selection activeCell="A43" sqref="A43"/>
    </sheetView>
  </sheetViews>
  <sheetFormatPr defaultColWidth="9.21875" defaultRowHeight="13.8"/>
  <cols>
    <col min="1" max="1" width="29.44140625" style="383" customWidth="1"/>
    <col min="2" max="2" width="12.77734375" style="383" bestFit="1" customWidth="1"/>
    <col min="3" max="3" width="15.5546875" style="383" bestFit="1" customWidth="1"/>
    <col min="4" max="4" width="13.77734375" style="383" bestFit="1" customWidth="1"/>
    <col min="5" max="5" width="12.77734375" style="383" bestFit="1" customWidth="1"/>
    <col min="6" max="6" width="11.77734375" style="383" bestFit="1" customWidth="1"/>
    <col min="7" max="7" width="12.5546875" style="383" bestFit="1" customWidth="1"/>
    <col min="8" max="8" width="14.21875" style="383" bestFit="1" customWidth="1"/>
    <col min="9" max="9" width="6.5546875" style="383" bestFit="1" customWidth="1"/>
    <col min="10" max="10" width="7.21875" style="383" bestFit="1" customWidth="1"/>
    <col min="11" max="11" width="7.77734375" style="383" customWidth="1"/>
    <col min="12" max="12" width="8.21875" style="383" customWidth="1"/>
    <col min="13" max="13" width="9.21875" style="383" customWidth="1"/>
    <col min="14" max="16384" width="9.21875" style="383"/>
  </cols>
  <sheetData>
    <row r="1" spans="1:12" ht="24.75" customHeight="1">
      <c r="A1" s="444" t="s">
        <v>883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2" ht="6.75" customHeight="1"/>
    <row r="3" spans="1:12" ht="40.799999999999997">
      <c r="A3" s="2075" t="s">
        <v>584</v>
      </c>
      <c r="B3" s="1747" t="s">
        <v>869</v>
      </c>
      <c r="C3" s="1747" t="s">
        <v>870</v>
      </c>
      <c r="D3" s="1747" t="s">
        <v>871</v>
      </c>
      <c r="E3" s="1747" t="s">
        <v>872</v>
      </c>
      <c r="F3" s="1747" t="s">
        <v>873</v>
      </c>
      <c r="G3" s="1747" t="s">
        <v>874</v>
      </c>
      <c r="H3" s="1747" t="s">
        <v>875</v>
      </c>
      <c r="I3" s="1741" t="s">
        <v>585</v>
      </c>
      <c r="J3" s="1747" t="s">
        <v>586</v>
      </c>
      <c r="K3" s="1747" t="s">
        <v>587</v>
      </c>
    </row>
    <row r="4" spans="1:12">
      <c r="A4" s="2075"/>
      <c r="B4" s="2076" t="s">
        <v>163</v>
      </c>
      <c r="C4" s="2077"/>
      <c r="D4" s="2077"/>
      <c r="E4" s="2077"/>
      <c r="F4" s="2077"/>
      <c r="G4" s="2077"/>
      <c r="H4" s="2078"/>
      <c r="I4" s="2079" t="s">
        <v>169</v>
      </c>
      <c r="J4" s="2079"/>
      <c r="K4" s="2079"/>
    </row>
    <row r="5" spans="1:12">
      <c r="A5" s="1741">
        <v>1</v>
      </c>
      <c r="B5" s="1740">
        <v>2</v>
      </c>
      <c r="C5" s="1740">
        <v>3</v>
      </c>
      <c r="D5" s="1741">
        <v>4</v>
      </c>
      <c r="E5" s="1740">
        <v>5</v>
      </c>
      <c r="F5" s="1740">
        <v>6</v>
      </c>
      <c r="G5" s="1741">
        <v>7</v>
      </c>
      <c r="H5" s="1740">
        <v>8</v>
      </c>
      <c r="I5" s="1740">
        <v>9</v>
      </c>
      <c r="J5" s="1741">
        <v>10</v>
      </c>
      <c r="K5" s="1740">
        <v>11</v>
      </c>
    </row>
    <row r="6" spans="1:12">
      <c r="A6" s="1756" t="s">
        <v>588</v>
      </c>
      <c r="B6" s="385">
        <f>474673121201.13</f>
        <v>474673121201.13</v>
      </c>
      <c r="C6" s="385">
        <f>468212138462.38</f>
        <v>468212138462.38</v>
      </c>
      <c r="D6" s="385">
        <f>6159900023.16</f>
        <v>6159900023.1599998</v>
      </c>
      <c r="E6" s="385">
        <f>845937811.61</f>
        <v>845937811.61000001</v>
      </c>
      <c r="F6" s="385">
        <f>114390148.16</f>
        <v>114390148.16</v>
      </c>
      <c r="G6" s="385">
        <f>155232792.58</f>
        <v>155232792.58000001</v>
      </c>
      <c r="H6" s="385">
        <f>7259902.58</f>
        <v>7259902.5800000001</v>
      </c>
      <c r="I6" s="386">
        <f t="shared" ref="I6:I53" si="0">IF($C$6=0,"",100*$C6/$C$6)</f>
        <v>100</v>
      </c>
      <c r="J6" s="386">
        <f t="shared" ref="J6:J53" si="1">IF(B6=0,"",100*C6/B6)</f>
        <v>98.638856415041815</v>
      </c>
      <c r="K6" s="386"/>
    </row>
    <row r="7" spans="1:12" ht="20.399999999999999">
      <c r="A7" s="1757" t="s">
        <v>589</v>
      </c>
      <c r="B7" s="385">
        <f>B6-B26-B50</f>
        <v>318354604947.46997</v>
      </c>
      <c r="C7" s="385">
        <f>C6-C26-C50</f>
        <v>319447880004.17999</v>
      </c>
      <c r="D7" s="385">
        <f>D6</f>
        <v>6159900023.1599998</v>
      </c>
      <c r="E7" s="385">
        <f>E6</f>
        <v>845937811.61000001</v>
      </c>
      <c r="F7" s="385">
        <f>F6</f>
        <v>114390148.16</v>
      </c>
      <c r="G7" s="385">
        <f>G6</f>
        <v>155232792.58000001</v>
      </c>
      <c r="H7" s="385">
        <f>H6</f>
        <v>7259902.5800000001</v>
      </c>
      <c r="I7" s="386">
        <f t="shared" si="0"/>
        <v>68.227167508568783</v>
      </c>
      <c r="J7" s="386">
        <f t="shared" si="1"/>
        <v>100.34341424302326</v>
      </c>
      <c r="K7" s="386">
        <f t="shared" ref="K7:K25" si="2">IF($C$7=0,"",100*$C7/$C$7)</f>
        <v>100</v>
      </c>
    </row>
    <row r="8" spans="1:12">
      <c r="A8" s="388" t="s">
        <v>786</v>
      </c>
      <c r="B8" s="389">
        <f>173438690808.5</f>
        <v>173438690808.5</v>
      </c>
      <c r="C8" s="389">
        <f>173452600683.33</f>
        <v>173452600683.32999</v>
      </c>
      <c r="D8" s="389">
        <f>0</f>
        <v>0</v>
      </c>
      <c r="E8" s="389">
        <f>0</f>
        <v>0</v>
      </c>
      <c r="F8" s="389">
        <f>0</f>
        <v>0</v>
      </c>
      <c r="G8" s="389">
        <f>0</f>
        <v>0</v>
      </c>
      <c r="H8" s="389">
        <f>0</f>
        <v>0</v>
      </c>
      <c r="I8" s="390">
        <f t="shared" si="0"/>
        <v>37.045729154513701</v>
      </c>
      <c r="J8" s="390">
        <f t="shared" si="1"/>
        <v>100.00802005294501</v>
      </c>
      <c r="K8" s="390">
        <f t="shared" si="2"/>
        <v>54.297621471477711</v>
      </c>
    </row>
    <row r="9" spans="1:12">
      <c r="A9" s="388" t="s">
        <v>785</v>
      </c>
      <c r="B9" s="389">
        <f>28157076400.31</f>
        <v>28157076400.310001</v>
      </c>
      <c r="C9" s="389">
        <f>28157340925.85</f>
        <v>28157340925.849998</v>
      </c>
      <c r="D9" s="389">
        <f>0</f>
        <v>0</v>
      </c>
      <c r="E9" s="389">
        <f>0</f>
        <v>0</v>
      </c>
      <c r="F9" s="389">
        <f>0</f>
        <v>0</v>
      </c>
      <c r="G9" s="389">
        <f>0</f>
        <v>0</v>
      </c>
      <c r="H9" s="389">
        <f>0</f>
        <v>0</v>
      </c>
      <c r="I9" s="390">
        <f t="shared" si="0"/>
        <v>6.0137998596788602</v>
      </c>
      <c r="J9" s="390">
        <f t="shared" si="1"/>
        <v>100.00093946380028</v>
      </c>
      <c r="K9" s="390">
        <f t="shared" si="2"/>
        <v>8.8143771451798525</v>
      </c>
    </row>
    <row r="10" spans="1:12">
      <c r="A10" s="388" t="s">
        <v>847</v>
      </c>
      <c r="B10" s="389">
        <f>37189236495.94</f>
        <v>37189236495.940002</v>
      </c>
      <c r="C10" s="389">
        <f>37733963626.18</f>
        <v>37733963626.18</v>
      </c>
      <c r="D10" s="389">
        <f>3659177736.4</f>
        <v>3659177736.4000001</v>
      </c>
      <c r="E10" s="389">
        <f>838635535.7</f>
        <v>838635535.70000005</v>
      </c>
      <c r="F10" s="389">
        <f>79723007.49</f>
        <v>79723007.489999995</v>
      </c>
      <c r="G10" s="389">
        <f>109580905.04</f>
        <v>109580905.04000001</v>
      </c>
      <c r="H10" s="389">
        <f>5708139.82</f>
        <v>5708139.8200000003</v>
      </c>
      <c r="I10" s="390">
        <f t="shared" si="0"/>
        <v>8.0591596258267142</v>
      </c>
      <c r="J10" s="390">
        <f t="shared" si="1"/>
        <v>101.46474405383253</v>
      </c>
      <c r="K10" s="390">
        <f t="shared" si="2"/>
        <v>11.812244183835638</v>
      </c>
    </row>
    <row r="11" spans="1:12">
      <c r="A11" s="388" t="s">
        <v>848</v>
      </c>
      <c r="B11" s="389">
        <f>2300529964.87</f>
        <v>2300529964.8699999</v>
      </c>
      <c r="C11" s="389">
        <f>2270300429.87</f>
        <v>2270300429.8699999</v>
      </c>
      <c r="D11" s="389">
        <f>336675539.79</f>
        <v>336675539.79000002</v>
      </c>
      <c r="E11" s="389">
        <f>3933582.15</f>
        <v>3933582.15</v>
      </c>
      <c r="F11" s="389">
        <f>3056592.17</f>
        <v>3056592.17</v>
      </c>
      <c r="G11" s="389">
        <f>1313024.36</f>
        <v>1313024.3600000001</v>
      </c>
      <c r="H11" s="389">
        <f>2779.49</f>
        <v>2779.49</v>
      </c>
      <c r="I11" s="390">
        <f t="shared" si="0"/>
        <v>0.48488713627240027</v>
      </c>
      <c r="J11" s="390">
        <f t="shared" si="1"/>
        <v>98.685975168260498</v>
      </c>
      <c r="K11" s="390">
        <f t="shared" si="2"/>
        <v>0.71069509988305224</v>
      </c>
    </row>
    <row r="12" spans="1:12">
      <c r="A12" s="388" t="s">
        <v>849</v>
      </c>
      <c r="B12" s="389">
        <f>449992661.54</f>
        <v>449992661.54000002</v>
      </c>
      <c r="C12" s="389">
        <f>431153055.6</f>
        <v>431153055.60000002</v>
      </c>
      <c r="D12" s="389">
        <f>1764548.73</f>
        <v>1764548.73</v>
      </c>
      <c r="E12" s="389">
        <f>790587.65</f>
        <v>790587.65</v>
      </c>
      <c r="F12" s="389">
        <f>113786.31</f>
        <v>113786.31</v>
      </c>
      <c r="G12" s="389">
        <f>34361.81</f>
        <v>34361.81</v>
      </c>
      <c r="H12" s="389">
        <f>1.7</f>
        <v>1.7</v>
      </c>
      <c r="I12" s="390">
        <f t="shared" si="0"/>
        <v>9.2084980328770855E-2</v>
      </c>
      <c r="J12" s="390">
        <f t="shared" si="1"/>
        <v>95.813352627679379</v>
      </c>
      <c r="K12" s="390">
        <f t="shared" si="2"/>
        <v>0.13496820063240311</v>
      </c>
    </row>
    <row r="13" spans="1:12">
      <c r="A13" s="388" t="s">
        <v>590</v>
      </c>
      <c r="B13" s="389">
        <f>1540202691.65</f>
        <v>1540202691.6500001</v>
      </c>
      <c r="C13" s="389">
        <f>1519053943.64</f>
        <v>1519053943.6400001</v>
      </c>
      <c r="D13" s="389">
        <f>2124704539.68</f>
        <v>2124704539.6800001</v>
      </c>
      <c r="E13" s="389">
        <f>2578106.11</f>
        <v>2578106.11</v>
      </c>
      <c r="F13" s="389">
        <f>2123144.59</f>
        <v>2123144.59</v>
      </c>
      <c r="G13" s="389">
        <f>5251290.36</f>
        <v>5251290.3600000003</v>
      </c>
      <c r="H13" s="389">
        <f>40525</f>
        <v>40525</v>
      </c>
      <c r="I13" s="390">
        <f t="shared" si="0"/>
        <v>0.32443711276444259</v>
      </c>
      <c r="J13" s="390">
        <f t="shared" si="1"/>
        <v>98.626885401210174</v>
      </c>
      <c r="K13" s="390">
        <f t="shared" si="2"/>
        <v>0.47552481601071295</v>
      </c>
    </row>
    <row r="14" spans="1:12">
      <c r="A14" s="388" t="s">
        <v>591</v>
      </c>
      <c r="B14" s="389">
        <f>3935372015.55</f>
        <v>3935372015.5500002</v>
      </c>
      <c r="C14" s="389">
        <f>4181800228.57</f>
        <v>4181800228.5700002</v>
      </c>
      <c r="D14" s="389">
        <f>0</f>
        <v>0</v>
      </c>
      <c r="E14" s="389">
        <f>0</f>
        <v>0</v>
      </c>
      <c r="F14" s="389">
        <f>119382.35</f>
        <v>119382.35</v>
      </c>
      <c r="G14" s="389">
        <f>1297314.51</f>
        <v>1297314.51</v>
      </c>
      <c r="H14" s="389">
        <f>0</f>
        <v>0</v>
      </c>
      <c r="I14" s="390">
        <f t="shared" si="0"/>
        <v>0.89314220735565142</v>
      </c>
      <c r="J14" s="390">
        <f t="shared" si="1"/>
        <v>106.26187847162295</v>
      </c>
      <c r="K14" s="390">
        <f t="shared" si="2"/>
        <v>1.3090712101502382</v>
      </c>
    </row>
    <row r="15" spans="1:12" ht="20.399999999999999">
      <c r="A15" s="388" t="s">
        <v>850</v>
      </c>
      <c r="B15" s="389">
        <f>186035038.98</f>
        <v>186035038.97999999</v>
      </c>
      <c r="C15" s="389">
        <f>186649976.71</f>
        <v>186649976.71000001</v>
      </c>
      <c r="D15" s="389">
        <f>0</f>
        <v>0</v>
      </c>
      <c r="E15" s="389">
        <f>0</f>
        <v>0</v>
      </c>
      <c r="F15" s="389">
        <f>28979.66</f>
        <v>28979.66</v>
      </c>
      <c r="G15" s="389">
        <f>331074.65</f>
        <v>331074.65000000002</v>
      </c>
      <c r="H15" s="389">
        <f>0</f>
        <v>0</v>
      </c>
      <c r="I15" s="390">
        <f t="shared" si="0"/>
        <v>3.9864403627587065E-2</v>
      </c>
      <c r="J15" s="390">
        <f t="shared" si="1"/>
        <v>100.33054941336407</v>
      </c>
      <c r="K15" s="390">
        <f t="shared" si="2"/>
        <v>5.842892953540893E-2</v>
      </c>
    </row>
    <row r="16" spans="1:12">
      <c r="A16" s="388" t="s">
        <v>851</v>
      </c>
      <c r="B16" s="389">
        <f>675602748.09</f>
        <v>675602748.09000003</v>
      </c>
      <c r="C16" s="389">
        <f>683278989.08</f>
        <v>683278989.08000004</v>
      </c>
      <c r="D16" s="389">
        <f>0</f>
        <v>0</v>
      </c>
      <c r="E16" s="389">
        <f>0</f>
        <v>0</v>
      </c>
      <c r="F16" s="389">
        <f>3588</f>
        <v>3588</v>
      </c>
      <c r="G16" s="389">
        <f>121</f>
        <v>121</v>
      </c>
      <c r="H16" s="389">
        <f>0</f>
        <v>0</v>
      </c>
      <c r="I16" s="390">
        <f t="shared" si="0"/>
        <v>0.14593363412659588</v>
      </c>
      <c r="J16" s="390">
        <f t="shared" si="1"/>
        <v>101.13620630047784</v>
      </c>
      <c r="K16" s="390">
        <f t="shared" si="2"/>
        <v>0.21389373098079703</v>
      </c>
    </row>
    <row r="17" spans="1:11">
      <c r="A17" s="388" t="s">
        <v>592</v>
      </c>
      <c r="B17" s="389">
        <f>581660605.89</f>
        <v>581660605.88999999</v>
      </c>
      <c r="C17" s="389">
        <f>589083217.75</f>
        <v>589083217.75</v>
      </c>
      <c r="D17" s="389">
        <f>0</f>
        <v>0</v>
      </c>
      <c r="E17" s="389">
        <f>0</f>
        <v>0</v>
      </c>
      <c r="F17" s="389">
        <f>240096.51</f>
        <v>240096.51</v>
      </c>
      <c r="G17" s="389">
        <f>1531189.85</f>
        <v>1531189.85</v>
      </c>
      <c r="H17" s="389">
        <f>0</f>
        <v>0</v>
      </c>
      <c r="I17" s="390">
        <f t="shared" si="0"/>
        <v>0.12581545187712637</v>
      </c>
      <c r="J17" s="390">
        <f t="shared" si="1"/>
        <v>101.27610702613127</v>
      </c>
      <c r="K17" s="390">
        <f t="shared" si="2"/>
        <v>0.18440667621343795</v>
      </c>
    </row>
    <row r="18" spans="1:11">
      <c r="A18" s="388" t="s">
        <v>852</v>
      </c>
      <c r="B18" s="389">
        <f>590432055.69</f>
        <v>590432055.69000006</v>
      </c>
      <c r="C18" s="389">
        <f>674053523.71</f>
        <v>674053523.71000004</v>
      </c>
      <c r="D18" s="389">
        <f>0</f>
        <v>0</v>
      </c>
      <c r="E18" s="389">
        <f>0</f>
        <v>0</v>
      </c>
      <c r="F18" s="389">
        <f>5610075.62</f>
        <v>5610075.6200000001</v>
      </c>
      <c r="G18" s="389">
        <f>15600598</f>
        <v>15600598</v>
      </c>
      <c r="H18" s="389">
        <f>0</f>
        <v>0</v>
      </c>
      <c r="I18" s="390">
        <f t="shared" si="0"/>
        <v>0.14396327398166311</v>
      </c>
      <c r="J18" s="390">
        <f t="shared" si="1"/>
        <v>114.16275881604648</v>
      </c>
      <c r="K18" s="390">
        <f t="shared" si="2"/>
        <v>0.2110057902720093</v>
      </c>
    </row>
    <row r="19" spans="1:11">
      <c r="A19" s="388" t="s">
        <v>593</v>
      </c>
      <c r="B19" s="389">
        <f>129517314.52</f>
        <v>129517314.52</v>
      </c>
      <c r="C19" s="389">
        <f>126215494.95</f>
        <v>126215494.95</v>
      </c>
      <c r="D19" s="389">
        <f>2732390</f>
        <v>2732390</v>
      </c>
      <c r="E19" s="389">
        <f>0</f>
        <v>0</v>
      </c>
      <c r="F19" s="389">
        <f>13923</f>
        <v>13923</v>
      </c>
      <c r="G19" s="389">
        <f>2424.17</f>
        <v>2424.17</v>
      </c>
      <c r="H19" s="389">
        <f>0</f>
        <v>0</v>
      </c>
      <c r="I19" s="390">
        <f t="shared" si="0"/>
        <v>2.6956903630156778E-2</v>
      </c>
      <c r="J19" s="390">
        <f>IF(B19=0,"",100*C19/B19)</f>
        <v>97.450673230651233</v>
      </c>
      <c r="K19" s="390">
        <f t="shared" si="2"/>
        <v>3.9510512622074209E-2</v>
      </c>
    </row>
    <row r="20" spans="1:11">
      <c r="A20" s="388" t="s">
        <v>853</v>
      </c>
      <c r="B20" s="389">
        <f>80212510.15</f>
        <v>80212510.150000006</v>
      </c>
      <c r="C20" s="389">
        <f>85720372.03</f>
        <v>85720372.030000001</v>
      </c>
      <c r="D20" s="389">
        <f>425334.58</f>
        <v>425334.58</v>
      </c>
      <c r="E20" s="389">
        <f>0</f>
        <v>0</v>
      </c>
      <c r="F20" s="389">
        <f>0</f>
        <v>0</v>
      </c>
      <c r="G20" s="389">
        <f>0</f>
        <v>0</v>
      </c>
      <c r="H20" s="389">
        <f>0</f>
        <v>0</v>
      </c>
      <c r="I20" s="390">
        <f t="shared" si="0"/>
        <v>1.8308020016633439E-2</v>
      </c>
      <c r="J20" s="390">
        <f>IF(B20=0,"",100*C20/B20)</f>
        <v>106.86658710679932</v>
      </c>
      <c r="K20" s="390">
        <f t="shared" si="2"/>
        <v>2.6833914824815348E-2</v>
      </c>
    </row>
    <row r="21" spans="1:11">
      <c r="A21" s="388" t="s">
        <v>854</v>
      </c>
      <c r="B21" s="389">
        <f>130993132</f>
        <v>130993132</v>
      </c>
      <c r="C21" s="389">
        <f>133448927.33</f>
        <v>133448927.33</v>
      </c>
      <c r="D21" s="389">
        <f>381850.62</f>
        <v>381850.62</v>
      </c>
      <c r="E21" s="389">
        <f>0</f>
        <v>0</v>
      </c>
      <c r="F21" s="389">
        <f>247.8</f>
        <v>247.8</v>
      </c>
      <c r="G21" s="389">
        <f>0</f>
        <v>0</v>
      </c>
      <c r="H21" s="389">
        <f>0</f>
        <v>0</v>
      </c>
      <c r="I21" s="390">
        <f t="shared" si="0"/>
        <v>2.8501808553757172E-2</v>
      </c>
      <c r="J21" s="390">
        <f>IF(B21=0,"",100*C21/B21)</f>
        <v>101.87475121214752</v>
      </c>
      <c r="K21" s="390">
        <f t="shared" si="2"/>
        <v>4.1774867101404399E-2</v>
      </c>
    </row>
    <row r="22" spans="1:11">
      <c r="A22" s="388" t="s">
        <v>855</v>
      </c>
      <c r="B22" s="389">
        <f>3588937</f>
        <v>3588937</v>
      </c>
      <c r="C22" s="389">
        <f>3365574.02</f>
        <v>3365574.02</v>
      </c>
      <c r="D22" s="389">
        <f>1887518.37</f>
        <v>1887518.37</v>
      </c>
      <c r="E22" s="389">
        <f>0</f>
        <v>0</v>
      </c>
      <c r="F22" s="389">
        <f>1340</f>
        <v>1340</v>
      </c>
      <c r="G22" s="389">
        <f>4091.3</f>
        <v>4091.3</v>
      </c>
      <c r="H22" s="389">
        <f>1194.26</f>
        <v>1194.26</v>
      </c>
      <c r="I22" s="390">
        <f t="shared" si="0"/>
        <v>7.1881391863368312E-4</v>
      </c>
      <c r="J22" s="390">
        <f>IF(B22=0,"",100*C22/B22)</f>
        <v>93.776347146801413</v>
      </c>
      <c r="K22" s="390">
        <f t="shared" si="2"/>
        <v>1.0535596667462501E-3</v>
      </c>
    </row>
    <row r="23" spans="1:11">
      <c r="A23" s="388" t="s">
        <v>856</v>
      </c>
      <c r="B23" s="389">
        <f>1714775</f>
        <v>1714775</v>
      </c>
      <c r="C23" s="389">
        <f>2244510.75</f>
        <v>2244510.75</v>
      </c>
      <c r="D23" s="389">
        <f>1722113</f>
        <v>1722113</v>
      </c>
      <c r="E23" s="389">
        <f>0</f>
        <v>0</v>
      </c>
      <c r="F23" s="389">
        <f>983</f>
        <v>983</v>
      </c>
      <c r="G23" s="389">
        <f>0</f>
        <v>0</v>
      </c>
      <c r="H23" s="389">
        <f>0</f>
        <v>0</v>
      </c>
      <c r="I23" s="390">
        <f t="shared" si="0"/>
        <v>4.7937901767583979E-4</v>
      </c>
      <c r="J23" s="390">
        <f>IF(B23=0,"",100*C23/B23)</f>
        <v>130.89243486754822</v>
      </c>
      <c r="K23" s="390">
        <f t="shared" si="2"/>
        <v>7.0262189561897564E-4</v>
      </c>
    </row>
    <row r="24" spans="1:11">
      <c r="A24" s="388" t="s">
        <v>594</v>
      </c>
      <c r="B24" s="389">
        <f>11065277935.31</f>
        <v>11065277935.309999</v>
      </c>
      <c r="C24" s="389">
        <f>10429001752.18</f>
        <v>10429001752.18</v>
      </c>
      <c r="D24" s="389">
        <f>0</f>
        <v>0</v>
      </c>
      <c r="E24" s="389">
        <f>0</f>
        <v>0</v>
      </c>
      <c r="F24" s="389">
        <f>20986.65</f>
        <v>20986.65</v>
      </c>
      <c r="G24" s="389">
        <f>72204.6</f>
        <v>72204.600000000006</v>
      </c>
      <c r="H24" s="389">
        <f>0</f>
        <v>0</v>
      </c>
      <c r="I24" s="390">
        <f t="shared" si="0"/>
        <v>2.2274095213398555</v>
      </c>
      <c r="J24" s="390">
        <f t="shared" si="1"/>
        <v>94.249794837058701</v>
      </c>
      <c r="K24" s="390">
        <f t="shared" si="2"/>
        <v>3.2646958721540229</v>
      </c>
    </row>
    <row r="25" spans="1:11">
      <c r="A25" s="388" t="s">
        <v>595</v>
      </c>
      <c r="B25" s="389">
        <f>B7-B8-B9-B10-B11-B12-B13-B14-B15-B16-B17-B18-B19-B20-B21-B22-B23-B24</f>
        <v>57898468856.479996</v>
      </c>
      <c r="C25" s="389">
        <f t="shared" ref="C25:H25" si="3">C7-C8-C9-C10-C11-C12-C13-C14-C15-C16-C17-C18-C19-C20-C21-C22-C23-C24</f>
        <v>58788604772.629982</v>
      </c>
      <c r="D25" s="389">
        <f t="shared" si="3"/>
        <v>30428451.989999708</v>
      </c>
      <c r="E25" s="389">
        <f t="shared" si="3"/>
        <v>-3.3061951398849487E-8</v>
      </c>
      <c r="F25" s="389">
        <f t="shared" si="3"/>
        <v>23334015.009999998</v>
      </c>
      <c r="G25" s="389">
        <f t="shared" si="3"/>
        <v>20214192.930000003</v>
      </c>
      <c r="H25" s="389">
        <f t="shared" si="3"/>
        <v>1507262.3099999998</v>
      </c>
      <c r="I25" s="390">
        <f t="shared" si="0"/>
        <v>12.555976221738543</v>
      </c>
      <c r="J25" s="390">
        <f t="shared" si="1"/>
        <v>101.53740838701015</v>
      </c>
      <c r="K25" s="390">
        <f t="shared" si="2"/>
        <v>18.403191397564051</v>
      </c>
    </row>
    <row r="26" spans="1:11" ht="20.399999999999999">
      <c r="A26" s="1757" t="s">
        <v>596</v>
      </c>
      <c r="B26" s="385">
        <f>B27+B46+B48</f>
        <v>105671473204.33</v>
      </c>
      <c r="C26" s="385">
        <f>C27+C46+C48</f>
        <v>98007751672.680008</v>
      </c>
      <c r="D26" s="389" t="s">
        <v>597</v>
      </c>
      <c r="E26" s="389" t="s">
        <v>597</v>
      </c>
      <c r="F26" s="389" t="s">
        <v>597</v>
      </c>
      <c r="G26" s="389" t="s">
        <v>597</v>
      </c>
      <c r="H26" s="389" t="s">
        <v>597</v>
      </c>
      <c r="I26" s="386">
        <f t="shared" si="0"/>
        <v>20.932338916829416</v>
      </c>
      <c r="J26" s="386">
        <f t="shared" si="1"/>
        <v>92.747596584717655</v>
      </c>
      <c r="K26" s="391"/>
    </row>
    <row r="27" spans="1:11" ht="20.399999999999999">
      <c r="A27" s="1758" t="s">
        <v>598</v>
      </c>
      <c r="B27" s="385">
        <f>B28+B30+B32+B34+B36+B38+B40+B42+B44</f>
        <v>83227131464.520004</v>
      </c>
      <c r="C27" s="385">
        <f>C28+C30+C32+C34+C36+C38+C40+C42+C44</f>
        <v>78817096433.060013</v>
      </c>
      <c r="D27" s="389" t="s">
        <v>597</v>
      </c>
      <c r="E27" s="389" t="s">
        <v>597</v>
      </c>
      <c r="F27" s="389" t="s">
        <v>597</v>
      </c>
      <c r="G27" s="389" t="s">
        <v>597</v>
      </c>
      <c r="H27" s="389" t="s">
        <v>597</v>
      </c>
      <c r="I27" s="386">
        <f t="shared" si="0"/>
        <v>16.833629450935906</v>
      </c>
      <c r="J27" s="386">
        <f t="shared" si="1"/>
        <v>94.701205059145877</v>
      </c>
      <c r="K27" s="391"/>
    </row>
    <row r="28" spans="1:11">
      <c r="A28" s="393" t="s">
        <v>599</v>
      </c>
      <c r="B28" s="389">
        <f>33983120598.57</f>
        <v>33983120598.57</v>
      </c>
      <c r="C28" s="389">
        <f>33668122914.07</f>
        <v>33668122914.07</v>
      </c>
      <c r="D28" s="389" t="s">
        <v>597</v>
      </c>
      <c r="E28" s="389" t="s">
        <v>597</v>
      </c>
      <c r="F28" s="389" t="s">
        <v>597</v>
      </c>
      <c r="G28" s="389" t="s">
        <v>597</v>
      </c>
      <c r="H28" s="389" t="s">
        <v>597</v>
      </c>
      <c r="I28" s="390">
        <f t="shared" si="0"/>
        <v>7.1907838666116026</v>
      </c>
      <c r="J28" s="390">
        <f t="shared" si="1"/>
        <v>99.073076047897572</v>
      </c>
      <c r="K28" s="394"/>
    </row>
    <row r="29" spans="1:11">
      <c r="A29" s="395" t="s">
        <v>600</v>
      </c>
      <c r="B29" s="389">
        <f>1191748272.87</f>
        <v>1191748272.8699999</v>
      </c>
      <c r="C29" s="389">
        <f>1092012315.62</f>
        <v>1092012315.6199999</v>
      </c>
      <c r="D29" s="389" t="s">
        <v>597</v>
      </c>
      <c r="E29" s="389" t="s">
        <v>597</v>
      </c>
      <c r="F29" s="389" t="s">
        <v>597</v>
      </c>
      <c r="G29" s="389" t="s">
        <v>597</v>
      </c>
      <c r="H29" s="389" t="s">
        <v>597</v>
      </c>
      <c r="I29" s="390">
        <f t="shared" si="0"/>
        <v>0.23323024456525085</v>
      </c>
      <c r="J29" s="390">
        <f t="shared" si="1"/>
        <v>91.631122148823152</v>
      </c>
      <c r="K29" s="394"/>
    </row>
    <row r="30" spans="1:11">
      <c r="A30" s="393" t="s">
        <v>601</v>
      </c>
      <c r="B30" s="389">
        <f>12662333112.08</f>
        <v>12662333112.08</v>
      </c>
      <c r="C30" s="389">
        <f>11642239739.34</f>
        <v>11642239739.34</v>
      </c>
      <c r="D30" s="389" t="s">
        <v>597</v>
      </c>
      <c r="E30" s="389" t="s">
        <v>597</v>
      </c>
      <c r="F30" s="389" t="s">
        <v>597</v>
      </c>
      <c r="G30" s="389" t="s">
        <v>597</v>
      </c>
      <c r="H30" s="389" t="s">
        <v>597</v>
      </c>
      <c r="I30" s="390">
        <f t="shared" si="0"/>
        <v>2.486530951028608</v>
      </c>
      <c r="J30" s="390">
        <f t="shared" si="1"/>
        <v>91.943875084388509</v>
      </c>
      <c r="K30" s="394"/>
    </row>
    <row r="31" spans="1:11">
      <c r="A31" s="395" t="s">
        <v>600</v>
      </c>
      <c r="B31" s="389">
        <f>4067751943.69</f>
        <v>4067751943.6900001</v>
      </c>
      <c r="C31" s="389">
        <f>3480992246.23</f>
        <v>3480992246.23</v>
      </c>
      <c r="D31" s="389" t="s">
        <v>597</v>
      </c>
      <c r="E31" s="389" t="s">
        <v>597</v>
      </c>
      <c r="F31" s="389" t="s">
        <v>597</v>
      </c>
      <c r="G31" s="389" t="s">
        <v>597</v>
      </c>
      <c r="H31" s="389" t="s">
        <v>597</v>
      </c>
      <c r="I31" s="390">
        <f t="shared" si="0"/>
        <v>0.74346475887226304</v>
      </c>
      <c r="J31" s="390">
        <f t="shared" si="1"/>
        <v>85.575332380574565</v>
      </c>
      <c r="K31" s="394"/>
    </row>
    <row r="32" spans="1:11" ht="20.399999999999999">
      <c r="A32" s="393" t="s">
        <v>602</v>
      </c>
      <c r="B32" s="389">
        <f>419154270.56</f>
        <v>419154270.56</v>
      </c>
      <c r="C32" s="389">
        <f>360802331.21</f>
        <v>360802331.20999998</v>
      </c>
      <c r="D32" s="389" t="s">
        <v>597</v>
      </c>
      <c r="E32" s="389" t="s">
        <v>597</v>
      </c>
      <c r="F32" s="389" t="s">
        <v>597</v>
      </c>
      <c r="G32" s="389" t="s">
        <v>597</v>
      </c>
      <c r="H32" s="389" t="s">
        <v>597</v>
      </c>
      <c r="I32" s="390">
        <f t="shared" si="0"/>
        <v>7.7059585083565668E-2</v>
      </c>
      <c r="J32" s="390">
        <f t="shared" si="1"/>
        <v>86.078648495686224</v>
      </c>
      <c r="K32" s="394"/>
    </row>
    <row r="33" spans="1:11">
      <c r="A33" s="395" t="s">
        <v>600</v>
      </c>
      <c r="B33" s="389">
        <f>97804767.54</f>
        <v>97804767.540000007</v>
      </c>
      <c r="C33" s="389">
        <f>64924623.51</f>
        <v>64924623.509999998</v>
      </c>
      <c r="D33" s="389" t="s">
        <v>597</v>
      </c>
      <c r="E33" s="389" t="s">
        <v>597</v>
      </c>
      <c r="F33" s="389" t="s">
        <v>597</v>
      </c>
      <c r="G33" s="389" t="s">
        <v>597</v>
      </c>
      <c r="H33" s="389" t="s">
        <v>597</v>
      </c>
      <c r="I33" s="390">
        <f t="shared" si="0"/>
        <v>1.386649729398602E-2</v>
      </c>
      <c r="J33" s="390">
        <f t="shared" si="1"/>
        <v>66.381859640377201</v>
      </c>
      <c r="K33" s="394"/>
    </row>
    <row r="34" spans="1:11" ht="20.399999999999999">
      <c r="A34" s="393" t="s">
        <v>603</v>
      </c>
      <c r="B34" s="389">
        <f>2399307043.22</f>
        <v>2399307043.2199998</v>
      </c>
      <c r="C34" s="389">
        <f>2323883799.85</f>
        <v>2323883799.8499999</v>
      </c>
      <c r="D34" s="389" t="s">
        <v>597</v>
      </c>
      <c r="E34" s="389" t="s">
        <v>597</v>
      </c>
      <c r="F34" s="389" t="s">
        <v>597</v>
      </c>
      <c r="G34" s="389" t="s">
        <v>597</v>
      </c>
      <c r="H34" s="389" t="s">
        <v>597</v>
      </c>
      <c r="I34" s="390">
        <f t="shared" si="0"/>
        <v>0.49633138676876054</v>
      </c>
      <c r="J34" s="390">
        <f t="shared" si="1"/>
        <v>96.85645721821507</v>
      </c>
      <c r="K34" s="394"/>
    </row>
    <row r="35" spans="1:11">
      <c r="A35" s="395" t="s">
        <v>600</v>
      </c>
      <c r="B35" s="389">
        <f>414286125.1</f>
        <v>414286125.10000002</v>
      </c>
      <c r="C35" s="389">
        <f>389180286.42</f>
        <v>389180286.42000002</v>
      </c>
      <c r="D35" s="389" t="s">
        <v>597</v>
      </c>
      <c r="E35" s="389" t="s">
        <v>597</v>
      </c>
      <c r="F35" s="389" t="s">
        <v>597</v>
      </c>
      <c r="G35" s="389" t="s">
        <v>597</v>
      </c>
      <c r="H35" s="389" t="s">
        <v>597</v>
      </c>
      <c r="I35" s="390">
        <f t="shared" si="0"/>
        <v>8.3120503389356254E-2</v>
      </c>
      <c r="J35" s="390">
        <f t="shared" si="1"/>
        <v>93.939975983038295</v>
      </c>
      <c r="K35" s="394"/>
    </row>
    <row r="36" spans="1:11" ht="20.399999999999999">
      <c r="A36" s="393" t="s">
        <v>604</v>
      </c>
      <c r="B36" s="389">
        <f>2778501694.57</f>
        <v>2778501694.5700002</v>
      </c>
      <c r="C36" s="389">
        <f>2512538711.51</f>
        <v>2512538711.5100002</v>
      </c>
      <c r="D36" s="389" t="s">
        <v>597</v>
      </c>
      <c r="E36" s="389" t="s">
        <v>597</v>
      </c>
      <c r="F36" s="389" t="s">
        <v>597</v>
      </c>
      <c r="G36" s="389" t="s">
        <v>597</v>
      </c>
      <c r="H36" s="389" t="s">
        <v>597</v>
      </c>
      <c r="I36" s="390">
        <f t="shared" si="0"/>
        <v>0.5366240011976704</v>
      </c>
      <c r="J36" s="390">
        <f t="shared" si="1"/>
        <v>90.427827214222376</v>
      </c>
      <c r="K36" s="394"/>
    </row>
    <row r="37" spans="1:11">
      <c r="A37" s="395" t="s">
        <v>600</v>
      </c>
      <c r="B37" s="389">
        <f>2171944015.41</f>
        <v>2171944015.4099998</v>
      </c>
      <c r="C37" s="389">
        <f>1936727289.18</f>
        <v>1936727289.1800001</v>
      </c>
      <c r="D37" s="389" t="s">
        <v>597</v>
      </c>
      <c r="E37" s="389" t="s">
        <v>597</v>
      </c>
      <c r="F37" s="389" t="s">
        <v>597</v>
      </c>
      <c r="G37" s="389" t="s">
        <v>597</v>
      </c>
      <c r="H37" s="389" t="s">
        <v>597</v>
      </c>
      <c r="I37" s="390">
        <f t="shared" si="0"/>
        <v>0.41364311816867017</v>
      </c>
      <c r="J37" s="390">
        <f t="shared" si="1"/>
        <v>89.170221490004764</v>
      </c>
      <c r="K37" s="394"/>
    </row>
    <row r="38" spans="1:11">
      <c r="A38" s="393" t="s">
        <v>605</v>
      </c>
      <c r="B38" s="389">
        <f>1152373519.62</f>
        <v>1152373519.6199999</v>
      </c>
      <c r="C38" s="389">
        <f>1045192031.64</f>
        <v>1045192031.64</v>
      </c>
      <c r="D38" s="389" t="s">
        <v>597</v>
      </c>
      <c r="E38" s="389" t="s">
        <v>597</v>
      </c>
      <c r="F38" s="389" t="s">
        <v>597</v>
      </c>
      <c r="G38" s="389" t="s">
        <v>597</v>
      </c>
      <c r="H38" s="389" t="s">
        <v>597</v>
      </c>
      <c r="I38" s="390">
        <f t="shared" si="0"/>
        <v>0.22323044316459542</v>
      </c>
      <c r="J38" s="390">
        <f t="shared" si="1"/>
        <v>90.699067085874773</v>
      </c>
      <c r="K38" s="394"/>
    </row>
    <row r="39" spans="1:11">
      <c r="A39" s="395" t="s">
        <v>600</v>
      </c>
      <c r="B39" s="389">
        <f>1020292385.51</f>
        <v>1020292385.51</v>
      </c>
      <c r="C39" s="389">
        <f>916086016.08</f>
        <v>916086016.08000004</v>
      </c>
      <c r="D39" s="389" t="s">
        <v>597</v>
      </c>
      <c r="E39" s="389" t="s">
        <v>597</v>
      </c>
      <c r="F39" s="389" t="s">
        <v>597</v>
      </c>
      <c r="G39" s="389" t="s">
        <v>597</v>
      </c>
      <c r="H39" s="389" t="s">
        <v>597</v>
      </c>
      <c r="I39" s="390">
        <f t="shared" si="0"/>
        <v>0.1956561867636428</v>
      </c>
      <c r="J39" s="390">
        <f t="shared" si="1"/>
        <v>89.786616962949125</v>
      </c>
      <c r="K39" s="394"/>
    </row>
    <row r="40" spans="1:11" ht="40.799999999999997">
      <c r="A40" s="393" t="s">
        <v>606</v>
      </c>
      <c r="B40" s="389">
        <f>22579236.1</f>
        <v>22579236.100000001</v>
      </c>
      <c r="C40" s="389">
        <f>20943365.6</f>
        <v>20943365.600000001</v>
      </c>
      <c r="D40" s="389" t="s">
        <v>597</v>
      </c>
      <c r="E40" s="389" t="s">
        <v>597</v>
      </c>
      <c r="F40" s="389" t="s">
        <v>597</v>
      </c>
      <c r="G40" s="389" t="s">
        <v>597</v>
      </c>
      <c r="H40" s="389" t="s">
        <v>597</v>
      </c>
      <c r="I40" s="390">
        <f t="shared" si="0"/>
        <v>4.4730505425977472E-3</v>
      </c>
      <c r="J40" s="390">
        <f t="shared" si="1"/>
        <v>92.754978544203283</v>
      </c>
      <c r="K40" s="394"/>
    </row>
    <row r="41" spans="1:11">
      <c r="A41" s="395" t="s">
        <v>607</v>
      </c>
      <c r="B41" s="389">
        <f>20014213.96</f>
        <v>20014213.960000001</v>
      </c>
      <c r="C41" s="389">
        <f>18449773.12</f>
        <v>18449773.120000001</v>
      </c>
      <c r="D41" s="389" t="s">
        <v>597</v>
      </c>
      <c r="E41" s="389" t="s">
        <v>597</v>
      </c>
      <c r="F41" s="389" t="s">
        <v>597</v>
      </c>
      <c r="G41" s="389" t="s">
        <v>597</v>
      </c>
      <c r="H41" s="389" t="s">
        <v>597</v>
      </c>
      <c r="I41" s="390">
        <f t="shared" si="0"/>
        <v>3.9404730472365583E-3</v>
      </c>
      <c r="J41" s="390">
        <f t="shared" si="1"/>
        <v>92.183351076756452</v>
      </c>
      <c r="K41" s="394"/>
    </row>
    <row r="42" spans="1:11" ht="20.399999999999999">
      <c r="A42" s="393" t="s">
        <v>1049</v>
      </c>
      <c r="B42" s="389">
        <f>25551460554.11</f>
        <v>25551460554.110001</v>
      </c>
      <c r="C42" s="389">
        <f>23056824391.74</f>
        <v>23056824391.740002</v>
      </c>
      <c r="D42" s="389" t="s">
        <v>597</v>
      </c>
      <c r="E42" s="389" t="s">
        <v>597</v>
      </c>
      <c r="F42" s="389" t="s">
        <v>597</v>
      </c>
      <c r="G42" s="389" t="s">
        <v>597</v>
      </c>
      <c r="H42" s="389" t="s">
        <v>597</v>
      </c>
      <c r="I42" s="390">
        <f t="shared" si="0"/>
        <v>4.9244396925417542</v>
      </c>
      <c r="J42" s="390">
        <f t="shared" si="1"/>
        <v>90.236815789503922</v>
      </c>
      <c r="K42" s="394"/>
    </row>
    <row r="43" spans="1:11">
      <c r="A43" s="395" t="s">
        <v>600</v>
      </c>
      <c r="B43" s="389">
        <f>25440075441.13</f>
        <v>25440075441.130001</v>
      </c>
      <c r="C43" s="389">
        <f>22968665610.26</f>
        <v>22968665610.259998</v>
      </c>
      <c r="D43" s="389" t="s">
        <v>597</v>
      </c>
      <c r="E43" s="389" t="s">
        <v>597</v>
      </c>
      <c r="F43" s="389" t="s">
        <v>597</v>
      </c>
      <c r="G43" s="389" t="s">
        <v>597</v>
      </c>
      <c r="H43" s="389" t="s">
        <v>597</v>
      </c>
      <c r="I43" s="390">
        <f t="shared" si="0"/>
        <v>4.9056108809330858</v>
      </c>
      <c r="J43" s="390">
        <f t="shared" si="1"/>
        <v>90.28536752342184</v>
      </c>
      <c r="K43" s="394"/>
    </row>
    <row r="44" spans="1:11" ht="20.399999999999999">
      <c r="A44" s="393" t="s">
        <v>608</v>
      </c>
      <c r="B44" s="389">
        <f>4258301435.69</f>
        <v>4258301435.6900001</v>
      </c>
      <c r="C44" s="389">
        <f>4186549148.1</f>
        <v>4186549148.0999999</v>
      </c>
      <c r="D44" s="389" t="s">
        <v>597</v>
      </c>
      <c r="E44" s="389" t="s">
        <v>597</v>
      </c>
      <c r="F44" s="389" t="s">
        <v>597</v>
      </c>
      <c r="G44" s="389" t="s">
        <v>597</v>
      </c>
      <c r="H44" s="389" t="s">
        <v>597</v>
      </c>
      <c r="I44" s="390">
        <f t="shared" si="0"/>
        <v>0.89415647399675047</v>
      </c>
      <c r="J44" s="390">
        <f t="shared" si="1"/>
        <v>98.315002151124759</v>
      </c>
      <c r="K44" s="394"/>
    </row>
    <row r="45" spans="1:11">
      <c r="A45" s="395" t="s">
        <v>600</v>
      </c>
      <c r="B45" s="389">
        <f>1986649.73</f>
        <v>1986649.73</v>
      </c>
      <c r="C45" s="389">
        <f>1969849.73</f>
        <v>1969849.73</v>
      </c>
      <c r="D45" s="389" t="s">
        <v>597</v>
      </c>
      <c r="E45" s="389" t="s">
        <v>597</v>
      </c>
      <c r="F45" s="389" t="s">
        <v>597</v>
      </c>
      <c r="G45" s="389" t="s">
        <v>597</v>
      </c>
      <c r="H45" s="389" t="s">
        <v>597</v>
      </c>
      <c r="I45" s="390">
        <f t="shared" si="0"/>
        <v>4.2071735612601461E-4</v>
      </c>
      <c r="J45" s="390">
        <f t="shared" si="1"/>
        <v>99.154355206843633</v>
      </c>
      <c r="K45" s="394"/>
    </row>
    <row r="46" spans="1:11">
      <c r="A46" s="1758" t="s">
        <v>731</v>
      </c>
      <c r="B46" s="385">
        <f>2118634538.67</f>
        <v>2118634538.6700001</v>
      </c>
      <c r="C46" s="385">
        <f>1770964959.48</f>
        <v>1770964959.48</v>
      </c>
      <c r="D46" s="389" t="s">
        <v>597</v>
      </c>
      <c r="E46" s="389" t="s">
        <v>597</v>
      </c>
      <c r="F46" s="389" t="s">
        <v>597</v>
      </c>
      <c r="G46" s="389" t="s">
        <v>597</v>
      </c>
      <c r="H46" s="389" t="s">
        <v>597</v>
      </c>
      <c r="I46" s="386">
        <f t="shared" si="0"/>
        <v>0.37823986479630617</v>
      </c>
      <c r="J46" s="386">
        <f t="shared" si="1"/>
        <v>83.589922053840667</v>
      </c>
      <c r="K46" s="394"/>
    </row>
    <row r="47" spans="1:11">
      <c r="A47" s="393" t="s">
        <v>732</v>
      </c>
      <c r="B47" s="389">
        <f>864485967.18</f>
        <v>864485967.17999995</v>
      </c>
      <c r="C47" s="389">
        <f>644197693.77</f>
        <v>644197693.76999998</v>
      </c>
      <c r="D47" s="389" t="s">
        <v>597</v>
      </c>
      <c r="E47" s="389" t="s">
        <v>597</v>
      </c>
      <c r="F47" s="389" t="s">
        <v>597</v>
      </c>
      <c r="G47" s="389" t="s">
        <v>597</v>
      </c>
      <c r="H47" s="389" t="s">
        <v>597</v>
      </c>
      <c r="I47" s="390">
        <f t="shared" si="0"/>
        <v>0.13758671355372393</v>
      </c>
      <c r="J47" s="390">
        <f t="shared" si="1"/>
        <v>74.518004713414584</v>
      </c>
      <c r="K47" s="394"/>
    </row>
    <row r="48" spans="1:11">
      <c r="A48" s="1758" t="s">
        <v>733</v>
      </c>
      <c r="B48" s="385">
        <f>20325707201.14</f>
        <v>20325707201.139999</v>
      </c>
      <c r="C48" s="385">
        <f>17419690280.14</f>
        <v>17419690280.139999</v>
      </c>
      <c r="D48" s="389" t="s">
        <v>597</v>
      </c>
      <c r="E48" s="389" t="s">
        <v>597</v>
      </c>
      <c r="F48" s="389" t="s">
        <v>597</v>
      </c>
      <c r="G48" s="389" t="s">
        <v>597</v>
      </c>
      <c r="H48" s="389" t="s">
        <v>597</v>
      </c>
      <c r="I48" s="386">
        <f t="shared" si="0"/>
        <v>3.7204696010972045</v>
      </c>
      <c r="J48" s="386">
        <f t="shared" si="1"/>
        <v>85.702751238899026</v>
      </c>
      <c r="K48" s="394"/>
    </row>
    <row r="49" spans="1:11">
      <c r="A49" s="393" t="s">
        <v>734</v>
      </c>
      <c r="B49" s="389">
        <f>14703672876.21</f>
        <v>14703672876.209999</v>
      </c>
      <c r="C49" s="389">
        <f>12473666028.14</f>
        <v>12473666028.139999</v>
      </c>
      <c r="D49" s="389" t="s">
        <v>597</v>
      </c>
      <c r="E49" s="389" t="s">
        <v>597</v>
      </c>
      <c r="F49" s="389" t="s">
        <v>597</v>
      </c>
      <c r="G49" s="389" t="s">
        <v>597</v>
      </c>
      <c r="H49" s="389" t="s">
        <v>597</v>
      </c>
      <c r="I49" s="390">
        <f t="shared" si="0"/>
        <v>2.6641056485856649</v>
      </c>
      <c r="J49" s="390">
        <f t="shared" si="1"/>
        <v>84.83367477742199</v>
      </c>
      <c r="K49" s="394"/>
    </row>
    <row r="50" spans="1:11">
      <c r="A50" s="1757" t="s">
        <v>857</v>
      </c>
      <c r="B50" s="385">
        <f>50647043049.33</f>
        <v>50647043049.330002</v>
      </c>
      <c r="C50" s="385">
        <f>50756506785.52</f>
        <v>50756506785.519997</v>
      </c>
      <c r="D50" s="389" t="s">
        <v>597</v>
      </c>
      <c r="E50" s="389" t="s">
        <v>597</v>
      </c>
      <c r="F50" s="389" t="s">
        <v>597</v>
      </c>
      <c r="G50" s="389" t="s">
        <v>597</v>
      </c>
      <c r="H50" s="389" t="s">
        <v>597</v>
      </c>
      <c r="I50" s="386">
        <f t="shared" si="0"/>
        <v>10.840493574601803</v>
      </c>
      <c r="J50" s="386">
        <f t="shared" si="1"/>
        <v>100.21613055688834</v>
      </c>
      <c r="K50" s="394"/>
    </row>
    <row r="51" spans="1:11">
      <c r="A51" s="388" t="s">
        <v>609</v>
      </c>
      <c r="B51" s="389">
        <f>7689022</f>
        <v>7689022</v>
      </c>
      <c r="C51" s="389">
        <f>7689022</f>
        <v>7689022</v>
      </c>
      <c r="D51" s="389" t="s">
        <v>597</v>
      </c>
      <c r="E51" s="389" t="s">
        <v>597</v>
      </c>
      <c r="F51" s="389" t="s">
        <v>597</v>
      </c>
      <c r="G51" s="389" t="s">
        <v>597</v>
      </c>
      <c r="H51" s="389" t="s">
        <v>597</v>
      </c>
      <c r="I51" s="390">
        <f t="shared" si="0"/>
        <v>1.6422090262868739E-3</v>
      </c>
      <c r="J51" s="390">
        <f t="shared" si="1"/>
        <v>100</v>
      </c>
      <c r="K51" s="394"/>
    </row>
    <row r="52" spans="1:11" ht="20.399999999999999">
      <c r="A52" s="388" t="s">
        <v>858</v>
      </c>
      <c r="B52" s="389">
        <f>4576303399.71</f>
        <v>4576303399.71</v>
      </c>
      <c r="C52" s="389">
        <f>4687975167.22</f>
        <v>4687975167.2200003</v>
      </c>
      <c r="D52" s="389" t="s">
        <v>597</v>
      </c>
      <c r="E52" s="389" t="s">
        <v>597</v>
      </c>
      <c r="F52" s="389" t="s">
        <v>597</v>
      </c>
      <c r="G52" s="389" t="s">
        <v>597</v>
      </c>
      <c r="H52" s="389" t="s">
        <v>597</v>
      </c>
      <c r="I52" s="390">
        <f t="shared" si="0"/>
        <v>1.0012502415284286</v>
      </c>
      <c r="J52" s="390">
        <f t="shared" si="1"/>
        <v>102.44021774249227</v>
      </c>
      <c r="K52" s="394"/>
    </row>
    <row r="53" spans="1:11">
      <c r="A53" s="393" t="s">
        <v>600</v>
      </c>
      <c r="B53" s="389">
        <f>713251297.54</f>
        <v>713251297.53999996</v>
      </c>
      <c r="C53" s="389">
        <f>725093546.58</f>
        <v>725093546.58000004</v>
      </c>
      <c r="D53" s="389" t="s">
        <v>597</v>
      </c>
      <c r="E53" s="389" t="s">
        <v>597</v>
      </c>
      <c r="F53" s="389" t="s">
        <v>597</v>
      </c>
      <c r="G53" s="389" t="s">
        <v>597</v>
      </c>
      <c r="H53" s="389" t="s">
        <v>597</v>
      </c>
      <c r="I53" s="390">
        <f t="shared" si="0"/>
        <v>0.15486432046832976</v>
      </c>
      <c r="J53" s="390">
        <f t="shared" si="1"/>
        <v>101.66031931254018</v>
      </c>
      <c r="K53" s="394"/>
    </row>
    <row r="54" spans="1:11">
      <c r="A54" s="396"/>
      <c r="B54" s="1759"/>
      <c r="C54" s="1760"/>
      <c r="D54" s="408"/>
      <c r="E54" s="408"/>
      <c r="F54" s="408"/>
      <c r="G54" s="408"/>
      <c r="H54" s="408"/>
      <c r="I54" s="491"/>
      <c r="J54" s="491"/>
      <c r="K54" s="492"/>
    </row>
    <row r="55" spans="1:11">
      <c r="A55" s="1761" t="s">
        <v>588</v>
      </c>
      <c r="B55" s="402">
        <f t="shared" ref="B55:H55" si="4">+B6</f>
        <v>474673121201.13</v>
      </c>
      <c r="C55" s="402">
        <f t="shared" si="4"/>
        <v>468212138462.38</v>
      </c>
      <c r="D55" s="402">
        <f t="shared" si="4"/>
        <v>6159900023.1599998</v>
      </c>
      <c r="E55" s="402">
        <f t="shared" si="4"/>
        <v>845937811.61000001</v>
      </c>
      <c r="F55" s="402">
        <f t="shared" si="4"/>
        <v>114390148.16</v>
      </c>
      <c r="G55" s="402">
        <f t="shared" si="4"/>
        <v>155232792.58000001</v>
      </c>
      <c r="H55" s="402">
        <f t="shared" si="4"/>
        <v>7259902.5800000001</v>
      </c>
      <c r="I55" s="403">
        <f>IF($C$55=0,"",100*$C55/$C$55)</f>
        <v>100</v>
      </c>
      <c r="J55" s="403">
        <f>IF(B55=0,"",100*C55/B55)</f>
        <v>98.638856415041815</v>
      </c>
      <c r="K55" s="492"/>
    </row>
    <row r="56" spans="1:11">
      <c r="A56" s="1762" t="s">
        <v>137</v>
      </c>
      <c r="B56" s="404">
        <f>64138239812.65</f>
        <v>64138239812.650002</v>
      </c>
      <c r="C56" s="404">
        <f>57451439926.66</f>
        <v>57451439926.660004</v>
      </c>
      <c r="D56" s="404">
        <f>0</f>
        <v>0</v>
      </c>
      <c r="E56" s="404">
        <f>0</f>
        <v>0</v>
      </c>
      <c r="F56" s="404">
        <f>0</f>
        <v>0</v>
      </c>
      <c r="G56" s="404">
        <f>0</f>
        <v>0</v>
      </c>
      <c r="H56" s="404">
        <f>0</f>
        <v>0</v>
      </c>
      <c r="I56" s="403">
        <f>IF($C$55=0,"",100*$C56/$C$55)</f>
        <v>12.270386691667568</v>
      </c>
      <c r="J56" s="403">
        <f>IF(B56=0,"",100*C56/B56)</f>
        <v>89.574394455597201</v>
      </c>
      <c r="K56" s="492"/>
    </row>
    <row r="57" spans="1:11">
      <c r="A57" s="1762" t="s">
        <v>136</v>
      </c>
      <c r="B57" s="404">
        <f>+B55-B56</f>
        <v>410534881388.47998</v>
      </c>
      <c r="C57" s="404">
        <f t="shared" ref="C57:H57" si="5">+C55-C56</f>
        <v>410760698535.71997</v>
      </c>
      <c r="D57" s="404">
        <f t="shared" si="5"/>
        <v>6159900023.1599998</v>
      </c>
      <c r="E57" s="404">
        <f t="shared" si="5"/>
        <v>845937811.61000001</v>
      </c>
      <c r="F57" s="404">
        <f t="shared" si="5"/>
        <v>114390148.16</v>
      </c>
      <c r="G57" s="404">
        <f t="shared" si="5"/>
        <v>155232792.58000001</v>
      </c>
      <c r="H57" s="404">
        <f t="shared" si="5"/>
        <v>7259902.5800000001</v>
      </c>
      <c r="I57" s="403">
        <f>IF($C$55=0,"",100*$C57/$C$55)</f>
        <v>87.729613308332432</v>
      </c>
      <c r="J57" s="403">
        <f>IF(B57=0,"",100*C57/B57)</f>
        <v>100.05500559330703</v>
      </c>
      <c r="K57" s="492"/>
    </row>
    <row r="58" spans="1:11">
      <c r="A58" s="405" t="s">
        <v>610</v>
      </c>
      <c r="B58" s="405"/>
      <c r="C58" s="405"/>
      <c r="D58" s="405"/>
      <c r="E58" s="405"/>
      <c r="F58" s="408"/>
      <c r="G58" s="408"/>
      <c r="H58" s="408"/>
      <c r="I58" s="408"/>
      <c r="J58" s="491"/>
      <c r="K58" s="491"/>
    </row>
    <row r="59" spans="1:11">
      <c r="A59" s="1763"/>
      <c r="B59" s="1759"/>
      <c r="C59" s="1760"/>
      <c r="D59" s="1760"/>
      <c r="E59" s="408"/>
      <c r="F59" s="408"/>
      <c r="G59" s="408"/>
      <c r="H59" s="408"/>
      <c r="I59" s="408"/>
      <c r="J59" s="491"/>
      <c r="K59" s="491"/>
    </row>
    <row r="60" spans="1:11" ht="23.4" customHeight="1">
      <c r="A60" s="2075" t="s">
        <v>584</v>
      </c>
      <c r="B60" s="2093" t="s">
        <v>876</v>
      </c>
      <c r="C60" s="2093" t="s">
        <v>877</v>
      </c>
      <c r="D60" s="2093" t="s">
        <v>878</v>
      </c>
      <c r="E60" s="2093" t="s">
        <v>611</v>
      </c>
      <c r="F60" s="2093"/>
      <c r="G60" s="2093"/>
      <c r="H60" s="2080" t="s">
        <v>879</v>
      </c>
      <c r="I60" s="2080" t="s">
        <v>585</v>
      </c>
      <c r="J60" s="2083" t="s">
        <v>586</v>
      </c>
      <c r="K60" s="481"/>
    </row>
    <row r="61" spans="1:11" ht="12.75" customHeight="1">
      <c r="A61" s="2075"/>
      <c r="B61" s="2093"/>
      <c r="C61" s="2093"/>
      <c r="D61" s="2093"/>
      <c r="E61" s="2086" t="s">
        <v>880</v>
      </c>
      <c r="F61" s="2088" t="s">
        <v>612</v>
      </c>
      <c r="G61" s="2087"/>
      <c r="H61" s="2081"/>
      <c r="I61" s="2081"/>
      <c r="J61" s="2084"/>
      <c r="K61" s="484"/>
    </row>
    <row r="62" spans="1:11" ht="37.200000000000003" customHeight="1">
      <c r="A62" s="2075"/>
      <c r="B62" s="2093"/>
      <c r="C62" s="2093"/>
      <c r="D62" s="2093"/>
      <c r="E62" s="2087"/>
      <c r="F62" s="1743" t="s">
        <v>881</v>
      </c>
      <c r="G62" s="1743" t="s">
        <v>882</v>
      </c>
      <c r="H62" s="2082"/>
      <c r="I62" s="2082"/>
      <c r="J62" s="2085"/>
      <c r="K62" s="484"/>
    </row>
    <row r="63" spans="1:11">
      <c r="A63" s="2075"/>
      <c r="B63" s="2076" t="s">
        <v>163</v>
      </c>
      <c r="C63" s="2077"/>
      <c r="D63" s="2077"/>
      <c r="E63" s="2077"/>
      <c r="F63" s="2077"/>
      <c r="G63" s="2078"/>
      <c r="H63" s="409"/>
      <c r="I63" s="2079" t="s">
        <v>169</v>
      </c>
      <c r="J63" s="2079"/>
      <c r="K63" s="481"/>
    </row>
    <row r="64" spans="1:11">
      <c r="A64" s="1741">
        <v>1</v>
      </c>
      <c r="B64" s="1740">
        <v>2</v>
      </c>
      <c r="C64" s="1740">
        <v>3</v>
      </c>
      <c r="D64" s="1740">
        <v>4</v>
      </c>
      <c r="E64" s="1741">
        <v>5</v>
      </c>
      <c r="F64" s="1741">
        <v>6</v>
      </c>
      <c r="G64" s="1740">
        <v>7</v>
      </c>
      <c r="H64" s="1740">
        <v>8</v>
      </c>
      <c r="I64" s="1741">
        <v>9</v>
      </c>
      <c r="J64" s="1740">
        <v>10</v>
      </c>
      <c r="K64" s="481"/>
    </row>
    <row r="65" spans="1:11" ht="20.399999999999999">
      <c r="A65" s="1756" t="s">
        <v>613</v>
      </c>
      <c r="B65" s="402">
        <f>505351848009.03</f>
        <v>505351848009.03003</v>
      </c>
      <c r="C65" s="402">
        <f>466393209973.6</f>
        <v>466393209973.59998</v>
      </c>
      <c r="D65" s="402">
        <f>466832842097.09</f>
        <v>466832842097.09003</v>
      </c>
      <c r="E65" s="402">
        <f>20762413284.07</f>
        <v>20762413284.07</v>
      </c>
      <c r="F65" s="402">
        <f>3297480.04</f>
        <v>3297480.04</v>
      </c>
      <c r="G65" s="402">
        <f>40777289.26</f>
        <v>40777289.259999998</v>
      </c>
      <c r="H65" s="410">
        <f>1620532939.64</f>
        <v>1620532939.6400001</v>
      </c>
      <c r="I65" s="411">
        <f>IF($C$65=0,"",100*$C65/$C$65)</f>
        <v>100</v>
      </c>
      <c r="J65" s="411">
        <f>IF(B65=0,"",100*C65/B65)</f>
        <v>92.290789439294997</v>
      </c>
      <c r="K65" s="481"/>
    </row>
    <row r="66" spans="1:11">
      <c r="A66" s="1757" t="s">
        <v>614</v>
      </c>
      <c r="B66" s="412">
        <f>111601115692.92</f>
        <v>111601115692.92</v>
      </c>
      <c r="C66" s="412">
        <f>94899277474.68</f>
        <v>94899277474.679993</v>
      </c>
      <c r="D66" s="412">
        <f>95128500823.13</f>
        <v>95128500823.130005</v>
      </c>
      <c r="E66" s="412">
        <f>1658454330.74</f>
        <v>1658454330.74</v>
      </c>
      <c r="F66" s="412">
        <f>937039.94</f>
        <v>937039.94</v>
      </c>
      <c r="G66" s="412">
        <f>6083331.44</f>
        <v>6083331.4400000004</v>
      </c>
      <c r="H66" s="413">
        <f>1460088264.63</f>
        <v>1460088264.6300001</v>
      </c>
      <c r="I66" s="411">
        <f t="shared" ref="I66:I74" si="6">IF($C$65=0,"",100*$C66/$C$65)</f>
        <v>20.347482648825814</v>
      </c>
      <c r="J66" s="411">
        <f t="shared" ref="J66:J74" si="7">IF(B66=0,"",100*C66/B66)</f>
        <v>85.034344760318945</v>
      </c>
      <c r="K66" s="481"/>
    </row>
    <row r="67" spans="1:11">
      <c r="A67" s="388" t="s">
        <v>615</v>
      </c>
      <c r="B67" s="389">
        <f>105985483525.91</f>
        <v>105985483525.91</v>
      </c>
      <c r="C67" s="389">
        <f>89568164639.7501</f>
        <v>89568164639.750107</v>
      </c>
      <c r="D67" s="389">
        <f>89797387988.2001</f>
        <v>89797387988.200104</v>
      </c>
      <c r="E67" s="389">
        <f>1639385074.4</f>
        <v>1639385074.4000001</v>
      </c>
      <c r="F67" s="389">
        <f>937039.94</f>
        <v>937039.94</v>
      </c>
      <c r="G67" s="389">
        <f>6083331.44</f>
        <v>6083331.4400000004</v>
      </c>
      <c r="H67" s="414">
        <f>1460088264.63</f>
        <v>1460088264.6300001</v>
      </c>
      <c r="I67" s="411">
        <f t="shared" si="6"/>
        <v>19.204431523524981</v>
      </c>
      <c r="J67" s="411">
        <f t="shared" si="7"/>
        <v>84.509841970814421</v>
      </c>
      <c r="K67" s="481"/>
    </row>
    <row r="68" spans="1:11" ht="20.399999999999999">
      <c r="A68" s="1757" t="s">
        <v>616</v>
      </c>
      <c r="B68" s="402">
        <f t="shared" ref="B68:H68" si="8">B65-B66</f>
        <v>393750732316.11005</v>
      </c>
      <c r="C68" s="402">
        <f t="shared" si="8"/>
        <v>371493932498.91998</v>
      </c>
      <c r="D68" s="402">
        <f t="shared" si="8"/>
        <v>371704341273.96002</v>
      </c>
      <c r="E68" s="402">
        <f t="shared" si="8"/>
        <v>19103958953.329998</v>
      </c>
      <c r="F68" s="402">
        <f t="shared" si="8"/>
        <v>2360440.1</v>
      </c>
      <c r="G68" s="402">
        <f t="shared" si="8"/>
        <v>34693957.82</v>
      </c>
      <c r="H68" s="410">
        <f t="shared" si="8"/>
        <v>160444675.00999999</v>
      </c>
      <c r="I68" s="411">
        <f t="shared" si="6"/>
        <v>79.652517351174197</v>
      </c>
      <c r="J68" s="411">
        <f t="shared" si="7"/>
        <v>94.347489924330631</v>
      </c>
      <c r="K68" s="481"/>
    </row>
    <row r="69" spans="1:11">
      <c r="A69" s="388" t="s">
        <v>617</v>
      </c>
      <c r="B69" s="389">
        <f>182155232860.75</f>
        <v>182155232860.75</v>
      </c>
      <c r="C69" s="389">
        <f>176394329987.26</f>
        <v>176394329987.26001</v>
      </c>
      <c r="D69" s="389">
        <f>176474268496.03</f>
        <v>176474268496.03</v>
      </c>
      <c r="E69" s="389">
        <f>14532619618.56</f>
        <v>14532619618.559999</v>
      </c>
      <c r="F69" s="389">
        <f>456905.62</f>
        <v>456905.62</v>
      </c>
      <c r="G69" s="389">
        <f>4302728.43</f>
        <v>4302728.43</v>
      </c>
      <c r="H69" s="414">
        <f>1773044.88</f>
        <v>1773044.88</v>
      </c>
      <c r="I69" s="411">
        <f t="shared" si="6"/>
        <v>37.820947264057452</v>
      </c>
      <c r="J69" s="411">
        <f t="shared" si="7"/>
        <v>96.837366249097016</v>
      </c>
      <c r="K69" s="481"/>
    </row>
    <row r="70" spans="1:11">
      <c r="A70" s="388" t="s">
        <v>571</v>
      </c>
      <c r="B70" s="389">
        <f>53854626375.9599</f>
        <v>53854626375.9599</v>
      </c>
      <c r="C70" s="389">
        <f>52367955159.51</f>
        <v>52367955159.510002</v>
      </c>
      <c r="D70" s="389">
        <f>52383811833.95</f>
        <v>52383811833.949997</v>
      </c>
      <c r="E70" s="389">
        <f>79434463.33</f>
        <v>79434463.329999998</v>
      </c>
      <c r="F70" s="389">
        <f>0</f>
        <v>0</v>
      </c>
      <c r="G70" s="389">
        <f>68167.76</f>
        <v>68167.759999999995</v>
      </c>
      <c r="H70" s="414">
        <f>2190221.7</f>
        <v>2190221.7000000002</v>
      </c>
      <c r="I70" s="411">
        <f t="shared" si="6"/>
        <v>11.228284211614975</v>
      </c>
      <c r="J70" s="411">
        <f t="shared" si="7"/>
        <v>97.239473529959284</v>
      </c>
      <c r="K70" s="481"/>
    </row>
    <row r="71" spans="1:11">
      <c r="A71" s="388" t="s">
        <v>618</v>
      </c>
      <c r="B71" s="389">
        <f>7005404174.64</f>
        <v>7005404174.6400003</v>
      </c>
      <c r="C71" s="389">
        <f>6378378713.7</f>
        <v>6378378713.6999998</v>
      </c>
      <c r="D71" s="389">
        <f>6383455754.22</f>
        <v>6383455754.2200003</v>
      </c>
      <c r="E71" s="389">
        <f>133284983.6</f>
        <v>133284983.59999999</v>
      </c>
      <c r="F71" s="389">
        <f>0</f>
        <v>0</v>
      </c>
      <c r="G71" s="389">
        <f>27898.34</f>
        <v>27898.34</v>
      </c>
      <c r="H71" s="414">
        <f>0</f>
        <v>0</v>
      </c>
      <c r="I71" s="411">
        <f t="shared" si="6"/>
        <v>1.36759682115892</v>
      </c>
      <c r="J71" s="411">
        <f t="shared" si="7"/>
        <v>91.049403498946262</v>
      </c>
      <c r="K71" s="481"/>
    </row>
    <row r="72" spans="1:11">
      <c r="A72" s="388" t="s">
        <v>619</v>
      </c>
      <c r="B72" s="389">
        <f>262479582.42</f>
        <v>262479582.41999999</v>
      </c>
      <c r="C72" s="389">
        <f>40565669.58</f>
        <v>40565669.579999998</v>
      </c>
      <c r="D72" s="389">
        <f>40605590.7</f>
        <v>40605590.700000003</v>
      </c>
      <c r="E72" s="389">
        <f>0</f>
        <v>0</v>
      </c>
      <c r="F72" s="389">
        <f>0</f>
        <v>0</v>
      </c>
      <c r="G72" s="389">
        <f>0</f>
        <v>0</v>
      </c>
      <c r="H72" s="414">
        <f>0</f>
        <v>0</v>
      </c>
      <c r="I72" s="411">
        <f t="shared" si="6"/>
        <v>8.6977401712808391E-3</v>
      </c>
      <c r="J72" s="411">
        <f t="shared" si="7"/>
        <v>15.454790504462888</v>
      </c>
      <c r="K72" s="481"/>
    </row>
    <row r="73" spans="1:11">
      <c r="A73" s="388" t="s">
        <v>620</v>
      </c>
      <c r="B73" s="389">
        <f>27898991667.83</f>
        <v>27898991667.830002</v>
      </c>
      <c r="C73" s="389">
        <f>27199538549.01</f>
        <v>27199538549.009998</v>
      </c>
      <c r="D73" s="389">
        <f>27207639565.3</f>
        <v>27207639565.299999</v>
      </c>
      <c r="E73" s="389">
        <f>365797152.51</f>
        <v>365797152.50999999</v>
      </c>
      <c r="F73" s="389">
        <f>189241.67</f>
        <v>189241.67</v>
      </c>
      <c r="G73" s="389">
        <f>890190.14</f>
        <v>890190.14</v>
      </c>
      <c r="H73" s="414">
        <f>0</f>
        <v>0</v>
      </c>
      <c r="I73" s="411">
        <f t="shared" si="6"/>
        <v>5.8318899090639889</v>
      </c>
      <c r="J73" s="411">
        <f t="shared" si="7"/>
        <v>97.492908965500234</v>
      </c>
      <c r="K73" s="481"/>
    </row>
    <row r="74" spans="1:11">
      <c r="A74" s="388" t="s">
        <v>621</v>
      </c>
      <c r="B74" s="389">
        <f t="shared" ref="B74:H74" si="9">B68-B69-B70-B71-B72-B73</f>
        <v>122573997654.51012</v>
      </c>
      <c r="C74" s="389">
        <f t="shared" si="9"/>
        <v>109113164419.85997</v>
      </c>
      <c r="D74" s="389">
        <f t="shared" si="9"/>
        <v>109214560033.76004</v>
      </c>
      <c r="E74" s="389">
        <f t="shared" si="9"/>
        <v>3992822735.329998</v>
      </c>
      <c r="F74" s="389">
        <f t="shared" si="9"/>
        <v>1714292.81</v>
      </c>
      <c r="G74" s="389">
        <f t="shared" si="9"/>
        <v>29404973.149999999</v>
      </c>
      <c r="H74" s="414">
        <f t="shared" si="9"/>
        <v>156481408.43000001</v>
      </c>
      <c r="I74" s="411">
        <f t="shared" si="6"/>
        <v>23.395101405107564</v>
      </c>
      <c r="J74" s="411">
        <f t="shared" si="7"/>
        <v>89.018198400780591</v>
      </c>
      <c r="K74" s="481"/>
    </row>
    <row r="75" spans="1:11">
      <c r="A75" s="1756" t="s">
        <v>622</v>
      </c>
      <c r="B75" s="412">
        <f>B6-B65</f>
        <v>-30678726807.900024</v>
      </c>
      <c r="C75" s="412">
        <f>C6-C65</f>
        <v>1818928488.7800293</v>
      </c>
      <c r="D75" s="415"/>
      <c r="E75" s="415"/>
      <c r="F75" s="1742"/>
      <c r="G75" s="481"/>
      <c r="H75" s="481"/>
      <c r="I75" s="481"/>
      <c r="J75" s="481"/>
      <c r="K75" s="481"/>
    </row>
    <row r="76" spans="1:11" ht="20.399999999999999">
      <c r="A76" s="1764" t="s">
        <v>859</v>
      </c>
      <c r="B76" s="418">
        <f>+B57-B68</f>
        <v>16784149072.369934</v>
      </c>
      <c r="C76" s="418">
        <f>+C57-C68</f>
        <v>39266766036.799988</v>
      </c>
      <c r="D76" s="415"/>
      <c r="E76" s="415"/>
      <c r="F76" s="1742"/>
      <c r="G76" s="481"/>
      <c r="H76" s="481"/>
      <c r="I76" s="481"/>
      <c r="J76" s="481"/>
      <c r="K76" s="481"/>
    </row>
    <row r="77" spans="1:11">
      <c r="A77" s="1765"/>
      <c r="B77" s="1751"/>
      <c r="C77" s="1751"/>
      <c r="D77" s="415"/>
      <c r="E77" s="415"/>
      <c r="F77" s="1742"/>
      <c r="G77" s="481"/>
      <c r="H77" s="481"/>
      <c r="I77" s="481"/>
      <c r="J77" s="481"/>
      <c r="K77" s="481"/>
    </row>
    <row r="78" spans="1:11">
      <c r="A78" s="1765"/>
      <c r="B78" s="1751"/>
      <c r="C78" s="1751"/>
      <c r="D78" s="415"/>
      <c r="E78" s="415"/>
      <c r="F78" s="1742"/>
      <c r="G78" s="481"/>
      <c r="H78" s="481"/>
      <c r="I78" s="481"/>
      <c r="J78" s="481"/>
      <c r="K78" s="481"/>
    </row>
    <row r="79" spans="1:11" ht="13.5" customHeight="1">
      <c r="A79" s="2091" t="s">
        <v>860</v>
      </c>
      <c r="B79" s="2092" t="s">
        <v>861</v>
      </c>
      <c r="C79" s="2092"/>
      <c r="D79" s="2092" t="s">
        <v>862</v>
      </c>
      <c r="E79" s="2092"/>
      <c r="F79" s="1752" t="s">
        <v>863</v>
      </c>
      <c r="G79" s="481"/>
      <c r="H79" s="481"/>
      <c r="I79" s="481"/>
      <c r="J79" s="481"/>
      <c r="K79" s="481"/>
    </row>
    <row r="80" spans="1:11">
      <c r="A80" s="2091"/>
      <c r="B80" s="1743" t="s">
        <v>864</v>
      </c>
      <c r="C80" s="1743" t="s">
        <v>865</v>
      </c>
      <c r="D80" s="1743" t="s">
        <v>864</v>
      </c>
      <c r="E80" s="1743" t="s">
        <v>865</v>
      </c>
      <c r="F80" s="1743" t="s">
        <v>864</v>
      </c>
      <c r="G80" s="481"/>
      <c r="H80" s="481"/>
      <c r="I80" s="481"/>
      <c r="J80" s="481"/>
      <c r="K80" s="481"/>
    </row>
    <row r="81" spans="1:11">
      <c r="A81" s="1753" t="s">
        <v>866</v>
      </c>
      <c r="B81" s="1754">
        <f>259</f>
        <v>259</v>
      </c>
      <c r="C81" s="1755">
        <f>898497944.9</f>
        <v>898497944.89999998</v>
      </c>
      <c r="D81" s="1754">
        <f>2541</f>
        <v>2541</v>
      </c>
      <c r="E81" s="1755">
        <f>+-31577224752.8</f>
        <v>-31577224752.799999</v>
      </c>
      <c r="F81" s="1754">
        <f>9</f>
        <v>9</v>
      </c>
      <c r="G81" s="481"/>
      <c r="H81" s="481"/>
      <c r="I81" s="481"/>
      <c r="J81" s="481"/>
      <c r="K81" s="481"/>
    </row>
    <row r="82" spans="1:11">
      <c r="A82" s="1753" t="s">
        <v>867</v>
      </c>
      <c r="B82" s="1754">
        <f>1729</f>
        <v>1729</v>
      </c>
      <c r="C82" s="1755">
        <f>11177144134.15</f>
        <v>11177144134.15</v>
      </c>
      <c r="D82" s="1754">
        <f>1080</f>
        <v>1080</v>
      </c>
      <c r="E82" s="1755">
        <f>+-9358215645.37001</f>
        <v>-9358215645.3700104</v>
      </c>
      <c r="F82" s="1754">
        <f>0</f>
        <v>0</v>
      </c>
      <c r="G82" s="481"/>
      <c r="H82" s="481"/>
      <c r="I82" s="481"/>
      <c r="J82" s="481"/>
      <c r="K82" s="481"/>
    </row>
    <row r="83" spans="1:11">
      <c r="A83" s="481"/>
      <c r="B83" s="481"/>
      <c r="C83" s="481"/>
      <c r="D83" s="481"/>
      <c r="E83" s="481"/>
      <c r="F83" s="481"/>
      <c r="G83" s="481"/>
      <c r="H83" s="481"/>
      <c r="I83" s="481"/>
      <c r="J83" s="481"/>
      <c r="K83" s="481"/>
    </row>
    <row r="84" spans="1:11" ht="13.5" customHeight="1">
      <c r="A84" s="2091" t="s">
        <v>868</v>
      </c>
      <c r="B84" s="2092" t="s">
        <v>861</v>
      </c>
      <c r="C84" s="2092"/>
      <c r="D84" s="2092" t="s">
        <v>862</v>
      </c>
      <c r="E84" s="2092"/>
      <c r="F84" s="1752" t="s">
        <v>863</v>
      </c>
      <c r="G84" s="481"/>
      <c r="H84" s="481"/>
      <c r="I84" s="481"/>
      <c r="J84" s="481"/>
      <c r="K84" s="481"/>
    </row>
    <row r="85" spans="1:11">
      <c r="A85" s="2091"/>
      <c r="B85" s="1743" t="s">
        <v>864</v>
      </c>
      <c r="C85" s="1743" t="s">
        <v>865</v>
      </c>
      <c r="D85" s="1743" t="s">
        <v>864</v>
      </c>
      <c r="E85" s="1743" t="s">
        <v>865</v>
      </c>
      <c r="F85" s="1743" t="s">
        <v>864</v>
      </c>
      <c r="G85" s="481"/>
      <c r="H85" s="481"/>
      <c r="I85" s="481"/>
      <c r="J85" s="481"/>
      <c r="K85" s="481"/>
    </row>
    <row r="86" spans="1:11">
      <c r="A86" s="1753" t="s">
        <v>866</v>
      </c>
      <c r="B86" s="1754">
        <f>2334</f>
        <v>2334</v>
      </c>
      <c r="C86" s="1755">
        <f>19487164714.71</f>
        <v>19487164714.709999</v>
      </c>
      <c r="D86" s="1754">
        <f>475</f>
        <v>475</v>
      </c>
      <c r="E86" s="1755">
        <f>+-2703015642.34</f>
        <v>-2703015642.3400002</v>
      </c>
      <c r="F86" s="1754">
        <f>0</f>
        <v>0</v>
      </c>
      <c r="G86" s="481"/>
      <c r="H86" s="481"/>
      <c r="I86" s="481"/>
      <c r="J86" s="481"/>
      <c r="K86" s="481"/>
    </row>
    <row r="87" spans="1:11">
      <c r="A87" s="1753" t="s">
        <v>867</v>
      </c>
      <c r="B87" s="1754">
        <f>2750</f>
        <v>2750</v>
      </c>
      <c r="C87" s="1755">
        <f>39642295448.44</f>
        <v>39642295448.440002</v>
      </c>
      <c r="D87" s="1754">
        <f>59</f>
        <v>59</v>
      </c>
      <c r="E87" s="1755">
        <f>+-375529411.64</f>
        <v>-375529411.63999999</v>
      </c>
      <c r="F87" s="1754">
        <f>0</f>
        <v>0</v>
      </c>
      <c r="G87" s="481"/>
      <c r="H87" s="481"/>
      <c r="I87" s="481"/>
      <c r="J87" s="481"/>
      <c r="K87" s="481"/>
    </row>
    <row r="88" spans="1:11">
      <c r="A88" s="1766"/>
      <c r="B88" s="1767"/>
      <c r="C88" s="1767"/>
      <c r="D88" s="1767"/>
      <c r="E88" s="492"/>
      <c r="F88" s="492"/>
      <c r="G88" s="492"/>
      <c r="H88" s="492"/>
      <c r="I88" s="481"/>
      <c r="J88" s="481"/>
      <c r="K88" s="481"/>
    </row>
    <row r="89" spans="1:11">
      <c r="A89" s="1768" t="s">
        <v>623</v>
      </c>
      <c r="B89" s="1767"/>
      <c r="C89" s="1767"/>
      <c r="D89" s="1767"/>
      <c r="E89" s="492"/>
      <c r="F89" s="492"/>
      <c r="G89" s="492"/>
      <c r="H89" s="492"/>
      <c r="I89" s="481"/>
      <c r="J89" s="481"/>
      <c r="K89" s="481"/>
    </row>
    <row r="90" spans="1:11" ht="20.399999999999999">
      <c r="A90" s="1761" t="s">
        <v>624</v>
      </c>
      <c r="B90" s="402">
        <f>28948387675.14</f>
        <v>28948387675.139999</v>
      </c>
      <c r="C90" s="402">
        <f>22640857749.5</f>
        <v>22640857749.5</v>
      </c>
      <c r="D90" s="402">
        <f>22683505586.2</f>
        <v>22683505586.200001</v>
      </c>
      <c r="E90" s="402">
        <f>489938616.73</f>
        <v>489938616.73000002</v>
      </c>
      <c r="F90" s="402">
        <f>0</f>
        <v>0</v>
      </c>
      <c r="G90" s="402">
        <f>3504182.64</f>
        <v>3504182.64</v>
      </c>
      <c r="H90" s="410">
        <f>187200695.5</f>
        <v>187200695.5</v>
      </c>
      <c r="I90" s="411">
        <f>IF($C$90=0,"",100*$C90/$C$90)</f>
        <v>100</v>
      </c>
      <c r="J90" s="411">
        <f>IF(B90=0,"",100*C90/B90)</f>
        <v>78.211118365473894</v>
      </c>
      <c r="K90" s="481"/>
    </row>
    <row r="91" spans="1:11">
      <c r="A91" s="1762" t="s">
        <v>625</v>
      </c>
      <c r="B91" s="419">
        <f>20254470720.17</f>
        <v>20254470720.169998</v>
      </c>
      <c r="C91" s="419">
        <f>16203990617.55</f>
        <v>16203990617.549999</v>
      </c>
      <c r="D91" s="419">
        <f>16236515280.7</f>
        <v>16236515280.700001</v>
      </c>
      <c r="E91" s="419">
        <f>375621217.51</f>
        <v>375621217.50999999</v>
      </c>
      <c r="F91" s="419">
        <f>0</f>
        <v>0</v>
      </c>
      <c r="G91" s="419">
        <f>3503740.2</f>
        <v>3503740.2</v>
      </c>
      <c r="H91" s="420">
        <f>182768751.26</f>
        <v>182768751.25999999</v>
      </c>
      <c r="I91" s="411">
        <f>IF($C$90=0,"",100*$C91/$C$90)</f>
        <v>71.569685198467567</v>
      </c>
      <c r="J91" s="411">
        <f>IF(B91=0,"",100*C91/B91)</f>
        <v>80.002044197647635</v>
      </c>
      <c r="K91" s="481"/>
    </row>
    <row r="92" spans="1:11">
      <c r="A92" s="1762" t="s">
        <v>626</v>
      </c>
      <c r="B92" s="419">
        <f t="shared" ref="B92:H92" si="10">B90-B91</f>
        <v>8693916954.9700012</v>
      </c>
      <c r="C92" s="419">
        <f t="shared" si="10"/>
        <v>6436867131.9500008</v>
      </c>
      <c r="D92" s="419">
        <f t="shared" si="10"/>
        <v>6446990305.5</v>
      </c>
      <c r="E92" s="419">
        <f t="shared" si="10"/>
        <v>114317399.22000003</v>
      </c>
      <c r="F92" s="419">
        <f t="shared" si="10"/>
        <v>0</v>
      </c>
      <c r="G92" s="419">
        <f t="shared" si="10"/>
        <v>442.43999999994412</v>
      </c>
      <c r="H92" s="420">
        <f t="shared" si="10"/>
        <v>4431944.2400000095</v>
      </c>
      <c r="I92" s="411">
        <f>IF($C$90=0,"",100*$C92/$C$90)</f>
        <v>28.430314801532433</v>
      </c>
      <c r="J92" s="411">
        <f>IF(B92=0,"",100*C92/B92)</f>
        <v>74.038746462493805</v>
      </c>
      <c r="K92" s="481"/>
    </row>
    <row r="93" spans="1:11">
      <c r="A93" s="408" t="str">
        <f>CONCATENATE("Informacja z wykonania budżetów jednostek samorządu terytorialnego za ",$C$128," ",$B$129," roku")</f>
        <v>Informacja z wykonania budżetów jednostek samorządu terytorialnego za   roku</v>
      </c>
      <c r="B93" s="408"/>
      <c r="C93" s="408"/>
      <c r="D93" s="408"/>
      <c r="E93" s="408"/>
      <c r="F93" s="408"/>
      <c r="G93" s="408"/>
      <c r="H93" s="408"/>
      <c r="I93" s="408"/>
      <c r="J93" s="408"/>
      <c r="K93" s="408"/>
    </row>
    <row r="94" spans="1:11">
      <c r="A94" s="482" t="s">
        <v>1</v>
      </c>
      <c r="B94" s="421" t="s">
        <v>627</v>
      </c>
      <c r="C94" s="421" t="s">
        <v>628</v>
      </c>
      <c r="D94" s="2096" t="s">
        <v>597</v>
      </c>
      <c r="E94" s="2097"/>
      <c r="F94" s="2097"/>
      <c r="G94" s="2097"/>
      <c r="H94" s="2098"/>
      <c r="I94" s="1740" t="s">
        <v>5</v>
      </c>
      <c r="J94" s="1740" t="s">
        <v>4</v>
      </c>
      <c r="K94" s="481"/>
    </row>
    <row r="95" spans="1:11">
      <c r="A95" s="482"/>
      <c r="B95" s="2086" t="s">
        <v>163</v>
      </c>
      <c r="C95" s="2094"/>
      <c r="D95" s="2099"/>
      <c r="E95" s="2100"/>
      <c r="F95" s="2100"/>
      <c r="G95" s="2100"/>
      <c r="H95" s="2101"/>
      <c r="I95" s="2089" t="s">
        <v>169</v>
      </c>
      <c r="J95" s="2090"/>
      <c r="K95" s="481"/>
    </row>
    <row r="96" spans="1:11">
      <c r="A96" s="1743">
        <v>1</v>
      </c>
      <c r="B96" s="421">
        <v>2</v>
      </c>
      <c r="C96" s="421">
        <v>3</v>
      </c>
      <c r="D96" s="2102"/>
      <c r="E96" s="2103"/>
      <c r="F96" s="2103"/>
      <c r="G96" s="2103"/>
      <c r="H96" s="2104"/>
      <c r="I96" s="423">
        <v>4</v>
      </c>
      <c r="J96" s="423">
        <v>5</v>
      </c>
      <c r="K96" s="481"/>
    </row>
    <row r="97" spans="1:11" ht="20.399999999999999">
      <c r="A97" s="1761" t="s">
        <v>629</v>
      </c>
      <c r="B97" s="424">
        <f>49181780119.11</f>
        <v>49181780119.110001</v>
      </c>
      <c r="C97" s="424">
        <f>64139020928.04</f>
        <v>64139020928.040001</v>
      </c>
      <c r="D97" s="424" t="s">
        <v>597</v>
      </c>
      <c r="E97" s="424" t="s">
        <v>597</v>
      </c>
      <c r="F97" s="424" t="s">
        <v>597</v>
      </c>
      <c r="G97" s="424" t="s">
        <v>597</v>
      </c>
      <c r="H97" s="424" t="s">
        <v>597</v>
      </c>
      <c r="I97" s="425">
        <f>IF($C$97=0,"",100*$C97/$C$97)</f>
        <v>100</v>
      </c>
      <c r="J97" s="411">
        <f t="shared" ref="J97:J112" si="11">IF(B97=0,"",100*C97/B97)</f>
        <v>130.41215826817589</v>
      </c>
      <c r="K97" s="481"/>
    </row>
    <row r="98" spans="1:11" ht="20.399999999999999">
      <c r="A98" s="426" t="s">
        <v>630</v>
      </c>
      <c r="B98" s="427">
        <f>23838384242.58</f>
        <v>23838384242.580002</v>
      </c>
      <c r="C98" s="427">
        <f>19546128027.37</f>
        <v>19546128027.369999</v>
      </c>
      <c r="D98" s="424" t="s">
        <v>597</v>
      </c>
      <c r="E98" s="424" t="s">
        <v>597</v>
      </c>
      <c r="F98" s="424" t="s">
        <v>597</v>
      </c>
      <c r="G98" s="424" t="s">
        <v>597</v>
      </c>
      <c r="H98" s="424" t="s">
        <v>597</v>
      </c>
      <c r="I98" s="425">
        <f t="shared" ref="I98:I107" si="12">IF($C$97=0,"",100*$C98/$C$97)</f>
        <v>30.474627994866871</v>
      </c>
      <c r="J98" s="411">
        <f t="shared" si="11"/>
        <v>81.994349233018923</v>
      </c>
      <c r="K98" s="481"/>
    </row>
    <row r="99" spans="1:11">
      <c r="A99" s="428" t="s">
        <v>631</v>
      </c>
      <c r="B99" s="427">
        <f>1022742354.47</f>
        <v>1022742354.47</v>
      </c>
      <c r="C99" s="427">
        <f>883919000</f>
        <v>883919000</v>
      </c>
      <c r="D99" s="424" t="s">
        <v>597</v>
      </c>
      <c r="E99" s="424" t="s">
        <v>597</v>
      </c>
      <c r="F99" s="424" t="s">
        <v>597</v>
      </c>
      <c r="G99" s="424" t="s">
        <v>597</v>
      </c>
      <c r="H99" s="424" t="s">
        <v>597</v>
      </c>
      <c r="I99" s="425">
        <f t="shared" si="12"/>
        <v>1.3781298610586872</v>
      </c>
      <c r="J99" s="411">
        <f t="shared" si="11"/>
        <v>86.426361061194115</v>
      </c>
      <c r="K99" s="481"/>
    </row>
    <row r="100" spans="1:11">
      <c r="A100" s="426" t="s">
        <v>632</v>
      </c>
      <c r="B100" s="427">
        <f>335454329.95</f>
        <v>335454329.94999999</v>
      </c>
      <c r="C100" s="427">
        <f>344208157.58</f>
        <v>344208157.57999998</v>
      </c>
      <c r="D100" s="424" t="s">
        <v>597</v>
      </c>
      <c r="E100" s="424" t="s">
        <v>597</v>
      </c>
      <c r="F100" s="424" t="s">
        <v>597</v>
      </c>
      <c r="G100" s="424" t="s">
        <v>597</v>
      </c>
      <c r="H100" s="424" t="s">
        <v>597</v>
      </c>
      <c r="I100" s="425">
        <f t="shared" si="12"/>
        <v>0.53665951335019624</v>
      </c>
      <c r="J100" s="411">
        <f t="shared" si="11"/>
        <v>102.60954378836153</v>
      </c>
      <c r="K100" s="481"/>
    </row>
    <row r="101" spans="1:11" ht="40.799999999999997">
      <c r="A101" s="426" t="s">
        <v>633</v>
      </c>
      <c r="B101" s="427">
        <f>4694101961.36</f>
        <v>4694101961.3599997</v>
      </c>
      <c r="C101" s="427">
        <f>11997423906.39</f>
        <v>11997423906.389999</v>
      </c>
      <c r="D101" s="424" t="s">
        <v>597</v>
      </c>
      <c r="E101" s="424" t="s">
        <v>597</v>
      </c>
      <c r="F101" s="424" t="s">
        <v>597</v>
      </c>
      <c r="G101" s="424" t="s">
        <v>597</v>
      </c>
      <c r="H101" s="424" t="s">
        <v>597</v>
      </c>
      <c r="I101" s="425">
        <f t="shared" si="12"/>
        <v>18.705343070095136</v>
      </c>
      <c r="J101" s="411">
        <f t="shared" si="11"/>
        <v>255.58507261129122</v>
      </c>
      <c r="K101" s="481"/>
    </row>
    <row r="102" spans="1:11" ht="30.6">
      <c r="A102" s="426" t="s">
        <v>634</v>
      </c>
      <c r="B102" s="427">
        <f>4584346248.85</f>
        <v>4584346248.8500004</v>
      </c>
      <c r="C102" s="427">
        <f>5839536908.01</f>
        <v>5839536908.0100002</v>
      </c>
      <c r="D102" s="424" t="s">
        <v>597</v>
      </c>
      <c r="E102" s="424" t="s">
        <v>597</v>
      </c>
      <c r="F102" s="424" t="s">
        <v>597</v>
      </c>
      <c r="G102" s="424" t="s">
        <v>597</v>
      </c>
      <c r="H102" s="424" t="s">
        <v>597</v>
      </c>
      <c r="I102" s="425">
        <f t="shared" si="12"/>
        <v>9.1044996065056836</v>
      </c>
      <c r="J102" s="411">
        <f t="shared" si="11"/>
        <v>127.37992706102574</v>
      </c>
      <c r="K102" s="481"/>
    </row>
    <row r="103" spans="1:11">
      <c r="A103" s="426" t="s">
        <v>635</v>
      </c>
      <c r="B103" s="427">
        <f>0</f>
        <v>0</v>
      </c>
      <c r="C103" s="427">
        <f>1703.92</f>
        <v>1703.92</v>
      </c>
      <c r="D103" s="424" t="s">
        <v>597</v>
      </c>
      <c r="E103" s="424" t="s">
        <v>597</v>
      </c>
      <c r="F103" s="424" t="s">
        <v>597</v>
      </c>
      <c r="G103" s="424" t="s">
        <v>597</v>
      </c>
      <c r="H103" s="424" t="s">
        <v>597</v>
      </c>
      <c r="I103" s="425">
        <f t="shared" si="12"/>
        <v>2.6566043187838687E-6</v>
      </c>
      <c r="J103" s="411" t="str">
        <f t="shared" si="11"/>
        <v/>
      </c>
      <c r="K103" s="481"/>
    </row>
    <row r="104" spans="1:11" ht="20.399999999999999">
      <c r="A104" s="426" t="s">
        <v>636</v>
      </c>
      <c r="B104" s="427">
        <f>14027195662.93</f>
        <v>14027195662.93</v>
      </c>
      <c r="C104" s="427">
        <f>23567660254.48</f>
        <v>23567660254.48</v>
      </c>
      <c r="D104" s="424" t="s">
        <v>597</v>
      </c>
      <c r="E104" s="424" t="s">
        <v>597</v>
      </c>
      <c r="F104" s="424" t="s">
        <v>597</v>
      </c>
      <c r="G104" s="424" t="s">
        <v>597</v>
      </c>
      <c r="H104" s="424" t="s">
        <v>597</v>
      </c>
      <c r="I104" s="425">
        <f t="shared" si="12"/>
        <v>36.744652340299133</v>
      </c>
      <c r="J104" s="411">
        <f t="shared" si="11"/>
        <v>168.01405513122492</v>
      </c>
      <c r="K104" s="481"/>
    </row>
    <row r="105" spans="1:11" ht="40.799999999999997">
      <c r="A105" s="426" t="s">
        <v>637</v>
      </c>
      <c r="B105" s="427">
        <f>0</f>
        <v>0</v>
      </c>
      <c r="C105" s="427">
        <f>0</f>
        <v>0</v>
      </c>
      <c r="D105" s="424"/>
      <c r="E105" s="424"/>
      <c r="F105" s="424"/>
      <c r="G105" s="424"/>
      <c r="H105" s="424"/>
      <c r="I105" s="425">
        <f>IF($C$97=0,"",100*$C105/$C$97)</f>
        <v>0</v>
      </c>
      <c r="J105" s="411" t="str">
        <f>IF(B105=0,"",100*C105/B105)</f>
        <v/>
      </c>
      <c r="K105" s="481"/>
    </row>
    <row r="106" spans="1:11">
      <c r="A106" s="426" t="s">
        <v>638</v>
      </c>
      <c r="B106" s="427">
        <f>1702297673.44</f>
        <v>1702297673.4400001</v>
      </c>
      <c r="C106" s="427">
        <f>2844061970.29</f>
        <v>2844061970.29</v>
      </c>
      <c r="D106" s="424"/>
      <c r="E106" s="424"/>
      <c r="F106" s="424"/>
      <c r="G106" s="424"/>
      <c r="H106" s="424"/>
      <c r="I106" s="425">
        <f t="shared" si="12"/>
        <v>4.4342148182786589</v>
      </c>
      <c r="J106" s="411">
        <f>IF(B106=0,"",100*C106/B106)</f>
        <v>167.07195308225528</v>
      </c>
      <c r="K106" s="481"/>
    </row>
    <row r="107" spans="1:11">
      <c r="A107" s="428" t="s">
        <v>639</v>
      </c>
      <c r="B107" s="427">
        <f>1664223549</f>
        <v>1664223549</v>
      </c>
      <c r="C107" s="427">
        <f>1718655614.25</f>
        <v>1718655614.25</v>
      </c>
      <c r="D107" s="424" t="s">
        <v>597</v>
      </c>
      <c r="E107" s="424" t="s">
        <v>597</v>
      </c>
      <c r="F107" s="424" t="s">
        <v>597</v>
      </c>
      <c r="G107" s="424" t="s">
        <v>597</v>
      </c>
      <c r="H107" s="424" t="s">
        <v>597</v>
      </c>
      <c r="I107" s="425">
        <f t="shared" si="12"/>
        <v>2.6795788108119467</v>
      </c>
      <c r="J107" s="411">
        <f>IF(B107=0,"",100*C107/B107)</f>
        <v>103.27071836489198</v>
      </c>
      <c r="K107" s="481"/>
    </row>
    <row r="108" spans="1:11" ht="20.399999999999999">
      <c r="A108" s="1761" t="s">
        <v>640</v>
      </c>
      <c r="B108" s="402">
        <f>17952412256.31</f>
        <v>17952412256.310001</v>
      </c>
      <c r="C108" s="402">
        <f>18592678271.03</f>
        <v>18592678271.029999</v>
      </c>
      <c r="D108" s="424" t="s">
        <v>597</v>
      </c>
      <c r="E108" s="424" t="s">
        <v>597</v>
      </c>
      <c r="F108" s="424" t="s">
        <v>597</v>
      </c>
      <c r="G108" s="424" t="s">
        <v>597</v>
      </c>
      <c r="H108" s="424" t="s">
        <v>597</v>
      </c>
      <c r="I108" s="425">
        <f t="shared" ref="I108:I113" si="13">IF($C$108=0,"",100*$C108/$C$108)</f>
        <v>100</v>
      </c>
      <c r="J108" s="411">
        <f t="shared" si="11"/>
        <v>103.56646229809564</v>
      </c>
      <c r="K108" s="481"/>
    </row>
    <row r="109" spans="1:11" ht="20.399999999999999">
      <c r="A109" s="426" t="s">
        <v>641</v>
      </c>
      <c r="B109" s="427">
        <f>14816563460.48</f>
        <v>14816563460.48</v>
      </c>
      <c r="C109" s="427">
        <f>14592402177.75</f>
        <v>14592402177.75</v>
      </c>
      <c r="D109" s="424" t="s">
        <v>597</v>
      </c>
      <c r="E109" s="424" t="s">
        <v>597</v>
      </c>
      <c r="F109" s="424" t="s">
        <v>597</v>
      </c>
      <c r="G109" s="424" t="s">
        <v>597</v>
      </c>
      <c r="H109" s="424" t="s">
        <v>597</v>
      </c>
      <c r="I109" s="425">
        <f t="shared" si="13"/>
        <v>78.484669960040179</v>
      </c>
      <c r="J109" s="411">
        <f t="shared" si="11"/>
        <v>98.487089915769587</v>
      </c>
      <c r="K109" s="481"/>
    </row>
    <row r="110" spans="1:11">
      <c r="A110" s="428" t="s">
        <v>642</v>
      </c>
      <c r="B110" s="427">
        <f>979012766.16</f>
        <v>979012766.15999997</v>
      </c>
      <c r="C110" s="427">
        <f>975578763.16</f>
        <v>975578763.15999997</v>
      </c>
      <c r="D110" s="424" t="s">
        <v>597</v>
      </c>
      <c r="E110" s="424" t="s">
        <v>597</v>
      </c>
      <c r="F110" s="424" t="s">
        <v>597</v>
      </c>
      <c r="G110" s="424" t="s">
        <v>597</v>
      </c>
      <c r="H110" s="424" t="s">
        <v>597</v>
      </c>
      <c r="I110" s="425">
        <f t="shared" si="13"/>
        <v>5.247112594209133</v>
      </c>
      <c r="J110" s="411">
        <f t="shared" si="11"/>
        <v>99.649238179654262</v>
      </c>
      <c r="K110" s="481"/>
    </row>
    <row r="111" spans="1:11">
      <c r="A111" s="426" t="s">
        <v>643</v>
      </c>
      <c r="B111" s="427">
        <f>852754725.94</f>
        <v>852754725.94000006</v>
      </c>
      <c r="C111" s="427">
        <f>826303985.42</f>
        <v>826303985.41999996</v>
      </c>
      <c r="D111" s="424" t="s">
        <v>597</v>
      </c>
      <c r="E111" s="424" t="s">
        <v>597</v>
      </c>
      <c r="F111" s="424" t="s">
        <v>597</v>
      </c>
      <c r="G111" s="424" t="s">
        <v>597</v>
      </c>
      <c r="H111" s="424" t="s">
        <v>597</v>
      </c>
      <c r="I111" s="425">
        <f t="shared" si="13"/>
        <v>4.4442439834367358</v>
      </c>
      <c r="J111" s="411">
        <f t="shared" si="11"/>
        <v>96.89820065308426</v>
      </c>
      <c r="K111" s="481"/>
    </row>
    <row r="112" spans="1:11">
      <c r="A112" s="426" t="s">
        <v>644</v>
      </c>
      <c r="B112" s="427">
        <f>2283094069.89</f>
        <v>2283094069.8899999</v>
      </c>
      <c r="C112" s="427">
        <f>3173972107.86</f>
        <v>3173972107.8600001</v>
      </c>
      <c r="D112" s="424" t="s">
        <v>597</v>
      </c>
      <c r="E112" s="424" t="s">
        <v>597</v>
      </c>
      <c r="F112" s="424" t="s">
        <v>597</v>
      </c>
      <c r="G112" s="424" t="s">
        <v>597</v>
      </c>
      <c r="H112" s="424" t="s">
        <v>597</v>
      </c>
      <c r="I112" s="425">
        <f t="shared" si="13"/>
        <v>17.071086056523086</v>
      </c>
      <c r="J112" s="411">
        <f t="shared" si="11"/>
        <v>139.02064526026837</v>
      </c>
      <c r="K112" s="481"/>
    </row>
    <row r="113" spans="1:11" ht="20.399999999999999">
      <c r="A113" s="428" t="s">
        <v>645</v>
      </c>
      <c r="B113" s="427">
        <f>2030045056.21</f>
        <v>2030045056.21</v>
      </c>
      <c r="C113" s="427">
        <f>1977052063.27</f>
        <v>1977052063.27</v>
      </c>
      <c r="D113" s="424" t="s">
        <v>597</v>
      </c>
      <c r="E113" s="424" t="s">
        <v>597</v>
      </c>
      <c r="F113" s="424" t="s">
        <v>597</v>
      </c>
      <c r="G113" s="424" t="s">
        <v>597</v>
      </c>
      <c r="H113" s="424" t="s">
        <v>597</v>
      </c>
      <c r="I113" s="425">
        <f t="shared" si="13"/>
        <v>10.633497952527499</v>
      </c>
      <c r="J113" s="411">
        <f>IF(B113=0,"",100*C113/B113)</f>
        <v>97.389565675998568</v>
      </c>
      <c r="K113" s="481"/>
    </row>
    <row r="114" spans="1:11">
      <c r="A114" s="481"/>
      <c r="B114" s="481"/>
      <c r="C114" s="481"/>
      <c r="D114" s="481"/>
      <c r="E114" s="481"/>
      <c r="F114" s="481"/>
      <c r="G114" s="481"/>
      <c r="H114" s="481"/>
      <c r="I114" s="481"/>
      <c r="J114" s="481"/>
      <c r="K114" s="481"/>
    </row>
    <row r="115" spans="1:11">
      <c r="A115" s="482" t="s">
        <v>1</v>
      </c>
      <c r="B115" s="421" t="s">
        <v>627</v>
      </c>
      <c r="C115" s="1740" t="s">
        <v>628</v>
      </c>
      <c r="D115" s="481"/>
      <c r="E115" s="481"/>
      <c r="F115" s="481"/>
      <c r="G115" s="481"/>
      <c r="H115" s="481"/>
      <c r="I115" s="481"/>
      <c r="J115" s="481"/>
      <c r="K115" s="481"/>
    </row>
    <row r="116" spans="1:11">
      <c r="A116" s="482"/>
      <c r="B116" s="2086" t="s">
        <v>163</v>
      </c>
      <c r="C116" s="2094"/>
      <c r="D116" s="481"/>
      <c r="E116" s="481"/>
      <c r="F116" s="481"/>
      <c r="G116" s="481"/>
      <c r="H116" s="481"/>
      <c r="I116" s="481"/>
      <c r="J116" s="481"/>
      <c r="K116" s="481"/>
    </row>
    <row r="117" spans="1:11">
      <c r="A117" s="1743">
        <v>1</v>
      </c>
      <c r="B117" s="421">
        <v>2</v>
      </c>
      <c r="C117" s="1740">
        <v>3</v>
      </c>
      <c r="D117" s="481"/>
      <c r="E117" s="481"/>
      <c r="F117" s="481"/>
      <c r="G117" s="481"/>
      <c r="H117" s="481"/>
      <c r="I117" s="481"/>
      <c r="J117" s="481"/>
      <c r="K117" s="481"/>
    </row>
    <row r="118" spans="1:11" ht="30.6">
      <c r="A118" s="429" t="s">
        <v>646</v>
      </c>
      <c r="B118" s="427">
        <f>31575404432.13</f>
        <v>31575404432.130001</v>
      </c>
      <c r="C118" s="404">
        <f>9334589090.74</f>
        <v>9334589090.7399998</v>
      </c>
      <c r="D118" s="481"/>
      <c r="E118" s="481"/>
      <c r="F118" s="481"/>
      <c r="G118" s="481"/>
      <c r="H118" s="481"/>
      <c r="I118" s="481"/>
      <c r="J118" s="481"/>
      <c r="K118" s="481"/>
    </row>
    <row r="119" spans="1:11" ht="20.399999999999999">
      <c r="A119" s="430" t="s">
        <v>647</v>
      </c>
      <c r="B119" s="427">
        <f>513682082.97</f>
        <v>513682082.97000003</v>
      </c>
      <c r="C119" s="404">
        <f>222615789.84</f>
        <v>222615789.84</v>
      </c>
      <c r="D119" s="481"/>
      <c r="E119" s="481"/>
      <c r="F119" s="481"/>
      <c r="G119" s="481"/>
      <c r="H119" s="481"/>
      <c r="I119" s="481"/>
      <c r="J119" s="481"/>
      <c r="K119" s="481"/>
    </row>
    <row r="120" spans="1:11">
      <c r="A120" s="430" t="s">
        <v>648</v>
      </c>
      <c r="B120" s="427">
        <f>13851521201.05</f>
        <v>13851521201.049999</v>
      </c>
      <c r="C120" s="404">
        <f>5486473763.27</f>
        <v>5486473763.2700005</v>
      </c>
      <c r="D120" s="481"/>
      <c r="E120" s="481"/>
      <c r="F120" s="481"/>
      <c r="G120" s="481"/>
      <c r="H120" s="481"/>
      <c r="I120" s="481"/>
      <c r="J120" s="481"/>
      <c r="K120" s="481"/>
    </row>
    <row r="121" spans="1:11" ht="20.399999999999999">
      <c r="A121" s="430" t="s">
        <v>649</v>
      </c>
      <c r="B121" s="427">
        <f>0</f>
        <v>0</v>
      </c>
      <c r="C121" s="404">
        <f>0</f>
        <v>0</v>
      </c>
      <c r="D121" s="481"/>
      <c r="E121" s="481"/>
      <c r="F121" s="481"/>
      <c r="G121" s="481"/>
      <c r="H121" s="481"/>
      <c r="I121" s="481"/>
      <c r="J121" s="481"/>
      <c r="K121" s="481"/>
    </row>
    <row r="122" spans="1:11" ht="40.799999999999997">
      <c r="A122" s="430" t="s">
        <v>650</v>
      </c>
      <c r="B122" s="427">
        <f>3173108329.26</f>
        <v>3173108329.2600002</v>
      </c>
      <c r="C122" s="404">
        <f>489087039.47</f>
        <v>489087039.47000003</v>
      </c>
      <c r="D122" s="481"/>
      <c r="E122" s="481"/>
      <c r="F122" s="481"/>
      <c r="G122" s="481"/>
      <c r="H122" s="481"/>
      <c r="I122" s="481"/>
      <c r="J122" s="481"/>
      <c r="K122" s="481"/>
    </row>
    <row r="123" spans="1:11" ht="51">
      <c r="A123" s="430" t="s">
        <v>651</v>
      </c>
      <c r="B123" s="427">
        <f>8582383418.87</f>
        <v>8582383418.8699999</v>
      </c>
      <c r="C123" s="404">
        <f>1480958851.16</f>
        <v>1480958851.1600001</v>
      </c>
      <c r="D123" s="481"/>
      <c r="E123" s="481"/>
      <c r="F123" s="481"/>
      <c r="G123" s="481"/>
      <c r="H123" s="481"/>
      <c r="I123" s="481"/>
      <c r="J123" s="481"/>
      <c r="K123" s="481"/>
    </row>
    <row r="124" spans="1:11" ht="102">
      <c r="A124" s="430" t="s">
        <v>652</v>
      </c>
      <c r="B124" s="427">
        <f>4158180049.88</f>
        <v>4158180049.8800001</v>
      </c>
      <c r="C124" s="404">
        <f>1568780803.84</f>
        <v>1568780803.8399999</v>
      </c>
      <c r="D124" s="481"/>
      <c r="E124" s="481"/>
      <c r="F124" s="481"/>
      <c r="G124" s="481"/>
      <c r="H124" s="481"/>
      <c r="I124" s="481"/>
      <c r="J124" s="481"/>
      <c r="K124" s="481"/>
    </row>
    <row r="125" spans="1:11">
      <c r="A125" s="430" t="s">
        <v>653</v>
      </c>
      <c r="B125" s="427">
        <f>94446706.06</f>
        <v>94446706.060000002</v>
      </c>
      <c r="C125" s="404">
        <f>10674450.95</f>
        <v>10674450.949999999</v>
      </c>
      <c r="D125" s="481"/>
      <c r="E125" s="481"/>
      <c r="F125" s="481"/>
      <c r="G125" s="481"/>
      <c r="H125" s="481"/>
      <c r="I125" s="481"/>
      <c r="J125" s="481"/>
      <c r="K125" s="481"/>
    </row>
    <row r="126" spans="1:11" ht="13.5" customHeight="1">
      <c r="A126" s="430" t="s">
        <v>639</v>
      </c>
      <c r="B126" s="427">
        <f>1202082644.04</f>
        <v>1202082644.04</v>
      </c>
      <c r="C126" s="404">
        <f>75998392.21</f>
        <v>75998392.209999993</v>
      </c>
      <c r="D126" s="481"/>
      <c r="E126" s="481"/>
      <c r="F126" s="481"/>
      <c r="G126" s="481"/>
      <c r="H126" s="481"/>
      <c r="I126" s="481"/>
      <c r="J126" s="481"/>
      <c r="K126" s="481"/>
    </row>
    <row r="128" spans="1:11">
      <c r="A128" s="2095" t="s">
        <v>884</v>
      </c>
      <c r="B128" s="2095"/>
      <c r="C128" s="2095"/>
      <c r="D128" s="2095"/>
      <c r="E128" s="2095"/>
      <c r="F128" s="2095"/>
      <c r="G128" s="2095"/>
    </row>
  </sheetData>
  <mergeCells count="26">
    <mergeCell ref="B116:C116"/>
    <mergeCell ref="A128:G128"/>
    <mergeCell ref="A84:A85"/>
    <mergeCell ref="D84:E84"/>
    <mergeCell ref="D94:H96"/>
    <mergeCell ref="B95:C95"/>
    <mergeCell ref="I95:J95"/>
    <mergeCell ref="B63:G63"/>
    <mergeCell ref="I63:J63"/>
    <mergeCell ref="A79:A80"/>
    <mergeCell ref="B79:C79"/>
    <mergeCell ref="D79:E79"/>
    <mergeCell ref="B84:C84"/>
    <mergeCell ref="A60:A63"/>
    <mergeCell ref="B60:B62"/>
    <mergeCell ref="C60:C62"/>
    <mergeCell ref="D60:D62"/>
    <mergeCell ref="E60:G60"/>
    <mergeCell ref="H60:H62"/>
    <mergeCell ref="A3:A4"/>
    <mergeCell ref="B4:H4"/>
    <mergeCell ref="I4:K4"/>
    <mergeCell ref="I60:I62"/>
    <mergeCell ref="J60:J62"/>
    <mergeCell ref="E61:E62"/>
    <mergeCell ref="F61:G61"/>
  </mergeCells>
  <pageMargins left="0.70866141732283472" right="0.70866141732283472" top="0.55118110236220474" bottom="0.35433070866141736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73CF-C2BC-4A70-A5B9-6A811D07AC36}">
  <dimension ref="A1:G22"/>
  <sheetViews>
    <sheetView view="pageBreakPreview" topLeftCell="A16" zoomScaleNormal="100" zoomScaleSheetLayoutView="100" workbookViewId="0">
      <selection activeCell="F8" sqref="F8"/>
    </sheetView>
  </sheetViews>
  <sheetFormatPr defaultColWidth="9.21875" defaultRowHeight="13.8"/>
  <cols>
    <col min="1" max="1" width="24" style="441" customWidth="1"/>
    <col min="2" max="5" width="12.44140625" style="441" bestFit="1" customWidth="1"/>
    <col min="6" max="6" width="7.44140625" style="441" customWidth="1"/>
    <col min="7" max="7" width="8.21875" style="441" customWidth="1"/>
    <col min="8" max="16384" width="9.21875" style="441"/>
  </cols>
  <sheetData>
    <row r="1" spans="1:7" ht="14.4">
      <c r="A1" s="280" t="s">
        <v>971</v>
      </c>
      <c r="B1" s="443"/>
      <c r="C1" s="443"/>
      <c r="D1" s="443"/>
      <c r="E1" s="443"/>
      <c r="F1" s="443"/>
      <c r="G1" s="443"/>
    </row>
    <row r="2" spans="1:7" ht="14.4">
      <c r="A2" s="364"/>
      <c r="B2" s="443"/>
      <c r="C2" s="443"/>
      <c r="D2" s="443"/>
      <c r="E2" s="443"/>
      <c r="F2" s="443"/>
      <c r="G2" s="443"/>
    </row>
    <row r="3" spans="1:7" ht="14.4">
      <c r="A3" s="2216" t="s">
        <v>1</v>
      </c>
      <c r="B3" s="380" t="s">
        <v>2</v>
      </c>
      <c r="C3" s="374" t="s">
        <v>2</v>
      </c>
      <c r="D3" s="2215" t="s">
        <v>88</v>
      </c>
      <c r="E3" s="2215"/>
      <c r="F3" s="374" t="s">
        <v>131</v>
      </c>
      <c r="G3" s="440" t="s">
        <v>6</v>
      </c>
    </row>
    <row r="4" spans="1:7" ht="14.4">
      <c r="A4" s="2217"/>
      <c r="B4" s="375">
        <v>2024</v>
      </c>
      <c r="C4" s="379">
        <v>2025</v>
      </c>
      <c r="D4" s="117" t="s">
        <v>136</v>
      </c>
      <c r="E4" s="117" t="s">
        <v>137</v>
      </c>
      <c r="F4" s="118" t="s">
        <v>138</v>
      </c>
      <c r="G4" s="119" t="s">
        <v>844</v>
      </c>
    </row>
    <row r="5" spans="1:7">
      <c r="A5" s="2218"/>
      <c r="B5" s="2219" t="s">
        <v>93</v>
      </c>
      <c r="C5" s="2220"/>
      <c r="D5" s="2220"/>
      <c r="E5" s="2221"/>
      <c r="F5" s="2222" t="s">
        <v>9</v>
      </c>
      <c r="G5" s="2223"/>
    </row>
    <row r="6" spans="1:7">
      <c r="A6" s="120" t="s">
        <v>10</v>
      </c>
      <c r="B6" s="370" t="s">
        <v>11</v>
      </c>
      <c r="C6" s="368" t="s">
        <v>12</v>
      </c>
      <c r="D6" s="368" t="s">
        <v>13</v>
      </c>
      <c r="E6" s="368" t="s">
        <v>14</v>
      </c>
      <c r="F6" s="368" t="s">
        <v>15</v>
      </c>
      <c r="G6" s="369" t="s">
        <v>16</v>
      </c>
    </row>
    <row r="7" spans="1:7">
      <c r="A7" s="920" t="s">
        <v>139</v>
      </c>
      <c r="B7" s="921">
        <v>94027535648.990005</v>
      </c>
      <c r="C7" s="922">
        <v>98007751672.680008</v>
      </c>
      <c r="D7" s="922">
        <v>54020879940.62001</v>
      </c>
      <c r="E7" s="922">
        <v>43986871732.059998</v>
      </c>
      <c r="F7" s="911">
        <v>55.1</v>
      </c>
      <c r="G7" s="912">
        <v>104.2</v>
      </c>
    </row>
    <row r="8" spans="1:7" ht="79.2">
      <c r="A8" s="919" t="s">
        <v>140</v>
      </c>
      <c r="B8" s="917">
        <v>12486174846</v>
      </c>
      <c r="C8" s="915">
        <v>19190655239.619999</v>
      </c>
      <c r="D8" s="915">
        <v>6072791517.7099991</v>
      </c>
      <c r="E8" s="915">
        <v>13117863721.91</v>
      </c>
      <c r="F8" s="908">
        <v>31.6</v>
      </c>
      <c r="G8" s="913">
        <v>153.69999999999999</v>
      </c>
    </row>
    <row r="9" spans="1:7" ht="26.4">
      <c r="A9" s="919" t="s">
        <v>141</v>
      </c>
      <c r="B9" s="917">
        <v>33569283647.290001</v>
      </c>
      <c r="C9" s="915">
        <v>33668122914.07</v>
      </c>
      <c r="D9" s="915">
        <v>32576110598.450001</v>
      </c>
      <c r="E9" s="907">
        <v>1092012315.6199999</v>
      </c>
      <c r="F9" s="908">
        <v>96.8</v>
      </c>
      <c r="G9" s="913">
        <v>100.3</v>
      </c>
    </row>
    <row r="10" spans="1:7">
      <c r="A10" s="919" t="s">
        <v>142</v>
      </c>
      <c r="B10" s="917">
        <v>11007681421.799999</v>
      </c>
      <c r="C10" s="915">
        <v>11642239739.34</v>
      </c>
      <c r="D10" s="915">
        <v>8161247493.1100006</v>
      </c>
      <c r="E10" s="907">
        <v>3480992246.23</v>
      </c>
      <c r="F10" s="908">
        <v>70.099999999999994</v>
      </c>
      <c r="G10" s="913">
        <v>105.8</v>
      </c>
    </row>
    <row r="11" spans="1:7" ht="52.8">
      <c r="A11" s="923" t="s">
        <v>143</v>
      </c>
      <c r="B11" s="917">
        <v>21260575</v>
      </c>
      <c r="C11" s="915">
        <v>20292526.57</v>
      </c>
      <c r="D11" s="915">
        <v>0</v>
      </c>
      <c r="E11" s="907">
        <v>20292526.57</v>
      </c>
      <c r="F11" s="908">
        <v>0</v>
      </c>
      <c r="G11" s="913">
        <v>95.4</v>
      </c>
    </row>
    <row r="12" spans="1:7" ht="39.6">
      <c r="A12" s="919" t="s">
        <v>144</v>
      </c>
      <c r="B12" s="917">
        <v>341749425.88</v>
      </c>
      <c r="C12" s="915">
        <v>360802331.20999998</v>
      </c>
      <c r="D12" s="915">
        <v>295877707.69999999</v>
      </c>
      <c r="E12" s="907">
        <v>64924623.509999998</v>
      </c>
      <c r="F12" s="908">
        <v>82</v>
      </c>
      <c r="G12" s="913">
        <v>105.6</v>
      </c>
    </row>
    <row r="13" spans="1:7" ht="26.4">
      <c r="A13" s="919" t="s">
        <v>145</v>
      </c>
      <c r="B13" s="917">
        <v>2169008152.6500001</v>
      </c>
      <c r="C13" s="915">
        <v>2323883799.8499999</v>
      </c>
      <c r="D13" s="915">
        <v>1934703513.4299998</v>
      </c>
      <c r="E13" s="907">
        <v>389180286.42000002</v>
      </c>
      <c r="F13" s="908">
        <v>83.3</v>
      </c>
      <c r="G13" s="913">
        <v>107.1</v>
      </c>
    </row>
    <row r="14" spans="1:7" ht="26.4">
      <c r="A14" s="919" t="s">
        <v>146</v>
      </c>
      <c r="B14" s="917">
        <v>2552457336.1100001</v>
      </c>
      <c r="C14" s="915">
        <v>2512538711.5100002</v>
      </c>
      <c r="D14" s="915">
        <v>575811422.33000016</v>
      </c>
      <c r="E14" s="907">
        <v>1936727289.1800001</v>
      </c>
      <c r="F14" s="908">
        <v>22.9</v>
      </c>
      <c r="G14" s="913">
        <v>98.4</v>
      </c>
    </row>
    <row r="15" spans="1:7">
      <c r="A15" s="919" t="s">
        <v>147</v>
      </c>
      <c r="B15" s="917">
        <v>725491824.10000002</v>
      </c>
      <c r="C15" s="915">
        <v>1045192031.64</v>
      </c>
      <c r="D15" s="915">
        <v>129106015.55999994</v>
      </c>
      <c r="E15" s="907">
        <v>916086016.08000004</v>
      </c>
      <c r="F15" s="908">
        <v>12.4</v>
      </c>
      <c r="G15" s="913">
        <v>144.1</v>
      </c>
    </row>
    <row r="16" spans="1:7" ht="66">
      <c r="A16" s="925" t="s">
        <v>148</v>
      </c>
      <c r="B16" s="927">
        <v>9430929.0099999998</v>
      </c>
      <c r="C16" s="930">
        <v>20943365.600000001</v>
      </c>
      <c r="D16" s="930">
        <v>2493592.4800000004</v>
      </c>
      <c r="E16" s="929">
        <v>18449773.120000001</v>
      </c>
      <c r="F16" s="926">
        <v>11.9</v>
      </c>
      <c r="G16" s="928">
        <v>222.1</v>
      </c>
    </row>
    <row r="17" spans="1:7" ht="52.8">
      <c r="A17" s="925" t="s">
        <v>149</v>
      </c>
      <c r="B17" s="927">
        <v>27034927007.02</v>
      </c>
      <c r="C17" s="930">
        <v>23056824391.740002</v>
      </c>
      <c r="D17" s="930">
        <v>88158781.480003357</v>
      </c>
      <c r="E17" s="929">
        <v>22968665610.259998</v>
      </c>
      <c r="F17" s="926">
        <v>0.4</v>
      </c>
      <c r="G17" s="928">
        <v>85.3</v>
      </c>
    </row>
    <row r="18" spans="1:7" ht="26.4">
      <c r="A18" s="924" t="s">
        <v>842</v>
      </c>
      <c r="B18" s="918">
        <v>4131331059.1300001</v>
      </c>
      <c r="C18" s="916">
        <v>4186549148.0999999</v>
      </c>
      <c r="D18" s="916">
        <v>4184579298.3699999</v>
      </c>
      <c r="E18" s="909">
        <v>1969849.73</v>
      </c>
      <c r="F18" s="910">
        <v>100</v>
      </c>
      <c r="G18" s="914">
        <v>101.3</v>
      </c>
    </row>
    <row r="19" spans="1:7" ht="14.4">
      <c r="A19" s="295"/>
      <c r="B19" s="295"/>
      <c r="C19" s="295"/>
      <c r="D19" s="295"/>
      <c r="E19" s="295"/>
      <c r="F19" s="295"/>
      <c r="G19" s="295"/>
    </row>
    <row r="20" spans="1:7" ht="14.4">
      <c r="A20" s="295" t="s">
        <v>913</v>
      </c>
      <c r="B20" s="295"/>
      <c r="C20" s="295"/>
      <c r="D20" s="295"/>
      <c r="E20" s="295"/>
      <c r="F20" s="295"/>
      <c r="G20" s="295"/>
    </row>
    <row r="21" spans="1:7" ht="14.4">
      <c r="A21" s="295" t="s">
        <v>914</v>
      </c>
      <c r="B21" s="295"/>
      <c r="C21" s="295"/>
      <c r="D21" s="295"/>
      <c r="E21" s="295"/>
      <c r="F21" s="295"/>
      <c r="G21" s="295"/>
    </row>
    <row r="22" spans="1:7">
      <c r="A22" s="741" t="s">
        <v>742</v>
      </c>
    </row>
  </sheetData>
  <mergeCells count="4">
    <mergeCell ref="D3:E3"/>
    <mergeCell ref="A3:A5"/>
    <mergeCell ref="B5:E5"/>
    <mergeCell ref="F5:G5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31A7-872F-4765-976A-4D9F18794E0E}">
  <dimension ref="A1:I42"/>
  <sheetViews>
    <sheetView view="pageBreakPreview" topLeftCell="A30" zoomScaleNormal="100" zoomScaleSheetLayoutView="100" workbookViewId="0">
      <selection activeCell="F8" sqref="F8"/>
    </sheetView>
  </sheetViews>
  <sheetFormatPr defaultRowHeight="14.4"/>
  <cols>
    <col min="1" max="1" width="6.77734375" customWidth="1"/>
    <col min="2" max="2" width="24.44140625" customWidth="1"/>
    <col min="3" max="4" width="12.5546875" bestFit="1" customWidth="1"/>
    <col min="5" max="5" width="6.5546875" bestFit="1" customWidth="1"/>
    <col min="6" max="7" width="11.77734375" bestFit="1" customWidth="1"/>
    <col min="8" max="9" width="6.109375" bestFit="1" customWidth="1"/>
  </cols>
  <sheetData>
    <row r="1" spans="1:9" ht="41.25" customHeight="1">
      <c r="A1" s="2214" t="s">
        <v>972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131" t="s">
        <v>131</v>
      </c>
    </row>
    <row r="4" spans="1:9">
      <c r="A4" s="2139"/>
      <c r="B4" s="2141"/>
      <c r="C4" s="130" t="s">
        <v>3</v>
      </c>
      <c r="D4" s="129" t="s">
        <v>2</v>
      </c>
      <c r="E4" s="128" t="s">
        <v>92</v>
      </c>
      <c r="F4" s="129" t="s">
        <v>3</v>
      </c>
      <c r="G4" s="129" t="s">
        <v>2</v>
      </c>
      <c r="H4" s="128" t="s">
        <v>132</v>
      </c>
      <c r="I4" s="127" t="s">
        <v>133</v>
      </c>
    </row>
    <row r="5" spans="1:9">
      <c r="A5" s="2139"/>
      <c r="B5" s="2141"/>
      <c r="C5" s="2225" t="s">
        <v>93</v>
      </c>
      <c r="D5" s="2226"/>
      <c r="E5" s="129" t="s">
        <v>134</v>
      </c>
      <c r="F5" s="2226" t="s">
        <v>93</v>
      </c>
      <c r="G5" s="2226"/>
      <c r="H5" s="2226" t="s">
        <v>134</v>
      </c>
      <c r="I5" s="2227"/>
    </row>
    <row r="6" spans="1:9">
      <c r="A6" s="123" t="s">
        <v>10</v>
      </c>
      <c r="B6" s="126" t="s">
        <v>11</v>
      </c>
      <c r="C6" s="123" t="s">
        <v>12</v>
      </c>
      <c r="D6" s="124" t="s">
        <v>13</v>
      </c>
      <c r="E6" s="124" t="s">
        <v>14</v>
      </c>
      <c r="F6" s="124" t="s">
        <v>15</v>
      </c>
      <c r="G6" s="124" t="s">
        <v>16</v>
      </c>
      <c r="H6" s="124" t="s">
        <v>17</v>
      </c>
      <c r="I6" s="125" t="s">
        <v>94</v>
      </c>
    </row>
    <row r="7" spans="1:9">
      <c r="A7" s="941"/>
      <c r="B7" s="938" t="s">
        <v>95</v>
      </c>
      <c r="C7" s="947">
        <v>22444341739.810001</v>
      </c>
      <c r="D7" s="937">
        <v>19190655239.619999</v>
      </c>
      <c r="E7" s="944">
        <v>85.5</v>
      </c>
      <c r="F7" s="937">
        <v>6876182896.420002</v>
      </c>
      <c r="G7" s="937">
        <v>6072791517.7099991</v>
      </c>
      <c r="H7" s="944">
        <v>88.3</v>
      </c>
      <c r="I7" s="948">
        <v>31.6</v>
      </c>
    </row>
    <row r="8" spans="1:9">
      <c r="A8" s="933" t="s">
        <v>19</v>
      </c>
      <c r="B8" s="939" t="s">
        <v>20</v>
      </c>
      <c r="C8" s="945">
        <v>2426669877.6100001</v>
      </c>
      <c r="D8" s="931">
        <v>2220971067.0999999</v>
      </c>
      <c r="E8" s="943">
        <v>91.5</v>
      </c>
      <c r="F8" s="932">
        <v>188897444.69000006</v>
      </c>
      <c r="G8" s="932">
        <v>163756860.25</v>
      </c>
      <c r="H8" s="932">
        <v>86.7</v>
      </c>
      <c r="I8" s="949">
        <v>7.4</v>
      </c>
    </row>
    <row r="9" spans="1:9">
      <c r="A9" s="933" t="s">
        <v>21</v>
      </c>
      <c r="B9" s="939" t="s">
        <v>22</v>
      </c>
      <c r="C9" s="945">
        <v>499905</v>
      </c>
      <c r="D9" s="931">
        <v>499905</v>
      </c>
      <c r="E9" s="943">
        <v>100</v>
      </c>
      <c r="F9" s="932">
        <v>0</v>
      </c>
      <c r="G9" s="932">
        <v>0</v>
      </c>
      <c r="H9" s="2048" t="s">
        <v>936</v>
      </c>
      <c r="I9" s="949">
        <v>0</v>
      </c>
    </row>
    <row r="10" spans="1:9">
      <c r="A10" s="933" t="s">
        <v>23</v>
      </c>
      <c r="B10" s="939" t="s">
        <v>24</v>
      </c>
      <c r="C10" s="945">
        <v>3415167</v>
      </c>
      <c r="D10" s="931">
        <v>2828952.41</v>
      </c>
      <c r="E10" s="943">
        <v>82.8</v>
      </c>
      <c r="F10" s="932">
        <v>3415167</v>
      </c>
      <c r="G10" s="932">
        <v>2828952.41</v>
      </c>
      <c r="H10" s="932">
        <v>82.8</v>
      </c>
      <c r="I10" s="949">
        <v>100</v>
      </c>
    </row>
    <row r="11" spans="1:9">
      <c r="A11" s="933" t="s">
        <v>25</v>
      </c>
      <c r="B11" s="939" t="s">
        <v>26</v>
      </c>
      <c r="C11" s="945">
        <v>0</v>
      </c>
      <c r="D11" s="931">
        <v>0</v>
      </c>
      <c r="E11" s="2065" t="s">
        <v>936</v>
      </c>
      <c r="F11" s="932">
        <v>0</v>
      </c>
      <c r="G11" s="932">
        <v>0</v>
      </c>
      <c r="H11" s="2048" t="s">
        <v>936</v>
      </c>
      <c r="I11" s="2064" t="s">
        <v>936</v>
      </c>
    </row>
    <row r="12" spans="1:9">
      <c r="A12" s="933" t="s">
        <v>27</v>
      </c>
      <c r="B12" s="939" t="s">
        <v>28</v>
      </c>
      <c r="C12" s="945">
        <v>25059745.75</v>
      </c>
      <c r="D12" s="931">
        <v>16089413.74</v>
      </c>
      <c r="E12" s="943">
        <v>64.2</v>
      </c>
      <c r="F12" s="932">
        <v>24550697.25</v>
      </c>
      <c r="G12" s="932">
        <v>15667637.59</v>
      </c>
      <c r="H12" s="932">
        <v>63.8</v>
      </c>
      <c r="I12" s="949">
        <v>97.4</v>
      </c>
    </row>
    <row r="13" spans="1:9" ht="26.4">
      <c r="A13" s="933" t="s">
        <v>29</v>
      </c>
      <c r="B13" s="939" t="s">
        <v>30</v>
      </c>
      <c r="C13" s="945">
        <v>89682247.010000005</v>
      </c>
      <c r="D13" s="931">
        <v>73175983.090000004</v>
      </c>
      <c r="E13" s="943">
        <v>81.599999999999994</v>
      </c>
      <c r="F13" s="932">
        <v>2277984.7199999988</v>
      </c>
      <c r="G13" s="932">
        <v>4680108.9099999964</v>
      </c>
      <c r="H13" s="932">
        <v>205.4</v>
      </c>
      <c r="I13" s="949">
        <v>6.4</v>
      </c>
    </row>
    <row r="14" spans="1:9">
      <c r="A14" s="933" t="s">
        <v>31</v>
      </c>
      <c r="B14" s="939" t="s">
        <v>32</v>
      </c>
      <c r="C14" s="945">
        <v>1870874.92</v>
      </c>
      <c r="D14" s="931">
        <v>1989508.99</v>
      </c>
      <c r="E14" s="943">
        <v>106.3</v>
      </c>
      <c r="F14" s="932">
        <v>131512</v>
      </c>
      <c r="G14" s="932">
        <v>402062.99</v>
      </c>
      <c r="H14" s="932">
        <v>305.7</v>
      </c>
      <c r="I14" s="949">
        <v>20.2</v>
      </c>
    </row>
    <row r="15" spans="1:9">
      <c r="A15" s="933" t="s">
        <v>33</v>
      </c>
      <c r="B15" s="939" t="s">
        <v>34</v>
      </c>
      <c r="C15" s="945">
        <v>0</v>
      </c>
      <c r="D15" s="931">
        <v>0</v>
      </c>
      <c r="E15" s="2065" t="s">
        <v>936</v>
      </c>
      <c r="F15" s="932">
        <v>0</v>
      </c>
      <c r="G15" s="932">
        <v>0</v>
      </c>
      <c r="H15" s="2048" t="s">
        <v>936</v>
      </c>
      <c r="I15" s="2064" t="s">
        <v>936</v>
      </c>
    </row>
    <row r="16" spans="1:9">
      <c r="A16" s="933" t="s">
        <v>35</v>
      </c>
      <c r="B16" s="939" t="s">
        <v>36</v>
      </c>
      <c r="C16" s="945">
        <v>3359256889.8200002</v>
      </c>
      <c r="D16" s="931">
        <v>3163409319.96</v>
      </c>
      <c r="E16" s="943">
        <v>94.2</v>
      </c>
      <c r="F16" s="932">
        <v>28464852.160000324</v>
      </c>
      <c r="G16" s="932">
        <v>22737692.599999905</v>
      </c>
      <c r="H16" s="932">
        <v>79.900000000000006</v>
      </c>
      <c r="I16" s="949">
        <v>0.7</v>
      </c>
    </row>
    <row r="17" spans="1:9">
      <c r="A17" s="933" t="s">
        <v>37</v>
      </c>
      <c r="B17" s="939" t="s">
        <v>38</v>
      </c>
      <c r="C17" s="945">
        <v>201654876.86000001</v>
      </c>
      <c r="D17" s="931">
        <v>113283282.44</v>
      </c>
      <c r="E17" s="943">
        <v>56.2</v>
      </c>
      <c r="F17" s="932">
        <v>12896591.090000004</v>
      </c>
      <c r="G17" s="932">
        <v>6552368.8199999928</v>
      </c>
      <c r="H17" s="932">
        <v>50.8</v>
      </c>
      <c r="I17" s="949">
        <v>5.8</v>
      </c>
    </row>
    <row r="18" spans="1:9">
      <c r="A18" s="933" t="s">
        <v>39</v>
      </c>
      <c r="B18" s="939" t="s">
        <v>40</v>
      </c>
      <c r="C18" s="945">
        <v>256811418.62</v>
      </c>
      <c r="D18" s="931">
        <v>161728997.25999999</v>
      </c>
      <c r="E18" s="943">
        <v>63</v>
      </c>
      <c r="F18" s="932">
        <v>4606541.8600000143</v>
      </c>
      <c r="G18" s="932">
        <v>3350348.5300000012</v>
      </c>
      <c r="H18" s="932">
        <v>72.7</v>
      </c>
      <c r="I18" s="949">
        <v>2.1</v>
      </c>
    </row>
    <row r="19" spans="1:9">
      <c r="A19" s="933" t="s">
        <v>41</v>
      </c>
      <c r="B19" s="939" t="s">
        <v>42</v>
      </c>
      <c r="C19" s="945">
        <v>144351367.13</v>
      </c>
      <c r="D19" s="931">
        <v>96620234.560000002</v>
      </c>
      <c r="E19" s="943">
        <v>66.900000000000006</v>
      </c>
      <c r="F19" s="932">
        <v>26287520.549999997</v>
      </c>
      <c r="G19" s="932">
        <v>17417011.659999996</v>
      </c>
      <c r="H19" s="932">
        <v>66.3</v>
      </c>
      <c r="I19" s="949">
        <v>18</v>
      </c>
    </row>
    <row r="20" spans="1:9">
      <c r="A20" s="933" t="s">
        <v>43</v>
      </c>
      <c r="B20" s="939" t="s">
        <v>44</v>
      </c>
      <c r="C20" s="945">
        <v>194275526.86000001</v>
      </c>
      <c r="D20" s="931">
        <v>162709737.28999999</v>
      </c>
      <c r="E20" s="943">
        <v>83.8</v>
      </c>
      <c r="F20" s="932">
        <v>44684145.720000029</v>
      </c>
      <c r="G20" s="932">
        <v>38075236.779999986</v>
      </c>
      <c r="H20" s="932">
        <v>85.2</v>
      </c>
      <c r="I20" s="949">
        <v>23.4</v>
      </c>
    </row>
    <row r="21" spans="1:9">
      <c r="A21" s="933" t="s">
        <v>45</v>
      </c>
      <c r="B21" s="939" t="s">
        <v>46</v>
      </c>
      <c r="C21" s="945">
        <v>4529649</v>
      </c>
      <c r="D21" s="931">
        <v>2535356.4300000002</v>
      </c>
      <c r="E21" s="943">
        <v>56</v>
      </c>
      <c r="F21" s="932">
        <v>4529649</v>
      </c>
      <c r="G21" s="932">
        <v>2535356.4300000002</v>
      </c>
      <c r="H21" s="932">
        <v>56</v>
      </c>
      <c r="I21" s="949">
        <v>100</v>
      </c>
    </row>
    <row r="22" spans="1:9">
      <c r="A22" s="933" t="s">
        <v>47</v>
      </c>
      <c r="B22" s="939" t="s">
        <v>48</v>
      </c>
      <c r="C22" s="945">
        <v>1010882840.15</v>
      </c>
      <c r="D22" s="931">
        <v>846687663.63999999</v>
      </c>
      <c r="E22" s="943">
        <v>83.8</v>
      </c>
      <c r="F22" s="932">
        <v>348662424.70999992</v>
      </c>
      <c r="G22" s="932">
        <v>295598920.68999994</v>
      </c>
      <c r="H22" s="932">
        <v>84.8</v>
      </c>
      <c r="I22" s="949">
        <v>34.9</v>
      </c>
    </row>
    <row r="23" spans="1:9" ht="39.6">
      <c r="A23" s="933" t="s">
        <v>49</v>
      </c>
      <c r="B23" s="939" t="s">
        <v>50</v>
      </c>
      <c r="C23" s="945">
        <v>0</v>
      </c>
      <c r="D23" s="931">
        <v>0</v>
      </c>
      <c r="E23" s="2065" t="s">
        <v>936</v>
      </c>
      <c r="F23" s="932">
        <v>0</v>
      </c>
      <c r="G23" s="932">
        <v>0</v>
      </c>
      <c r="H23" s="2048" t="s">
        <v>936</v>
      </c>
      <c r="I23" s="2064" t="s">
        <v>936</v>
      </c>
    </row>
    <row r="24" spans="1:9">
      <c r="A24" s="933" t="s">
        <v>51</v>
      </c>
      <c r="B24" s="939" t="s">
        <v>52</v>
      </c>
      <c r="C24" s="945">
        <v>474250</v>
      </c>
      <c r="D24" s="931">
        <v>474250</v>
      </c>
      <c r="E24" s="943">
        <v>100</v>
      </c>
      <c r="F24" s="932">
        <v>0</v>
      </c>
      <c r="G24" s="932">
        <v>0</v>
      </c>
      <c r="H24" s="2048" t="s">
        <v>936</v>
      </c>
      <c r="I24" s="949">
        <v>0</v>
      </c>
    </row>
    <row r="25" spans="1:9" ht="26.4">
      <c r="A25" s="933" t="s">
        <v>53</v>
      </c>
      <c r="B25" s="939" t="s">
        <v>54</v>
      </c>
      <c r="C25" s="945">
        <v>0</v>
      </c>
      <c r="D25" s="931">
        <v>0</v>
      </c>
      <c r="E25" s="2065" t="s">
        <v>936</v>
      </c>
      <c r="F25" s="932">
        <v>0</v>
      </c>
      <c r="G25" s="932">
        <v>0</v>
      </c>
      <c r="H25" s="2048" t="s">
        <v>936</v>
      </c>
      <c r="I25" s="2064" t="s">
        <v>936</v>
      </c>
    </row>
    <row r="26" spans="1:9" ht="26.4">
      <c r="A26" s="933" t="s">
        <v>55</v>
      </c>
      <c r="B26" s="939" t="s">
        <v>56</v>
      </c>
      <c r="C26" s="945">
        <v>469134154.56999999</v>
      </c>
      <c r="D26" s="931">
        <v>407279063.95999998</v>
      </c>
      <c r="E26" s="943">
        <v>86.8</v>
      </c>
      <c r="F26" s="932">
        <v>28707321.610000014</v>
      </c>
      <c r="G26" s="932">
        <v>18866523.129999995</v>
      </c>
      <c r="H26" s="932">
        <v>65.7</v>
      </c>
      <c r="I26" s="949">
        <v>4.5999999999999996</v>
      </c>
    </row>
    <row r="27" spans="1:9">
      <c r="A27" s="933" t="s">
        <v>57</v>
      </c>
      <c r="B27" s="939" t="s">
        <v>58</v>
      </c>
      <c r="C27" s="945">
        <v>0</v>
      </c>
      <c r="D27" s="931">
        <v>0</v>
      </c>
      <c r="E27" s="2065" t="s">
        <v>936</v>
      </c>
      <c r="F27" s="932">
        <v>0</v>
      </c>
      <c r="G27" s="932">
        <v>0</v>
      </c>
      <c r="H27" s="2048" t="s">
        <v>936</v>
      </c>
      <c r="I27" s="2064" t="s">
        <v>936</v>
      </c>
    </row>
    <row r="28" spans="1:9" ht="66">
      <c r="A28" s="933" t="s">
        <v>59</v>
      </c>
      <c r="B28" s="939" t="s">
        <v>60</v>
      </c>
      <c r="C28" s="945">
        <v>3528943.75</v>
      </c>
      <c r="D28" s="931">
        <v>0</v>
      </c>
      <c r="E28" s="943">
        <v>0</v>
      </c>
      <c r="F28" s="932">
        <v>0</v>
      </c>
      <c r="G28" s="932">
        <v>0</v>
      </c>
      <c r="H28" s="2048" t="s">
        <v>936</v>
      </c>
      <c r="I28" s="2064" t="s">
        <v>936</v>
      </c>
    </row>
    <row r="29" spans="1:9">
      <c r="A29" s="933" t="s">
        <v>61</v>
      </c>
      <c r="B29" s="939" t="s">
        <v>62</v>
      </c>
      <c r="C29" s="945">
        <v>0</v>
      </c>
      <c r="D29" s="931">
        <v>0</v>
      </c>
      <c r="E29" s="2065" t="s">
        <v>936</v>
      </c>
      <c r="F29" s="932">
        <v>0</v>
      </c>
      <c r="G29" s="932">
        <v>0</v>
      </c>
      <c r="H29" s="2048" t="s">
        <v>936</v>
      </c>
      <c r="I29" s="2064" t="s">
        <v>936</v>
      </c>
    </row>
    <row r="30" spans="1:9">
      <c r="A30" s="933" t="s">
        <v>63</v>
      </c>
      <c r="B30" s="939" t="s">
        <v>64</v>
      </c>
      <c r="C30" s="945">
        <v>7776379409.21</v>
      </c>
      <c r="D30" s="931">
        <v>7069051513.4200001</v>
      </c>
      <c r="E30" s="943">
        <v>90.9</v>
      </c>
      <c r="F30" s="932">
        <v>2950620435.5699997</v>
      </c>
      <c r="G30" s="932">
        <v>2693582311.5299997</v>
      </c>
      <c r="H30" s="932">
        <v>91.3</v>
      </c>
      <c r="I30" s="949">
        <v>38.1</v>
      </c>
    </row>
    <row r="31" spans="1:9">
      <c r="A31" s="933" t="s">
        <v>65</v>
      </c>
      <c r="B31" s="939" t="s">
        <v>66</v>
      </c>
      <c r="C31" s="945">
        <v>2567976414.8000002</v>
      </c>
      <c r="D31" s="931">
        <v>2006100677.3499999</v>
      </c>
      <c r="E31" s="943">
        <v>78.099999999999994</v>
      </c>
      <c r="F31" s="932">
        <v>1594243362.3200002</v>
      </c>
      <c r="G31" s="932">
        <v>1430863244.3699999</v>
      </c>
      <c r="H31" s="932">
        <v>89.8</v>
      </c>
      <c r="I31" s="949">
        <v>71.3</v>
      </c>
    </row>
    <row r="32" spans="1:9">
      <c r="A32" s="933" t="s">
        <v>67</v>
      </c>
      <c r="B32" s="939" t="s">
        <v>68</v>
      </c>
      <c r="C32" s="945">
        <v>24159214.789999999</v>
      </c>
      <c r="D32" s="931">
        <v>20285866.210000001</v>
      </c>
      <c r="E32" s="943">
        <v>84</v>
      </c>
      <c r="F32" s="932">
        <v>11246859.93</v>
      </c>
      <c r="G32" s="932">
        <v>10116564.640000001</v>
      </c>
      <c r="H32" s="932">
        <v>90</v>
      </c>
      <c r="I32" s="949">
        <v>49.9</v>
      </c>
    </row>
    <row r="33" spans="1:9">
      <c r="A33" s="933" t="s">
        <v>69</v>
      </c>
      <c r="B33" s="939" t="s">
        <v>70</v>
      </c>
      <c r="C33" s="945">
        <v>581667648.92999995</v>
      </c>
      <c r="D33" s="931">
        <v>532362444.67000002</v>
      </c>
      <c r="E33" s="943">
        <v>91.5</v>
      </c>
      <c r="F33" s="932">
        <v>517804200.89999998</v>
      </c>
      <c r="G33" s="932">
        <v>474542424.13</v>
      </c>
      <c r="H33" s="932">
        <v>91.6</v>
      </c>
      <c r="I33" s="949">
        <v>89.1</v>
      </c>
    </row>
    <row r="34" spans="1:9" ht="26.4">
      <c r="A34" s="933" t="s">
        <v>71</v>
      </c>
      <c r="B34" s="939" t="s">
        <v>72</v>
      </c>
      <c r="C34" s="945">
        <v>716974826.75</v>
      </c>
      <c r="D34" s="931">
        <v>579975053.17999995</v>
      </c>
      <c r="E34" s="943">
        <v>80.900000000000006</v>
      </c>
      <c r="F34" s="932">
        <v>635812034.31999993</v>
      </c>
      <c r="G34" s="932">
        <v>542132690.50999999</v>
      </c>
      <c r="H34" s="932">
        <v>85.3</v>
      </c>
      <c r="I34" s="949">
        <v>93.5</v>
      </c>
    </row>
    <row r="35" spans="1:9">
      <c r="A35" s="933" t="s">
        <v>73</v>
      </c>
      <c r="B35" s="939" t="s">
        <v>74</v>
      </c>
      <c r="C35" s="945">
        <v>19468406.890000001</v>
      </c>
      <c r="D35" s="931">
        <v>16525788.119999999</v>
      </c>
      <c r="E35" s="943">
        <v>84.9</v>
      </c>
      <c r="F35" s="932">
        <v>11292908.290000001</v>
      </c>
      <c r="G35" s="932">
        <v>12842131.639999999</v>
      </c>
      <c r="H35" s="932">
        <v>113.7</v>
      </c>
      <c r="I35" s="949">
        <v>77.7</v>
      </c>
    </row>
    <row r="36" spans="1:9">
      <c r="A36" s="933" t="s">
        <v>75</v>
      </c>
      <c r="B36" s="939" t="s">
        <v>76</v>
      </c>
      <c r="C36" s="945">
        <v>442122028.13999999</v>
      </c>
      <c r="D36" s="931">
        <v>380926014.63999999</v>
      </c>
      <c r="E36" s="943">
        <v>86.2</v>
      </c>
      <c r="F36" s="932">
        <v>221794446.17999998</v>
      </c>
      <c r="G36" s="932">
        <v>189187393.75</v>
      </c>
      <c r="H36" s="932">
        <v>85.3</v>
      </c>
      <c r="I36" s="949">
        <v>49.7</v>
      </c>
    </row>
    <row r="37" spans="1:9" ht="26.4">
      <c r="A37" s="933" t="s">
        <v>77</v>
      </c>
      <c r="B37" s="939" t="s">
        <v>78</v>
      </c>
      <c r="C37" s="945">
        <v>1654329286.0599999</v>
      </c>
      <c r="D37" s="931">
        <v>1059394223.48</v>
      </c>
      <c r="E37" s="943">
        <v>64</v>
      </c>
      <c r="F37" s="932">
        <v>162630875.69000006</v>
      </c>
      <c r="G37" s="932">
        <v>96928474.600000024</v>
      </c>
      <c r="H37" s="932">
        <v>59.6</v>
      </c>
      <c r="I37" s="949">
        <v>9.1</v>
      </c>
    </row>
    <row r="38" spans="1:9" ht="26.4">
      <c r="A38" s="933" t="s">
        <v>79</v>
      </c>
      <c r="B38" s="939" t="s">
        <v>80</v>
      </c>
      <c r="C38" s="945">
        <v>364430253.87</v>
      </c>
      <c r="D38" s="931">
        <v>190913471.78</v>
      </c>
      <c r="E38" s="943">
        <v>52.4</v>
      </c>
      <c r="F38" s="932">
        <v>42620466.949999988</v>
      </c>
      <c r="G38" s="932">
        <v>24774430.400000006</v>
      </c>
      <c r="H38" s="932">
        <v>58.1</v>
      </c>
      <c r="I38" s="949">
        <v>13</v>
      </c>
    </row>
    <row r="39" spans="1:9" ht="39.6">
      <c r="A39" s="933" t="s">
        <v>81</v>
      </c>
      <c r="B39" s="939" t="s">
        <v>82</v>
      </c>
      <c r="C39" s="945">
        <v>17892776.899999999</v>
      </c>
      <c r="D39" s="931">
        <v>9564214.1300000008</v>
      </c>
      <c r="E39" s="943">
        <v>53.5</v>
      </c>
      <c r="F39" s="932">
        <v>6371206.9999999981</v>
      </c>
      <c r="G39" s="932">
        <v>3078874.5500000007</v>
      </c>
      <c r="H39" s="932">
        <v>48.3</v>
      </c>
      <c r="I39" s="949">
        <v>32.200000000000003</v>
      </c>
    </row>
    <row r="40" spans="1:9">
      <c r="A40" s="934" t="s">
        <v>83</v>
      </c>
      <c r="B40" s="940" t="s">
        <v>84</v>
      </c>
      <c r="C40" s="946">
        <v>86843739.420000002</v>
      </c>
      <c r="D40" s="935">
        <v>55273236.770000003</v>
      </c>
      <c r="E40" s="942">
        <v>63.6</v>
      </c>
      <c r="F40" s="936">
        <v>3634246.9099999964</v>
      </c>
      <c r="G40" s="936">
        <v>2273896.8000000045</v>
      </c>
      <c r="H40" s="936">
        <v>62.6</v>
      </c>
      <c r="I40" s="950">
        <v>4.0999999999999996</v>
      </c>
    </row>
    <row r="42" spans="1:9">
      <c r="A42" s="122" t="s">
        <v>915</v>
      </c>
      <c r="B42" s="121"/>
      <c r="C42" s="121"/>
      <c r="D42" s="121"/>
      <c r="E42" s="121"/>
      <c r="F42" s="121"/>
      <c r="G42" s="121"/>
      <c r="H42" s="121"/>
      <c r="I42" s="121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51181102362204722" top="0.55118110236220474" bottom="0.55118110236220474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5617-346F-4EF5-A895-B63C23262A55}">
  <dimension ref="A1:I42"/>
  <sheetViews>
    <sheetView view="pageBreakPreview" topLeftCell="A28" zoomScaleNormal="100" zoomScaleSheetLayoutView="100" workbookViewId="0">
      <selection activeCell="F8" sqref="F8"/>
    </sheetView>
  </sheetViews>
  <sheetFormatPr defaultRowHeight="14.4"/>
  <cols>
    <col min="1" max="1" width="5.21875" customWidth="1"/>
    <col min="2" max="2" width="24.21875" customWidth="1"/>
    <col min="3" max="4" width="12.5546875" bestFit="1" customWidth="1"/>
    <col min="5" max="5" width="6.5546875" bestFit="1" customWidth="1"/>
    <col min="6" max="7" width="12.5546875" bestFit="1" customWidth="1"/>
    <col min="8" max="9" width="6.5546875" bestFit="1" customWidth="1"/>
  </cols>
  <sheetData>
    <row r="1" spans="1:9" ht="30.75" customHeight="1">
      <c r="A1" s="2214" t="s">
        <v>973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142" t="s">
        <v>131</v>
      </c>
    </row>
    <row r="4" spans="1:9">
      <c r="A4" s="2139"/>
      <c r="B4" s="2141"/>
      <c r="C4" s="141" t="s">
        <v>3</v>
      </c>
      <c r="D4" s="140" t="s">
        <v>2</v>
      </c>
      <c r="E4" s="139" t="s">
        <v>92</v>
      </c>
      <c r="F4" s="140" t="s">
        <v>3</v>
      </c>
      <c r="G4" s="140" t="s">
        <v>2</v>
      </c>
      <c r="H4" s="139" t="s">
        <v>132</v>
      </c>
      <c r="I4" s="138" t="s">
        <v>133</v>
      </c>
    </row>
    <row r="5" spans="1:9">
      <c r="A5" s="2139"/>
      <c r="B5" s="2141"/>
      <c r="C5" s="2225" t="s">
        <v>93</v>
      </c>
      <c r="D5" s="2226"/>
      <c r="E5" s="140" t="s">
        <v>134</v>
      </c>
      <c r="F5" s="2226" t="s">
        <v>93</v>
      </c>
      <c r="G5" s="2226"/>
      <c r="H5" s="2226" t="s">
        <v>134</v>
      </c>
      <c r="I5" s="2227"/>
    </row>
    <row r="6" spans="1:9">
      <c r="A6" s="134" t="s">
        <v>10</v>
      </c>
      <c r="B6" s="137" t="s">
        <v>11</v>
      </c>
      <c r="C6" s="134" t="s">
        <v>12</v>
      </c>
      <c r="D6" s="135" t="s">
        <v>13</v>
      </c>
      <c r="E6" s="135" t="s">
        <v>14</v>
      </c>
      <c r="F6" s="135" t="s">
        <v>15</v>
      </c>
      <c r="G6" s="135" t="s">
        <v>16</v>
      </c>
      <c r="H6" s="135" t="s">
        <v>17</v>
      </c>
      <c r="I6" s="136" t="s">
        <v>94</v>
      </c>
    </row>
    <row r="7" spans="1:9">
      <c r="A7" s="961"/>
      <c r="B7" s="958" t="s">
        <v>18</v>
      </c>
      <c r="C7" s="966">
        <v>33983120598.57</v>
      </c>
      <c r="D7" s="957">
        <v>33668122914.07</v>
      </c>
      <c r="E7" s="963">
        <v>99.1</v>
      </c>
      <c r="F7" s="957">
        <v>32791372325.700001</v>
      </c>
      <c r="G7" s="957">
        <v>32576110598.450001</v>
      </c>
      <c r="H7" s="963">
        <v>99.3</v>
      </c>
      <c r="I7" s="967">
        <v>96.8</v>
      </c>
    </row>
    <row r="8" spans="1:9">
      <c r="A8" s="953" t="s">
        <v>19</v>
      </c>
      <c r="B8" s="959" t="s">
        <v>20</v>
      </c>
      <c r="C8" s="964">
        <v>1976492782.55</v>
      </c>
      <c r="D8" s="951">
        <v>1979063073.3299999</v>
      </c>
      <c r="E8" s="962">
        <v>100.1</v>
      </c>
      <c r="F8" s="952">
        <v>1971849782.55</v>
      </c>
      <c r="G8" s="952">
        <v>1974422888.9399998</v>
      </c>
      <c r="H8" s="952">
        <v>100.1</v>
      </c>
      <c r="I8" s="968">
        <v>99.8</v>
      </c>
    </row>
    <row r="9" spans="1:9">
      <c r="A9" s="953" t="s">
        <v>21</v>
      </c>
      <c r="B9" s="959" t="s">
        <v>22</v>
      </c>
      <c r="C9" s="964">
        <v>2063043.87</v>
      </c>
      <c r="D9" s="951">
        <v>1921936.49</v>
      </c>
      <c r="E9" s="962">
        <v>93.2</v>
      </c>
      <c r="F9" s="952">
        <v>2063043.87</v>
      </c>
      <c r="G9" s="952">
        <v>1921936.49</v>
      </c>
      <c r="H9" s="952">
        <v>93.2</v>
      </c>
      <c r="I9" s="968">
        <v>100</v>
      </c>
    </row>
    <row r="10" spans="1:9">
      <c r="A10" s="953" t="s">
        <v>23</v>
      </c>
      <c r="B10" s="959" t="s">
        <v>24</v>
      </c>
      <c r="C10" s="964">
        <v>433000</v>
      </c>
      <c r="D10" s="951">
        <v>408314.38</v>
      </c>
      <c r="E10" s="962">
        <v>94.3</v>
      </c>
      <c r="F10" s="952">
        <v>433000</v>
      </c>
      <c r="G10" s="952">
        <v>408314.38</v>
      </c>
      <c r="H10" s="952">
        <v>94.3</v>
      </c>
      <c r="I10" s="968">
        <v>100</v>
      </c>
    </row>
    <row r="11" spans="1:9">
      <c r="A11" s="953" t="s">
        <v>25</v>
      </c>
      <c r="B11" s="959" t="s">
        <v>26</v>
      </c>
      <c r="C11" s="964">
        <v>7891334.46</v>
      </c>
      <c r="D11" s="951">
        <v>7696957.7699999996</v>
      </c>
      <c r="E11" s="962">
        <v>97.5</v>
      </c>
      <c r="F11" s="952">
        <v>7891334.46</v>
      </c>
      <c r="G11" s="952">
        <v>7696957.7699999996</v>
      </c>
      <c r="H11" s="952">
        <v>97.5</v>
      </c>
      <c r="I11" s="968">
        <v>100</v>
      </c>
    </row>
    <row r="12" spans="1:9">
      <c r="A12" s="953" t="s">
        <v>27</v>
      </c>
      <c r="B12" s="959" t="s">
        <v>28</v>
      </c>
      <c r="C12" s="964">
        <v>0</v>
      </c>
      <c r="D12" s="951">
        <v>0</v>
      </c>
      <c r="E12" s="2065" t="s">
        <v>936</v>
      </c>
      <c r="F12" s="952">
        <v>0</v>
      </c>
      <c r="G12" s="952">
        <v>0</v>
      </c>
      <c r="H12" s="2048" t="s">
        <v>936</v>
      </c>
      <c r="I12" s="2064" t="s">
        <v>936</v>
      </c>
    </row>
    <row r="13" spans="1:9" ht="26.4">
      <c r="A13" s="953" t="s">
        <v>29</v>
      </c>
      <c r="B13" s="959" t="s">
        <v>30</v>
      </c>
      <c r="C13" s="964">
        <v>0</v>
      </c>
      <c r="D13" s="951">
        <v>0</v>
      </c>
      <c r="E13" s="2065" t="s">
        <v>936</v>
      </c>
      <c r="F13" s="952">
        <v>0</v>
      </c>
      <c r="G13" s="952">
        <v>0</v>
      </c>
      <c r="H13" s="2048" t="s">
        <v>936</v>
      </c>
      <c r="I13" s="2064" t="s">
        <v>936</v>
      </c>
    </row>
    <row r="14" spans="1:9">
      <c r="A14" s="953" t="s">
        <v>31</v>
      </c>
      <c r="B14" s="959" t="s">
        <v>32</v>
      </c>
      <c r="C14" s="964">
        <v>0</v>
      </c>
      <c r="D14" s="951">
        <v>0</v>
      </c>
      <c r="E14" s="2065" t="s">
        <v>936</v>
      </c>
      <c r="F14" s="952">
        <v>0</v>
      </c>
      <c r="G14" s="952">
        <v>0</v>
      </c>
      <c r="H14" s="2048" t="s">
        <v>936</v>
      </c>
      <c r="I14" s="2064" t="s">
        <v>936</v>
      </c>
    </row>
    <row r="15" spans="1:9">
      <c r="A15" s="953" t="s">
        <v>33</v>
      </c>
      <c r="B15" s="959" t="s">
        <v>34</v>
      </c>
      <c r="C15" s="964">
        <v>0</v>
      </c>
      <c r="D15" s="951">
        <v>0</v>
      </c>
      <c r="E15" s="2065" t="s">
        <v>936</v>
      </c>
      <c r="F15" s="952">
        <v>0</v>
      </c>
      <c r="G15" s="952">
        <v>0</v>
      </c>
      <c r="H15" s="2048" t="s">
        <v>936</v>
      </c>
      <c r="I15" s="2064" t="s">
        <v>936</v>
      </c>
    </row>
    <row r="16" spans="1:9">
      <c r="A16" s="953" t="s">
        <v>35</v>
      </c>
      <c r="B16" s="959" t="s">
        <v>36</v>
      </c>
      <c r="C16" s="964">
        <v>1057152222.54</v>
      </c>
      <c r="D16" s="951">
        <v>1051433864.76</v>
      </c>
      <c r="E16" s="962">
        <v>99.5</v>
      </c>
      <c r="F16" s="952">
        <v>1057152222.54</v>
      </c>
      <c r="G16" s="952">
        <v>1051433864.76</v>
      </c>
      <c r="H16" s="952">
        <v>99.5</v>
      </c>
      <c r="I16" s="968">
        <v>100</v>
      </c>
    </row>
    <row r="17" spans="1:9">
      <c r="A17" s="953" t="s">
        <v>37</v>
      </c>
      <c r="B17" s="959" t="s">
        <v>38</v>
      </c>
      <c r="C17" s="964">
        <v>5234451</v>
      </c>
      <c r="D17" s="951">
        <v>5188797.26</v>
      </c>
      <c r="E17" s="962">
        <v>99.1</v>
      </c>
      <c r="F17" s="952">
        <v>5234451</v>
      </c>
      <c r="G17" s="952">
        <v>5188797.26</v>
      </c>
      <c r="H17" s="952">
        <v>99.1</v>
      </c>
      <c r="I17" s="968">
        <v>100</v>
      </c>
    </row>
    <row r="18" spans="1:9">
      <c r="A18" s="953" t="s">
        <v>39</v>
      </c>
      <c r="B18" s="959" t="s">
        <v>40</v>
      </c>
      <c r="C18" s="964">
        <v>368722748.48000002</v>
      </c>
      <c r="D18" s="951">
        <v>355122568.70999998</v>
      </c>
      <c r="E18" s="962">
        <v>96.3</v>
      </c>
      <c r="F18" s="952">
        <v>365662359.95000005</v>
      </c>
      <c r="G18" s="952">
        <v>352194401.02999997</v>
      </c>
      <c r="H18" s="952">
        <v>96.3</v>
      </c>
      <c r="I18" s="968">
        <v>99.2</v>
      </c>
    </row>
    <row r="19" spans="1:9">
      <c r="A19" s="953" t="s">
        <v>41</v>
      </c>
      <c r="B19" s="959" t="s">
        <v>42</v>
      </c>
      <c r="C19" s="964">
        <v>617463468.90999997</v>
      </c>
      <c r="D19" s="951">
        <v>612682824.15999997</v>
      </c>
      <c r="E19" s="962">
        <v>99.2</v>
      </c>
      <c r="F19" s="952">
        <v>596503411.30999994</v>
      </c>
      <c r="G19" s="952">
        <v>591934472.42999995</v>
      </c>
      <c r="H19" s="952">
        <v>99.2</v>
      </c>
      <c r="I19" s="968">
        <v>96.6</v>
      </c>
    </row>
    <row r="20" spans="1:9">
      <c r="A20" s="953" t="s">
        <v>43</v>
      </c>
      <c r="B20" s="959" t="s">
        <v>44</v>
      </c>
      <c r="C20" s="964">
        <v>0</v>
      </c>
      <c r="D20" s="951">
        <v>0</v>
      </c>
      <c r="E20" s="2065" t="s">
        <v>936</v>
      </c>
      <c r="F20" s="952">
        <v>0</v>
      </c>
      <c r="G20" s="952">
        <v>0</v>
      </c>
      <c r="H20" s="2048" t="s">
        <v>936</v>
      </c>
      <c r="I20" s="2064" t="s">
        <v>936</v>
      </c>
    </row>
    <row r="21" spans="1:9">
      <c r="A21" s="953" t="s">
        <v>45</v>
      </c>
      <c r="B21" s="959" t="s">
        <v>46</v>
      </c>
      <c r="C21" s="964">
        <v>0</v>
      </c>
      <c r="D21" s="951">
        <v>0</v>
      </c>
      <c r="E21" s="2065" t="s">
        <v>936</v>
      </c>
      <c r="F21" s="952">
        <v>0</v>
      </c>
      <c r="G21" s="952">
        <v>0</v>
      </c>
      <c r="H21" s="2048" t="s">
        <v>936</v>
      </c>
      <c r="I21" s="2064" t="s">
        <v>936</v>
      </c>
    </row>
    <row r="22" spans="1:9">
      <c r="A22" s="953" t="s">
        <v>47</v>
      </c>
      <c r="B22" s="959" t="s">
        <v>48</v>
      </c>
      <c r="C22" s="964">
        <v>819528997.00999999</v>
      </c>
      <c r="D22" s="951">
        <v>806420284.54999995</v>
      </c>
      <c r="E22" s="962">
        <v>98.4</v>
      </c>
      <c r="F22" s="952">
        <v>819479594.00999999</v>
      </c>
      <c r="G22" s="952">
        <v>806370881.54999995</v>
      </c>
      <c r="H22" s="952">
        <v>98.4</v>
      </c>
      <c r="I22" s="968">
        <v>100</v>
      </c>
    </row>
    <row r="23" spans="1:9" ht="39.6">
      <c r="A23" s="953" t="s">
        <v>49</v>
      </c>
      <c r="B23" s="959" t="s">
        <v>50</v>
      </c>
      <c r="C23" s="964">
        <v>437593492.26999998</v>
      </c>
      <c r="D23" s="951">
        <v>434708134.70999998</v>
      </c>
      <c r="E23" s="962">
        <v>99.3</v>
      </c>
      <c r="F23" s="952">
        <v>437593492.26999998</v>
      </c>
      <c r="G23" s="952">
        <v>434708134.70999998</v>
      </c>
      <c r="H23" s="952">
        <v>99.3</v>
      </c>
      <c r="I23" s="968">
        <v>100</v>
      </c>
    </row>
    <row r="24" spans="1:9">
      <c r="A24" s="953" t="s">
        <v>51</v>
      </c>
      <c r="B24" s="959" t="s">
        <v>52</v>
      </c>
      <c r="C24" s="964">
        <v>1236544840.75</v>
      </c>
      <c r="D24" s="951">
        <v>1109721066.4400001</v>
      </c>
      <c r="E24" s="962">
        <v>89.7</v>
      </c>
      <c r="F24" s="952">
        <v>337811520.74000001</v>
      </c>
      <c r="G24" s="952">
        <v>307250396.83000004</v>
      </c>
      <c r="H24" s="952">
        <v>91</v>
      </c>
      <c r="I24" s="968">
        <v>27.7</v>
      </c>
    </row>
    <row r="25" spans="1:9" ht="26.4">
      <c r="A25" s="953" t="s">
        <v>53</v>
      </c>
      <c r="B25" s="959" t="s">
        <v>54</v>
      </c>
      <c r="C25" s="964">
        <v>0</v>
      </c>
      <c r="D25" s="951">
        <v>0</v>
      </c>
      <c r="E25" s="2065" t="s">
        <v>936</v>
      </c>
      <c r="F25" s="952">
        <v>0</v>
      </c>
      <c r="G25" s="952">
        <v>0</v>
      </c>
      <c r="H25" s="2048" t="s">
        <v>936</v>
      </c>
      <c r="I25" s="2064" t="s">
        <v>936</v>
      </c>
    </row>
    <row r="26" spans="1:9" ht="26.4">
      <c r="A26" s="953" t="s">
        <v>55</v>
      </c>
      <c r="B26" s="959" t="s">
        <v>56</v>
      </c>
      <c r="C26" s="964">
        <v>5021432138.4099998</v>
      </c>
      <c r="D26" s="951">
        <v>5010123486.6400003</v>
      </c>
      <c r="E26" s="962">
        <v>99.8</v>
      </c>
      <c r="F26" s="952">
        <v>4789377207.9099998</v>
      </c>
      <c r="G26" s="952">
        <v>4780352952.9500008</v>
      </c>
      <c r="H26" s="952">
        <v>99.8</v>
      </c>
      <c r="I26" s="968">
        <v>95.4</v>
      </c>
    </row>
    <row r="27" spans="1:9">
      <c r="A27" s="953" t="s">
        <v>57</v>
      </c>
      <c r="B27" s="959" t="s">
        <v>58</v>
      </c>
      <c r="C27" s="964">
        <v>108796885.56999999</v>
      </c>
      <c r="D27" s="951">
        <v>107919312.23999999</v>
      </c>
      <c r="E27" s="962">
        <v>99.2</v>
      </c>
      <c r="F27" s="952">
        <v>108796885.56999999</v>
      </c>
      <c r="G27" s="952">
        <v>107919312.23999999</v>
      </c>
      <c r="H27" s="952">
        <v>99.2</v>
      </c>
      <c r="I27" s="968">
        <v>100</v>
      </c>
    </row>
    <row r="28" spans="1:9" ht="66">
      <c r="A28" s="953" t="s">
        <v>59</v>
      </c>
      <c r="B28" s="959" t="s">
        <v>60</v>
      </c>
      <c r="C28" s="964">
        <v>0</v>
      </c>
      <c r="D28" s="951">
        <v>0</v>
      </c>
      <c r="E28" s="2065" t="s">
        <v>936</v>
      </c>
      <c r="F28" s="952">
        <v>0</v>
      </c>
      <c r="G28" s="952">
        <v>0</v>
      </c>
      <c r="H28" s="2048" t="s">
        <v>936</v>
      </c>
      <c r="I28" s="2064" t="s">
        <v>936</v>
      </c>
    </row>
    <row r="29" spans="1:9">
      <c r="A29" s="953" t="s">
        <v>61</v>
      </c>
      <c r="B29" s="959" t="s">
        <v>62</v>
      </c>
      <c r="C29" s="964">
        <v>0</v>
      </c>
      <c r="D29" s="951">
        <v>0</v>
      </c>
      <c r="E29" s="2065" t="s">
        <v>936</v>
      </c>
      <c r="F29" s="952">
        <v>0</v>
      </c>
      <c r="G29" s="952">
        <v>0</v>
      </c>
      <c r="H29" s="2048" t="s">
        <v>936</v>
      </c>
      <c r="I29" s="2064" t="s">
        <v>936</v>
      </c>
    </row>
    <row r="30" spans="1:9">
      <c r="A30" s="953" t="s">
        <v>63</v>
      </c>
      <c r="B30" s="959" t="s">
        <v>64</v>
      </c>
      <c r="C30" s="964">
        <v>15747259.220000001</v>
      </c>
      <c r="D30" s="951">
        <v>15832802.65</v>
      </c>
      <c r="E30" s="962">
        <v>100.5</v>
      </c>
      <c r="F30" s="952">
        <v>15747259.220000001</v>
      </c>
      <c r="G30" s="952">
        <v>15832802.65</v>
      </c>
      <c r="H30" s="952">
        <v>100.5</v>
      </c>
      <c r="I30" s="968">
        <v>100</v>
      </c>
    </row>
    <row r="31" spans="1:9">
      <c r="A31" s="953" t="s">
        <v>65</v>
      </c>
      <c r="B31" s="959" t="s">
        <v>66</v>
      </c>
      <c r="C31" s="964">
        <v>321992370.19999999</v>
      </c>
      <c r="D31" s="951">
        <v>312042736.43000001</v>
      </c>
      <c r="E31" s="962">
        <v>96.9</v>
      </c>
      <c r="F31" s="952">
        <v>321992370.19999999</v>
      </c>
      <c r="G31" s="952">
        <v>312042736.43000001</v>
      </c>
      <c r="H31" s="952">
        <v>96.9</v>
      </c>
      <c r="I31" s="968">
        <v>100</v>
      </c>
    </row>
    <row r="32" spans="1:9">
      <c r="A32" s="953" t="s">
        <v>67</v>
      </c>
      <c r="B32" s="959" t="s">
        <v>68</v>
      </c>
      <c r="C32" s="964">
        <v>981528465.42999995</v>
      </c>
      <c r="D32" s="951">
        <v>948602349.19000006</v>
      </c>
      <c r="E32" s="962">
        <v>96.6</v>
      </c>
      <c r="F32" s="952">
        <v>981228465.42999995</v>
      </c>
      <c r="G32" s="952">
        <v>948302349.19000006</v>
      </c>
      <c r="H32" s="952">
        <v>96.6</v>
      </c>
      <c r="I32" s="968">
        <v>100</v>
      </c>
    </row>
    <row r="33" spans="1:9">
      <c r="A33" s="953" t="s">
        <v>69</v>
      </c>
      <c r="B33" s="959" t="s">
        <v>70</v>
      </c>
      <c r="C33" s="964">
        <v>2089318549.6099999</v>
      </c>
      <c r="D33" s="951">
        <v>2062982814.8399999</v>
      </c>
      <c r="E33" s="962">
        <v>98.7</v>
      </c>
      <c r="F33" s="952">
        <v>2058446936.99</v>
      </c>
      <c r="G33" s="952">
        <v>2032797362.8499999</v>
      </c>
      <c r="H33" s="952">
        <v>98.8</v>
      </c>
      <c r="I33" s="968">
        <v>98.5</v>
      </c>
    </row>
    <row r="34" spans="1:9" ht="26.4">
      <c r="A34" s="953" t="s">
        <v>71</v>
      </c>
      <c r="B34" s="959" t="s">
        <v>72</v>
      </c>
      <c r="C34" s="964">
        <v>372887968.32999998</v>
      </c>
      <c r="D34" s="951">
        <v>369859110.58999997</v>
      </c>
      <c r="E34" s="962">
        <v>99.2</v>
      </c>
      <c r="F34" s="952">
        <v>372843464.71999997</v>
      </c>
      <c r="G34" s="952">
        <v>369814606.97999996</v>
      </c>
      <c r="H34" s="952">
        <v>99.2</v>
      </c>
      <c r="I34" s="968">
        <v>100</v>
      </c>
    </row>
    <row r="35" spans="1:9">
      <c r="A35" s="953" t="s">
        <v>73</v>
      </c>
      <c r="B35" s="959" t="s">
        <v>74</v>
      </c>
      <c r="C35" s="964">
        <v>652000</v>
      </c>
      <c r="D35" s="951">
        <v>646000</v>
      </c>
      <c r="E35" s="962">
        <v>99.1</v>
      </c>
      <c r="F35" s="952">
        <v>652000</v>
      </c>
      <c r="G35" s="952">
        <v>646000</v>
      </c>
      <c r="H35" s="952">
        <v>99.1</v>
      </c>
      <c r="I35" s="968">
        <v>100</v>
      </c>
    </row>
    <row r="36" spans="1:9">
      <c r="A36" s="953" t="s">
        <v>75</v>
      </c>
      <c r="B36" s="959" t="s">
        <v>76</v>
      </c>
      <c r="C36" s="964">
        <v>18519876956.959999</v>
      </c>
      <c r="D36" s="951">
        <v>18454494599.599998</v>
      </c>
      <c r="E36" s="962">
        <v>99.6</v>
      </c>
      <c r="F36" s="952">
        <v>18518927399.959999</v>
      </c>
      <c r="G36" s="952">
        <v>18453669426.18</v>
      </c>
      <c r="H36" s="952">
        <v>99.6</v>
      </c>
      <c r="I36" s="968">
        <v>100</v>
      </c>
    </row>
    <row r="37" spans="1:9" ht="26.4">
      <c r="A37" s="953" t="s">
        <v>77</v>
      </c>
      <c r="B37" s="959" t="s">
        <v>78</v>
      </c>
      <c r="C37" s="964">
        <v>21767623</v>
      </c>
      <c r="D37" s="951">
        <v>21251879.329999998</v>
      </c>
      <c r="E37" s="962">
        <v>97.6</v>
      </c>
      <c r="F37" s="952">
        <v>21686123</v>
      </c>
      <c r="G37" s="952">
        <v>21202002.829999998</v>
      </c>
      <c r="H37" s="952">
        <v>97.8</v>
      </c>
      <c r="I37" s="968">
        <v>99.8</v>
      </c>
    </row>
    <row r="38" spans="1:9" ht="26.4">
      <c r="A38" s="953" t="s">
        <v>79</v>
      </c>
      <c r="B38" s="959" t="s">
        <v>80</v>
      </c>
      <c r="C38" s="964">
        <v>0</v>
      </c>
      <c r="D38" s="951">
        <v>0</v>
      </c>
      <c r="E38" s="2065" t="s">
        <v>936</v>
      </c>
      <c r="F38" s="952">
        <v>0</v>
      </c>
      <c r="G38" s="952">
        <v>0</v>
      </c>
      <c r="H38" s="2048" t="s">
        <v>936</v>
      </c>
      <c r="I38" s="2064" t="s">
        <v>936</v>
      </c>
    </row>
    <row r="39" spans="1:9" ht="39.6">
      <c r="A39" s="953" t="s">
        <v>81</v>
      </c>
      <c r="B39" s="959" t="s">
        <v>82</v>
      </c>
      <c r="C39" s="964">
        <v>0</v>
      </c>
      <c r="D39" s="951">
        <v>0</v>
      </c>
      <c r="E39" s="2065" t="s">
        <v>936</v>
      </c>
      <c r="F39" s="952">
        <v>0</v>
      </c>
      <c r="G39" s="952">
        <v>0</v>
      </c>
      <c r="H39" s="2048" t="s">
        <v>936</v>
      </c>
      <c r="I39" s="2064" t="s">
        <v>936</v>
      </c>
    </row>
    <row r="40" spans="1:9">
      <c r="A40" s="954" t="s">
        <v>83</v>
      </c>
      <c r="B40" s="960" t="s">
        <v>84</v>
      </c>
      <c r="C40" s="965">
        <v>0</v>
      </c>
      <c r="D40" s="955">
        <v>0</v>
      </c>
      <c r="E40" s="2066" t="s">
        <v>936</v>
      </c>
      <c r="F40" s="956">
        <v>0</v>
      </c>
      <c r="G40" s="956">
        <v>0</v>
      </c>
      <c r="H40" s="2067" t="s">
        <v>936</v>
      </c>
      <c r="I40" s="2068" t="s">
        <v>936</v>
      </c>
    </row>
    <row r="42" spans="1:9">
      <c r="A42" s="133" t="s">
        <v>911</v>
      </c>
      <c r="B42" s="132"/>
      <c r="C42" s="132"/>
      <c r="D42" s="132"/>
      <c r="E42" s="132"/>
      <c r="F42" s="132"/>
      <c r="G42" s="132"/>
      <c r="H42" s="132"/>
      <c r="I42" s="132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51181102362204722" top="0.55118110236220474" bottom="0.55118110236220474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677C-5829-4F8B-BB2D-3DA2FD705A22}">
  <dimension ref="A1:I42"/>
  <sheetViews>
    <sheetView view="pageBreakPreview" topLeftCell="A18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21" customWidth="1"/>
    <col min="3" max="3" width="12.77734375" customWidth="1"/>
    <col min="4" max="4" width="12.44140625" customWidth="1"/>
    <col min="5" max="5" width="6.5546875" bestFit="1" customWidth="1"/>
    <col min="6" max="6" width="12.77734375" customWidth="1"/>
    <col min="7" max="7" width="11.77734375" bestFit="1" customWidth="1"/>
    <col min="8" max="9" width="6.5546875" bestFit="1" customWidth="1"/>
  </cols>
  <sheetData>
    <row r="1" spans="1:9" ht="28.5" customHeight="1">
      <c r="A1" s="2214" t="s">
        <v>974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153" t="s">
        <v>131</v>
      </c>
    </row>
    <row r="4" spans="1:9">
      <c r="A4" s="2139"/>
      <c r="B4" s="2141"/>
      <c r="C4" s="152" t="s">
        <v>3</v>
      </c>
      <c r="D4" s="151" t="s">
        <v>2</v>
      </c>
      <c r="E4" s="150" t="s">
        <v>92</v>
      </c>
      <c r="F4" s="151" t="s">
        <v>3</v>
      </c>
      <c r="G4" s="151" t="s">
        <v>2</v>
      </c>
      <c r="H4" s="150" t="s">
        <v>132</v>
      </c>
      <c r="I4" s="149" t="s">
        <v>133</v>
      </c>
    </row>
    <row r="5" spans="1:9">
      <c r="A5" s="2139"/>
      <c r="B5" s="2141"/>
      <c r="C5" s="2225" t="s">
        <v>93</v>
      </c>
      <c r="D5" s="2226"/>
      <c r="E5" s="151" t="s">
        <v>134</v>
      </c>
      <c r="F5" s="2226" t="s">
        <v>93</v>
      </c>
      <c r="G5" s="2226"/>
      <c r="H5" s="2226" t="s">
        <v>134</v>
      </c>
      <c r="I5" s="2227"/>
    </row>
    <row r="6" spans="1:9">
      <c r="A6" s="145" t="s">
        <v>10</v>
      </c>
      <c r="B6" s="148" t="s">
        <v>11</v>
      </c>
      <c r="C6" s="145" t="s">
        <v>12</v>
      </c>
      <c r="D6" s="146" t="s">
        <v>13</v>
      </c>
      <c r="E6" s="146" t="s">
        <v>14</v>
      </c>
      <c r="F6" s="146" t="s">
        <v>15</v>
      </c>
      <c r="G6" s="146" t="s">
        <v>16</v>
      </c>
      <c r="H6" s="146" t="s">
        <v>17</v>
      </c>
      <c r="I6" s="147" t="s">
        <v>94</v>
      </c>
    </row>
    <row r="7" spans="1:9">
      <c r="A7" s="979"/>
      <c r="B7" s="976" t="s">
        <v>18</v>
      </c>
      <c r="C7" s="985">
        <v>12662333112.08</v>
      </c>
      <c r="D7" s="975">
        <v>11642239739.34</v>
      </c>
      <c r="E7" s="982">
        <v>91.9</v>
      </c>
      <c r="F7" s="975">
        <v>8594581168.3899994</v>
      </c>
      <c r="G7" s="975">
        <v>8161247493.1100006</v>
      </c>
      <c r="H7" s="982">
        <v>95</v>
      </c>
      <c r="I7" s="986">
        <v>70.099999999999994</v>
      </c>
    </row>
    <row r="8" spans="1:9">
      <c r="A8" s="971" t="s">
        <v>19</v>
      </c>
      <c r="B8" s="977" t="s">
        <v>20</v>
      </c>
      <c r="C8" s="983">
        <v>24011065.879999999</v>
      </c>
      <c r="D8" s="969">
        <v>19963227.309999999</v>
      </c>
      <c r="E8" s="981">
        <v>83.1</v>
      </c>
      <c r="F8" s="970">
        <v>1642338.4800000004</v>
      </c>
      <c r="G8" s="970">
        <v>1283567.2599999979</v>
      </c>
      <c r="H8" s="970">
        <v>78.2</v>
      </c>
      <c r="I8" s="987">
        <v>6.4</v>
      </c>
    </row>
    <row r="9" spans="1:9">
      <c r="A9" s="971" t="s">
        <v>21</v>
      </c>
      <c r="B9" s="977" t="s">
        <v>22</v>
      </c>
      <c r="C9" s="983">
        <v>0</v>
      </c>
      <c r="D9" s="969">
        <v>0</v>
      </c>
      <c r="E9" s="2065" t="s">
        <v>936</v>
      </c>
      <c r="F9" s="970">
        <v>0</v>
      </c>
      <c r="G9" s="970">
        <v>0</v>
      </c>
      <c r="H9" s="2048" t="s">
        <v>936</v>
      </c>
      <c r="I9" s="2064" t="s">
        <v>936</v>
      </c>
    </row>
    <row r="10" spans="1:9">
      <c r="A10" s="971" t="s">
        <v>23</v>
      </c>
      <c r="B10" s="977" t="s">
        <v>24</v>
      </c>
      <c r="C10" s="983">
        <v>0</v>
      </c>
      <c r="D10" s="969">
        <v>0</v>
      </c>
      <c r="E10" s="2065" t="s">
        <v>936</v>
      </c>
      <c r="F10" s="970">
        <v>0</v>
      </c>
      <c r="G10" s="970">
        <v>0</v>
      </c>
      <c r="H10" s="2048" t="s">
        <v>936</v>
      </c>
      <c r="I10" s="2064" t="s">
        <v>936</v>
      </c>
    </row>
    <row r="11" spans="1:9">
      <c r="A11" s="971" t="s">
        <v>25</v>
      </c>
      <c r="B11" s="977" t="s">
        <v>26</v>
      </c>
      <c r="C11" s="983">
        <v>0</v>
      </c>
      <c r="D11" s="969">
        <v>0</v>
      </c>
      <c r="E11" s="2065" t="s">
        <v>936</v>
      </c>
      <c r="F11" s="970">
        <v>0</v>
      </c>
      <c r="G11" s="970">
        <v>0</v>
      </c>
      <c r="H11" s="2048" t="s">
        <v>936</v>
      </c>
      <c r="I11" s="2064" t="s">
        <v>936</v>
      </c>
    </row>
    <row r="12" spans="1:9">
      <c r="A12" s="971" t="s">
        <v>27</v>
      </c>
      <c r="B12" s="977" t="s">
        <v>28</v>
      </c>
      <c r="C12" s="983">
        <v>0</v>
      </c>
      <c r="D12" s="969">
        <v>0</v>
      </c>
      <c r="E12" s="2065" t="s">
        <v>936</v>
      </c>
      <c r="F12" s="970">
        <v>0</v>
      </c>
      <c r="G12" s="970">
        <v>0</v>
      </c>
      <c r="H12" s="2048" t="s">
        <v>936</v>
      </c>
      <c r="I12" s="2064" t="s">
        <v>936</v>
      </c>
    </row>
    <row r="13" spans="1:9" ht="26.4">
      <c r="A13" s="971" t="s">
        <v>29</v>
      </c>
      <c r="B13" s="977" t="s">
        <v>30</v>
      </c>
      <c r="C13" s="983">
        <v>6710322.8799999999</v>
      </c>
      <c r="D13" s="969">
        <v>6593757.1200000001</v>
      </c>
      <c r="E13" s="981">
        <v>98.3</v>
      </c>
      <c r="F13" s="970">
        <v>1901639</v>
      </c>
      <c r="G13" s="970">
        <v>1890603.7400000002</v>
      </c>
      <c r="H13" s="970">
        <v>99.4</v>
      </c>
      <c r="I13" s="987">
        <v>28.7</v>
      </c>
    </row>
    <row r="14" spans="1:9">
      <c r="A14" s="971" t="s">
        <v>31</v>
      </c>
      <c r="B14" s="977" t="s">
        <v>32</v>
      </c>
      <c r="C14" s="983">
        <v>0</v>
      </c>
      <c r="D14" s="969">
        <v>0</v>
      </c>
      <c r="E14" s="2065" t="s">
        <v>936</v>
      </c>
      <c r="F14" s="970">
        <v>0</v>
      </c>
      <c r="G14" s="970">
        <v>0</v>
      </c>
      <c r="H14" s="2048" t="s">
        <v>936</v>
      </c>
      <c r="I14" s="2064" t="s">
        <v>936</v>
      </c>
    </row>
    <row r="15" spans="1:9">
      <c r="A15" s="971" t="s">
        <v>33</v>
      </c>
      <c r="B15" s="977" t="s">
        <v>34</v>
      </c>
      <c r="C15" s="983">
        <v>0</v>
      </c>
      <c r="D15" s="969">
        <v>0</v>
      </c>
      <c r="E15" s="2065" t="s">
        <v>936</v>
      </c>
      <c r="F15" s="970">
        <v>0</v>
      </c>
      <c r="G15" s="970">
        <v>0</v>
      </c>
      <c r="H15" s="2048" t="s">
        <v>936</v>
      </c>
      <c r="I15" s="2064" t="s">
        <v>936</v>
      </c>
    </row>
    <row r="16" spans="1:9">
      <c r="A16" s="971" t="s">
        <v>35</v>
      </c>
      <c r="B16" s="977" t="s">
        <v>36</v>
      </c>
      <c r="C16" s="983">
        <v>710309777.23000002</v>
      </c>
      <c r="D16" s="969">
        <v>614222704.04999995</v>
      </c>
      <c r="E16" s="981">
        <v>86.5</v>
      </c>
      <c r="F16" s="970">
        <v>220305410.96000004</v>
      </c>
      <c r="G16" s="970">
        <v>188428865.82999992</v>
      </c>
      <c r="H16" s="970">
        <v>85.5</v>
      </c>
      <c r="I16" s="987">
        <v>30.7</v>
      </c>
    </row>
    <row r="17" spans="1:9">
      <c r="A17" s="971" t="s">
        <v>37</v>
      </c>
      <c r="B17" s="977" t="s">
        <v>38</v>
      </c>
      <c r="C17" s="983">
        <v>9974003.0500000007</v>
      </c>
      <c r="D17" s="969">
        <v>6850598.5599999996</v>
      </c>
      <c r="E17" s="981">
        <v>68.7</v>
      </c>
      <c r="F17" s="970">
        <v>613876.55000000075</v>
      </c>
      <c r="G17" s="970">
        <v>0</v>
      </c>
      <c r="H17" s="970">
        <v>0</v>
      </c>
      <c r="I17" s="987">
        <v>0</v>
      </c>
    </row>
    <row r="18" spans="1:9">
      <c r="A18" s="971" t="s">
        <v>39</v>
      </c>
      <c r="B18" s="977" t="s">
        <v>40</v>
      </c>
      <c r="C18" s="983">
        <v>18166245.550000001</v>
      </c>
      <c r="D18" s="969">
        <v>35475084.210000001</v>
      </c>
      <c r="E18" s="981">
        <v>195.3</v>
      </c>
      <c r="F18" s="970">
        <v>4636314</v>
      </c>
      <c r="G18" s="970">
        <v>2245089.2100000009</v>
      </c>
      <c r="H18" s="970">
        <v>48.4</v>
      </c>
      <c r="I18" s="987">
        <v>6.3</v>
      </c>
    </row>
    <row r="19" spans="1:9">
      <c r="A19" s="971" t="s">
        <v>41</v>
      </c>
      <c r="B19" s="977" t="s">
        <v>42</v>
      </c>
      <c r="C19" s="983">
        <v>196519.23</v>
      </c>
      <c r="D19" s="969">
        <v>8450</v>
      </c>
      <c r="E19" s="981">
        <v>4.3</v>
      </c>
      <c r="F19" s="970">
        <v>196519.23</v>
      </c>
      <c r="G19" s="970">
        <v>8450</v>
      </c>
      <c r="H19" s="970">
        <v>4.3</v>
      </c>
      <c r="I19" s="987">
        <v>100</v>
      </c>
    </row>
    <row r="20" spans="1:9">
      <c r="A20" s="971" t="s">
        <v>43</v>
      </c>
      <c r="B20" s="977" t="s">
        <v>44</v>
      </c>
      <c r="C20" s="983">
        <v>83730.539999999994</v>
      </c>
      <c r="D20" s="969">
        <v>83730.539999999994</v>
      </c>
      <c r="E20" s="981">
        <v>100</v>
      </c>
      <c r="F20" s="970">
        <v>0</v>
      </c>
      <c r="G20" s="970">
        <v>0</v>
      </c>
      <c r="H20" s="2048" t="s">
        <v>936</v>
      </c>
      <c r="I20" s="987">
        <v>0</v>
      </c>
    </row>
    <row r="21" spans="1:9">
      <c r="A21" s="971" t="s">
        <v>45</v>
      </c>
      <c r="B21" s="977" t="s">
        <v>46</v>
      </c>
      <c r="C21" s="983">
        <v>0</v>
      </c>
      <c r="D21" s="969">
        <v>0</v>
      </c>
      <c r="E21" s="2065" t="s">
        <v>936</v>
      </c>
      <c r="F21" s="970">
        <v>0</v>
      </c>
      <c r="G21" s="970">
        <v>0</v>
      </c>
      <c r="H21" s="2048" t="s">
        <v>936</v>
      </c>
      <c r="I21" s="2064" t="s">
        <v>936</v>
      </c>
    </row>
    <row r="22" spans="1:9">
      <c r="A22" s="971" t="s">
        <v>47</v>
      </c>
      <c r="B22" s="977" t="s">
        <v>48</v>
      </c>
      <c r="C22" s="983">
        <v>11789323.289999999</v>
      </c>
      <c r="D22" s="969">
        <v>10346737.66</v>
      </c>
      <c r="E22" s="981">
        <v>87.8</v>
      </c>
      <c r="F22" s="970">
        <v>1843098.4899999984</v>
      </c>
      <c r="G22" s="970">
        <v>1835872.2300000004</v>
      </c>
      <c r="H22" s="970">
        <v>99.6</v>
      </c>
      <c r="I22" s="987">
        <v>17.7</v>
      </c>
    </row>
    <row r="23" spans="1:9" ht="52.8">
      <c r="A23" s="971" t="s">
        <v>49</v>
      </c>
      <c r="B23" s="977" t="s">
        <v>50</v>
      </c>
      <c r="C23" s="983">
        <v>0</v>
      </c>
      <c r="D23" s="969">
        <v>0</v>
      </c>
      <c r="E23" s="2065" t="s">
        <v>936</v>
      </c>
      <c r="F23" s="970">
        <v>0</v>
      </c>
      <c r="G23" s="970">
        <v>0</v>
      </c>
      <c r="H23" s="2048" t="s">
        <v>936</v>
      </c>
      <c r="I23" s="2064" t="s">
        <v>936</v>
      </c>
    </row>
    <row r="24" spans="1:9">
      <c r="A24" s="971" t="s">
        <v>51</v>
      </c>
      <c r="B24" s="977" t="s">
        <v>52</v>
      </c>
      <c r="C24" s="983">
        <v>2891725862.5300002</v>
      </c>
      <c r="D24" s="969">
        <v>2304231442.7600002</v>
      </c>
      <c r="E24" s="981">
        <v>79.7</v>
      </c>
      <c r="F24" s="970">
        <v>617157291.31000042</v>
      </c>
      <c r="G24" s="970">
        <v>473070248.49000025</v>
      </c>
      <c r="H24" s="970">
        <v>76.7</v>
      </c>
      <c r="I24" s="987">
        <v>20.5</v>
      </c>
    </row>
    <row r="25" spans="1:9" ht="26.4">
      <c r="A25" s="971" t="s">
        <v>53</v>
      </c>
      <c r="B25" s="977" t="s">
        <v>54</v>
      </c>
      <c r="C25" s="983">
        <v>0</v>
      </c>
      <c r="D25" s="969">
        <v>0</v>
      </c>
      <c r="E25" s="2065" t="s">
        <v>936</v>
      </c>
      <c r="F25" s="970">
        <v>0</v>
      </c>
      <c r="G25" s="970">
        <v>0</v>
      </c>
      <c r="H25" s="2048" t="s">
        <v>936</v>
      </c>
      <c r="I25" s="2064" t="s">
        <v>936</v>
      </c>
    </row>
    <row r="26" spans="1:9" ht="26.4">
      <c r="A26" s="971" t="s">
        <v>55</v>
      </c>
      <c r="B26" s="977" t="s">
        <v>56</v>
      </c>
      <c r="C26" s="983">
        <v>39584540.380000003</v>
      </c>
      <c r="D26" s="969">
        <v>31595192.940000001</v>
      </c>
      <c r="E26" s="981">
        <v>79.8</v>
      </c>
      <c r="F26" s="970">
        <v>14895329.330000002</v>
      </c>
      <c r="G26" s="970">
        <v>12566630.400000002</v>
      </c>
      <c r="H26" s="970">
        <v>84.4</v>
      </c>
      <c r="I26" s="987">
        <v>39.799999999999997</v>
      </c>
    </row>
    <row r="27" spans="1:9">
      <c r="A27" s="971" t="s">
        <v>57</v>
      </c>
      <c r="B27" s="977" t="s">
        <v>58</v>
      </c>
      <c r="C27" s="983">
        <v>0</v>
      </c>
      <c r="D27" s="969">
        <v>0</v>
      </c>
      <c r="E27" s="2065" t="s">
        <v>936</v>
      </c>
      <c r="F27" s="970">
        <v>0</v>
      </c>
      <c r="G27" s="970">
        <v>0</v>
      </c>
      <c r="H27" s="2048" t="s">
        <v>936</v>
      </c>
      <c r="I27" s="2064" t="s">
        <v>936</v>
      </c>
    </row>
    <row r="28" spans="1:9" ht="66">
      <c r="A28" s="971" t="s">
        <v>59</v>
      </c>
      <c r="B28" s="977" t="s">
        <v>60</v>
      </c>
      <c r="C28" s="983">
        <v>0</v>
      </c>
      <c r="D28" s="969">
        <v>0</v>
      </c>
      <c r="E28" s="2065" t="s">
        <v>936</v>
      </c>
      <c r="F28" s="970">
        <v>0</v>
      </c>
      <c r="G28" s="970">
        <v>0</v>
      </c>
      <c r="H28" s="2048" t="s">
        <v>936</v>
      </c>
      <c r="I28" s="2064" t="s">
        <v>936</v>
      </c>
    </row>
    <row r="29" spans="1:9">
      <c r="A29" s="971" t="s">
        <v>61</v>
      </c>
      <c r="B29" s="977" t="s">
        <v>62</v>
      </c>
      <c r="C29" s="983">
        <v>0</v>
      </c>
      <c r="D29" s="969">
        <v>0</v>
      </c>
      <c r="E29" s="2065" t="s">
        <v>936</v>
      </c>
      <c r="F29" s="970">
        <v>0</v>
      </c>
      <c r="G29" s="970">
        <v>0</v>
      </c>
      <c r="H29" s="2048" t="s">
        <v>936</v>
      </c>
      <c r="I29" s="2064" t="s">
        <v>936</v>
      </c>
    </row>
    <row r="30" spans="1:9">
      <c r="A30" s="971" t="s">
        <v>63</v>
      </c>
      <c r="B30" s="977" t="s">
        <v>64</v>
      </c>
      <c r="C30" s="983">
        <v>400392117.85000002</v>
      </c>
      <c r="D30" s="969">
        <v>401440758.63</v>
      </c>
      <c r="E30" s="981">
        <v>100.3</v>
      </c>
      <c r="F30" s="970">
        <v>284047824.65000004</v>
      </c>
      <c r="G30" s="970">
        <v>284719493.87</v>
      </c>
      <c r="H30" s="970">
        <v>100.2</v>
      </c>
      <c r="I30" s="987">
        <v>70.900000000000006</v>
      </c>
    </row>
    <row r="31" spans="1:9">
      <c r="A31" s="971" t="s">
        <v>65</v>
      </c>
      <c r="B31" s="977" t="s">
        <v>66</v>
      </c>
      <c r="C31" s="983">
        <v>422879259.25</v>
      </c>
      <c r="D31" s="969">
        <v>371738053.66000003</v>
      </c>
      <c r="E31" s="981">
        <v>87.9</v>
      </c>
      <c r="F31" s="970">
        <v>138245192.63</v>
      </c>
      <c r="G31" s="970">
        <v>118311077.59000003</v>
      </c>
      <c r="H31" s="970">
        <v>85.6</v>
      </c>
      <c r="I31" s="987">
        <v>31.8</v>
      </c>
    </row>
    <row r="32" spans="1:9">
      <c r="A32" s="971" t="s">
        <v>67</v>
      </c>
      <c r="B32" s="977" t="s">
        <v>68</v>
      </c>
      <c r="C32" s="983">
        <v>290847313.18000001</v>
      </c>
      <c r="D32" s="969">
        <v>285725281.74000001</v>
      </c>
      <c r="E32" s="981">
        <v>98.2</v>
      </c>
      <c r="F32" s="970">
        <v>952137.98000001907</v>
      </c>
      <c r="G32" s="970">
        <v>945541.38999998569</v>
      </c>
      <c r="H32" s="970">
        <v>99.3</v>
      </c>
      <c r="I32" s="987">
        <v>0.3</v>
      </c>
    </row>
    <row r="33" spans="1:9">
      <c r="A33" s="971" t="s">
        <v>69</v>
      </c>
      <c r="B33" s="977" t="s">
        <v>70</v>
      </c>
      <c r="C33" s="983">
        <v>6289658283.5100002</v>
      </c>
      <c r="D33" s="969">
        <v>6153113140.3800001</v>
      </c>
      <c r="E33" s="981">
        <v>97.8</v>
      </c>
      <c r="F33" s="970">
        <v>6259610124.0799999</v>
      </c>
      <c r="G33" s="970">
        <v>6127693595.4000006</v>
      </c>
      <c r="H33" s="970">
        <v>97.9</v>
      </c>
      <c r="I33" s="987">
        <v>99.6</v>
      </c>
    </row>
    <row r="34" spans="1:9" ht="26.4">
      <c r="A34" s="971" t="s">
        <v>71</v>
      </c>
      <c r="B34" s="977" t="s">
        <v>72</v>
      </c>
      <c r="C34" s="983">
        <v>1464528.27</v>
      </c>
      <c r="D34" s="969">
        <v>1298046.03</v>
      </c>
      <c r="E34" s="981">
        <v>88.6</v>
      </c>
      <c r="F34" s="970">
        <v>359528.27</v>
      </c>
      <c r="G34" s="970">
        <v>239197.27000000002</v>
      </c>
      <c r="H34" s="970">
        <v>66.5</v>
      </c>
      <c r="I34" s="987">
        <v>18.399999999999999</v>
      </c>
    </row>
    <row r="35" spans="1:9" ht="26.4">
      <c r="A35" s="971" t="s">
        <v>73</v>
      </c>
      <c r="B35" s="977" t="s">
        <v>74</v>
      </c>
      <c r="C35" s="983">
        <v>166938795.25999999</v>
      </c>
      <c r="D35" s="969">
        <v>132359867.94</v>
      </c>
      <c r="E35" s="981">
        <v>79.3</v>
      </c>
      <c r="F35" s="970">
        <v>159605283.25999999</v>
      </c>
      <c r="G35" s="970">
        <v>125084098.94</v>
      </c>
      <c r="H35" s="970">
        <v>78.400000000000006</v>
      </c>
      <c r="I35" s="987">
        <v>94.5</v>
      </c>
    </row>
    <row r="36" spans="1:9">
      <c r="A36" s="971" t="s">
        <v>75</v>
      </c>
      <c r="B36" s="977" t="s">
        <v>76</v>
      </c>
      <c r="C36" s="983">
        <v>645729350.30999994</v>
      </c>
      <c r="D36" s="969">
        <v>611841919.69000006</v>
      </c>
      <c r="E36" s="981">
        <v>94.8</v>
      </c>
      <c r="F36" s="970">
        <v>608837236.05999994</v>
      </c>
      <c r="G36" s="970">
        <v>579487828.5200001</v>
      </c>
      <c r="H36" s="970">
        <v>95.2</v>
      </c>
      <c r="I36" s="987">
        <v>94.7</v>
      </c>
    </row>
    <row r="37" spans="1:9" ht="26.4">
      <c r="A37" s="971" t="s">
        <v>77</v>
      </c>
      <c r="B37" s="977" t="s">
        <v>78</v>
      </c>
      <c r="C37" s="983">
        <v>290986682.50999999</v>
      </c>
      <c r="D37" s="969">
        <v>237159351.68000001</v>
      </c>
      <c r="E37" s="981">
        <v>81.5</v>
      </c>
      <c r="F37" s="970">
        <v>251143589.72</v>
      </c>
      <c r="G37" s="970">
        <v>217456002.81999999</v>
      </c>
      <c r="H37" s="970">
        <v>86.6</v>
      </c>
      <c r="I37" s="987">
        <v>91.7</v>
      </c>
    </row>
    <row r="38" spans="1:9" ht="26.4">
      <c r="A38" s="971" t="s">
        <v>79</v>
      </c>
      <c r="B38" s="977" t="s">
        <v>80</v>
      </c>
      <c r="C38" s="983">
        <v>26739153.140000001</v>
      </c>
      <c r="D38" s="969">
        <v>21641482.149999999</v>
      </c>
      <c r="E38" s="981">
        <v>80.900000000000006</v>
      </c>
      <c r="F38" s="970">
        <v>4144748.59</v>
      </c>
      <c r="G38" s="970">
        <v>2986427.5599999987</v>
      </c>
      <c r="H38" s="970">
        <v>72.099999999999994</v>
      </c>
      <c r="I38" s="987">
        <v>13.8</v>
      </c>
    </row>
    <row r="39" spans="1:9" ht="39.6">
      <c r="A39" s="971" t="s">
        <v>81</v>
      </c>
      <c r="B39" s="977" t="s">
        <v>82</v>
      </c>
      <c r="C39" s="983">
        <v>21767001</v>
      </c>
      <c r="D39" s="969">
        <v>21719252.289999999</v>
      </c>
      <c r="E39" s="981">
        <v>99.8</v>
      </c>
      <c r="F39" s="970">
        <v>21767001</v>
      </c>
      <c r="G39" s="970">
        <v>21719252.289999999</v>
      </c>
      <c r="H39" s="970">
        <v>99.8</v>
      </c>
      <c r="I39" s="987">
        <v>100</v>
      </c>
    </row>
    <row r="40" spans="1:9">
      <c r="A40" s="972" t="s">
        <v>83</v>
      </c>
      <c r="B40" s="978" t="s">
        <v>84</v>
      </c>
      <c r="C40" s="984">
        <v>392379237.24000001</v>
      </c>
      <c r="D40" s="973">
        <v>374831660</v>
      </c>
      <c r="E40" s="980">
        <v>95.5</v>
      </c>
      <c r="F40" s="974">
        <v>2676684.8000000119</v>
      </c>
      <c r="G40" s="974">
        <v>1275650.3000000119</v>
      </c>
      <c r="H40" s="974">
        <v>47.7</v>
      </c>
      <c r="I40" s="988">
        <v>0.3</v>
      </c>
    </row>
    <row r="42" spans="1:9">
      <c r="A42" s="144" t="s">
        <v>911</v>
      </c>
      <c r="B42" s="143"/>
      <c r="C42" s="143"/>
      <c r="D42" s="143"/>
      <c r="E42" s="143"/>
      <c r="F42" s="143"/>
      <c r="G42" s="143"/>
      <c r="H42" s="143"/>
      <c r="I42" s="143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51181102362204722" top="0.55118110236220474" bottom="0.55118110236220474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49CE-9AD0-479D-A7E3-16D5D98B98CE}">
  <dimension ref="A1:I42"/>
  <sheetViews>
    <sheetView view="pageBreakPreview" topLeftCell="A7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22.77734375" customWidth="1"/>
    <col min="3" max="4" width="10.77734375" bestFit="1" customWidth="1"/>
    <col min="5" max="5" width="6.5546875" bestFit="1" customWidth="1"/>
    <col min="6" max="7" width="10.77734375" bestFit="1" customWidth="1"/>
    <col min="8" max="9" width="6.5546875" bestFit="1" customWidth="1"/>
  </cols>
  <sheetData>
    <row r="1" spans="1:9" ht="32.25" customHeight="1">
      <c r="A1" s="2214" t="s">
        <v>975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163" t="s">
        <v>131</v>
      </c>
    </row>
    <row r="4" spans="1:9">
      <c r="A4" s="2139"/>
      <c r="B4" s="2141"/>
      <c r="C4" s="162" t="s">
        <v>3</v>
      </c>
      <c r="D4" s="161" t="s">
        <v>2</v>
      </c>
      <c r="E4" s="160" t="s">
        <v>92</v>
      </c>
      <c r="F4" s="161" t="s">
        <v>3</v>
      </c>
      <c r="G4" s="161" t="s">
        <v>2</v>
      </c>
      <c r="H4" s="160" t="s">
        <v>132</v>
      </c>
      <c r="I4" s="159" t="s">
        <v>133</v>
      </c>
    </row>
    <row r="5" spans="1:9">
      <c r="A5" s="2139"/>
      <c r="B5" s="2141"/>
      <c r="C5" s="2225" t="s">
        <v>93</v>
      </c>
      <c r="D5" s="2226"/>
      <c r="E5" s="161" t="s">
        <v>134</v>
      </c>
      <c r="F5" s="2226" t="s">
        <v>93</v>
      </c>
      <c r="G5" s="2226"/>
      <c r="H5" s="2226" t="s">
        <v>134</v>
      </c>
      <c r="I5" s="2227"/>
    </row>
    <row r="6" spans="1:9">
      <c r="A6" s="155" t="s">
        <v>10</v>
      </c>
      <c r="B6" s="158" t="s">
        <v>11</v>
      </c>
      <c r="C6" s="155" t="s">
        <v>12</v>
      </c>
      <c r="D6" s="156" t="s">
        <v>13</v>
      </c>
      <c r="E6" s="156" t="s">
        <v>14</v>
      </c>
      <c r="F6" s="156" t="s">
        <v>15</v>
      </c>
      <c r="G6" s="156" t="s">
        <v>16</v>
      </c>
      <c r="H6" s="156" t="s">
        <v>17</v>
      </c>
      <c r="I6" s="157" t="s">
        <v>94</v>
      </c>
    </row>
    <row r="7" spans="1:9">
      <c r="A7" s="999"/>
      <c r="B7" s="996" t="s">
        <v>95</v>
      </c>
      <c r="C7" s="1005">
        <v>419154270.56</v>
      </c>
      <c r="D7" s="995">
        <v>360802331.20999998</v>
      </c>
      <c r="E7" s="1002">
        <v>86.1</v>
      </c>
      <c r="F7" s="995">
        <v>321349503.01999998</v>
      </c>
      <c r="G7" s="995">
        <v>295877707.69999999</v>
      </c>
      <c r="H7" s="1002">
        <v>92.1</v>
      </c>
      <c r="I7" s="1006">
        <v>82</v>
      </c>
    </row>
    <row r="8" spans="1:9">
      <c r="A8" s="991" t="s">
        <v>19</v>
      </c>
      <c r="B8" s="997" t="s">
        <v>20</v>
      </c>
      <c r="C8" s="1003">
        <v>38695332.460000001</v>
      </c>
      <c r="D8" s="989">
        <v>21879307.010000002</v>
      </c>
      <c r="E8" s="1001">
        <v>56.5</v>
      </c>
      <c r="F8" s="990">
        <v>0</v>
      </c>
      <c r="G8" s="990">
        <v>0</v>
      </c>
      <c r="H8" s="2048" t="s">
        <v>936</v>
      </c>
      <c r="I8" s="2064" t="s">
        <v>936</v>
      </c>
    </row>
    <row r="9" spans="1:9">
      <c r="A9" s="991" t="s">
        <v>21</v>
      </c>
      <c r="B9" s="997" t="s">
        <v>22</v>
      </c>
      <c r="C9" s="1003">
        <v>0</v>
      </c>
      <c r="D9" s="989">
        <v>0</v>
      </c>
      <c r="E9" s="2065" t="s">
        <v>936</v>
      </c>
      <c r="F9" s="990">
        <v>0</v>
      </c>
      <c r="G9" s="990">
        <v>0</v>
      </c>
      <c r="H9" s="2048" t="s">
        <v>936</v>
      </c>
      <c r="I9" s="2064" t="s">
        <v>936</v>
      </c>
    </row>
    <row r="10" spans="1:9">
      <c r="A10" s="991" t="s">
        <v>23</v>
      </c>
      <c r="B10" s="997" t="s">
        <v>24</v>
      </c>
      <c r="C10" s="1003">
        <v>0</v>
      </c>
      <c r="D10" s="989">
        <v>0</v>
      </c>
      <c r="E10" s="2065" t="s">
        <v>936</v>
      </c>
      <c r="F10" s="990">
        <v>0</v>
      </c>
      <c r="G10" s="990">
        <v>0</v>
      </c>
      <c r="H10" s="2048" t="s">
        <v>936</v>
      </c>
      <c r="I10" s="2064" t="s">
        <v>936</v>
      </c>
    </row>
    <row r="11" spans="1:9">
      <c r="A11" s="991" t="s">
        <v>25</v>
      </c>
      <c r="B11" s="997" t="s">
        <v>26</v>
      </c>
      <c r="C11" s="1003">
        <v>0</v>
      </c>
      <c r="D11" s="989">
        <v>0</v>
      </c>
      <c r="E11" s="2065" t="s">
        <v>936</v>
      </c>
      <c r="F11" s="990">
        <v>0</v>
      </c>
      <c r="G11" s="990">
        <v>0</v>
      </c>
      <c r="H11" s="2048" t="s">
        <v>936</v>
      </c>
      <c r="I11" s="2064" t="s">
        <v>936</v>
      </c>
    </row>
    <row r="12" spans="1:9">
      <c r="A12" s="991" t="s">
        <v>27</v>
      </c>
      <c r="B12" s="997" t="s">
        <v>28</v>
      </c>
      <c r="C12" s="1003">
        <v>80200</v>
      </c>
      <c r="D12" s="989">
        <v>80200</v>
      </c>
      <c r="E12" s="1001">
        <v>100</v>
      </c>
      <c r="F12" s="990">
        <v>80200</v>
      </c>
      <c r="G12" s="990">
        <v>80200</v>
      </c>
      <c r="H12" s="990">
        <v>100</v>
      </c>
      <c r="I12" s="1007">
        <v>100</v>
      </c>
    </row>
    <row r="13" spans="1:9" ht="26.4">
      <c r="A13" s="991" t="s">
        <v>29</v>
      </c>
      <c r="B13" s="997" t="s">
        <v>30</v>
      </c>
      <c r="C13" s="1003">
        <v>0</v>
      </c>
      <c r="D13" s="989">
        <v>0</v>
      </c>
      <c r="E13" s="2065" t="s">
        <v>936</v>
      </c>
      <c r="F13" s="990">
        <v>0</v>
      </c>
      <c r="G13" s="990">
        <v>0</v>
      </c>
      <c r="H13" s="2048" t="s">
        <v>936</v>
      </c>
      <c r="I13" s="2064" t="s">
        <v>936</v>
      </c>
    </row>
    <row r="14" spans="1:9">
      <c r="A14" s="991" t="s">
        <v>31</v>
      </c>
      <c r="B14" s="997" t="s">
        <v>32</v>
      </c>
      <c r="C14" s="1003">
        <v>0</v>
      </c>
      <c r="D14" s="989">
        <v>0</v>
      </c>
      <c r="E14" s="2065" t="s">
        <v>936</v>
      </c>
      <c r="F14" s="990">
        <v>0</v>
      </c>
      <c r="G14" s="990">
        <v>0</v>
      </c>
      <c r="H14" s="2048" t="s">
        <v>936</v>
      </c>
      <c r="I14" s="2064" t="s">
        <v>936</v>
      </c>
    </row>
    <row r="15" spans="1:9">
      <c r="A15" s="991" t="s">
        <v>33</v>
      </c>
      <c r="B15" s="997" t="s">
        <v>34</v>
      </c>
      <c r="C15" s="1003">
        <v>0</v>
      </c>
      <c r="D15" s="989">
        <v>0</v>
      </c>
      <c r="E15" s="2065" t="s">
        <v>936</v>
      </c>
      <c r="F15" s="990">
        <v>0</v>
      </c>
      <c r="G15" s="990">
        <v>0</v>
      </c>
      <c r="H15" s="2048" t="s">
        <v>936</v>
      </c>
      <c r="I15" s="2064" t="s">
        <v>936</v>
      </c>
    </row>
    <row r="16" spans="1:9">
      <c r="A16" s="991" t="s">
        <v>35</v>
      </c>
      <c r="B16" s="997" t="s">
        <v>36</v>
      </c>
      <c r="C16" s="1003">
        <v>7081680</v>
      </c>
      <c r="D16" s="989">
        <v>7077378.5499999998</v>
      </c>
      <c r="E16" s="1001">
        <v>99.9</v>
      </c>
      <c r="F16" s="990">
        <v>7038261</v>
      </c>
      <c r="G16" s="990">
        <v>7033959.5499999998</v>
      </c>
      <c r="H16" s="990">
        <v>99.9</v>
      </c>
      <c r="I16" s="1007">
        <v>99.4</v>
      </c>
    </row>
    <row r="17" spans="1:9">
      <c r="A17" s="991" t="s">
        <v>37</v>
      </c>
      <c r="B17" s="997" t="s">
        <v>38</v>
      </c>
      <c r="C17" s="1003">
        <v>553770</v>
      </c>
      <c r="D17" s="989">
        <v>536897.97</v>
      </c>
      <c r="E17" s="1001">
        <v>97</v>
      </c>
      <c r="F17" s="990">
        <v>553770</v>
      </c>
      <c r="G17" s="990">
        <v>536897.97</v>
      </c>
      <c r="H17" s="990">
        <v>97</v>
      </c>
      <c r="I17" s="1007">
        <v>100</v>
      </c>
    </row>
    <row r="18" spans="1:9">
      <c r="A18" s="991" t="s">
        <v>39</v>
      </c>
      <c r="B18" s="997" t="s">
        <v>40</v>
      </c>
      <c r="C18" s="1003">
        <v>2016818</v>
      </c>
      <c r="D18" s="989">
        <v>1914765.07</v>
      </c>
      <c r="E18" s="1001">
        <v>94.9</v>
      </c>
      <c r="F18" s="990">
        <v>893100</v>
      </c>
      <c r="G18" s="990">
        <v>858477.55</v>
      </c>
      <c r="H18" s="990">
        <v>96.1</v>
      </c>
      <c r="I18" s="1007">
        <v>44.8</v>
      </c>
    </row>
    <row r="19" spans="1:9">
      <c r="A19" s="991" t="s">
        <v>41</v>
      </c>
      <c r="B19" s="997" t="s">
        <v>42</v>
      </c>
      <c r="C19" s="1003">
        <v>19765069.079999998</v>
      </c>
      <c r="D19" s="989">
        <v>18670164.68</v>
      </c>
      <c r="E19" s="1001">
        <v>94.5</v>
      </c>
      <c r="F19" s="990">
        <v>19273069.079999998</v>
      </c>
      <c r="G19" s="990">
        <v>18582580.68</v>
      </c>
      <c r="H19" s="990">
        <v>96.4</v>
      </c>
      <c r="I19" s="1007">
        <v>99.5</v>
      </c>
    </row>
    <row r="20" spans="1:9">
      <c r="A20" s="991" t="s">
        <v>43</v>
      </c>
      <c r="B20" s="997" t="s">
        <v>44</v>
      </c>
      <c r="C20" s="1003">
        <v>0</v>
      </c>
      <c r="D20" s="989">
        <v>0</v>
      </c>
      <c r="E20" s="2065" t="s">
        <v>936</v>
      </c>
      <c r="F20" s="990">
        <v>0</v>
      </c>
      <c r="G20" s="990">
        <v>0</v>
      </c>
      <c r="H20" s="2048" t="s">
        <v>936</v>
      </c>
      <c r="I20" s="2064" t="s">
        <v>936</v>
      </c>
    </row>
    <row r="21" spans="1:9">
      <c r="A21" s="991" t="s">
        <v>45</v>
      </c>
      <c r="B21" s="997" t="s">
        <v>46</v>
      </c>
      <c r="C21" s="1003">
        <v>0</v>
      </c>
      <c r="D21" s="989">
        <v>0</v>
      </c>
      <c r="E21" s="2065" t="s">
        <v>936</v>
      </c>
      <c r="F21" s="990">
        <v>0</v>
      </c>
      <c r="G21" s="990">
        <v>0</v>
      </c>
      <c r="H21" s="2048" t="s">
        <v>936</v>
      </c>
      <c r="I21" s="2064" t="s">
        <v>936</v>
      </c>
    </row>
    <row r="22" spans="1:9">
      <c r="A22" s="991" t="s">
        <v>47</v>
      </c>
      <c r="B22" s="997" t="s">
        <v>48</v>
      </c>
      <c r="C22" s="1003">
        <v>8736883</v>
      </c>
      <c r="D22" s="989">
        <v>8822178.8100000005</v>
      </c>
      <c r="E22" s="1001">
        <v>101</v>
      </c>
      <c r="F22" s="990">
        <v>8736883</v>
      </c>
      <c r="G22" s="990">
        <v>8822178.8100000005</v>
      </c>
      <c r="H22" s="990">
        <v>101</v>
      </c>
      <c r="I22" s="1007">
        <v>100</v>
      </c>
    </row>
    <row r="23" spans="1:9" ht="39.6">
      <c r="A23" s="991" t="s">
        <v>49</v>
      </c>
      <c r="B23" s="997" t="s">
        <v>50</v>
      </c>
      <c r="C23" s="1003">
        <v>0</v>
      </c>
      <c r="D23" s="989">
        <v>0</v>
      </c>
      <c r="E23" s="2065" t="s">
        <v>936</v>
      </c>
      <c r="F23" s="990">
        <v>0</v>
      </c>
      <c r="G23" s="990">
        <v>0</v>
      </c>
      <c r="H23" s="2048" t="s">
        <v>936</v>
      </c>
      <c r="I23" s="2064" t="s">
        <v>936</v>
      </c>
    </row>
    <row r="24" spans="1:9">
      <c r="A24" s="991" t="s">
        <v>51</v>
      </c>
      <c r="B24" s="997" t="s">
        <v>52</v>
      </c>
      <c r="C24" s="1003">
        <v>20308351.629999999</v>
      </c>
      <c r="D24" s="989">
        <v>19966439.02</v>
      </c>
      <c r="E24" s="1001">
        <v>98.3</v>
      </c>
      <c r="F24" s="990">
        <v>19400743.91</v>
      </c>
      <c r="G24" s="990">
        <v>19081546.579999998</v>
      </c>
      <c r="H24" s="990">
        <v>98.4</v>
      </c>
      <c r="I24" s="1007">
        <v>95.6</v>
      </c>
    </row>
    <row r="25" spans="1:9" ht="26.4">
      <c r="A25" s="991" t="s">
        <v>53</v>
      </c>
      <c r="B25" s="997" t="s">
        <v>54</v>
      </c>
      <c r="C25" s="1003">
        <v>0</v>
      </c>
      <c r="D25" s="989">
        <v>0</v>
      </c>
      <c r="E25" s="2065" t="s">
        <v>936</v>
      </c>
      <c r="F25" s="990">
        <v>0</v>
      </c>
      <c r="G25" s="990">
        <v>0</v>
      </c>
      <c r="H25" s="2048" t="s">
        <v>936</v>
      </c>
      <c r="I25" s="2064" t="s">
        <v>936</v>
      </c>
    </row>
    <row r="26" spans="1:9" ht="26.4">
      <c r="A26" s="991" t="s">
        <v>55</v>
      </c>
      <c r="B26" s="997" t="s">
        <v>56</v>
      </c>
      <c r="C26" s="1003">
        <v>12045417.07</v>
      </c>
      <c r="D26" s="989">
        <v>10943504.359999999</v>
      </c>
      <c r="E26" s="1001">
        <v>90.9</v>
      </c>
      <c r="F26" s="990">
        <v>2736942.3000000007</v>
      </c>
      <c r="G26" s="990">
        <v>2588398.4299999997</v>
      </c>
      <c r="H26" s="990">
        <v>94.6</v>
      </c>
      <c r="I26" s="1007">
        <v>23.7</v>
      </c>
    </row>
    <row r="27" spans="1:9">
      <c r="A27" s="991" t="s">
        <v>57</v>
      </c>
      <c r="B27" s="997" t="s">
        <v>58</v>
      </c>
      <c r="C27" s="1003">
        <v>0</v>
      </c>
      <c r="D27" s="989">
        <v>0</v>
      </c>
      <c r="E27" s="2065" t="s">
        <v>936</v>
      </c>
      <c r="F27" s="990">
        <v>0</v>
      </c>
      <c r="G27" s="990">
        <v>0</v>
      </c>
      <c r="H27" s="2048" t="s">
        <v>936</v>
      </c>
      <c r="I27" s="2064" t="s">
        <v>936</v>
      </c>
    </row>
    <row r="28" spans="1:9" ht="66">
      <c r="A28" s="991" t="s">
        <v>59</v>
      </c>
      <c r="B28" s="997" t="s">
        <v>60</v>
      </c>
      <c r="C28" s="1003">
        <v>0</v>
      </c>
      <c r="D28" s="989">
        <v>0</v>
      </c>
      <c r="E28" s="2065" t="s">
        <v>936</v>
      </c>
      <c r="F28" s="990">
        <v>0</v>
      </c>
      <c r="G28" s="990">
        <v>0</v>
      </c>
      <c r="H28" s="2048" t="s">
        <v>936</v>
      </c>
      <c r="I28" s="2064" t="s">
        <v>936</v>
      </c>
    </row>
    <row r="29" spans="1:9">
      <c r="A29" s="991" t="s">
        <v>61</v>
      </c>
      <c r="B29" s="997" t="s">
        <v>62</v>
      </c>
      <c r="C29" s="1003">
        <v>0</v>
      </c>
      <c r="D29" s="989">
        <v>0</v>
      </c>
      <c r="E29" s="2065" t="s">
        <v>936</v>
      </c>
      <c r="F29" s="990">
        <v>0</v>
      </c>
      <c r="G29" s="990">
        <v>0</v>
      </c>
      <c r="H29" s="2048" t="s">
        <v>936</v>
      </c>
      <c r="I29" s="2064" t="s">
        <v>936</v>
      </c>
    </row>
    <row r="30" spans="1:9">
      <c r="A30" s="991" t="s">
        <v>63</v>
      </c>
      <c r="B30" s="997" t="s">
        <v>64</v>
      </c>
      <c r="C30" s="1003">
        <v>8414108.6899999995</v>
      </c>
      <c r="D30" s="989">
        <v>564250.9</v>
      </c>
      <c r="E30" s="1001">
        <v>6.7</v>
      </c>
      <c r="F30" s="990">
        <v>11552.61999999918</v>
      </c>
      <c r="G30" s="990">
        <v>11552.619999999995</v>
      </c>
      <c r="H30" s="990">
        <v>100</v>
      </c>
      <c r="I30" s="1007">
        <v>2</v>
      </c>
    </row>
    <row r="31" spans="1:9">
      <c r="A31" s="991" t="s">
        <v>65</v>
      </c>
      <c r="B31" s="997" t="s">
        <v>66</v>
      </c>
      <c r="C31" s="1003">
        <v>264130100.49000001</v>
      </c>
      <c r="D31" s="989">
        <v>236302068.50999999</v>
      </c>
      <c r="E31" s="1001">
        <v>89.5</v>
      </c>
      <c r="F31" s="990">
        <v>243248506.49000001</v>
      </c>
      <c r="G31" s="990">
        <v>220183977.16999999</v>
      </c>
      <c r="H31" s="990">
        <v>90.5</v>
      </c>
      <c r="I31" s="1007">
        <v>93.2</v>
      </c>
    </row>
    <row r="32" spans="1:9">
      <c r="A32" s="991" t="s">
        <v>67</v>
      </c>
      <c r="B32" s="997" t="s">
        <v>68</v>
      </c>
      <c r="C32" s="1003">
        <v>1321410</v>
      </c>
      <c r="D32" s="989">
        <v>1072566.31</v>
      </c>
      <c r="E32" s="1001">
        <v>81.2</v>
      </c>
      <c r="F32" s="990">
        <v>961410</v>
      </c>
      <c r="G32" s="990">
        <v>712566.31</v>
      </c>
      <c r="H32" s="990">
        <v>74.099999999999994</v>
      </c>
      <c r="I32" s="1007">
        <v>66.400000000000006</v>
      </c>
    </row>
    <row r="33" spans="1:9">
      <c r="A33" s="991" t="s">
        <v>69</v>
      </c>
      <c r="B33" s="997" t="s">
        <v>70</v>
      </c>
      <c r="C33" s="1003">
        <v>4054906.48</v>
      </c>
      <c r="D33" s="989">
        <v>3874158.68</v>
      </c>
      <c r="E33" s="1001">
        <v>95.5</v>
      </c>
      <c r="F33" s="990">
        <v>4054906.48</v>
      </c>
      <c r="G33" s="990">
        <v>3874158.68</v>
      </c>
      <c r="H33" s="990">
        <v>95.5</v>
      </c>
      <c r="I33" s="1007">
        <v>100</v>
      </c>
    </row>
    <row r="34" spans="1:9" ht="26.4">
      <c r="A34" s="991" t="s">
        <v>71</v>
      </c>
      <c r="B34" s="997" t="s">
        <v>72</v>
      </c>
      <c r="C34" s="1003">
        <v>9838951.4100000001</v>
      </c>
      <c r="D34" s="989">
        <v>8721090.25</v>
      </c>
      <c r="E34" s="1001">
        <v>88.6</v>
      </c>
      <c r="F34" s="990">
        <v>8015629.7000000002</v>
      </c>
      <c r="G34" s="990">
        <v>7484392.3200000003</v>
      </c>
      <c r="H34" s="990">
        <v>93.4</v>
      </c>
      <c r="I34" s="1007">
        <v>85.8</v>
      </c>
    </row>
    <row r="35" spans="1:9">
      <c r="A35" s="991" t="s">
        <v>73</v>
      </c>
      <c r="B35" s="997" t="s">
        <v>74</v>
      </c>
      <c r="C35" s="1003">
        <v>1922372</v>
      </c>
      <c r="D35" s="989">
        <v>1654983.35</v>
      </c>
      <c r="E35" s="1001">
        <v>86.1</v>
      </c>
      <c r="F35" s="990">
        <v>1772372</v>
      </c>
      <c r="G35" s="990">
        <v>1504983.9500000002</v>
      </c>
      <c r="H35" s="990">
        <v>84.9</v>
      </c>
      <c r="I35" s="1007">
        <v>90.9</v>
      </c>
    </row>
    <row r="36" spans="1:9">
      <c r="A36" s="991" t="s">
        <v>75</v>
      </c>
      <c r="B36" s="997" t="s">
        <v>76</v>
      </c>
      <c r="C36" s="1003">
        <v>6204069.1500000004</v>
      </c>
      <c r="D36" s="989">
        <v>5944853.0700000003</v>
      </c>
      <c r="E36" s="1001">
        <v>95.8</v>
      </c>
      <c r="F36" s="990">
        <v>2518408.3400000003</v>
      </c>
      <c r="G36" s="990">
        <v>2498602.7600000002</v>
      </c>
      <c r="H36" s="990">
        <v>99.2</v>
      </c>
      <c r="I36" s="1007">
        <v>42</v>
      </c>
    </row>
    <row r="37" spans="1:9" ht="26.4">
      <c r="A37" s="991" t="s">
        <v>77</v>
      </c>
      <c r="B37" s="997" t="s">
        <v>78</v>
      </c>
      <c r="C37" s="1003">
        <v>2638221.2999999998</v>
      </c>
      <c r="D37" s="989">
        <v>2184334.0699999998</v>
      </c>
      <c r="E37" s="1001">
        <v>82.8</v>
      </c>
      <c r="F37" s="990">
        <v>701189.29999999981</v>
      </c>
      <c r="G37" s="990">
        <v>693355.86999999988</v>
      </c>
      <c r="H37" s="990">
        <v>98.9</v>
      </c>
      <c r="I37" s="1007">
        <v>31.7</v>
      </c>
    </row>
    <row r="38" spans="1:9" ht="26.4">
      <c r="A38" s="991" t="s">
        <v>79</v>
      </c>
      <c r="B38" s="997" t="s">
        <v>80</v>
      </c>
      <c r="C38" s="1003">
        <v>2285879.7999999998</v>
      </c>
      <c r="D38" s="989">
        <v>2262390.6</v>
      </c>
      <c r="E38" s="1001">
        <v>99</v>
      </c>
      <c r="F38" s="990">
        <v>1352558.7999999998</v>
      </c>
      <c r="G38" s="990">
        <v>1329878.4500000002</v>
      </c>
      <c r="H38" s="990">
        <v>98.3</v>
      </c>
      <c r="I38" s="1007">
        <v>58.8</v>
      </c>
    </row>
    <row r="39" spans="1:9" ht="39.6">
      <c r="A39" s="991" t="s">
        <v>81</v>
      </c>
      <c r="B39" s="997" t="s">
        <v>82</v>
      </c>
      <c r="C39" s="1003">
        <v>0</v>
      </c>
      <c r="D39" s="989">
        <v>0</v>
      </c>
      <c r="E39" s="2065" t="s">
        <v>936</v>
      </c>
      <c r="F39" s="990">
        <v>0</v>
      </c>
      <c r="G39" s="990">
        <v>0</v>
      </c>
      <c r="H39" s="2048" t="s">
        <v>936</v>
      </c>
      <c r="I39" s="2064" t="s">
        <v>936</v>
      </c>
    </row>
    <row r="40" spans="1:9">
      <c r="A40" s="992" t="s">
        <v>83</v>
      </c>
      <c r="B40" s="998" t="s">
        <v>84</v>
      </c>
      <c r="C40" s="1004">
        <v>9060730</v>
      </c>
      <c r="D40" s="993">
        <v>8330800</v>
      </c>
      <c r="E40" s="1000">
        <v>91.9</v>
      </c>
      <c r="F40" s="994">
        <v>0</v>
      </c>
      <c r="G40" s="994">
        <v>0</v>
      </c>
      <c r="H40" s="994" t="s">
        <v>135</v>
      </c>
      <c r="I40" s="1008">
        <v>0</v>
      </c>
    </row>
    <row r="41" spans="1:9" ht="7.95" customHeight="1"/>
    <row r="42" spans="1:9">
      <c r="A42" s="636" t="s">
        <v>911</v>
      </c>
      <c r="B42" s="154"/>
      <c r="C42" s="154"/>
      <c r="D42" s="154"/>
      <c r="E42" s="154"/>
      <c r="F42" s="154"/>
      <c r="G42" s="154"/>
      <c r="H42" s="154"/>
      <c r="I42" s="154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70866141732283472" top="0.55118110236220474" bottom="0.55118110236220474" header="0.31496062992125984" footer="0.31496062992125984"/>
  <pageSetup paperSize="9"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9DAB-7B8E-42F3-836F-1493992C399A}">
  <dimension ref="A1:H42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25.5546875" customWidth="1"/>
    <col min="3" max="5" width="13.44140625" bestFit="1" customWidth="1"/>
    <col min="6" max="6" width="7.21875" bestFit="1" customWidth="1"/>
    <col min="7" max="7" width="7" bestFit="1" customWidth="1"/>
    <col min="8" max="8" width="7.44140625" bestFit="1" customWidth="1"/>
  </cols>
  <sheetData>
    <row r="1" spans="1:8">
      <c r="A1" s="445" t="s">
        <v>976</v>
      </c>
      <c r="B1" s="264"/>
      <c r="C1" s="264"/>
      <c r="D1" s="264"/>
      <c r="E1" s="264"/>
      <c r="F1" s="264"/>
      <c r="G1" s="264"/>
      <c r="H1" s="264"/>
    </row>
    <row r="3" spans="1:8">
      <c r="A3" s="2228" t="s">
        <v>0</v>
      </c>
      <c r="B3" s="2231" t="s">
        <v>1</v>
      </c>
      <c r="C3" s="291" t="s">
        <v>2</v>
      </c>
      <c r="D3" s="285" t="s">
        <v>3</v>
      </c>
      <c r="E3" s="285" t="s">
        <v>2</v>
      </c>
      <c r="F3" s="284" t="s">
        <v>4</v>
      </c>
      <c r="G3" s="2234" t="s">
        <v>5</v>
      </c>
      <c r="H3" s="286" t="s">
        <v>6</v>
      </c>
    </row>
    <row r="4" spans="1:8">
      <c r="A4" s="2229"/>
      <c r="B4" s="2232"/>
      <c r="C4" s="292">
        <v>2024</v>
      </c>
      <c r="D4" s="283">
        <v>2025</v>
      </c>
      <c r="E4" s="283">
        <v>2025</v>
      </c>
      <c r="F4" s="281" t="s">
        <v>7</v>
      </c>
      <c r="G4" s="2235"/>
      <c r="H4" s="287" t="s">
        <v>8</v>
      </c>
    </row>
    <row r="5" spans="1:8">
      <c r="A5" s="2230"/>
      <c r="B5" s="2233"/>
      <c r="C5" s="2220" t="s">
        <v>163</v>
      </c>
      <c r="D5" s="2220"/>
      <c r="E5" s="2221"/>
      <c r="F5" s="2222" t="s">
        <v>169</v>
      </c>
      <c r="G5" s="2220"/>
      <c r="H5" s="2223"/>
    </row>
    <row r="6" spans="1:8">
      <c r="A6" s="288" t="s">
        <v>10</v>
      </c>
      <c r="B6" s="294" t="s">
        <v>11</v>
      </c>
      <c r="C6" s="293" t="s">
        <v>12</v>
      </c>
      <c r="D6" s="289" t="s">
        <v>13</v>
      </c>
      <c r="E6" s="289" t="s">
        <v>14</v>
      </c>
      <c r="F6" s="289" t="s">
        <v>15</v>
      </c>
      <c r="G6" s="289" t="s">
        <v>16</v>
      </c>
      <c r="H6" s="290" t="s">
        <v>17</v>
      </c>
    </row>
    <row r="7" spans="1:8">
      <c r="A7" s="1025"/>
      <c r="B7" s="820" t="s">
        <v>562</v>
      </c>
      <c r="C7" s="843">
        <v>432230693163.66998</v>
      </c>
      <c r="D7" s="1013">
        <v>505351848009.03998</v>
      </c>
      <c r="E7" s="1013">
        <v>466393209973.60999</v>
      </c>
      <c r="F7" s="817">
        <v>92.3</v>
      </c>
      <c r="G7" s="817">
        <v>100</v>
      </c>
      <c r="H7" s="816">
        <v>107.9</v>
      </c>
    </row>
    <row r="8" spans="1:8">
      <c r="A8" s="1019" t="s">
        <v>19</v>
      </c>
      <c r="B8" s="1023" t="s">
        <v>20</v>
      </c>
      <c r="C8" s="844">
        <v>9377853538.7700005</v>
      </c>
      <c r="D8" s="1021">
        <v>12069880741.370001</v>
      </c>
      <c r="E8" s="1021">
        <v>10664756655.73</v>
      </c>
      <c r="F8" s="1015">
        <v>88.4</v>
      </c>
      <c r="G8" s="1015">
        <v>2.2999999999999998</v>
      </c>
      <c r="H8" s="1011">
        <v>113.7</v>
      </c>
    </row>
    <row r="9" spans="1:8">
      <c r="A9" s="1019" t="s">
        <v>21</v>
      </c>
      <c r="B9" s="1023" t="s">
        <v>22</v>
      </c>
      <c r="C9" s="844">
        <v>84556806.379999995</v>
      </c>
      <c r="D9" s="1021">
        <v>105835287.73</v>
      </c>
      <c r="E9" s="1021">
        <v>93026720.790000007</v>
      </c>
      <c r="F9" s="1015">
        <v>87.9</v>
      </c>
      <c r="G9" s="1015">
        <v>0</v>
      </c>
      <c r="H9" s="1011">
        <v>110</v>
      </c>
    </row>
    <row r="10" spans="1:8">
      <c r="A10" s="1019" t="s">
        <v>23</v>
      </c>
      <c r="B10" s="1023" t="s">
        <v>24</v>
      </c>
      <c r="C10" s="844">
        <v>26983442.640000001</v>
      </c>
      <c r="D10" s="1021">
        <v>22769491.100000001</v>
      </c>
      <c r="E10" s="1021">
        <v>21579875.93</v>
      </c>
      <c r="F10" s="1015">
        <v>94.8</v>
      </c>
      <c r="G10" s="1015">
        <v>0</v>
      </c>
      <c r="H10" s="1011">
        <v>80</v>
      </c>
    </row>
    <row r="11" spans="1:8">
      <c r="A11" s="1019" t="s">
        <v>25</v>
      </c>
      <c r="B11" s="1023" t="s">
        <v>26</v>
      </c>
      <c r="C11" s="844">
        <v>1677813.44</v>
      </c>
      <c r="D11" s="1021">
        <v>11177665.460000001</v>
      </c>
      <c r="E11" s="1021">
        <v>10707186.83</v>
      </c>
      <c r="F11" s="1015">
        <v>95.8</v>
      </c>
      <c r="G11" s="1015">
        <v>0</v>
      </c>
      <c r="H11" s="1011">
        <v>638.20000000000005</v>
      </c>
    </row>
    <row r="12" spans="1:8">
      <c r="A12" s="1019" t="s">
        <v>27</v>
      </c>
      <c r="B12" s="1023" t="s">
        <v>28</v>
      </c>
      <c r="C12" s="844">
        <v>244695054.31999999</v>
      </c>
      <c r="D12" s="1021">
        <v>414067916.20999998</v>
      </c>
      <c r="E12" s="1021">
        <v>298969326.62</v>
      </c>
      <c r="F12" s="1015">
        <v>72.2</v>
      </c>
      <c r="G12" s="1015">
        <v>0.1</v>
      </c>
      <c r="H12" s="1011">
        <v>122.2</v>
      </c>
    </row>
    <row r="13" spans="1:8" ht="26.4">
      <c r="A13" s="1019" t="s">
        <v>29</v>
      </c>
      <c r="B13" s="1023" t="s">
        <v>30</v>
      </c>
      <c r="C13" s="844">
        <v>1035833158.5700001</v>
      </c>
      <c r="D13" s="1021">
        <v>1262089357.6700001</v>
      </c>
      <c r="E13" s="1021">
        <v>1099279682.01</v>
      </c>
      <c r="F13" s="1015">
        <v>87.1</v>
      </c>
      <c r="G13" s="1015">
        <v>0.2</v>
      </c>
      <c r="H13" s="1011">
        <v>106.1</v>
      </c>
    </row>
    <row r="14" spans="1:8">
      <c r="A14" s="1019" t="s">
        <v>31</v>
      </c>
      <c r="B14" s="1023" t="s">
        <v>32</v>
      </c>
      <c r="C14" s="844">
        <v>62863199.340000004</v>
      </c>
      <c r="D14" s="1021">
        <v>41606262.93</v>
      </c>
      <c r="E14" s="1021">
        <v>32884265.219999999</v>
      </c>
      <c r="F14" s="1015">
        <v>79</v>
      </c>
      <c r="G14" s="1015">
        <v>0</v>
      </c>
      <c r="H14" s="1011">
        <v>52.3</v>
      </c>
    </row>
    <row r="15" spans="1:8">
      <c r="A15" s="1019" t="s">
        <v>33</v>
      </c>
      <c r="B15" s="1023" t="s">
        <v>34</v>
      </c>
      <c r="C15" s="844">
        <v>1828497.98</v>
      </c>
      <c r="D15" s="1021">
        <v>3178933.85</v>
      </c>
      <c r="E15" s="1021">
        <v>3089746.61</v>
      </c>
      <c r="F15" s="1015">
        <v>97.2</v>
      </c>
      <c r="G15" s="1015">
        <v>0</v>
      </c>
      <c r="H15" s="1011">
        <v>169</v>
      </c>
    </row>
    <row r="16" spans="1:8">
      <c r="A16" s="1019" t="s">
        <v>35</v>
      </c>
      <c r="B16" s="1023" t="s">
        <v>36</v>
      </c>
      <c r="C16" s="844">
        <v>71839686336.190002</v>
      </c>
      <c r="D16" s="1021">
        <v>78027759094.380005</v>
      </c>
      <c r="E16" s="1021">
        <v>71220763186.800003</v>
      </c>
      <c r="F16" s="1015">
        <v>91.3</v>
      </c>
      <c r="G16" s="1015">
        <v>15.3</v>
      </c>
      <c r="H16" s="1011">
        <v>99.1</v>
      </c>
    </row>
    <row r="17" spans="1:8">
      <c r="A17" s="1019" t="s">
        <v>37</v>
      </c>
      <c r="B17" s="1023" t="s">
        <v>38</v>
      </c>
      <c r="C17" s="844">
        <v>617454454.21000004</v>
      </c>
      <c r="D17" s="1021">
        <v>1032243947.88</v>
      </c>
      <c r="E17" s="1021">
        <v>786304350.64999998</v>
      </c>
      <c r="F17" s="1015">
        <v>76.2</v>
      </c>
      <c r="G17" s="1015">
        <v>0.2</v>
      </c>
      <c r="H17" s="1011">
        <v>127.3</v>
      </c>
    </row>
    <row r="18" spans="1:8">
      <c r="A18" s="1019" t="s">
        <v>39</v>
      </c>
      <c r="B18" s="1023" t="s">
        <v>40</v>
      </c>
      <c r="C18" s="844">
        <v>12001629560.190001</v>
      </c>
      <c r="D18" s="1021">
        <v>15991745400.07</v>
      </c>
      <c r="E18" s="1021">
        <v>13970118765.879999</v>
      </c>
      <c r="F18" s="1015">
        <v>87.4</v>
      </c>
      <c r="G18" s="1015">
        <v>3</v>
      </c>
      <c r="H18" s="1011">
        <v>116.4</v>
      </c>
    </row>
    <row r="19" spans="1:8">
      <c r="A19" s="1019" t="s">
        <v>41</v>
      </c>
      <c r="B19" s="1023" t="s">
        <v>42</v>
      </c>
      <c r="C19" s="844">
        <v>2523894814.1300001</v>
      </c>
      <c r="D19" s="1021">
        <v>3726990463.9899998</v>
      </c>
      <c r="E19" s="1021">
        <v>3125498712.54</v>
      </c>
      <c r="F19" s="1015">
        <v>83.9</v>
      </c>
      <c r="G19" s="1015">
        <v>0.7</v>
      </c>
      <c r="H19" s="1011">
        <v>123.8</v>
      </c>
    </row>
    <row r="20" spans="1:8">
      <c r="A20" s="1019" t="s">
        <v>43</v>
      </c>
      <c r="B20" s="1023" t="s">
        <v>44</v>
      </c>
      <c r="C20" s="844">
        <v>122242228</v>
      </c>
      <c r="D20" s="1021">
        <v>388905175.87</v>
      </c>
      <c r="E20" s="1021">
        <v>290249264.38</v>
      </c>
      <c r="F20" s="1015">
        <v>74.599999999999994</v>
      </c>
      <c r="G20" s="1015">
        <v>0.1</v>
      </c>
      <c r="H20" s="1011">
        <v>237.4</v>
      </c>
    </row>
    <row r="21" spans="1:8">
      <c r="A21" s="1019" t="s">
        <v>45</v>
      </c>
      <c r="B21" s="1023" t="s">
        <v>46</v>
      </c>
      <c r="C21" s="844">
        <v>83211728.769999996</v>
      </c>
      <c r="D21" s="1021">
        <v>78906106</v>
      </c>
      <c r="E21" s="1021">
        <v>69167363.879999995</v>
      </c>
      <c r="F21" s="1015">
        <v>87.7</v>
      </c>
      <c r="G21" s="1015">
        <v>0</v>
      </c>
      <c r="H21" s="1011">
        <v>83.1</v>
      </c>
    </row>
    <row r="22" spans="1:8">
      <c r="A22" s="1019" t="s">
        <v>47</v>
      </c>
      <c r="B22" s="1023" t="s">
        <v>48</v>
      </c>
      <c r="C22" s="844">
        <v>39622607957.120003</v>
      </c>
      <c r="D22" s="1021">
        <v>48194059032.5</v>
      </c>
      <c r="E22" s="1021">
        <v>44662265028.599998</v>
      </c>
      <c r="F22" s="1015">
        <v>92.7</v>
      </c>
      <c r="G22" s="1015">
        <v>9.6</v>
      </c>
      <c r="H22" s="1011">
        <v>112.7</v>
      </c>
    </row>
    <row r="23" spans="1:8" ht="39.6">
      <c r="A23" s="1019" t="s">
        <v>49</v>
      </c>
      <c r="B23" s="1023" t="s">
        <v>50</v>
      </c>
      <c r="C23" s="844">
        <v>770290185.15999997</v>
      </c>
      <c r="D23" s="1021">
        <v>441812681.06999999</v>
      </c>
      <c r="E23" s="1021">
        <v>438383659.50999999</v>
      </c>
      <c r="F23" s="1015">
        <v>99.2</v>
      </c>
      <c r="G23" s="1015">
        <v>0.1</v>
      </c>
      <c r="H23" s="1011">
        <v>56.9</v>
      </c>
    </row>
    <row r="24" spans="1:8">
      <c r="A24" s="1019" t="s">
        <v>51</v>
      </c>
      <c r="B24" s="1023" t="s">
        <v>52</v>
      </c>
      <c r="C24" s="844">
        <v>39841420.670000002</v>
      </c>
      <c r="D24" s="1021">
        <v>4412562032.8800001</v>
      </c>
      <c r="E24" s="1021">
        <v>3630553977.9899998</v>
      </c>
      <c r="F24" s="1015">
        <v>82.3</v>
      </c>
      <c r="G24" s="1015">
        <v>0.8</v>
      </c>
      <c r="H24" s="1011">
        <v>9112.5</v>
      </c>
    </row>
    <row r="25" spans="1:8">
      <c r="A25" s="1019" t="s">
        <v>53</v>
      </c>
      <c r="B25" s="1023" t="s">
        <v>54</v>
      </c>
      <c r="C25" s="844">
        <v>253</v>
      </c>
      <c r="D25" s="1021">
        <v>1000</v>
      </c>
      <c r="E25" s="1021">
        <v>0</v>
      </c>
      <c r="F25" s="1015">
        <v>0</v>
      </c>
      <c r="G25" s="1015">
        <v>0</v>
      </c>
      <c r="H25" s="1011">
        <v>0</v>
      </c>
    </row>
    <row r="26" spans="1:8" ht="26.4">
      <c r="A26" s="1019" t="s">
        <v>55</v>
      </c>
      <c r="B26" s="1023" t="s">
        <v>56</v>
      </c>
      <c r="C26" s="844">
        <v>9268000476.2800007</v>
      </c>
      <c r="D26" s="1021">
        <v>10571584964.5</v>
      </c>
      <c r="E26" s="1021">
        <v>9985106262.7900009</v>
      </c>
      <c r="F26" s="1015">
        <v>94.5</v>
      </c>
      <c r="G26" s="1015">
        <v>2.1</v>
      </c>
      <c r="H26" s="1011">
        <v>107.7</v>
      </c>
    </row>
    <row r="27" spans="1:8">
      <c r="A27" s="1019" t="s">
        <v>57</v>
      </c>
      <c r="B27" s="1023" t="s">
        <v>58</v>
      </c>
      <c r="C27" s="844">
        <v>104213358.90000001</v>
      </c>
      <c r="D27" s="1021">
        <v>109454783.41</v>
      </c>
      <c r="E27" s="1021">
        <v>108499354.98</v>
      </c>
      <c r="F27" s="1015">
        <v>99.1</v>
      </c>
      <c r="G27" s="1015">
        <v>0</v>
      </c>
      <c r="H27" s="1011">
        <v>104.1</v>
      </c>
    </row>
    <row r="28" spans="1:8" ht="52.8">
      <c r="A28" s="1019" t="s">
        <v>59</v>
      </c>
      <c r="B28" s="1023" t="s">
        <v>60</v>
      </c>
      <c r="C28" s="844">
        <v>16138501.630000001</v>
      </c>
      <c r="D28" s="1021">
        <v>21243304.710000001</v>
      </c>
      <c r="E28" s="1021">
        <v>18905875.859999999</v>
      </c>
      <c r="F28" s="1015">
        <v>89</v>
      </c>
      <c r="G28" s="1015">
        <v>0</v>
      </c>
      <c r="H28" s="1011">
        <v>117.1</v>
      </c>
    </row>
    <row r="29" spans="1:8">
      <c r="A29" s="1019" t="s">
        <v>61</v>
      </c>
      <c r="B29" s="1023" t="s">
        <v>62</v>
      </c>
      <c r="C29" s="844">
        <v>6358934042.6099997</v>
      </c>
      <c r="D29" s="1021">
        <v>7284033950.9200001</v>
      </c>
      <c r="E29" s="1021">
        <v>6427185128.7700005</v>
      </c>
      <c r="F29" s="1015">
        <v>88.2</v>
      </c>
      <c r="G29" s="1015">
        <v>1.4</v>
      </c>
      <c r="H29" s="1011">
        <v>101.1</v>
      </c>
    </row>
    <row r="30" spans="1:8">
      <c r="A30" s="1019" t="s">
        <v>63</v>
      </c>
      <c r="B30" s="1023" t="s">
        <v>64</v>
      </c>
      <c r="C30" s="844">
        <v>5270615120.9099998</v>
      </c>
      <c r="D30" s="1021">
        <v>3013459650.9000001</v>
      </c>
      <c r="E30" s="1021">
        <v>272086529.93000001</v>
      </c>
      <c r="F30" s="1015">
        <v>9</v>
      </c>
      <c r="G30" s="1015">
        <v>0.1</v>
      </c>
      <c r="H30" s="1011">
        <v>5.2</v>
      </c>
    </row>
    <row r="31" spans="1:8">
      <c r="A31" s="1019" t="s">
        <v>65</v>
      </c>
      <c r="B31" s="1023" t="s">
        <v>66</v>
      </c>
      <c r="C31" s="844">
        <v>142441735341.20999</v>
      </c>
      <c r="D31" s="1021">
        <v>164080381168.10999</v>
      </c>
      <c r="E31" s="1021">
        <v>156696685962.89999</v>
      </c>
      <c r="F31" s="1015">
        <v>95.5</v>
      </c>
      <c r="G31" s="1015">
        <v>33.6</v>
      </c>
      <c r="H31" s="1011">
        <v>110</v>
      </c>
    </row>
    <row r="32" spans="1:8">
      <c r="A32" s="1019" t="s">
        <v>67</v>
      </c>
      <c r="B32" s="1023" t="s">
        <v>68</v>
      </c>
      <c r="C32" s="844">
        <v>6679184717.3699999</v>
      </c>
      <c r="D32" s="1021">
        <v>8217211206.1599998</v>
      </c>
      <c r="E32" s="1021">
        <v>7430509620.0200005</v>
      </c>
      <c r="F32" s="1015">
        <v>90.4</v>
      </c>
      <c r="G32" s="1015">
        <v>1.6</v>
      </c>
      <c r="H32" s="1011">
        <v>111.2</v>
      </c>
    </row>
    <row r="33" spans="1:8">
      <c r="A33" s="1019" t="s">
        <v>69</v>
      </c>
      <c r="B33" s="1023" t="s">
        <v>70</v>
      </c>
      <c r="C33" s="844">
        <v>26807756512.310001</v>
      </c>
      <c r="D33" s="1021">
        <v>30448931627.849998</v>
      </c>
      <c r="E33" s="1021">
        <v>28897286096.169998</v>
      </c>
      <c r="F33" s="1015">
        <v>94.9</v>
      </c>
      <c r="G33" s="1015">
        <v>6.2</v>
      </c>
      <c r="H33" s="1011">
        <v>107.8</v>
      </c>
    </row>
    <row r="34" spans="1:8" ht="26.4">
      <c r="A34" s="1019" t="s">
        <v>71</v>
      </c>
      <c r="B34" s="1023" t="s">
        <v>72</v>
      </c>
      <c r="C34" s="844">
        <v>4473692426.3800001</v>
      </c>
      <c r="D34" s="1021">
        <v>5744076728.7799997</v>
      </c>
      <c r="E34" s="1021">
        <v>5093085074.96</v>
      </c>
      <c r="F34" s="1015">
        <v>88.7</v>
      </c>
      <c r="G34" s="1015">
        <v>1.1000000000000001</v>
      </c>
      <c r="H34" s="1011">
        <v>113.8</v>
      </c>
    </row>
    <row r="35" spans="1:8">
      <c r="A35" s="1019" t="s">
        <v>73</v>
      </c>
      <c r="B35" s="1023" t="s">
        <v>74</v>
      </c>
      <c r="C35" s="844">
        <v>7426609340.8699999</v>
      </c>
      <c r="D35" s="1021">
        <v>8508796367.54</v>
      </c>
      <c r="E35" s="1021">
        <v>8117315368.9200001</v>
      </c>
      <c r="F35" s="1015">
        <v>95.4</v>
      </c>
      <c r="G35" s="1015">
        <v>1.7</v>
      </c>
      <c r="H35" s="1011">
        <v>109.3</v>
      </c>
    </row>
    <row r="36" spans="1:8">
      <c r="A36" s="1019" t="s">
        <v>75</v>
      </c>
      <c r="B36" s="1023" t="s">
        <v>76</v>
      </c>
      <c r="C36" s="844">
        <v>27239112302.099998</v>
      </c>
      <c r="D36" s="1021">
        <v>31196639610.5</v>
      </c>
      <c r="E36" s="1021">
        <v>29923695216.439999</v>
      </c>
      <c r="F36" s="1015">
        <v>95.9</v>
      </c>
      <c r="G36" s="1015">
        <v>6.4</v>
      </c>
      <c r="H36" s="1011">
        <v>109.9</v>
      </c>
    </row>
    <row r="37" spans="1:8" ht="26.4">
      <c r="A37" s="1019" t="s">
        <v>77</v>
      </c>
      <c r="B37" s="1023" t="s">
        <v>78</v>
      </c>
      <c r="C37" s="844">
        <v>29969138736.720001</v>
      </c>
      <c r="D37" s="1021">
        <v>37274343770.379997</v>
      </c>
      <c r="E37" s="1021">
        <v>32666106926.959999</v>
      </c>
      <c r="F37" s="1015">
        <v>87.6</v>
      </c>
      <c r="G37" s="1015">
        <v>7</v>
      </c>
      <c r="H37" s="1011">
        <v>109</v>
      </c>
    </row>
    <row r="38" spans="1:8" ht="26.4">
      <c r="A38" s="1019" t="s">
        <v>79</v>
      </c>
      <c r="B38" s="1023" t="s">
        <v>80</v>
      </c>
      <c r="C38" s="844">
        <v>16229701863.09</v>
      </c>
      <c r="D38" s="1021">
        <v>19234053784.110001</v>
      </c>
      <c r="E38" s="1021">
        <v>18014847009.200001</v>
      </c>
      <c r="F38" s="1015">
        <v>93.7</v>
      </c>
      <c r="G38" s="1015">
        <v>3.9</v>
      </c>
      <c r="H38" s="1011">
        <v>111</v>
      </c>
    </row>
    <row r="39" spans="1:8" ht="39.6">
      <c r="A39" s="1019" t="s">
        <v>81</v>
      </c>
      <c r="B39" s="1023" t="s">
        <v>82</v>
      </c>
      <c r="C39" s="844">
        <v>481794793.07999998</v>
      </c>
      <c r="D39" s="1021">
        <v>587824713.50999999</v>
      </c>
      <c r="E39" s="1021">
        <v>535381754.63999999</v>
      </c>
      <c r="F39" s="1015">
        <v>91.1</v>
      </c>
      <c r="G39" s="1015">
        <v>0.1</v>
      </c>
      <c r="H39" s="1011">
        <v>111.1</v>
      </c>
    </row>
    <row r="40" spans="1:8">
      <c r="A40" s="1024" t="s">
        <v>83</v>
      </c>
      <c r="B40" s="811" t="s">
        <v>84</v>
      </c>
      <c r="C40" s="1012">
        <v>11006915181.32</v>
      </c>
      <c r="D40" s="850">
        <v>12834221786.690001</v>
      </c>
      <c r="E40" s="850">
        <v>11788916021.09</v>
      </c>
      <c r="F40" s="803">
        <v>91.9</v>
      </c>
      <c r="G40" s="803">
        <v>2.5</v>
      </c>
      <c r="H40" s="1018">
        <v>107.1</v>
      </c>
    </row>
    <row r="42" spans="1:8">
      <c r="A42" s="282" t="s">
        <v>908</v>
      </c>
      <c r="B42" s="264"/>
      <c r="C42" s="264"/>
      <c r="D42" s="264"/>
      <c r="E42" s="264"/>
      <c r="F42" s="264"/>
      <c r="G42" s="264"/>
      <c r="H42" s="264"/>
    </row>
  </sheetData>
  <mergeCells count="5">
    <mergeCell ref="A3:A5"/>
    <mergeCell ref="B3:B5"/>
    <mergeCell ref="G3:G4"/>
    <mergeCell ref="C5:E5"/>
    <mergeCell ref="F5:H5"/>
  </mergeCells>
  <pageMargins left="0.70866141732283472" right="0.70866141732283472" top="0.55118110236220474" bottom="0.35433070866141736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5938-CA9F-410F-9685-AED93D888F58}">
  <dimension ref="A1:I26"/>
  <sheetViews>
    <sheetView view="pageBreakPreview" topLeftCell="A10" zoomScaleNormal="100" zoomScaleSheetLayoutView="100" workbookViewId="0">
      <selection activeCell="F8" sqref="F8"/>
    </sheetView>
  </sheetViews>
  <sheetFormatPr defaultColWidth="9.21875" defaultRowHeight="13.8"/>
  <cols>
    <col min="1" max="1" width="6" style="441" customWidth="1"/>
    <col min="2" max="2" width="16" style="441" customWidth="1"/>
    <col min="3" max="3" width="10.21875" style="441" customWidth="1"/>
    <col min="4" max="4" width="12.77734375" style="441" customWidth="1"/>
    <col min="5" max="5" width="10.21875" style="441" customWidth="1"/>
    <col min="6" max="6" width="10.77734375" style="441" customWidth="1"/>
    <col min="7" max="7" width="12.44140625" style="441" customWidth="1"/>
    <col min="8" max="8" width="10.21875" style="441" customWidth="1"/>
    <col min="9" max="9" width="11.21875" style="441" customWidth="1"/>
    <col min="10" max="16384" width="9.21875" style="441"/>
  </cols>
  <sheetData>
    <row r="1" spans="1:9" ht="14.4">
      <c r="A1" s="280" t="s">
        <v>977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2142" t="s">
        <v>157</v>
      </c>
      <c r="D3" s="2239" t="s">
        <v>563</v>
      </c>
      <c r="E3" s="2239" t="s">
        <v>564</v>
      </c>
      <c r="F3" s="2239" t="s">
        <v>565</v>
      </c>
      <c r="G3" s="2239" t="s">
        <v>566</v>
      </c>
      <c r="H3" s="2239" t="s">
        <v>567</v>
      </c>
      <c r="I3" s="2236" t="s">
        <v>568</v>
      </c>
    </row>
    <row r="4" spans="1:9" ht="76.95" customHeight="1">
      <c r="A4" s="2139"/>
      <c r="B4" s="2141"/>
      <c r="C4" s="2143"/>
      <c r="D4" s="2240"/>
      <c r="E4" s="2240"/>
      <c r="F4" s="2240"/>
      <c r="G4" s="2240"/>
      <c r="H4" s="2240"/>
      <c r="I4" s="2237"/>
    </row>
    <row r="5" spans="1:9" ht="14.4">
      <c r="A5" s="2139"/>
      <c r="B5" s="2141"/>
      <c r="C5" s="297"/>
      <c r="D5" s="2238" t="s">
        <v>163</v>
      </c>
      <c r="E5" s="2238"/>
      <c r="F5" s="377" t="s">
        <v>169</v>
      </c>
      <c r="G5" s="2238" t="s">
        <v>163</v>
      </c>
      <c r="H5" s="2238"/>
      <c r="I5" s="298" t="s">
        <v>169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402"/>
      <c r="B7" s="1403" t="s">
        <v>129</v>
      </c>
      <c r="C7" s="1406">
        <v>37489087</v>
      </c>
      <c r="D7" s="1415">
        <v>94899277474.679993</v>
      </c>
      <c r="E7" s="1412">
        <v>2531.4</v>
      </c>
      <c r="F7" s="1412">
        <v>20.3</v>
      </c>
      <c r="G7" s="1415">
        <v>89568164639.75</v>
      </c>
      <c r="H7" s="1412">
        <v>2389.1999999999998</v>
      </c>
      <c r="I7" s="1409">
        <v>19.2</v>
      </c>
    </row>
    <row r="8" spans="1:9">
      <c r="A8" s="1400" t="s">
        <v>96</v>
      </c>
      <c r="B8" s="1404" t="s">
        <v>97</v>
      </c>
      <c r="C8" s="1407">
        <v>2868242</v>
      </c>
      <c r="D8" s="1416">
        <v>8132898975.8199997</v>
      </c>
      <c r="E8" s="1413">
        <v>2835.5</v>
      </c>
      <c r="F8" s="1413">
        <v>21.7</v>
      </c>
      <c r="G8" s="1416">
        <v>7537109034.4399996</v>
      </c>
      <c r="H8" s="1413">
        <v>2627.8</v>
      </c>
      <c r="I8" s="1410">
        <v>20.100000000000001</v>
      </c>
    </row>
    <row r="9" spans="1:9">
      <c r="A9" s="1400" t="s">
        <v>98</v>
      </c>
      <c r="B9" s="1404" t="s">
        <v>99</v>
      </c>
      <c r="C9" s="1407">
        <v>1984479</v>
      </c>
      <c r="D9" s="1416">
        <v>5136739687.04</v>
      </c>
      <c r="E9" s="1413">
        <v>2588.46</v>
      </c>
      <c r="F9" s="1413">
        <v>21.1</v>
      </c>
      <c r="G9" s="1416">
        <v>4521579187.6499996</v>
      </c>
      <c r="H9" s="1413">
        <v>2278.5</v>
      </c>
      <c r="I9" s="1410">
        <v>18.5</v>
      </c>
    </row>
    <row r="10" spans="1:9">
      <c r="A10" s="1400" t="s">
        <v>100</v>
      </c>
      <c r="B10" s="1404" t="s">
        <v>101</v>
      </c>
      <c r="C10" s="1407">
        <v>1996440</v>
      </c>
      <c r="D10" s="1416">
        <v>5423194567.3299999</v>
      </c>
      <c r="E10" s="1413">
        <v>2716.43</v>
      </c>
      <c r="F10" s="1413">
        <v>23.1</v>
      </c>
      <c r="G10" s="1416">
        <v>5245233338.2399998</v>
      </c>
      <c r="H10" s="1413">
        <v>2627.3</v>
      </c>
      <c r="I10" s="1410">
        <v>22.3</v>
      </c>
    </row>
    <row r="11" spans="1:9">
      <c r="A11" s="1400" t="s">
        <v>102</v>
      </c>
      <c r="B11" s="1404" t="s">
        <v>103</v>
      </c>
      <c r="C11" s="1407">
        <v>969819</v>
      </c>
      <c r="D11" s="1416">
        <v>2503889736</v>
      </c>
      <c r="E11" s="1413">
        <v>2581.81</v>
      </c>
      <c r="F11" s="1413">
        <v>20.7</v>
      </c>
      <c r="G11" s="1416">
        <v>2402341851.9400001</v>
      </c>
      <c r="H11" s="1413">
        <v>2477.1</v>
      </c>
      <c r="I11" s="1410">
        <v>19.899999999999999</v>
      </c>
    </row>
    <row r="12" spans="1:9">
      <c r="A12" s="1400" t="s">
        <v>104</v>
      </c>
      <c r="B12" s="1404" t="s">
        <v>105</v>
      </c>
      <c r="C12" s="1407">
        <v>2345924</v>
      </c>
      <c r="D12" s="1416">
        <v>5767432534.5500002</v>
      </c>
      <c r="E12" s="1413">
        <v>2458.4899999999998</v>
      </c>
      <c r="F12" s="1413">
        <v>20.2</v>
      </c>
      <c r="G12" s="1416">
        <v>5483139421.5799999</v>
      </c>
      <c r="H12" s="1413">
        <v>2337.3000000000002</v>
      </c>
      <c r="I12" s="1410">
        <v>19.2</v>
      </c>
    </row>
    <row r="13" spans="1:9">
      <c r="A13" s="1400" t="s">
        <v>106</v>
      </c>
      <c r="B13" s="1404" t="s">
        <v>107</v>
      </c>
      <c r="C13" s="1407">
        <v>3429084</v>
      </c>
      <c r="D13" s="1416">
        <v>7622356134.1099997</v>
      </c>
      <c r="E13" s="1413">
        <v>2222.85</v>
      </c>
      <c r="F13" s="1413">
        <v>18.8</v>
      </c>
      <c r="G13" s="1416">
        <v>7174481201.3599997</v>
      </c>
      <c r="H13" s="1413">
        <v>2092.1999999999998</v>
      </c>
      <c r="I13" s="1410">
        <v>17.7</v>
      </c>
    </row>
    <row r="14" spans="1:9">
      <c r="A14" s="1400" t="s">
        <v>108</v>
      </c>
      <c r="B14" s="1404" t="s">
        <v>109</v>
      </c>
      <c r="C14" s="1407">
        <v>5508322</v>
      </c>
      <c r="D14" s="1416">
        <v>13693138709.870001</v>
      </c>
      <c r="E14" s="1413">
        <v>2485.9</v>
      </c>
      <c r="F14" s="1413">
        <v>18.100000000000001</v>
      </c>
      <c r="G14" s="1416">
        <v>12889379279.299999</v>
      </c>
      <c r="H14" s="1413">
        <v>2340</v>
      </c>
      <c r="I14" s="1410">
        <v>17</v>
      </c>
    </row>
    <row r="15" spans="1:9">
      <c r="A15" s="1400" t="s">
        <v>110</v>
      </c>
      <c r="B15" s="1404" t="s">
        <v>111</v>
      </c>
      <c r="C15" s="1407">
        <v>930296</v>
      </c>
      <c r="D15" s="1416">
        <v>2084138941.3499999</v>
      </c>
      <c r="E15" s="1413">
        <v>2240.3000000000002</v>
      </c>
      <c r="F15" s="1413">
        <v>18.8</v>
      </c>
      <c r="G15" s="1416">
        <v>1991926053.97</v>
      </c>
      <c r="H15" s="1413">
        <v>2141.1999999999998</v>
      </c>
      <c r="I15" s="1410">
        <v>17.899999999999999</v>
      </c>
    </row>
    <row r="16" spans="1:9">
      <c r="A16" s="1400" t="s">
        <v>112</v>
      </c>
      <c r="B16" s="1404" t="s">
        <v>113</v>
      </c>
      <c r="C16" s="1407">
        <v>2062997</v>
      </c>
      <c r="D16" s="1416">
        <v>6371116660.1400003</v>
      </c>
      <c r="E16" s="1413">
        <v>3088.28</v>
      </c>
      <c r="F16" s="1413">
        <v>25.2</v>
      </c>
      <c r="G16" s="1416">
        <v>6211300852.4899998</v>
      </c>
      <c r="H16" s="1413">
        <v>3010.8</v>
      </c>
      <c r="I16" s="1410">
        <v>24.5</v>
      </c>
    </row>
    <row r="17" spans="1:9">
      <c r="A17" s="1400" t="s">
        <v>114</v>
      </c>
      <c r="B17" s="1404" t="s">
        <v>115</v>
      </c>
      <c r="C17" s="1407">
        <v>1132641</v>
      </c>
      <c r="D17" s="1416">
        <v>4071542127.04</v>
      </c>
      <c r="E17" s="1413">
        <v>3594.73</v>
      </c>
      <c r="F17" s="1413">
        <v>27.7</v>
      </c>
      <c r="G17" s="1416">
        <v>4020291576.6599998</v>
      </c>
      <c r="H17" s="1413">
        <v>3549.5</v>
      </c>
      <c r="I17" s="1410">
        <v>27.4</v>
      </c>
    </row>
    <row r="18" spans="1:9">
      <c r="A18" s="1400" t="s">
        <v>116</v>
      </c>
      <c r="B18" s="1404" t="s">
        <v>117</v>
      </c>
      <c r="C18" s="1407">
        <v>2359493</v>
      </c>
      <c r="D18" s="1416">
        <v>5761980942.4899998</v>
      </c>
      <c r="E18" s="1413">
        <v>2442.04</v>
      </c>
      <c r="F18" s="1413">
        <v>19.100000000000001</v>
      </c>
      <c r="G18" s="1416">
        <v>5487805807.2700005</v>
      </c>
      <c r="H18" s="1413">
        <v>2325.8000000000002</v>
      </c>
      <c r="I18" s="1410">
        <v>18.2</v>
      </c>
    </row>
    <row r="19" spans="1:9">
      <c r="A19" s="1400" t="s">
        <v>118</v>
      </c>
      <c r="B19" s="1404" t="s">
        <v>119</v>
      </c>
      <c r="C19" s="1407">
        <v>4291441</v>
      </c>
      <c r="D19" s="1416">
        <v>9099731248.9500008</v>
      </c>
      <c r="E19" s="1413">
        <v>2120.44</v>
      </c>
      <c r="F19" s="1413">
        <v>18.100000000000001</v>
      </c>
      <c r="G19" s="1416">
        <v>8095626746.5500002</v>
      </c>
      <c r="H19" s="1413">
        <v>1886.5</v>
      </c>
      <c r="I19" s="1410">
        <v>16.100000000000001</v>
      </c>
    </row>
    <row r="20" spans="1:9">
      <c r="A20" s="1400" t="s">
        <v>120</v>
      </c>
      <c r="B20" s="1404" t="s">
        <v>121</v>
      </c>
      <c r="C20" s="1407">
        <v>1157991</v>
      </c>
      <c r="D20" s="1416">
        <v>3046622747.7600002</v>
      </c>
      <c r="E20" s="1413">
        <v>2630.96</v>
      </c>
      <c r="F20" s="1413">
        <v>21.8</v>
      </c>
      <c r="G20" s="1416">
        <v>2985147098.29</v>
      </c>
      <c r="H20" s="1413">
        <v>2577.9</v>
      </c>
      <c r="I20" s="1410">
        <v>21.3</v>
      </c>
    </row>
    <row r="21" spans="1:9">
      <c r="A21" s="1400" t="s">
        <v>122</v>
      </c>
      <c r="B21" s="1404" t="s">
        <v>123</v>
      </c>
      <c r="C21" s="1407">
        <v>1349172</v>
      </c>
      <c r="D21" s="1416">
        <v>3473967872.4000001</v>
      </c>
      <c r="E21" s="1413">
        <v>2574.89</v>
      </c>
      <c r="F21" s="1413">
        <v>21</v>
      </c>
      <c r="G21" s="1416">
        <v>3320669314.3600001</v>
      </c>
      <c r="H21" s="1413">
        <v>2461.3000000000002</v>
      </c>
      <c r="I21" s="1410">
        <v>20</v>
      </c>
    </row>
    <row r="22" spans="1:9">
      <c r="A22" s="1400" t="s">
        <v>124</v>
      </c>
      <c r="B22" s="1404" t="s">
        <v>125</v>
      </c>
      <c r="C22" s="1407">
        <v>3479986</v>
      </c>
      <c r="D22" s="1416">
        <v>8400754858.8000002</v>
      </c>
      <c r="E22" s="1413">
        <v>2414.02</v>
      </c>
      <c r="F22" s="1413">
        <v>20.3</v>
      </c>
      <c r="G22" s="1416">
        <v>8098684023.7299995</v>
      </c>
      <c r="H22" s="1413">
        <v>2327.1999999999998</v>
      </c>
      <c r="I22" s="1410">
        <v>19.600000000000001</v>
      </c>
    </row>
    <row r="23" spans="1:9">
      <c r="A23" s="1401" t="s">
        <v>126</v>
      </c>
      <c r="B23" s="1405" t="s">
        <v>127</v>
      </c>
      <c r="C23" s="1408">
        <v>1622760</v>
      </c>
      <c r="D23" s="1417">
        <v>4309771731.0299997</v>
      </c>
      <c r="E23" s="1414">
        <v>2655.83</v>
      </c>
      <c r="F23" s="1414">
        <v>20.9</v>
      </c>
      <c r="G23" s="1417">
        <v>4103449851.9200001</v>
      </c>
      <c r="H23" s="1414">
        <v>2528.6999999999998</v>
      </c>
      <c r="I23" s="1411">
        <v>19.899999999999999</v>
      </c>
    </row>
    <row r="25" spans="1:9" ht="14.4">
      <c r="A25" s="295" t="s">
        <v>128</v>
      </c>
      <c r="B25" s="365" t="s">
        <v>909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636" t="s">
        <v>910</v>
      </c>
      <c r="C26" s="295"/>
      <c r="D26" s="295"/>
      <c r="E26" s="295"/>
      <c r="F26" s="295"/>
      <c r="G26" s="295"/>
      <c r="H26" s="295"/>
      <c r="I26" s="295"/>
    </row>
  </sheetData>
  <mergeCells count="11">
    <mergeCell ref="A3:A5"/>
    <mergeCell ref="B3:B5"/>
    <mergeCell ref="I3:I4"/>
    <mergeCell ref="D5:E5"/>
    <mergeCell ref="G5:H5"/>
    <mergeCell ref="C3:C4"/>
    <mergeCell ref="D3:D4"/>
    <mergeCell ref="E3:E4"/>
    <mergeCell ref="F3:F4"/>
    <mergeCell ref="G3:G4"/>
    <mergeCell ref="H3:H4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590D-892C-4040-B1E6-4261329B1E4D}">
  <dimension ref="A1:E62"/>
  <sheetViews>
    <sheetView view="pageBreakPreview" topLeftCell="A19" zoomScaleNormal="100" zoomScaleSheetLayoutView="100" workbookViewId="0">
      <selection activeCell="F8" sqref="F8"/>
    </sheetView>
  </sheetViews>
  <sheetFormatPr defaultColWidth="8.77734375" defaultRowHeight="13.2"/>
  <cols>
    <col min="1" max="1" width="36.44140625" style="558" customWidth="1"/>
    <col min="2" max="2" width="16.77734375" style="558" customWidth="1"/>
    <col min="3" max="3" width="15.77734375" style="558" customWidth="1"/>
    <col min="4" max="4" width="9.77734375" style="558" customWidth="1"/>
    <col min="5" max="5" width="11.21875" style="558" customWidth="1"/>
    <col min="6" max="16384" width="8.77734375" style="558"/>
  </cols>
  <sheetData>
    <row r="1" spans="1:5" ht="13.8">
      <c r="A1" s="2241" t="s">
        <v>978</v>
      </c>
      <c r="B1" s="2242"/>
      <c r="C1" s="2242"/>
      <c r="D1" s="2242"/>
      <c r="E1" s="2242"/>
    </row>
    <row r="2" spans="1:5" ht="13.8">
      <c r="A2" s="616"/>
      <c r="B2" s="613"/>
      <c r="C2" s="613"/>
      <c r="D2" s="613"/>
      <c r="E2" s="613"/>
    </row>
    <row r="3" spans="1:5" ht="26.4">
      <c r="A3" s="2243" t="s">
        <v>1</v>
      </c>
      <c r="B3" s="559" t="s">
        <v>795</v>
      </c>
      <c r="C3" s="560" t="s">
        <v>796</v>
      </c>
      <c r="D3" s="561" t="s">
        <v>797</v>
      </c>
      <c r="E3" s="562" t="s">
        <v>798</v>
      </c>
    </row>
    <row r="4" spans="1:5">
      <c r="A4" s="2244"/>
      <c r="B4" s="612" t="s">
        <v>163</v>
      </c>
      <c r="C4" s="563"/>
      <c r="D4" s="2245" t="s">
        <v>134</v>
      </c>
      <c r="E4" s="2246"/>
    </row>
    <row r="5" spans="1:5">
      <c r="A5" s="564" t="s">
        <v>10</v>
      </c>
      <c r="B5" s="565" t="s">
        <v>11</v>
      </c>
      <c r="C5" s="566" t="s">
        <v>12</v>
      </c>
      <c r="D5" s="567" t="s">
        <v>13</v>
      </c>
      <c r="E5" s="564" t="s">
        <v>14</v>
      </c>
    </row>
    <row r="6" spans="1:5">
      <c r="A6" s="568" t="s">
        <v>799</v>
      </c>
      <c r="B6" s="569"/>
      <c r="C6" s="620"/>
      <c r="D6" s="615"/>
      <c r="E6" s="1727"/>
    </row>
    <row r="7" spans="1:5">
      <c r="A7" s="570" t="s">
        <v>800</v>
      </c>
      <c r="B7" s="1709">
        <v>311780882.49000001</v>
      </c>
      <c r="C7" s="1690">
        <v>56115999.759999998</v>
      </c>
      <c r="D7" s="1692">
        <f>C7/B7*100</f>
        <v>17.998537726828022</v>
      </c>
      <c r="E7" s="1728">
        <f>C7/$C$7*100</f>
        <v>100</v>
      </c>
    </row>
    <row r="8" spans="1:5">
      <c r="A8" s="570" t="s">
        <v>801</v>
      </c>
      <c r="B8" s="1709">
        <v>6290880925.4099998</v>
      </c>
      <c r="C8" s="1690">
        <v>6293759112.4499998</v>
      </c>
      <c r="D8" s="1692">
        <f t="shared" ref="D8:D58" si="0">C8/B8*100</f>
        <v>100.04575173293098</v>
      </c>
      <c r="E8" s="1728">
        <f>C8/$C$8*100</f>
        <v>100</v>
      </c>
    </row>
    <row r="9" spans="1:5">
      <c r="A9" s="570" t="s">
        <v>802</v>
      </c>
      <c r="B9" s="1709">
        <v>866644456.38000095</v>
      </c>
      <c r="C9" s="1690">
        <v>842696440.76999998</v>
      </c>
      <c r="D9" s="1692">
        <f t="shared" si="0"/>
        <v>97.236696613737934</v>
      </c>
      <c r="E9" s="1728">
        <f>C9/$C$9*100</f>
        <v>100</v>
      </c>
    </row>
    <row r="10" spans="1:5">
      <c r="A10" s="570" t="s">
        <v>803</v>
      </c>
      <c r="B10" s="1709">
        <v>6232998388.0799999</v>
      </c>
      <c r="C10" s="1690">
        <v>6157336674.7299995</v>
      </c>
      <c r="D10" s="1692">
        <f t="shared" si="0"/>
        <v>98.786110493872485</v>
      </c>
      <c r="E10" s="1728">
        <f>C10/$C$10*100</f>
        <v>100</v>
      </c>
    </row>
    <row r="11" spans="1:5">
      <c r="A11" s="570" t="s">
        <v>785</v>
      </c>
      <c r="B11" s="1709">
        <v>17063070</v>
      </c>
      <c r="C11" s="1690">
        <v>27806157.68</v>
      </c>
      <c r="D11" s="1692">
        <f t="shared" si="0"/>
        <v>162.96104792396679</v>
      </c>
      <c r="E11" s="1728">
        <f>C11/$C$11*100</f>
        <v>100</v>
      </c>
    </row>
    <row r="12" spans="1:5">
      <c r="A12" s="570" t="s">
        <v>804</v>
      </c>
      <c r="B12" s="1710">
        <v>6140108.96</v>
      </c>
      <c r="C12" s="1696">
        <v>57750112.159999996</v>
      </c>
      <c r="D12" s="1692">
        <f t="shared" si="0"/>
        <v>940.53888190283828</v>
      </c>
      <c r="E12" s="1728">
        <f>C12/$C$12*100</f>
        <v>100</v>
      </c>
    </row>
    <row r="13" spans="1:5">
      <c r="A13" s="570" t="s">
        <v>806</v>
      </c>
      <c r="B13" s="1697">
        <v>134397210.44999999</v>
      </c>
      <c r="C13" s="1691">
        <v>114305311.25</v>
      </c>
      <c r="D13" s="1692">
        <f t="shared" si="0"/>
        <v>85.050359949639869</v>
      </c>
      <c r="E13" s="1728">
        <f>C13/$C$13*100</f>
        <v>100</v>
      </c>
    </row>
    <row r="14" spans="1:5">
      <c r="A14" s="570"/>
      <c r="B14" s="1695"/>
      <c r="C14" s="1694"/>
      <c r="D14" s="1692" t="s">
        <v>742</v>
      </c>
      <c r="E14" s="1729"/>
    </row>
    <row r="15" spans="1:5">
      <c r="A15" s="574" t="s">
        <v>807</v>
      </c>
      <c r="B15" s="575"/>
      <c r="C15" s="618"/>
      <c r="D15" s="1692" t="s">
        <v>742</v>
      </c>
      <c r="E15" s="1730"/>
    </row>
    <row r="16" spans="1:5">
      <c r="A16" s="576" t="s">
        <v>800</v>
      </c>
      <c r="B16" s="1689">
        <v>277178648.54000002</v>
      </c>
      <c r="C16" s="1687">
        <v>34132215.710000001</v>
      </c>
      <c r="D16" s="1692">
        <f t="shared" si="0"/>
        <v>12.314157634358454</v>
      </c>
      <c r="E16" s="1731">
        <f>C16/$C$7*100</f>
        <v>60.824392073523669</v>
      </c>
    </row>
    <row r="17" spans="1:5">
      <c r="A17" s="576" t="s">
        <v>801</v>
      </c>
      <c r="B17" s="1699">
        <v>3599683767.0999999</v>
      </c>
      <c r="C17" s="1690">
        <v>3686788698.0900002</v>
      </c>
      <c r="D17" s="1692">
        <f t="shared" si="0"/>
        <v>102.41979397707411</v>
      </c>
      <c r="E17" s="1692">
        <f>C17/$C$8*100</f>
        <v>58.578484371875291</v>
      </c>
    </row>
    <row r="18" spans="1:5">
      <c r="A18" s="576" t="s">
        <v>802</v>
      </c>
      <c r="B18" s="1699">
        <v>472948323.31999999</v>
      </c>
      <c r="C18" s="1690">
        <v>459428829.07999998</v>
      </c>
      <c r="D18" s="1692">
        <f t="shared" si="0"/>
        <v>97.141443668708689</v>
      </c>
      <c r="E18" s="1692">
        <f>C18/$C$9*100</f>
        <v>54.518899908987926</v>
      </c>
    </row>
    <row r="19" spans="1:5">
      <c r="A19" s="576" t="s">
        <v>803</v>
      </c>
      <c r="B19" s="1699">
        <v>3556991548.27</v>
      </c>
      <c r="C19" s="1690">
        <v>3601446775.7600002</v>
      </c>
      <c r="D19" s="1692">
        <f t="shared" si="0"/>
        <v>101.2497985133426</v>
      </c>
      <c r="E19" s="1692">
        <f>C19/$C$10*100</f>
        <v>58.490333824695796</v>
      </c>
    </row>
    <row r="20" spans="1:5">
      <c r="A20" s="576" t="s">
        <v>785</v>
      </c>
      <c r="B20" s="1699">
        <v>7526674</v>
      </c>
      <c r="C20" s="1690">
        <v>14250528.68</v>
      </c>
      <c r="D20" s="1692">
        <f t="shared" si="0"/>
        <v>189.33367753140365</v>
      </c>
      <c r="E20" s="1692">
        <f>C20/$C$11*100</f>
        <v>51.249542795515069</v>
      </c>
    </row>
    <row r="21" spans="1:5">
      <c r="A21" s="576" t="s">
        <v>804</v>
      </c>
      <c r="B21" s="1700">
        <v>5134108.96</v>
      </c>
      <c r="C21" s="1696">
        <v>37467896.32</v>
      </c>
      <c r="D21" s="1692">
        <f t="shared" si="0"/>
        <v>729.78381666445978</v>
      </c>
      <c r="E21" s="1692">
        <f>C21/$C$12*100</f>
        <v>64.879348140819275</v>
      </c>
    </row>
    <row r="22" spans="1:5">
      <c r="A22" s="576" t="s">
        <v>806</v>
      </c>
      <c r="B22" s="1693">
        <v>95848024.170000002</v>
      </c>
      <c r="C22" s="1693">
        <v>71193924.359999999</v>
      </c>
      <c r="D22" s="1692">
        <f t="shared" si="0"/>
        <v>74.277925889977155</v>
      </c>
      <c r="E22" s="1686">
        <f>C22/$C$13*100</f>
        <v>62.28400376277353</v>
      </c>
    </row>
    <row r="23" spans="1:5">
      <c r="A23" s="570"/>
      <c r="B23" s="571"/>
      <c r="C23" s="614"/>
      <c r="D23" s="1692" t="s">
        <v>742</v>
      </c>
      <c r="E23" s="573"/>
    </row>
    <row r="24" spans="1:5">
      <c r="A24" s="577" t="s">
        <v>808</v>
      </c>
      <c r="B24" s="571"/>
      <c r="C24" s="614"/>
      <c r="D24" s="1692" t="s">
        <v>742</v>
      </c>
      <c r="E24" s="573"/>
    </row>
    <row r="25" spans="1:5">
      <c r="A25" s="570" t="s">
        <v>800</v>
      </c>
      <c r="B25" s="1689">
        <v>3880584.63</v>
      </c>
      <c r="C25" s="1687">
        <v>4213785.3</v>
      </c>
      <c r="D25" s="1692">
        <f t="shared" si="0"/>
        <v>108.58635236103586</v>
      </c>
      <c r="E25" s="1688">
        <f>C25/$C$7*100</f>
        <v>7.509062153435293</v>
      </c>
    </row>
    <row r="26" spans="1:5">
      <c r="A26" s="570" t="s">
        <v>801</v>
      </c>
      <c r="B26" s="1701">
        <v>184618872.41999999</v>
      </c>
      <c r="C26" s="1690">
        <v>180747920.94999999</v>
      </c>
      <c r="D26" s="1692">
        <f t="shared" si="0"/>
        <v>97.903274232336472</v>
      </c>
      <c r="E26" s="1692">
        <f>C26/$C$8*100</f>
        <v>2.8718595313324506</v>
      </c>
    </row>
    <row r="27" spans="1:5">
      <c r="A27" s="570" t="s">
        <v>802</v>
      </c>
      <c r="B27" s="1701">
        <v>46343594.640000001</v>
      </c>
      <c r="C27" s="1690">
        <v>40907621.060000002</v>
      </c>
      <c r="D27" s="1692">
        <f t="shared" si="0"/>
        <v>88.270280667205498</v>
      </c>
      <c r="E27" s="1692">
        <f>C27/$C$9*100</f>
        <v>4.8543721179860855</v>
      </c>
    </row>
    <row r="28" spans="1:5">
      <c r="A28" s="570" t="s">
        <v>803</v>
      </c>
      <c r="B28" s="1701">
        <v>185477506.84</v>
      </c>
      <c r="C28" s="1690">
        <v>179098930.72</v>
      </c>
      <c r="D28" s="1692">
        <f t="shared" si="0"/>
        <v>96.560997487688681</v>
      </c>
      <c r="E28" s="1692">
        <f>C28/$C$10*100</f>
        <v>2.9087077770983427</v>
      </c>
    </row>
    <row r="29" spans="1:5">
      <c r="A29" s="570" t="s">
        <v>785</v>
      </c>
      <c r="B29" s="1701">
        <v>30000</v>
      </c>
      <c r="C29" s="1690">
        <v>56809</v>
      </c>
      <c r="D29" s="1692">
        <f t="shared" si="0"/>
        <v>189.36333333333332</v>
      </c>
      <c r="E29" s="1692">
        <f>C29/$C$11*100</f>
        <v>0.20430366774788425</v>
      </c>
    </row>
    <row r="30" spans="1:5">
      <c r="A30" s="570" t="s">
        <v>804</v>
      </c>
      <c r="B30" s="1702">
        <v>0</v>
      </c>
      <c r="C30" s="1696">
        <v>277799.58</v>
      </c>
      <c r="D30" s="1698" t="s">
        <v>86</v>
      </c>
      <c r="E30" s="1692">
        <f>C30/$C$12*100</f>
        <v>0.48103729951266655</v>
      </c>
    </row>
    <row r="31" spans="1:5">
      <c r="A31" s="570" t="s">
        <v>806</v>
      </c>
      <c r="B31" s="1693">
        <v>2619250.09</v>
      </c>
      <c r="C31" s="1693">
        <v>4265130.24</v>
      </c>
      <c r="D31" s="1692">
        <f t="shared" si="0"/>
        <v>162.83783882584501</v>
      </c>
      <c r="E31" s="1686">
        <f>C31/$C$13*100</f>
        <v>3.7313491327376971</v>
      </c>
    </row>
    <row r="32" spans="1:5">
      <c r="A32" s="570"/>
      <c r="B32" s="571"/>
      <c r="C32" s="614"/>
      <c r="D32" s="1692" t="s">
        <v>742</v>
      </c>
      <c r="E32" s="572"/>
    </row>
    <row r="33" spans="1:5">
      <c r="A33" s="577" t="s">
        <v>809</v>
      </c>
      <c r="B33" s="571"/>
      <c r="C33" s="614"/>
      <c r="D33" s="1692" t="s">
        <v>742</v>
      </c>
      <c r="E33" s="573"/>
    </row>
    <row r="34" spans="1:5">
      <c r="A34" s="570" t="s">
        <v>800</v>
      </c>
      <c r="B34" s="1689">
        <v>25488117.16</v>
      </c>
      <c r="C34" s="1687">
        <v>12551481.27</v>
      </c>
      <c r="D34" s="1692">
        <f t="shared" si="0"/>
        <v>49.244442777820311</v>
      </c>
      <c r="E34" s="1688">
        <f>C34/$C$7*100</f>
        <v>22.367027806117449</v>
      </c>
    </row>
    <row r="35" spans="1:5">
      <c r="A35" s="570" t="s">
        <v>801</v>
      </c>
      <c r="B35" s="1703">
        <v>2388616460.8899999</v>
      </c>
      <c r="C35" s="1690">
        <v>2311144248.6100001</v>
      </c>
      <c r="D35" s="1692">
        <f t="shared" si="0"/>
        <v>96.756607285075248</v>
      </c>
      <c r="E35" s="1692">
        <f>C35/$C$8*100</f>
        <v>36.721205996559512</v>
      </c>
    </row>
    <row r="36" spans="1:5">
      <c r="A36" s="570" t="s">
        <v>802</v>
      </c>
      <c r="B36" s="1703">
        <v>339317835.42000002</v>
      </c>
      <c r="C36" s="1690">
        <v>334325646.98000002</v>
      </c>
      <c r="D36" s="1692">
        <f t="shared" si="0"/>
        <v>98.528757430678297</v>
      </c>
      <c r="E36" s="1692">
        <f>C36/$C$9*100</f>
        <v>39.673318980025059</v>
      </c>
    </row>
    <row r="37" spans="1:5">
      <c r="A37" s="570" t="s">
        <v>803</v>
      </c>
      <c r="B37" s="1703">
        <v>2373458294.48</v>
      </c>
      <c r="C37" s="1690">
        <v>2265712302.29</v>
      </c>
      <c r="D37" s="1692">
        <f t="shared" si="0"/>
        <v>95.460379799359146</v>
      </c>
      <c r="E37" s="1692">
        <f>C37/$C$10*100</f>
        <v>36.796953325430302</v>
      </c>
    </row>
    <row r="38" spans="1:5">
      <c r="A38" s="570" t="s">
        <v>785</v>
      </c>
      <c r="B38" s="1703">
        <v>9344396</v>
      </c>
      <c r="C38" s="1690">
        <v>12829503</v>
      </c>
      <c r="D38" s="1692">
        <f t="shared" si="0"/>
        <v>137.29622545962309</v>
      </c>
      <c r="E38" s="1692">
        <f>C38/$C$11*100</f>
        <v>46.139071595741591</v>
      </c>
    </row>
    <row r="39" spans="1:5">
      <c r="A39" s="570" t="s">
        <v>804</v>
      </c>
      <c r="B39" s="1704">
        <v>120000</v>
      </c>
      <c r="C39" s="1696">
        <v>17729728.920000002</v>
      </c>
      <c r="D39" s="1698" t="s">
        <v>805</v>
      </c>
      <c r="E39" s="1692">
        <f>C39/$C$12*100</f>
        <v>30.700769672756255</v>
      </c>
    </row>
    <row r="40" spans="1:5">
      <c r="A40" s="570" t="s">
        <v>806</v>
      </c>
      <c r="B40" s="1693">
        <v>30853617.52</v>
      </c>
      <c r="C40" s="1693">
        <v>32477404.899999999</v>
      </c>
      <c r="D40" s="1692">
        <f t="shared" si="0"/>
        <v>105.26287518456279</v>
      </c>
      <c r="E40" s="1686">
        <f>C40/$C$13*100</f>
        <v>28.412857237200338</v>
      </c>
    </row>
    <row r="41" spans="1:5">
      <c r="A41" s="570"/>
      <c r="B41" s="571"/>
      <c r="C41" s="614"/>
      <c r="D41" s="1692" t="s">
        <v>742</v>
      </c>
      <c r="E41" s="572"/>
    </row>
    <row r="42" spans="1:5">
      <c r="A42" s="577" t="s">
        <v>810</v>
      </c>
      <c r="B42" s="571"/>
      <c r="C42" s="614"/>
      <c r="D42" s="1692" t="s">
        <v>742</v>
      </c>
      <c r="E42" s="573"/>
    </row>
    <row r="43" spans="1:5">
      <c r="A43" s="570" t="s">
        <v>800</v>
      </c>
      <c r="B43" s="1689">
        <v>1606897</v>
      </c>
      <c r="C43" s="1687">
        <v>1606897.58</v>
      </c>
      <c r="D43" s="1692">
        <f t="shared" si="0"/>
        <v>100.00003609441053</v>
      </c>
      <c r="E43" s="1688">
        <f>C43/$C$7*100</f>
        <v>2.8635283820522996</v>
      </c>
    </row>
    <row r="44" spans="1:5">
      <c r="A44" s="570" t="s">
        <v>801</v>
      </c>
      <c r="B44" s="1705">
        <v>55339285</v>
      </c>
      <c r="C44" s="1690">
        <v>53291775.780000001</v>
      </c>
      <c r="D44" s="1692">
        <f t="shared" si="0"/>
        <v>96.300080096806468</v>
      </c>
      <c r="E44" s="1692">
        <f>C44/$C$8*100</f>
        <v>0.84673999795417765</v>
      </c>
    </row>
    <row r="45" spans="1:5">
      <c r="A45" s="570" t="s">
        <v>802</v>
      </c>
      <c r="B45" s="1705">
        <v>7974703</v>
      </c>
      <c r="C45" s="1690">
        <v>7974703</v>
      </c>
      <c r="D45" s="1692">
        <f t="shared" si="0"/>
        <v>100</v>
      </c>
      <c r="E45" s="1692">
        <f>C45/$C$9*100</f>
        <v>0.94633163428496825</v>
      </c>
    </row>
    <row r="46" spans="1:5">
      <c r="A46" s="570" t="s">
        <v>803</v>
      </c>
      <c r="B46" s="1705">
        <v>55335280</v>
      </c>
      <c r="C46" s="1690">
        <v>52305702.960000001</v>
      </c>
      <c r="D46" s="1692">
        <f t="shared" si="0"/>
        <v>94.525053383664087</v>
      </c>
      <c r="E46" s="1692">
        <f>C46/$C$10*100</f>
        <v>0.84948583654139098</v>
      </c>
    </row>
    <row r="47" spans="1:5">
      <c r="A47" s="570" t="s">
        <v>785</v>
      </c>
      <c r="B47" s="1705">
        <v>0</v>
      </c>
      <c r="C47" s="1690">
        <v>156900</v>
      </c>
      <c r="D47" s="1698" t="s">
        <v>86</v>
      </c>
      <c r="E47" s="1692">
        <f>C47/$C$11*100</f>
        <v>0.5642635052481656</v>
      </c>
    </row>
    <row r="48" spans="1:5">
      <c r="A48" s="570" t="s">
        <v>804</v>
      </c>
      <c r="B48" s="1706">
        <v>0</v>
      </c>
      <c r="C48" s="1696">
        <v>711478.49</v>
      </c>
      <c r="D48" s="1698" t="s">
        <v>86</v>
      </c>
      <c r="E48" s="1692">
        <f>C48/$C$12*100</f>
        <v>1.231994992544444</v>
      </c>
    </row>
    <row r="49" spans="1:5">
      <c r="A49" s="570" t="s">
        <v>806</v>
      </c>
      <c r="B49" s="1693">
        <v>1610902</v>
      </c>
      <c r="C49" s="1693">
        <v>1724591.91</v>
      </c>
      <c r="D49" s="1692">
        <f t="shared" si="0"/>
        <v>107.05753112231531</v>
      </c>
      <c r="E49" s="1686">
        <f>C49/$C$13*100</f>
        <v>1.5087592091220519</v>
      </c>
    </row>
    <row r="50" spans="1:5">
      <c r="A50" s="570"/>
      <c r="B50" s="571"/>
      <c r="C50" s="614"/>
      <c r="D50" s="1692" t="s">
        <v>742</v>
      </c>
      <c r="E50" s="578"/>
    </row>
    <row r="51" spans="1:5">
      <c r="A51" s="577" t="s">
        <v>811</v>
      </c>
      <c r="B51" s="571"/>
      <c r="C51" s="614"/>
      <c r="D51" s="1692" t="s">
        <v>742</v>
      </c>
      <c r="E51" s="578"/>
    </row>
    <row r="52" spans="1:5">
      <c r="A52" s="570" t="s">
        <v>800</v>
      </c>
      <c r="B52" s="1689">
        <v>3626635.16</v>
      </c>
      <c r="C52" s="1687">
        <v>3611619.9</v>
      </c>
      <c r="D52" s="1692">
        <f t="shared" si="0"/>
        <v>99.585972689902448</v>
      </c>
      <c r="E52" s="1688">
        <f>C52/$C$7*100</f>
        <v>6.4359895848712938</v>
      </c>
    </row>
    <row r="53" spans="1:5">
      <c r="A53" s="570" t="s">
        <v>801</v>
      </c>
      <c r="B53" s="1707">
        <v>62622540</v>
      </c>
      <c r="C53" s="1690">
        <v>61786469.020000003</v>
      </c>
      <c r="D53" s="1692">
        <f t="shared" si="0"/>
        <v>98.66490407447543</v>
      </c>
      <c r="E53" s="1692">
        <f>C53/$C$8*100</f>
        <v>0.98171010227857458</v>
      </c>
    </row>
    <row r="54" spans="1:5">
      <c r="A54" s="570" t="s">
        <v>802</v>
      </c>
      <c r="B54" s="1707">
        <v>60000</v>
      </c>
      <c r="C54" s="1690">
        <v>59640.65</v>
      </c>
      <c r="D54" s="1692">
        <f t="shared" si="0"/>
        <v>99.401083333333347</v>
      </c>
      <c r="E54" s="1692">
        <f>C54/$C$9*100</f>
        <v>7.0773587159694588E-3</v>
      </c>
    </row>
    <row r="55" spans="1:5">
      <c r="A55" s="570" t="s">
        <v>803</v>
      </c>
      <c r="B55" s="1707">
        <v>61735758.490000002</v>
      </c>
      <c r="C55" s="1690">
        <v>58772963</v>
      </c>
      <c r="D55" s="1692">
        <f t="shared" si="0"/>
        <v>95.200843785729276</v>
      </c>
      <c r="E55" s="1692">
        <f>C55/$C$10*100</f>
        <v>0.95451923623418244</v>
      </c>
    </row>
    <row r="56" spans="1:5">
      <c r="A56" s="570" t="s">
        <v>785</v>
      </c>
      <c r="B56" s="1707">
        <v>162000</v>
      </c>
      <c r="C56" s="1690">
        <v>512417</v>
      </c>
      <c r="D56" s="1692">
        <f t="shared" si="0"/>
        <v>316.30679012345678</v>
      </c>
      <c r="E56" s="1692">
        <f>C56/$C$10*100</f>
        <v>8.3220558996389381E-3</v>
      </c>
    </row>
    <row r="57" spans="1:5">
      <c r="A57" s="570" t="s">
        <v>804</v>
      </c>
      <c r="B57" s="1708">
        <v>886000</v>
      </c>
      <c r="C57" s="1696">
        <v>1563208.85</v>
      </c>
      <c r="D57" s="1692">
        <f t="shared" si="0"/>
        <v>176.43440744920994</v>
      </c>
      <c r="E57" s="1692">
        <f>C57/$C$12*100</f>
        <v>2.7068498943673744</v>
      </c>
    </row>
    <row r="58" spans="1:5">
      <c r="A58" s="570" t="s">
        <v>806</v>
      </c>
      <c r="B58" s="1693">
        <v>3465416.67</v>
      </c>
      <c r="C58" s="1693">
        <v>4644259.8399999999</v>
      </c>
      <c r="D58" s="1692">
        <f t="shared" si="0"/>
        <v>134.01735728361922</v>
      </c>
      <c r="E58" s="1686">
        <f>C58/$C$13*100</f>
        <v>4.063030658166376</v>
      </c>
    </row>
    <row r="59" spans="1:5">
      <c r="A59" s="579"/>
      <c r="B59" s="580"/>
      <c r="C59" s="611"/>
      <c r="D59" s="581"/>
      <c r="E59" s="581"/>
    </row>
    <row r="60" spans="1:5">
      <c r="A60" s="582"/>
      <c r="B60" s="582"/>
      <c r="C60" s="582"/>
      <c r="D60" s="582"/>
      <c r="E60" s="582"/>
    </row>
    <row r="61" spans="1:5" ht="28.8" customHeight="1">
      <c r="A61" s="2247" t="s">
        <v>918</v>
      </c>
      <c r="B61" s="2247"/>
      <c r="C61" s="2247"/>
      <c r="D61" s="2247"/>
      <c r="E61" s="2247"/>
    </row>
    <row r="62" spans="1:5">
      <c r="A62" s="583" t="s">
        <v>812</v>
      </c>
      <c r="B62" s="582"/>
      <c r="C62" s="582"/>
      <c r="D62" s="582"/>
      <c r="E62" s="582"/>
    </row>
  </sheetData>
  <mergeCells count="4">
    <mergeCell ref="A1:E1"/>
    <mergeCell ref="A3:A4"/>
    <mergeCell ref="D4:E4"/>
    <mergeCell ref="A61:E61"/>
  </mergeCells>
  <pageMargins left="0.70866141732283472" right="0.70866141732283472" top="0.94488188976377963" bottom="0.35433070866141736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61C8-8086-46F2-BA1B-9756E5074EEA}">
  <dimension ref="A1:E44"/>
  <sheetViews>
    <sheetView view="pageBreakPreview" topLeftCell="A19" zoomScaleNormal="100" zoomScaleSheetLayoutView="100" workbookViewId="0">
      <selection activeCell="F8" sqref="F8"/>
    </sheetView>
  </sheetViews>
  <sheetFormatPr defaultColWidth="8.77734375" defaultRowHeight="13.2"/>
  <cols>
    <col min="1" max="1" width="32" style="558" customWidth="1"/>
    <col min="2" max="3" width="17" style="558" customWidth="1"/>
    <col min="4" max="4" width="7.44140625" style="558" bestFit="1" customWidth="1"/>
    <col min="5" max="5" width="10.77734375" style="558" customWidth="1"/>
    <col min="6" max="16384" width="8.77734375" style="558"/>
  </cols>
  <sheetData>
    <row r="1" spans="1:5" ht="28.2" customHeight="1">
      <c r="A1" s="2248" t="s">
        <v>979</v>
      </c>
      <c r="B1" s="2249"/>
      <c r="C1" s="2249"/>
      <c r="D1" s="2249"/>
      <c r="E1" s="2249"/>
    </row>
    <row r="2" spans="1:5">
      <c r="A2" s="584"/>
      <c r="B2" s="585"/>
      <c r="C2" s="585"/>
      <c r="D2" s="585"/>
      <c r="E2" s="585"/>
    </row>
    <row r="3" spans="1:5" ht="25.95" customHeight="1">
      <c r="A3" s="2250" t="s">
        <v>1</v>
      </c>
      <c r="B3" s="559" t="s">
        <v>795</v>
      </c>
      <c r="C3" s="560" t="s">
        <v>796</v>
      </c>
      <c r="D3" s="586" t="s">
        <v>797</v>
      </c>
      <c r="E3" s="562" t="s">
        <v>798</v>
      </c>
    </row>
    <row r="4" spans="1:5">
      <c r="A4" s="2251"/>
      <c r="B4" s="587" t="s">
        <v>163</v>
      </c>
      <c r="C4" s="588"/>
      <c r="D4" s="589" t="s">
        <v>134</v>
      </c>
      <c r="E4" s="589"/>
    </row>
    <row r="5" spans="1:5">
      <c r="A5" s="590" t="s">
        <v>10</v>
      </c>
      <c r="B5" s="565" t="s">
        <v>11</v>
      </c>
      <c r="C5" s="566" t="s">
        <v>12</v>
      </c>
      <c r="D5" s="591" t="s">
        <v>13</v>
      </c>
      <c r="E5" s="564" t="s">
        <v>14</v>
      </c>
    </row>
    <row r="6" spans="1:5">
      <c r="A6" s="592" t="s">
        <v>799</v>
      </c>
      <c r="B6" s="593"/>
      <c r="C6" s="594"/>
      <c r="D6" s="595"/>
      <c r="E6" s="596"/>
    </row>
    <row r="7" spans="1:5">
      <c r="A7" s="597" t="s">
        <v>813</v>
      </c>
      <c r="B7" s="617">
        <v>6456031.4800000004</v>
      </c>
      <c r="C7" s="619">
        <v>36398366.759999998</v>
      </c>
      <c r="D7" s="598">
        <f>C7/B7*100</f>
        <v>563.78855761093644</v>
      </c>
      <c r="E7" s="599">
        <f>C7/$C$7*100</f>
        <v>100</v>
      </c>
    </row>
    <row r="8" spans="1:5">
      <c r="A8" s="597" t="s">
        <v>814</v>
      </c>
      <c r="B8" s="617">
        <v>2222025478.3600001</v>
      </c>
      <c r="C8" s="619">
        <v>1725704155.21</v>
      </c>
      <c r="D8" s="598">
        <f>C8/B8*100</f>
        <v>77.663562907644163</v>
      </c>
      <c r="E8" s="599">
        <f>C8/$C$8*100</f>
        <v>100</v>
      </c>
    </row>
    <row r="9" spans="1:5">
      <c r="A9" s="597" t="s">
        <v>815</v>
      </c>
      <c r="B9" s="617">
        <v>2227185305.52</v>
      </c>
      <c r="C9" s="619">
        <v>1721622988.95</v>
      </c>
      <c r="D9" s="598">
        <f>C9/B9*100</f>
        <v>77.300392773022452</v>
      </c>
      <c r="E9" s="599">
        <f>C9/$C$9*100</f>
        <v>100</v>
      </c>
    </row>
    <row r="10" spans="1:5">
      <c r="A10" s="597" t="s">
        <v>816</v>
      </c>
      <c r="B10" s="617">
        <v>16383632.4</v>
      </c>
      <c r="C10" s="619">
        <v>47704974.839999899</v>
      </c>
      <c r="D10" s="598">
        <f>C10/B10*100</f>
        <v>291.17459227173515</v>
      </c>
      <c r="E10" s="599">
        <f>C10/$C$10*100</f>
        <v>100</v>
      </c>
    </row>
    <row r="11" spans="1:5">
      <c r="A11" s="597" t="s">
        <v>817</v>
      </c>
      <c r="B11" s="617">
        <v>996239.52</v>
      </c>
      <c r="C11" s="619">
        <v>40487948.600000001</v>
      </c>
      <c r="D11" s="600" t="s">
        <v>805</v>
      </c>
      <c r="E11" s="599">
        <f>C11/$C$11*100</f>
        <v>100</v>
      </c>
    </row>
    <row r="12" spans="1:5">
      <c r="A12" s="597"/>
      <c r="B12" s="601"/>
      <c r="C12" s="602"/>
      <c r="D12" s="603"/>
      <c r="E12" s="604"/>
    </row>
    <row r="13" spans="1:5">
      <c r="A13" s="605" t="s">
        <v>807</v>
      </c>
      <c r="B13" s="601"/>
      <c r="C13" s="602"/>
      <c r="D13" s="603"/>
      <c r="E13" s="604"/>
    </row>
    <row r="14" spans="1:5">
      <c r="A14" s="597" t="s">
        <v>813</v>
      </c>
      <c r="B14" s="617">
        <v>827050.88</v>
      </c>
      <c r="C14" s="619">
        <v>2615757.44</v>
      </c>
      <c r="D14" s="598">
        <f>C14/B14*100</f>
        <v>316.27527438215168</v>
      </c>
      <c r="E14" s="599">
        <f>C14/$C$7*100</f>
        <v>7.1864692645346606</v>
      </c>
    </row>
    <row r="15" spans="1:5">
      <c r="A15" s="597" t="s">
        <v>814</v>
      </c>
      <c r="B15" s="617">
        <v>773922369.14999998</v>
      </c>
      <c r="C15" s="619">
        <v>633329036.13</v>
      </c>
      <c r="D15" s="598">
        <f>C15/B15*100</f>
        <v>81.833664638171157</v>
      </c>
      <c r="E15" s="599">
        <f>C15/$C$8*100</f>
        <v>36.69974567876789</v>
      </c>
    </row>
    <row r="16" spans="1:5">
      <c r="A16" s="597" t="s">
        <v>815</v>
      </c>
      <c r="B16" s="617">
        <v>774331755.71000004</v>
      </c>
      <c r="C16" s="619">
        <v>632891710.90999997</v>
      </c>
      <c r="D16" s="598">
        <f>C16/B16*100</f>
        <v>81.733921699968135</v>
      </c>
      <c r="E16" s="599">
        <f>C16/$C$9*100</f>
        <v>36.761341767165526</v>
      </c>
    </row>
    <row r="17" spans="1:5">
      <c r="A17" s="597" t="s">
        <v>816</v>
      </c>
      <c r="B17" s="617">
        <v>5625776.0499999998</v>
      </c>
      <c r="C17" s="619">
        <v>9349691.4199999999</v>
      </c>
      <c r="D17" s="598">
        <f>C17/B17*100</f>
        <v>166.19380751923106</v>
      </c>
      <c r="E17" s="599">
        <f>C17/$C$10*100</f>
        <v>19.59898616728842</v>
      </c>
    </row>
    <row r="18" spans="1:5">
      <c r="A18" s="597" t="s">
        <v>817</v>
      </c>
      <c r="B18" s="617">
        <v>117699.52</v>
      </c>
      <c r="C18" s="619">
        <v>3059584.75</v>
      </c>
      <c r="D18" s="600" t="s">
        <v>805</v>
      </c>
      <c r="E18" s="599">
        <f>C18/$C$11*100</f>
        <v>7.5567788830872011</v>
      </c>
    </row>
    <row r="19" spans="1:5">
      <c r="A19" s="597"/>
      <c r="B19" s="601"/>
      <c r="C19" s="602"/>
      <c r="D19" s="603"/>
      <c r="E19" s="604"/>
    </row>
    <row r="20" spans="1:5">
      <c r="A20" s="605" t="s">
        <v>808</v>
      </c>
      <c r="B20" s="601"/>
      <c r="C20" s="602"/>
      <c r="D20" s="603"/>
      <c r="E20" s="604"/>
    </row>
    <row r="21" spans="1:5">
      <c r="A21" s="597" t="s">
        <v>813</v>
      </c>
      <c r="B21" s="617">
        <v>2117541.19</v>
      </c>
      <c r="C21" s="619">
        <v>3048262.04</v>
      </c>
      <c r="D21" s="598">
        <f>C21/B21*100</f>
        <v>143.95290416995383</v>
      </c>
      <c r="E21" s="599">
        <f>C21/$C$7*100</f>
        <v>8.3747220310717054</v>
      </c>
    </row>
    <row r="22" spans="1:5">
      <c r="A22" s="597" t="s">
        <v>814</v>
      </c>
      <c r="B22" s="617">
        <v>107486238.06999999</v>
      </c>
      <c r="C22" s="619">
        <v>87605002.280000001</v>
      </c>
      <c r="D22" s="598">
        <f>C22/B22*100</f>
        <v>81.503459282803803</v>
      </c>
      <c r="E22" s="599">
        <f>C22/$C$8*100</f>
        <v>5.0764786081968607</v>
      </c>
    </row>
    <row r="23" spans="1:5">
      <c r="A23" s="597" t="s">
        <v>815</v>
      </c>
      <c r="B23" s="617">
        <v>108726599.26000001</v>
      </c>
      <c r="C23" s="619">
        <v>87453003.579999998</v>
      </c>
      <c r="D23" s="598">
        <f>C23/B23*100</f>
        <v>80.433862711802433</v>
      </c>
      <c r="E23" s="599">
        <f>C23/$C$9*100</f>
        <v>5.0796837717261587</v>
      </c>
    </row>
    <row r="24" spans="1:5">
      <c r="A24" s="597" t="s">
        <v>816</v>
      </c>
      <c r="B24" s="617">
        <v>3746084.89</v>
      </c>
      <c r="C24" s="619">
        <v>4772456.29</v>
      </c>
      <c r="D24" s="598">
        <f>C24/B24*100</f>
        <v>127.39850884692578</v>
      </c>
      <c r="E24" s="599">
        <f>C24/$C$10*100</f>
        <v>10.004106083289175</v>
      </c>
    </row>
    <row r="25" spans="1:5">
      <c r="A25" s="597" t="s">
        <v>817</v>
      </c>
      <c r="B25" s="617">
        <v>877180</v>
      </c>
      <c r="C25" s="619">
        <v>3200182.77</v>
      </c>
      <c r="D25" s="598">
        <f>C25/B25*100</f>
        <v>364.8262352082811</v>
      </c>
      <c r="E25" s="599">
        <f>C25/$C$11*100</f>
        <v>7.904037820281169</v>
      </c>
    </row>
    <row r="26" spans="1:5">
      <c r="A26" s="597"/>
      <c r="B26" s="601"/>
      <c r="C26" s="602"/>
      <c r="D26" s="603"/>
      <c r="E26" s="599"/>
    </row>
    <row r="27" spans="1:5">
      <c r="A27" s="605" t="s">
        <v>809</v>
      </c>
      <c r="B27" s="601"/>
      <c r="C27" s="602"/>
      <c r="D27" s="603"/>
      <c r="E27" s="604"/>
    </row>
    <row r="28" spans="1:5">
      <c r="A28" s="597" t="s">
        <v>813</v>
      </c>
      <c r="B28" s="617">
        <v>2116902.27</v>
      </c>
      <c r="C28" s="619">
        <v>28597031.989999998</v>
      </c>
      <c r="D28" s="600" t="s">
        <v>805</v>
      </c>
      <c r="E28" s="599">
        <f>C28/$C$7*100</f>
        <v>78.56679992967905</v>
      </c>
    </row>
    <row r="29" spans="1:5">
      <c r="A29" s="597" t="s">
        <v>814</v>
      </c>
      <c r="B29" s="617">
        <v>1295618890.28</v>
      </c>
      <c r="C29" s="619">
        <v>966737837.35000002</v>
      </c>
      <c r="D29" s="598">
        <f>C29/B29*100</f>
        <v>74.61591094438856</v>
      </c>
      <c r="E29" s="599">
        <f>C29/$C$8*100</f>
        <v>56.019905522702885</v>
      </c>
    </row>
    <row r="30" spans="1:5">
      <c r="A30" s="597" t="s">
        <v>815</v>
      </c>
      <c r="B30" s="617">
        <v>1297734432.55</v>
      </c>
      <c r="C30" s="619">
        <v>963452638.90999997</v>
      </c>
      <c r="D30" s="598">
        <f>C30/B30*100</f>
        <v>74.241124743592664</v>
      </c>
      <c r="E30" s="599">
        <f>C30/$C$9*100</f>
        <v>55.961882775368821</v>
      </c>
    </row>
    <row r="31" spans="1:5">
      <c r="A31" s="597" t="s">
        <v>816</v>
      </c>
      <c r="B31" s="617">
        <v>5410464.2000000002</v>
      </c>
      <c r="C31" s="619">
        <v>30894747.699999999</v>
      </c>
      <c r="D31" s="598">
        <f>C31/B31*100</f>
        <v>571.01842943531528</v>
      </c>
      <c r="E31" s="599">
        <f>C31/$C$10*100</f>
        <v>64.762108781357583</v>
      </c>
    </row>
    <row r="32" spans="1:5">
      <c r="A32" s="597" t="s">
        <v>817</v>
      </c>
      <c r="B32" s="617">
        <v>1360</v>
      </c>
      <c r="C32" s="619">
        <v>31884109.690000001</v>
      </c>
      <c r="D32" s="600" t="s">
        <v>805</v>
      </c>
      <c r="E32" s="599">
        <f>C32/$C$11*100</f>
        <v>78.749629933090759</v>
      </c>
    </row>
    <row r="33" spans="1:5">
      <c r="A33" s="597"/>
      <c r="B33" s="601"/>
      <c r="C33" s="602"/>
      <c r="D33" s="603"/>
      <c r="E33" s="599"/>
    </row>
    <row r="34" spans="1:5">
      <c r="A34" s="605" t="s">
        <v>810</v>
      </c>
      <c r="B34" s="601"/>
      <c r="C34" s="602"/>
      <c r="D34" s="603"/>
      <c r="E34" s="604"/>
    </row>
    <row r="35" spans="1:5">
      <c r="A35" s="597" t="s">
        <v>813</v>
      </c>
      <c r="B35" s="617">
        <v>1394537.14</v>
      </c>
      <c r="C35" s="619">
        <v>2137315.29</v>
      </c>
      <c r="D35" s="598">
        <f>C35/B35*100</f>
        <v>153.26341828371815</v>
      </c>
      <c r="E35" s="599">
        <f>C35/$C$7*100</f>
        <v>5.8720087747145939</v>
      </c>
    </row>
    <row r="36" spans="1:5">
      <c r="A36" s="597" t="s">
        <v>814</v>
      </c>
      <c r="B36" s="617">
        <v>44997980.859999999</v>
      </c>
      <c r="C36" s="619">
        <v>38032279.450000003</v>
      </c>
      <c r="D36" s="598">
        <f>C36/B36*100</f>
        <v>84.519968947780029</v>
      </c>
      <c r="E36" s="599">
        <f>C36/$C$8*100</f>
        <v>2.2038701903323559</v>
      </c>
    </row>
    <row r="37" spans="1:5">
      <c r="A37" s="597" t="s">
        <v>815</v>
      </c>
      <c r="B37" s="617">
        <v>46392518</v>
      </c>
      <c r="C37" s="619">
        <v>37825635.549999997</v>
      </c>
      <c r="D37" s="598">
        <f>C37/B37*100</f>
        <v>81.53391361512216</v>
      </c>
      <c r="E37" s="599">
        <f>C37/$C$9*100</f>
        <v>2.1970916857394811</v>
      </c>
    </row>
    <row r="38" spans="1:5">
      <c r="A38" s="597" t="s">
        <v>816</v>
      </c>
      <c r="B38" s="617">
        <v>1601307.26</v>
      </c>
      <c r="C38" s="619">
        <v>2688079.43</v>
      </c>
      <c r="D38" s="598">
        <f>C38/B38*100</f>
        <v>167.86781007912248</v>
      </c>
      <c r="E38" s="599">
        <f>C38/$C$10*100</f>
        <v>5.6347989680650379</v>
      </c>
    </row>
    <row r="39" spans="1:5">
      <c r="A39" s="597" t="s">
        <v>817</v>
      </c>
      <c r="B39" s="617">
        <v>0</v>
      </c>
      <c r="C39" s="619">
        <v>2344071.39</v>
      </c>
      <c r="D39" s="600" t="s">
        <v>805</v>
      </c>
      <c r="E39" s="599">
        <f>C39/$C$11*100</f>
        <v>5.7895533635408736</v>
      </c>
    </row>
    <row r="40" spans="1:5">
      <c r="A40" s="606"/>
      <c r="B40" s="607"/>
      <c r="C40" s="608"/>
      <c r="D40" s="609"/>
      <c r="E40" s="610"/>
    </row>
    <row r="41" spans="1:5" ht="5.55" customHeight="1">
      <c r="A41" s="582" t="s">
        <v>742</v>
      </c>
      <c r="B41" s="582"/>
      <c r="C41" s="582"/>
      <c r="D41" s="582"/>
      <c r="E41" s="582"/>
    </row>
    <row r="42" spans="1:5" ht="25.95" customHeight="1">
      <c r="A42" s="2247" t="s">
        <v>919</v>
      </c>
      <c r="B42" s="2247"/>
      <c r="C42" s="2247"/>
      <c r="D42" s="2247"/>
      <c r="E42" s="2247"/>
    </row>
    <row r="43" spans="1:5">
      <c r="A43" s="2247" t="s">
        <v>818</v>
      </c>
      <c r="B43" s="2247"/>
      <c r="C43" s="2247"/>
      <c r="D43" s="2247"/>
      <c r="E43" s="2247"/>
    </row>
    <row r="44" spans="1:5">
      <c r="A44" s="2247"/>
      <c r="B44" s="2247"/>
      <c r="C44" s="2247"/>
      <c r="D44" s="2247"/>
      <c r="E44" s="2247"/>
    </row>
  </sheetData>
  <mergeCells count="5">
    <mergeCell ref="A1:E1"/>
    <mergeCell ref="A3:A4"/>
    <mergeCell ref="A42:E42"/>
    <mergeCell ref="A43:E43"/>
    <mergeCell ref="A44:E4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6A98-8F42-4C63-886C-00C06ECE3508}">
  <dimension ref="A1:M129"/>
  <sheetViews>
    <sheetView view="pageBreakPreview" topLeftCell="A22" zoomScaleNormal="100" zoomScaleSheetLayoutView="100" workbookViewId="0">
      <selection activeCell="A26" sqref="A26"/>
    </sheetView>
  </sheetViews>
  <sheetFormatPr defaultColWidth="9.21875" defaultRowHeight="13.8"/>
  <cols>
    <col min="1" max="1" width="30.77734375" style="383" customWidth="1"/>
    <col min="2" max="2" width="12.77734375" style="383" bestFit="1" customWidth="1"/>
    <col min="3" max="3" width="13.21875" style="383" bestFit="1" customWidth="1"/>
    <col min="4" max="4" width="14.5546875" style="383" customWidth="1"/>
    <col min="5" max="5" width="12.77734375" style="383" bestFit="1" customWidth="1"/>
    <col min="6" max="6" width="13" style="383" customWidth="1"/>
    <col min="7" max="7" width="11.77734375" style="383" customWidth="1"/>
    <col min="8" max="8" width="13.44140625" style="383" customWidth="1"/>
    <col min="9" max="9" width="6" style="383" bestFit="1" customWidth="1"/>
    <col min="10" max="10" width="6.77734375" style="383" bestFit="1" customWidth="1"/>
    <col min="11" max="12" width="8.21875" style="383" customWidth="1"/>
    <col min="13" max="16384" width="9.21875" style="383"/>
  </cols>
  <sheetData>
    <row r="1" spans="1:12" ht="15.6">
      <c r="A1" s="444" t="s">
        <v>980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3" spans="1:12" ht="44.4">
      <c r="A3" s="2252" t="s">
        <v>584</v>
      </c>
      <c r="B3" s="1747" t="s">
        <v>724</v>
      </c>
      <c r="C3" s="1747" t="s">
        <v>725</v>
      </c>
      <c r="D3" s="1747" t="s">
        <v>726</v>
      </c>
      <c r="E3" s="1747" t="s">
        <v>727</v>
      </c>
      <c r="F3" s="1747" t="s">
        <v>728</v>
      </c>
      <c r="G3" s="1747" t="s">
        <v>729</v>
      </c>
      <c r="H3" s="1747" t="s">
        <v>730</v>
      </c>
      <c r="I3" s="1741" t="s">
        <v>585</v>
      </c>
      <c r="J3" s="1747" t="s">
        <v>586</v>
      </c>
      <c r="K3" s="1747" t="s">
        <v>587</v>
      </c>
    </row>
    <row r="4" spans="1:12">
      <c r="A4" s="2252"/>
      <c r="B4" s="2076" t="s">
        <v>163</v>
      </c>
      <c r="C4" s="2077"/>
      <c r="D4" s="2077"/>
      <c r="E4" s="2077"/>
      <c r="F4" s="2077"/>
      <c r="G4" s="2077"/>
      <c r="H4" s="2078"/>
      <c r="I4" s="2079" t="s">
        <v>169</v>
      </c>
      <c r="J4" s="2079"/>
      <c r="K4" s="2079"/>
    </row>
    <row r="5" spans="1:12">
      <c r="A5" s="1741">
        <v>1</v>
      </c>
      <c r="B5" s="1740">
        <v>2</v>
      </c>
      <c r="C5" s="1740">
        <v>3</v>
      </c>
      <c r="D5" s="1740">
        <v>4</v>
      </c>
      <c r="E5" s="1740">
        <v>5</v>
      </c>
      <c r="F5" s="1740">
        <v>6</v>
      </c>
      <c r="G5" s="1740">
        <v>7</v>
      </c>
      <c r="H5" s="1740">
        <v>8</v>
      </c>
      <c r="I5" s="1740">
        <v>9</v>
      </c>
      <c r="J5" s="1740">
        <v>10</v>
      </c>
      <c r="K5" s="1740">
        <v>11</v>
      </c>
    </row>
    <row r="6" spans="1:12">
      <c r="A6" s="384" t="s">
        <v>588</v>
      </c>
      <c r="B6" s="385">
        <f>224722716783.26</f>
        <v>224722716783.26001</v>
      </c>
      <c r="C6" s="385">
        <f>219943781818.4</f>
        <v>219943781818.39999</v>
      </c>
      <c r="D6" s="385">
        <f>5424847644.49</f>
        <v>5424847644.4899998</v>
      </c>
      <c r="E6" s="385">
        <f>716666837.4</f>
        <v>716666837.39999998</v>
      </c>
      <c r="F6" s="385">
        <f>93304228.71</f>
        <v>93304228.709999993</v>
      </c>
      <c r="G6" s="385">
        <f>99368250.01</f>
        <v>99368250.010000005</v>
      </c>
      <c r="H6" s="385">
        <f>6544285.84</f>
        <v>6544285.8399999999</v>
      </c>
      <c r="I6" s="386">
        <f t="shared" ref="I6:I57" si="0">IF($C$6=0,"",100*$C6/$C$6)</f>
        <v>100</v>
      </c>
      <c r="J6" s="386">
        <f t="shared" ref="J6:J53" si="1">IF(B6=0,"",100*C6/B6)</f>
        <v>97.87340815683126</v>
      </c>
      <c r="K6" s="386"/>
    </row>
    <row r="7" spans="1:12" ht="27.6">
      <c r="A7" s="387" t="s">
        <v>589</v>
      </c>
      <c r="B7" s="385">
        <f>B6-B26-B50</f>
        <v>142692710547.68002</v>
      </c>
      <c r="C7" s="385">
        <f>C6-C26-C50</f>
        <v>142583742160.79001</v>
      </c>
      <c r="D7" s="385">
        <f>D6</f>
        <v>5424847644.4899998</v>
      </c>
      <c r="E7" s="385">
        <f>E6</f>
        <v>716666837.39999998</v>
      </c>
      <c r="F7" s="385">
        <f>F6</f>
        <v>93304228.709999993</v>
      </c>
      <c r="G7" s="385">
        <f>G6</f>
        <v>99368250.010000005</v>
      </c>
      <c r="H7" s="385">
        <f>H6</f>
        <v>6544285.8399999999</v>
      </c>
      <c r="I7" s="386">
        <f t="shared" si="0"/>
        <v>64.827357692028997</v>
      </c>
      <c r="J7" s="386">
        <f t="shared" si="1"/>
        <v>99.923634230177711</v>
      </c>
      <c r="K7" s="386">
        <f t="shared" ref="K7:K25" si="2">IF($C$7=0,"",100*$C7/$C$7)</f>
        <v>100</v>
      </c>
    </row>
    <row r="8" spans="1:12">
      <c r="A8" s="388" t="s">
        <v>786</v>
      </c>
      <c r="B8" s="389">
        <f>79593251778.88</f>
        <v>79593251778.880005</v>
      </c>
      <c r="C8" s="389">
        <f>79593251436.99</f>
        <v>79593251436.990005</v>
      </c>
      <c r="D8" s="389">
        <f>0</f>
        <v>0</v>
      </c>
      <c r="E8" s="389">
        <f>0</f>
        <v>0</v>
      </c>
      <c r="F8" s="389">
        <f>0</f>
        <v>0</v>
      </c>
      <c r="G8" s="389">
        <f>0</f>
        <v>0</v>
      </c>
      <c r="H8" s="389">
        <f>0</f>
        <v>0</v>
      </c>
      <c r="I8" s="390">
        <f t="shared" si="0"/>
        <v>36.187998032473324</v>
      </c>
      <c r="J8" s="390">
        <f t="shared" si="1"/>
        <v>99.999999570453539</v>
      </c>
      <c r="K8" s="390">
        <f t="shared" si="2"/>
        <v>55.822108629491318</v>
      </c>
    </row>
    <row r="9" spans="1:12">
      <c r="A9" s="388" t="s">
        <v>785</v>
      </c>
      <c r="B9" s="389">
        <f>3261171422.37</f>
        <v>3261171422.3699999</v>
      </c>
      <c r="C9" s="389">
        <f>3261171418.52</f>
        <v>3261171418.52</v>
      </c>
      <c r="D9" s="389">
        <f>0</f>
        <v>0</v>
      </c>
      <c r="E9" s="389">
        <f>0</f>
        <v>0</v>
      </c>
      <c r="F9" s="389">
        <f>0</f>
        <v>0</v>
      </c>
      <c r="G9" s="389">
        <f>0</f>
        <v>0</v>
      </c>
      <c r="H9" s="389">
        <f>0</f>
        <v>0</v>
      </c>
      <c r="I9" s="390">
        <f t="shared" si="0"/>
        <v>1.4827295373199669</v>
      </c>
      <c r="J9" s="390">
        <f t="shared" si="1"/>
        <v>99.999999881944262</v>
      </c>
      <c r="K9" s="390">
        <f t="shared" si="2"/>
        <v>2.2871972421949871</v>
      </c>
    </row>
    <row r="10" spans="1:12">
      <c r="A10" s="388" t="s">
        <v>847</v>
      </c>
      <c r="B10" s="389">
        <f>23414581697.93</f>
        <v>23414581697.93</v>
      </c>
      <c r="C10" s="389">
        <f>23764267937.46</f>
        <v>23764267937.459999</v>
      </c>
      <c r="D10" s="389">
        <f>3442106724.11</f>
        <v>3442106724.1100001</v>
      </c>
      <c r="E10" s="389">
        <f>710002870.64</f>
        <v>710002870.63999999</v>
      </c>
      <c r="F10" s="389">
        <f>65945232.08</f>
        <v>65945232.079999998</v>
      </c>
      <c r="G10" s="389">
        <f>70218027.11</f>
        <v>70218027.109999999</v>
      </c>
      <c r="H10" s="389">
        <f>5035515.83</f>
        <v>5035515.83</v>
      </c>
      <c r="I10" s="390">
        <f t="shared" si="0"/>
        <v>10.804700974488716</v>
      </c>
      <c r="J10" s="390">
        <f t="shared" si="1"/>
        <v>101.49345499330836</v>
      </c>
      <c r="K10" s="390">
        <f t="shared" si="2"/>
        <v>16.666884721444127</v>
      </c>
    </row>
    <row r="11" spans="1:12">
      <c r="A11" s="388" t="s">
        <v>848</v>
      </c>
      <c r="B11" s="389">
        <f>2267704126.86</f>
        <v>2267704126.8600001</v>
      </c>
      <c r="C11" s="404">
        <f>2237868820.47</f>
        <v>2237868820.4699998</v>
      </c>
      <c r="D11" s="389">
        <f>336503874.47</f>
        <v>336503874.47000003</v>
      </c>
      <c r="E11" s="389">
        <f>3921020.47</f>
        <v>3921020.47</v>
      </c>
      <c r="F11" s="389">
        <f>3019558.32</f>
        <v>3019558.32</v>
      </c>
      <c r="G11" s="389">
        <f>1268873.19</f>
        <v>1268873.19</v>
      </c>
      <c r="H11" s="389">
        <f>2690.2</f>
        <v>2690.2</v>
      </c>
      <c r="I11" s="390">
        <f t="shared" si="0"/>
        <v>1.0174731024302068</v>
      </c>
      <c r="J11" s="390">
        <f t="shared" si="1"/>
        <v>98.684338664968948</v>
      </c>
      <c r="K11" s="390">
        <f t="shared" si="2"/>
        <v>1.5695119138803226</v>
      </c>
    </row>
    <row r="12" spans="1:12">
      <c r="A12" s="388" t="s">
        <v>849</v>
      </c>
      <c r="B12" s="389">
        <f>442651675.54</f>
        <v>442651675.54000002</v>
      </c>
      <c r="C12" s="404">
        <f>424551119.2</f>
        <v>424551119.19999999</v>
      </c>
      <c r="D12" s="389">
        <f>1764548.73</f>
        <v>1764548.73</v>
      </c>
      <c r="E12" s="389">
        <f>753940.18</f>
        <v>753940.18</v>
      </c>
      <c r="F12" s="389">
        <f>113640.11</f>
        <v>113640.11</v>
      </c>
      <c r="G12" s="389">
        <f>33064.87</f>
        <v>33064.870000000003</v>
      </c>
      <c r="H12" s="389">
        <f>0</f>
        <v>0</v>
      </c>
      <c r="I12" s="390">
        <f t="shared" si="0"/>
        <v>0.19302710705890164</v>
      </c>
      <c r="J12" s="390">
        <f t="shared" si="1"/>
        <v>95.910880419029525</v>
      </c>
      <c r="K12" s="390">
        <f t="shared" si="2"/>
        <v>0.29775562961535873</v>
      </c>
    </row>
    <row r="13" spans="1:12">
      <c r="A13" s="388" t="s">
        <v>590</v>
      </c>
      <c r="B13" s="389">
        <f>1128593356.65</f>
        <v>1128593356.6500001</v>
      </c>
      <c r="C13" s="404">
        <f>1121006951.02</f>
        <v>1121006951.02</v>
      </c>
      <c r="D13" s="389">
        <f>1608841562.85</f>
        <v>1608841562.8499999</v>
      </c>
      <c r="E13" s="389">
        <f>1989006.11</f>
        <v>1989006.11</v>
      </c>
      <c r="F13" s="389">
        <f>2033039.13</f>
        <v>2033039.13</v>
      </c>
      <c r="G13" s="389">
        <f>3079370.21</f>
        <v>3079370.21</v>
      </c>
      <c r="H13" s="389">
        <f>40525</f>
        <v>40525</v>
      </c>
      <c r="I13" s="390">
        <f t="shared" si="0"/>
        <v>0.50967885600220186</v>
      </c>
      <c r="J13" s="390">
        <f t="shared" si="1"/>
        <v>99.327799903720958</v>
      </c>
      <c r="K13" s="390">
        <f t="shared" si="2"/>
        <v>0.78620951732060285</v>
      </c>
    </row>
    <row r="14" spans="1:12">
      <c r="A14" s="388" t="s">
        <v>591</v>
      </c>
      <c r="B14" s="389">
        <f>1931408493.55</f>
        <v>1931408493.55</v>
      </c>
      <c r="C14" s="404">
        <f>2130525016.99</f>
        <v>2130525016.99</v>
      </c>
      <c r="D14" s="389">
        <f>0</f>
        <v>0</v>
      </c>
      <c r="E14" s="389">
        <f>0</f>
        <v>0</v>
      </c>
      <c r="F14" s="389">
        <f>98073.35</f>
        <v>98073.35</v>
      </c>
      <c r="G14" s="389">
        <f>555299.71</f>
        <v>555299.71</v>
      </c>
      <c r="H14" s="389">
        <f>0</f>
        <v>0</v>
      </c>
      <c r="I14" s="390">
        <f t="shared" si="0"/>
        <v>0.96866799296426631</v>
      </c>
      <c r="J14" s="390">
        <f t="shared" si="1"/>
        <v>110.30939462599217</v>
      </c>
      <c r="K14" s="390">
        <f t="shared" si="2"/>
        <v>1.4942271711366868</v>
      </c>
    </row>
    <row r="15" spans="1:12" ht="20.399999999999999">
      <c r="A15" s="388" t="s">
        <v>850</v>
      </c>
      <c r="B15" s="389">
        <f>93584580.98</f>
        <v>93584580.980000004</v>
      </c>
      <c r="C15" s="404">
        <f>99076536.87</f>
        <v>99076536.870000005</v>
      </c>
      <c r="D15" s="389">
        <f>0</f>
        <v>0</v>
      </c>
      <c r="E15" s="389">
        <f>0</f>
        <v>0</v>
      </c>
      <c r="F15" s="389">
        <f>24295.18</f>
        <v>24295.18</v>
      </c>
      <c r="G15" s="389">
        <f>70782.61</f>
        <v>70782.61</v>
      </c>
      <c r="H15" s="389">
        <f>0</f>
        <v>0</v>
      </c>
      <c r="I15" s="390">
        <f t="shared" si="0"/>
        <v>4.5046300491370143E-2</v>
      </c>
      <c r="J15" s="390">
        <f t="shared" si="1"/>
        <v>105.86844096804118</v>
      </c>
      <c r="K15" s="390">
        <f t="shared" si="2"/>
        <v>6.9486559525329727E-2</v>
      </c>
    </row>
    <row r="16" spans="1:12">
      <c r="A16" s="388" t="s">
        <v>851</v>
      </c>
      <c r="B16" s="389">
        <f>199052854.09</f>
        <v>199052854.09</v>
      </c>
      <c r="C16" s="404">
        <f>205963065.22</f>
        <v>205963065.22</v>
      </c>
      <c r="D16" s="389">
        <f>0</f>
        <v>0</v>
      </c>
      <c r="E16" s="389">
        <f>0</f>
        <v>0</v>
      </c>
      <c r="F16" s="389">
        <f>176</f>
        <v>176</v>
      </c>
      <c r="G16" s="389">
        <f>0</f>
        <v>0</v>
      </c>
      <c r="H16" s="389">
        <f>0</f>
        <v>0</v>
      </c>
      <c r="I16" s="390">
        <f t="shared" si="0"/>
        <v>9.3643504497916016E-2</v>
      </c>
      <c r="J16" s="390">
        <f t="shared" si="1"/>
        <v>103.47154586734818</v>
      </c>
      <c r="K16" s="390">
        <f t="shared" si="2"/>
        <v>0.1444505959085699</v>
      </c>
    </row>
    <row r="17" spans="1:11">
      <c r="A17" s="388" t="s">
        <v>592</v>
      </c>
      <c r="B17" s="389">
        <f>507951818.12</f>
        <v>507951818.12</v>
      </c>
      <c r="C17" s="404">
        <f>513418551.83</f>
        <v>513418551.82999998</v>
      </c>
      <c r="D17" s="389">
        <f>0</f>
        <v>0</v>
      </c>
      <c r="E17" s="389">
        <f>0</f>
        <v>0</v>
      </c>
      <c r="F17" s="389">
        <f>240096.51</f>
        <v>240096.51</v>
      </c>
      <c r="G17" s="389">
        <f>1531189.85</f>
        <v>1531189.85</v>
      </c>
      <c r="H17" s="389">
        <f>0</f>
        <v>0</v>
      </c>
      <c r="I17" s="390">
        <f t="shared" si="0"/>
        <v>0.23343171949908181</v>
      </c>
      <c r="J17" s="390">
        <f t="shared" si="1"/>
        <v>101.07623075949076</v>
      </c>
      <c r="K17" s="390">
        <f t="shared" si="2"/>
        <v>0.36008211318442179</v>
      </c>
    </row>
    <row r="18" spans="1:11">
      <c r="A18" s="388" t="s">
        <v>852</v>
      </c>
      <c r="B18" s="389">
        <f>266405899.69</f>
        <v>266405899.69</v>
      </c>
      <c r="C18" s="404">
        <f>299614241.34</f>
        <v>299614241.33999997</v>
      </c>
      <c r="D18" s="389">
        <f>0</f>
        <v>0</v>
      </c>
      <c r="E18" s="389">
        <f>0</f>
        <v>0</v>
      </c>
      <c r="F18" s="389">
        <f>4513004.71</f>
        <v>4513004.71</v>
      </c>
      <c r="G18" s="389">
        <f>8534850.96</f>
        <v>8534850.9600000009</v>
      </c>
      <c r="H18" s="389">
        <f>0</f>
        <v>0</v>
      </c>
      <c r="I18" s="390">
        <f t="shared" si="0"/>
        <v>0.13622310158665049</v>
      </c>
      <c r="J18" s="390">
        <f t="shared" si="1"/>
        <v>112.46531765574353</v>
      </c>
      <c r="K18" s="390">
        <f t="shared" si="2"/>
        <v>0.21013212081509861</v>
      </c>
    </row>
    <row r="19" spans="1:11">
      <c r="A19" s="388" t="s">
        <v>593</v>
      </c>
      <c r="B19" s="389">
        <f>116175490.52</f>
        <v>116175490.52</v>
      </c>
      <c r="C19" s="404">
        <f>113691666.82</f>
        <v>113691666.81999999</v>
      </c>
      <c r="D19" s="389">
        <f>2732390</f>
        <v>2732390</v>
      </c>
      <c r="E19" s="389">
        <f>0</f>
        <v>0</v>
      </c>
      <c r="F19" s="389">
        <f>13923</f>
        <v>13923</v>
      </c>
      <c r="G19" s="389">
        <f>0</f>
        <v>0</v>
      </c>
      <c r="H19" s="389">
        <f>0</f>
        <v>0</v>
      </c>
      <c r="I19" s="390">
        <f t="shared" si="0"/>
        <v>5.1691239406745901E-2</v>
      </c>
      <c r="J19" s="390">
        <f t="shared" si="1"/>
        <v>97.862007133447477</v>
      </c>
      <c r="K19" s="390">
        <f t="shared" si="2"/>
        <v>7.9736767388101829E-2</v>
      </c>
    </row>
    <row r="20" spans="1:11">
      <c r="A20" s="388" t="s">
        <v>853</v>
      </c>
      <c r="B20" s="389">
        <f>74307510.15</f>
        <v>74307510.150000006</v>
      </c>
      <c r="C20" s="404">
        <f>76734757.3</f>
        <v>76734757.299999997</v>
      </c>
      <c r="D20" s="389">
        <f>425334.58</f>
        <v>425334.58</v>
      </c>
      <c r="E20" s="389">
        <f>0</f>
        <v>0</v>
      </c>
      <c r="F20" s="389">
        <f>0</f>
        <v>0</v>
      </c>
      <c r="G20" s="389">
        <f>0</f>
        <v>0</v>
      </c>
      <c r="H20" s="389">
        <f>0</f>
        <v>0</v>
      </c>
      <c r="I20" s="390">
        <f t="shared" si="0"/>
        <v>3.4888350407358749E-2</v>
      </c>
      <c r="J20" s="390">
        <f t="shared" si="1"/>
        <v>103.26648967930733</v>
      </c>
      <c r="K20" s="390">
        <f t="shared" si="2"/>
        <v>5.3817325970773808E-2</v>
      </c>
    </row>
    <row r="21" spans="1:11">
      <c r="A21" s="388" t="s">
        <v>854</v>
      </c>
      <c r="B21" s="389">
        <f>105334332</f>
        <v>105334332</v>
      </c>
      <c r="C21" s="404">
        <f>107993073.93</f>
        <v>107993073.93000001</v>
      </c>
      <c r="D21" s="389">
        <f>381850.62</f>
        <v>381850.62</v>
      </c>
      <c r="E21" s="389">
        <f>0</f>
        <v>0</v>
      </c>
      <c r="F21" s="389">
        <f>247.8</f>
        <v>247.8</v>
      </c>
      <c r="G21" s="389">
        <f>0</f>
        <v>0</v>
      </c>
      <c r="H21" s="389">
        <f>0</f>
        <v>0</v>
      </c>
      <c r="I21" s="390">
        <f t="shared" si="0"/>
        <v>4.9100307831919598E-2</v>
      </c>
      <c r="J21" s="390">
        <f t="shared" si="1"/>
        <v>102.52409815443649</v>
      </c>
      <c r="K21" s="390">
        <f t="shared" si="2"/>
        <v>7.57401035303292E-2</v>
      </c>
    </row>
    <row r="22" spans="1:11">
      <c r="A22" s="388" t="s">
        <v>855</v>
      </c>
      <c r="B22" s="389">
        <f>2985357</f>
        <v>2985357</v>
      </c>
      <c r="C22" s="404">
        <f>2781885.37</f>
        <v>2781885.37</v>
      </c>
      <c r="D22" s="389">
        <f>1662907.14</f>
        <v>1662907.14</v>
      </c>
      <c r="E22" s="389">
        <f>0</f>
        <v>0</v>
      </c>
      <c r="F22" s="389">
        <f>940</f>
        <v>940</v>
      </c>
      <c r="G22" s="389">
        <f>4091.3</f>
        <v>4091.3</v>
      </c>
      <c r="H22" s="389">
        <f>1194.26</f>
        <v>1194.26</v>
      </c>
      <c r="I22" s="390">
        <f t="shared" si="0"/>
        <v>1.2648165576678622E-3</v>
      </c>
      <c r="J22" s="390">
        <f t="shared" si="1"/>
        <v>93.184345121873193</v>
      </c>
      <c r="K22" s="390">
        <f t="shared" si="2"/>
        <v>1.9510536950719814E-3</v>
      </c>
    </row>
    <row r="23" spans="1:11">
      <c r="A23" s="388" t="s">
        <v>856</v>
      </c>
      <c r="B23" s="389">
        <f>1064775</f>
        <v>1064775</v>
      </c>
      <c r="C23" s="404">
        <f>1271523.65</f>
        <v>1271523.6499999999</v>
      </c>
      <c r="D23" s="389">
        <f>0</f>
        <v>0</v>
      </c>
      <c r="E23" s="389">
        <f>0</f>
        <v>0</v>
      </c>
      <c r="F23" s="389">
        <f>0</f>
        <v>0</v>
      </c>
      <c r="G23" s="389">
        <f>0</f>
        <v>0</v>
      </c>
      <c r="H23" s="389">
        <f>0</f>
        <v>0</v>
      </c>
      <c r="I23" s="390">
        <f t="shared" si="0"/>
        <v>5.7811302483188774E-4</v>
      </c>
      <c r="J23" s="390">
        <f t="shared" si="1"/>
        <v>119.41712098800214</v>
      </c>
      <c r="K23" s="390">
        <f t="shared" si="2"/>
        <v>8.9177323496399585E-4</v>
      </c>
    </row>
    <row r="24" spans="1:11">
      <c r="A24" s="388" t="s">
        <v>594</v>
      </c>
      <c r="B24" s="389">
        <f>4698467845.86</f>
        <v>4698467845.8599997</v>
      </c>
      <c r="C24" s="404">
        <f>4261824940.96</f>
        <v>4261824940.96</v>
      </c>
      <c r="D24" s="389">
        <f>0</f>
        <v>0</v>
      </c>
      <c r="E24" s="389">
        <f>0</f>
        <v>0</v>
      </c>
      <c r="F24" s="389">
        <f>20986.65</f>
        <v>20986.65</v>
      </c>
      <c r="G24" s="389">
        <f>72204.6</f>
        <v>72204.600000000006</v>
      </c>
      <c r="H24" s="389">
        <f>0</f>
        <v>0</v>
      </c>
      <c r="I24" s="390">
        <f t="shared" si="0"/>
        <v>1.9376883064049713</v>
      </c>
      <c r="J24" s="390">
        <f t="shared" si="1"/>
        <v>90.706695901202295</v>
      </c>
      <c r="K24" s="390">
        <f t="shared" si="2"/>
        <v>2.9889978172644609</v>
      </c>
    </row>
    <row r="25" spans="1:11">
      <c r="A25" s="388" t="s">
        <v>595</v>
      </c>
      <c r="B25" s="389">
        <f>B7-B8-B9-B10-B11-B12-B13-B14-B15-B16-B17-B18-B19-B20-B21-B22-B23-B24</f>
        <v>24588017532.490013</v>
      </c>
      <c r="C25" s="389">
        <f t="shared" ref="C25:H25" si="3">C7-C8-C9-C10-C11-C12-C13-C14-C15-C16-C17-C18-C19-C20-C21-C22-C23-C24</f>
        <v>24368729216.850002</v>
      </c>
      <c r="D25" s="389">
        <f t="shared" si="3"/>
        <v>30428451.989999685</v>
      </c>
      <c r="E25" s="389">
        <f t="shared" si="3"/>
        <v>-1.0011717677116394E-8</v>
      </c>
      <c r="F25" s="389">
        <f t="shared" si="3"/>
        <v>17281015.869999994</v>
      </c>
      <c r="G25" s="389">
        <f t="shared" si="3"/>
        <v>14000495.6</v>
      </c>
      <c r="H25" s="389">
        <f t="shared" si="3"/>
        <v>1464360.5499999998</v>
      </c>
      <c r="I25" s="390">
        <f t="shared" si="0"/>
        <v>11.079526329582903</v>
      </c>
      <c r="J25" s="390">
        <f t="shared" si="1"/>
        <v>99.108149669446703</v>
      </c>
      <c r="K25" s="390">
        <f t="shared" si="2"/>
        <v>17.090818944399476</v>
      </c>
    </row>
    <row r="26" spans="1:11" ht="27.6">
      <c r="A26" s="387" t="s">
        <v>596</v>
      </c>
      <c r="B26" s="385">
        <f>B27+B46+B48</f>
        <v>57347522880.039993</v>
      </c>
      <c r="C26" s="385">
        <f>C27+C46+C48</f>
        <v>52647183124.840004</v>
      </c>
      <c r="D26" s="389" t="s">
        <v>597</v>
      </c>
      <c r="E26" s="389" t="s">
        <v>597</v>
      </c>
      <c r="F26" s="389" t="s">
        <v>597</v>
      </c>
      <c r="G26" s="389" t="s">
        <v>597</v>
      </c>
      <c r="H26" s="389" t="s">
        <v>597</v>
      </c>
      <c r="I26" s="386">
        <f t="shared" si="0"/>
        <v>23.936654489422651</v>
      </c>
      <c r="J26" s="386">
        <f t="shared" si="1"/>
        <v>91.803761489345931</v>
      </c>
      <c r="K26" s="394"/>
    </row>
    <row r="27" spans="1:11" ht="27.6">
      <c r="A27" s="392" t="s">
        <v>598</v>
      </c>
      <c r="B27" s="385">
        <f>B28+B30+B32+B34+B36+B38+B40+B42+B44</f>
        <v>48100922441.519997</v>
      </c>
      <c r="C27" s="385">
        <f>C28+C30+C32+C34+C36+C38+C40+C42+C44</f>
        <v>45293817848.210007</v>
      </c>
      <c r="D27" s="389" t="s">
        <v>597</v>
      </c>
      <c r="E27" s="389" t="s">
        <v>597</v>
      </c>
      <c r="F27" s="389" t="s">
        <v>597</v>
      </c>
      <c r="G27" s="389" t="s">
        <v>597</v>
      </c>
      <c r="H27" s="389" t="s">
        <v>597</v>
      </c>
      <c r="I27" s="386">
        <f t="shared" si="0"/>
        <v>20.593361391597583</v>
      </c>
      <c r="J27" s="386">
        <f t="shared" si="1"/>
        <v>94.164135632278573</v>
      </c>
      <c r="K27" s="394"/>
    </row>
    <row r="28" spans="1:11">
      <c r="A28" s="393" t="s">
        <v>599</v>
      </c>
      <c r="B28" s="389">
        <f>18222508994.6</f>
        <v>18222508994.599998</v>
      </c>
      <c r="C28" s="389">
        <f>18076910777.12</f>
        <v>18076910777.119999</v>
      </c>
      <c r="D28" s="389" t="s">
        <v>597</v>
      </c>
      <c r="E28" s="389" t="s">
        <v>597</v>
      </c>
      <c r="F28" s="389" t="s">
        <v>597</v>
      </c>
      <c r="G28" s="389" t="s">
        <v>597</v>
      </c>
      <c r="H28" s="389" t="s">
        <v>597</v>
      </c>
      <c r="I28" s="390">
        <f t="shared" si="0"/>
        <v>8.2188778549081611</v>
      </c>
      <c r="J28" s="390">
        <f t="shared" si="1"/>
        <v>99.200997966179386</v>
      </c>
      <c r="K28" s="394"/>
    </row>
    <row r="29" spans="1:11">
      <c r="A29" s="395" t="s">
        <v>600</v>
      </c>
      <c r="B29" s="389">
        <f>237568895.53</f>
        <v>237568895.53</v>
      </c>
      <c r="C29" s="389">
        <f>196869530.36</f>
        <v>196869530.36000001</v>
      </c>
      <c r="D29" s="389" t="s">
        <v>597</v>
      </c>
      <c r="E29" s="389" t="s">
        <v>597</v>
      </c>
      <c r="F29" s="389" t="s">
        <v>597</v>
      </c>
      <c r="G29" s="389" t="s">
        <v>597</v>
      </c>
      <c r="H29" s="389" t="s">
        <v>597</v>
      </c>
      <c r="I29" s="390">
        <f t="shared" si="0"/>
        <v>8.950902304778427E-2</v>
      </c>
      <c r="J29" s="390">
        <f t="shared" si="1"/>
        <v>82.868394837967955</v>
      </c>
      <c r="K29" s="394"/>
    </row>
    <row r="30" spans="1:11">
      <c r="A30" s="393" t="s">
        <v>601</v>
      </c>
      <c r="B30" s="389">
        <f>6757082675.17</f>
        <v>6757082675.1700001</v>
      </c>
      <c r="C30" s="389">
        <f>6238726734.63</f>
        <v>6238726734.6300001</v>
      </c>
      <c r="D30" s="389" t="s">
        <v>597</v>
      </c>
      <c r="E30" s="389" t="s">
        <v>597</v>
      </c>
      <c r="F30" s="389" t="s">
        <v>597</v>
      </c>
      <c r="G30" s="389" t="s">
        <v>597</v>
      </c>
      <c r="H30" s="389" t="s">
        <v>597</v>
      </c>
      <c r="I30" s="390">
        <f t="shared" si="0"/>
        <v>2.8365097130961865</v>
      </c>
      <c r="J30" s="390">
        <f t="shared" si="1"/>
        <v>92.328702112158794</v>
      </c>
      <c r="K30" s="394"/>
    </row>
    <row r="31" spans="1:11">
      <c r="A31" s="395" t="s">
        <v>600</v>
      </c>
      <c r="B31" s="389">
        <f>2257986740.07</f>
        <v>2257986740.0700002</v>
      </c>
      <c r="C31" s="389">
        <f>1975441067.63</f>
        <v>1975441067.6300001</v>
      </c>
      <c r="D31" s="389" t="s">
        <v>597</v>
      </c>
      <c r="E31" s="389" t="s">
        <v>597</v>
      </c>
      <c r="F31" s="389" t="s">
        <v>597</v>
      </c>
      <c r="G31" s="389" t="s">
        <v>597</v>
      </c>
      <c r="H31" s="389" t="s">
        <v>597</v>
      </c>
      <c r="I31" s="390">
        <f t="shared" si="0"/>
        <v>0.89815727059792649</v>
      </c>
      <c r="J31" s="390">
        <f t="shared" si="1"/>
        <v>87.486832078064339</v>
      </c>
      <c r="K31" s="394"/>
    </row>
    <row r="32" spans="1:11" ht="20.399999999999999">
      <c r="A32" s="393" t="s">
        <v>602</v>
      </c>
      <c r="B32" s="389">
        <f>54249385.2</f>
        <v>54249385.200000003</v>
      </c>
      <c r="C32" s="389">
        <f>46516131.5</f>
        <v>46516131.5</v>
      </c>
      <c r="D32" s="389" t="s">
        <v>597</v>
      </c>
      <c r="E32" s="389" t="s">
        <v>597</v>
      </c>
      <c r="F32" s="389" t="s">
        <v>597</v>
      </c>
      <c r="G32" s="389" t="s">
        <v>597</v>
      </c>
      <c r="H32" s="389" t="s">
        <v>597</v>
      </c>
      <c r="I32" s="390">
        <f t="shared" si="0"/>
        <v>2.1149100518061823E-2</v>
      </c>
      <c r="J32" s="390">
        <f t="shared" si="1"/>
        <v>85.744992922058032</v>
      </c>
      <c r="K32" s="394"/>
    </row>
    <row r="33" spans="1:11">
      <c r="A33" s="395" t="s">
        <v>600</v>
      </c>
      <c r="B33" s="389">
        <f>27269173.93</f>
        <v>27269173.93</v>
      </c>
      <c r="C33" s="389">
        <f>20322009.79</f>
        <v>20322009.789999999</v>
      </c>
      <c r="D33" s="389" t="s">
        <v>597</v>
      </c>
      <c r="E33" s="389" t="s">
        <v>597</v>
      </c>
      <c r="F33" s="389" t="s">
        <v>597</v>
      </c>
      <c r="G33" s="389" t="s">
        <v>597</v>
      </c>
      <c r="H33" s="389" t="s">
        <v>597</v>
      </c>
      <c r="I33" s="390">
        <f t="shared" si="0"/>
        <v>9.2396382484589562E-3</v>
      </c>
      <c r="J33" s="390">
        <f t="shared" si="1"/>
        <v>74.523745538337991</v>
      </c>
      <c r="K33" s="394"/>
    </row>
    <row r="34" spans="1:11" ht="20.399999999999999">
      <c r="A34" s="393" t="s">
        <v>603</v>
      </c>
      <c r="B34" s="389">
        <f>900166533.55</f>
        <v>900166533.54999995</v>
      </c>
      <c r="C34" s="389">
        <f>832321525.04</f>
        <v>832321525.03999996</v>
      </c>
      <c r="D34" s="389" t="s">
        <v>597</v>
      </c>
      <c r="E34" s="389" t="s">
        <v>597</v>
      </c>
      <c r="F34" s="389" t="s">
        <v>597</v>
      </c>
      <c r="G34" s="389" t="s">
        <v>597</v>
      </c>
      <c r="H34" s="389" t="s">
        <v>597</v>
      </c>
      <c r="I34" s="390">
        <f t="shared" si="0"/>
        <v>0.37842466750308912</v>
      </c>
      <c r="J34" s="390">
        <f t="shared" si="1"/>
        <v>92.463060335909333</v>
      </c>
      <c r="K34" s="394"/>
    </row>
    <row r="35" spans="1:11">
      <c r="A35" s="395" t="s">
        <v>600</v>
      </c>
      <c r="B35" s="389">
        <f>318409949.28</f>
        <v>318409949.27999997</v>
      </c>
      <c r="C35" s="389">
        <f>299692268.48</f>
        <v>299692268.48000002</v>
      </c>
      <c r="D35" s="389" t="s">
        <v>597</v>
      </c>
      <c r="E35" s="389" t="s">
        <v>597</v>
      </c>
      <c r="F35" s="389" t="s">
        <v>597</v>
      </c>
      <c r="G35" s="389" t="s">
        <v>597</v>
      </c>
      <c r="H35" s="389" t="s">
        <v>597</v>
      </c>
      <c r="I35" s="390">
        <f t="shared" si="0"/>
        <v>0.13625857753389253</v>
      </c>
      <c r="J35" s="390">
        <f t="shared" si="1"/>
        <v>94.12151509639537</v>
      </c>
      <c r="K35" s="394"/>
    </row>
    <row r="36" spans="1:11" ht="20.399999999999999">
      <c r="A36" s="393" t="s">
        <v>604</v>
      </c>
      <c r="B36" s="389">
        <f>1074468782.18</f>
        <v>1074468782.1800001</v>
      </c>
      <c r="C36" s="389">
        <f>962886111.87</f>
        <v>962886111.87</v>
      </c>
      <c r="D36" s="389" t="s">
        <v>597</v>
      </c>
      <c r="E36" s="389" t="s">
        <v>597</v>
      </c>
      <c r="F36" s="389" t="s">
        <v>597</v>
      </c>
      <c r="G36" s="389" t="s">
        <v>597</v>
      </c>
      <c r="H36" s="389" t="s">
        <v>597</v>
      </c>
      <c r="I36" s="390">
        <f t="shared" si="0"/>
        <v>0.43778737635102677</v>
      </c>
      <c r="J36" s="390">
        <f t="shared" si="1"/>
        <v>89.615084946106208</v>
      </c>
      <c r="K36" s="394"/>
    </row>
    <row r="37" spans="1:11">
      <c r="A37" s="395" t="s">
        <v>600</v>
      </c>
      <c r="B37" s="389">
        <f>913992376.35</f>
        <v>913992376.35000002</v>
      </c>
      <c r="C37" s="389">
        <f>812247943.35</f>
        <v>812247943.35000002</v>
      </c>
      <c r="D37" s="389" t="s">
        <v>597</v>
      </c>
      <c r="E37" s="389" t="s">
        <v>597</v>
      </c>
      <c r="F37" s="389" t="s">
        <v>597</v>
      </c>
      <c r="G37" s="389" t="s">
        <v>597</v>
      </c>
      <c r="H37" s="389" t="s">
        <v>597</v>
      </c>
      <c r="I37" s="390">
        <f t="shared" si="0"/>
        <v>0.36929797998137776</v>
      </c>
      <c r="J37" s="390">
        <f t="shared" si="1"/>
        <v>88.868131109986578</v>
      </c>
      <c r="K37" s="394"/>
    </row>
    <row r="38" spans="1:11">
      <c r="A38" s="393" t="s">
        <v>605</v>
      </c>
      <c r="B38" s="389">
        <f>679713623.25</f>
        <v>679713623.25</v>
      </c>
      <c r="C38" s="389">
        <f>616193612.24</f>
        <v>616193612.24000001</v>
      </c>
      <c r="D38" s="389" t="s">
        <v>597</v>
      </c>
      <c r="E38" s="389" t="s">
        <v>597</v>
      </c>
      <c r="F38" s="389" t="s">
        <v>597</v>
      </c>
      <c r="G38" s="389" t="s">
        <v>597</v>
      </c>
      <c r="H38" s="389" t="s">
        <v>597</v>
      </c>
      <c r="I38" s="390">
        <f t="shared" si="0"/>
        <v>0.28015959675948915</v>
      </c>
      <c r="J38" s="390">
        <f t="shared" si="1"/>
        <v>90.654886287804004</v>
      </c>
      <c r="K38" s="394"/>
    </row>
    <row r="39" spans="1:11">
      <c r="A39" s="395" t="s">
        <v>600</v>
      </c>
      <c r="B39" s="389">
        <f>631860441.97</f>
        <v>631860441.97000003</v>
      </c>
      <c r="C39" s="389">
        <f>572293432.6</f>
        <v>572293432.60000002</v>
      </c>
      <c r="D39" s="389" t="s">
        <v>597</v>
      </c>
      <c r="E39" s="389" t="s">
        <v>597</v>
      </c>
      <c r="F39" s="389" t="s">
        <v>597</v>
      </c>
      <c r="G39" s="389" t="s">
        <v>597</v>
      </c>
      <c r="H39" s="389" t="s">
        <v>597</v>
      </c>
      <c r="I39" s="390">
        <f t="shared" si="0"/>
        <v>0.26019986919772209</v>
      </c>
      <c r="J39" s="390">
        <f t="shared" si="1"/>
        <v>90.572758569236683</v>
      </c>
      <c r="K39" s="394"/>
    </row>
    <row r="40" spans="1:11" ht="30.6">
      <c r="A40" s="393" t="s">
        <v>606</v>
      </c>
      <c r="B40" s="389">
        <f>15905084.81</f>
        <v>15905084.810000001</v>
      </c>
      <c r="C40" s="389">
        <f>13029840.54</f>
        <v>13029840.539999999</v>
      </c>
      <c r="D40" s="389" t="s">
        <v>597</v>
      </c>
      <c r="E40" s="389" t="s">
        <v>597</v>
      </c>
      <c r="F40" s="389" t="s">
        <v>597</v>
      </c>
      <c r="G40" s="389" t="s">
        <v>597</v>
      </c>
      <c r="H40" s="389" t="s">
        <v>597</v>
      </c>
      <c r="I40" s="390">
        <f t="shared" si="0"/>
        <v>5.9241686363101145E-3</v>
      </c>
      <c r="J40" s="390">
        <f>IF(B40=0,"",100*C40/B40)</f>
        <v>81.922483882687317</v>
      </c>
      <c r="K40" s="394"/>
    </row>
    <row r="41" spans="1:11">
      <c r="A41" s="395" t="s">
        <v>607</v>
      </c>
      <c r="B41" s="389">
        <f>13950532.96</f>
        <v>13950532.960000001</v>
      </c>
      <c r="C41" s="389">
        <f>11177915.39</f>
        <v>11177915.390000001</v>
      </c>
      <c r="D41" s="389" t="s">
        <v>597</v>
      </c>
      <c r="E41" s="389" t="s">
        <v>597</v>
      </c>
      <c r="F41" s="389" t="s">
        <v>597</v>
      </c>
      <c r="G41" s="389" t="s">
        <v>597</v>
      </c>
      <c r="H41" s="389" t="s">
        <v>597</v>
      </c>
      <c r="I41" s="390">
        <f t="shared" si="0"/>
        <v>5.0821693150794418E-3</v>
      </c>
      <c r="J41" s="390">
        <f>IF(B41=0,"",100*C41/B41)</f>
        <v>80.125364543778687</v>
      </c>
      <c r="K41" s="394"/>
    </row>
    <row r="42" spans="1:11" ht="20.399999999999999">
      <c r="A42" s="393" t="s">
        <v>1049</v>
      </c>
      <c r="B42" s="389">
        <f>19049628713.2</f>
        <v>19049628713.200001</v>
      </c>
      <c r="C42" s="389">
        <f>17185629112.52</f>
        <v>17185629112.52</v>
      </c>
      <c r="D42" s="389" t="s">
        <v>597</v>
      </c>
      <c r="E42" s="389" t="s">
        <v>597</v>
      </c>
      <c r="F42" s="389" t="s">
        <v>597</v>
      </c>
      <c r="G42" s="389" t="s">
        <v>597</v>
      </c>
      <c r="H42" s="389" t="s">
        <v>597</v>
      </c>
      <c r="I42" s="390">
        <f t="shared" si="0"/>
        <v>7.8136462738053591</v>
      </c>
      <c r="J42" s="390">
        <f t="shared" si="1"/>
        <v>90.215034483121528</v>
      </c>
      <c r="K42" s="394"/>
    </row>
    <row r="43" spans="1:11">
      <c r="A43" s="395" t="s">
        <v>600</v>
      </c>
      <c r="B43" s="389">
        <f>18969137512.23</f>
        <v>18969137512.23</v>
      </c>
      <c r="C43" s="389">
        <f>17120371555.27</f>
        <v>17120371555.27</v>
      </c>
      <c r="D43" s="389" t="s">
        <v>597</v>
      </c>
      <c r="E43" s="389" t="s">
        <v>597</v>
      </c>
      <c r="F43" s="389" t="s">
        <v>597</v>
      </c>
      <c r="G43" s="389" t="s">
        <v>597</v>
      </c>
      <c r="H43" s="389" t="s">
        <v>597</v>
      </c>
      <c r="I43" s="390">
        <f t="shared" si="0"/>
        <v>7.7839761659666751</v>
      </c>
      <c r="J43" s="390">
        <f t="shared" si="1"/>
        <v>90.253821736660186</v>
      </c>
      <c r="K43" s="394"/>
    </row>
    <row r="44" spans="1:11" ht="20.399999999999999">
      <c r="A44" s="393" t="s">
        <v>608</v>
      </c>
      <c r="B44" s="389">
        <f>1347198649.56</f>
        <v>1347198649.5599999</v>
      </c>
      <c r="C44" s="389">
        <f>1321604002.75</f>
        <v>1321604002.75</v>
      </c>
      <c r="D44" s="389" t="s">
        <v>597</v>
      </c>
      <c r="E44" s="389" t="s">
        <v>597</v>
      </c>
      <c r="F44" s="389" t="s">
        <v>597</v>
      </c>
      <c r="G44" s="389" t="s">
        <v>597</v>
      </c>
      <c r="H44" s="389" t="s">
        <v>597</v>
      </c>
      <c r="I44" s="390">
        <f t="shared" si="0"/>
        <v>0.60088264001989511</v>
      </c>
      <c r="J44" s="390">
        <f t="shared" si="1"/>
        <v>98.100157922637521</v>
      </c>
      <c r="K44" s="394"/>
    </row>
    <row r="45" spans="1:11">
      <c r="A45" s="395" t="s">
        <v>600</v>
      </c>
      <c r="B45" s="389">
        <f>1986649.73</f>
        <v>1986649.73</v>
      </c>
      <c r="C45" s="389">
        <f>1969849.73</f>
        <v>1969849.73</v>
      </c>
      <c r="D45" s="389" t="s">
        <v>597</v>
      </c>
      <c r="E45" s="389" t="s">
        <v>597</v>
      </c>
      <c r="F45" s="389" t="s">
        <v>597</v>
      </c>
      <c r="G45" s="389" t="s">
        <v>597</v>
      </c>
      <c r="H45" s="389" t="s">
        <v>597</v>
      </c>
      <c r="I45" s="390">
        <f t="shared" si="0"/>
        <v>8.9561510387524261E-4</v>
      </c>
      <c r="J45" s="390">
        <f t="shared" si="1"/>
        <v>99.154355206843633</v>
      </c>
      <c r="K45" s="394"/>
    </row>
    <row r="46" spans="1:11">
      <c r="A46" s="392" t="s">
        <v>731</v>
      </c>
      <c r="B46" s="385">
        <f>649858379.78</f>
        <v>649858379.77999997</v>
      </c>
      <c r="C46" s="385">
        <f>530004315.18</f>
        <v>530004315.18000001</v>
      </c>
      <c r="D46" s="389" t="s">
        <v>597</v>
      </c>
      <c r="E46" s="389" t="s">
        <v>597</v>
      </c>
      <c r="F46" s="389" t="s">
        <v>597</v>
      </c>
      <c r="G46" s="389" t="s">
        <v>597</v>
      </c>
      <c r="H46" s="389" t="s">
        <v>597</v>
      </c>
      <c r="I46" s="386">
        <f t="shared" si="0"/>
        <v>0.24097262982301829</v>
      </c>
      <c r="J46" s="386">
        <f t="shared" si="1"/>
        <v>81.556894805207435</v>
      </c>
      <c r="K46" s="394"/>
    </row>
    <row r="47" spans="1:11">
      <c r="A47" s="395" t="s">
        <v>732</v>
      </c>
      <c r="B47" s="389">
        <f>499385008.68</f>
        <v>499385008.68000001</v>
      </c>
      <c r="C47" s="389">
        <f>390645825.13</f>
        <v>390645825.13</v>
      </c>
      <c r="D47" s="389" t="s">
        <v>597</v>
      </c>
      <c r="E47" s="389" t="s">
        <v>597</v>
      </c>
      <c r="F47" s="389" t="s">
        <v>597</v>
      </c>
      <c r="G47" s="389" t="s">
        <v>597</v>
      </c>
      <c r="H47" s="389" t="s">
        <v>597</v>
      </c>
      <c r="I47" s="390">
        <f t="shared" si="0"/>
        <v>0.17761167053703877</v>
      </c>
      <c r="J47" s="390">
        <f t="shared" si="1"/>
        <v>78.225380886497774</v>
      </c>
      <c r="K47" s="394"/>
    </row>
    <row r="48" spans="1:11">
      <c r="A48" s="392" t="s">
        <v>733</v>
      </c>
      <c r="B48" s="389">
        <f>8596742058.74</f>
        <v>8596742058.7399998</v>
      </c>
      <c r="C48" s="389">
        <f>6823360961.45</f>
        <v>6823360961.4499998</v>
      </c>
      <c r="D48" s="389" t="s">
        <v>597</v>
      </c>
      <c r="E48" s="389" t="s">
        <v>597</v>
      </c>
      <c r="F48" s="389" t="s">
        <v>597</v>
      </c>
      <c r="G48" s="389" t="s">
        <v>597</v>
      </c>
      <c r="H48" s="389" t="s">
        <v>597</v>
      </c>
      <c r="I48" s="390">
        <f t="shared" si="0"/>
        <v>3.1023204680020524</v>
      </c>
      <c r="J48" s="390">
        <f t="shared" si="1"/>
        <v>79.371474854394791</v>
      </c>
      <c r="K48" s="394"/>
    </row>
    <row r="49" spans="1:13">
      <c r="A49" s="395" t="s">
        <v>734</v>
      </c>
      <c r="B49" s="389">
        <f>6964625842.99</f>
        <v>6964625842.9899998</v>
      </c>
      <c r="C49" s="389">
        <f>5421537122.63</f>
        <v>5421537122.6300001</v>
      </c>
      <c r="D49" s="389" t="s">
        <v>597</v>
      </c>
      <c r="E49" s="389" t="s">
        <v>597</v>
      </c>
      <c r="F49" s="389" t="s">
        <v>597</v>
      </c>
      <c r="G49" s="389" t="s">
        <v>597</v>
      </c>
      <c r="H49" s="389" t="s">
        <v>597</v>
      </c>
      <c r="I49" s="390">
        <f t="shared" si="0"/>
        <v>2.4649649459544061</v>
      </c>
      <c r="J49" s="390">
        <f t="shared" si="1"/>
        <v>77.843910711827519</v>
      </c>
      <c r="K49" s="394"/>
    </row>
    <row r="50" spans="1:13">
      <c r="A50" s="387" t="s">
        <v>857</v>
      </c>
      <c r="B50" s="385">
        <f>24682483355.54</f>
        <v>24682483355.540001</v>
      </c>
      <c r="C50" s="385">
        <f>24712856532.77</f>
        <v>24712856532.77</v>
      </c>
      <c r="D50" s="389" t="s">
        <v>597</v>
      </c>
      <c r="E50" s="389" t="s">
        <v>597</v>
      </c>
      <c r="F50" s="389" t="s">
        <v>597</v>
      </c>
      <c r="G50" s="389" t="s">
        <v>597</v>
      </c>
      <c r="H50" s="389" t="s">
        <v>597</v>
      </c>
      <c r="I50" s="386">
        <f t="shared" si="0"/>
        <v>11.235987818548358</v>
      </c>
      <c r="J50" s="386">
        <f t="shared" si="1"/>
        <v>100.12305559692875</v>
      </c>
      <c r="K50" s="394"/>
    </row>
    <row r="51" spans="1:13">
      <c r="A51" s="388" t="s">
        <v>609</v>
      </c>
      <c r="B51" s="389">
        <f>197029</f>
        <v>197029</v>
      </c>
      <c r="C51" s="389">
        <f>197029</f>
        <v>197029</v>
      </c>
      <c r="D51" s="389" t="s">
        <v>597</v>
      </c>
      <c r="E51" s="389" t="s">
        <v>597</v>
      </c>
      <c r="F51" s="389" t="s">
        <v>597</v>
      </c>
      <c r="G51" s="389" t="s">
        <v>597</v>
      </c>
      <c r="H51" s="389" t="s">
        <v>597</v>
      </c>
      <c r="I51" s="390">
        <f t="shared" si="0"/>
        <v>8.9581527775438568E-5</v>
      </c>
      <c r="J51" s="390">
        <f t="shared" si="1"/>
        <v>100</v>
      </c>
      <c r="K51" s="394"/>
    </row>
    <row r="52" spans="1:13" ht="20.399999999999999">
      <c r="A52" s="388" t="s">
        <v>858</v>
      </c>
      <c r="B52" s="389">
        <f>2223466558.5</f>
        <v>2223466558.5</v>
      </c>
      <c r="C52" s="389">
        <f>2256047766.25</f>
        <v>2256047766.25</v>
      </c>
      <c r="D52" s="389" t="s">
        <v>597</v>
      </c>
      <c r="E52" s="389" t="s">
        <v>597</v>
      </c>
      <c r="F52" s="389" t="s">
        <v>597</v>
      </c>
      <c r="G52" s="389" t="s">
        <v>597</v>
      </c>
      <c r="H52" s="389" t="s">
        <v>597</v>
      </c>
      <c r="I52" s="390">
        <f t="shared" si="0"/>
        <v>1.0257383716866071</v>
      </c>
      <c r="J52" s="390">
        <f t="shared" si="1"/>
        <v>101.46533383312857</v>
      </c>
      <c r="K52" s="394"/>
    </row>
    <row r="53" spans="1:13">
      <c r="A53" s="393" t="s">
        <v>600</v>
      </c>
      <c r="B53" s="389">
        <f>211700317.54</f>
        <v>211700317.53999999</v>
      </c>
      <c r="C53" s="389">
        <f>218412169.58</f>
        <v>218412169.58000001</v>
      </c>
      <c r="D53" s="389" t="s">
        <v>597</v>
      </c>
      <c r="E53" s="389" t="s">
        <v>597</v>
      </c>
      <c r="F53" s="389" t="s">
        <v>597</v>
      </c>
      <c r="G53" s="389" t="s">
        <v>597</v>
      </c>
      <c r="H53" s="389" t="s">
        <v>597</v>
      </c>
      <c r="I53" s="390">
        <f t="shared" si="0"/>
        <v>9.9303634671670513E-2</v>
      </c>
      <c r="J53" s="390">
        <f t="shared" si="1"/>
        <v>103.1704496799972</v>
      </c>
      <c r="K53" s="394"/>
    </row>
    <row r="54" spans="1:13">
      <c r="A54" s="396"/>
      <c r="B54" s="397"/>
      <c r="C54" s="398"/>
      <c r="D54" s="399"/>
      <c r="E54" s="399"/>
      <c r="F54" s="399"/>
      <c r="G54" s="399"/>
      <c r="H54" s="399"/>
      <c r="I54" s="400"/>
      <c r="J54" s="400"/>
      <c r="K54" s="401"/>
    </row>
    <row r="55" spans="1:13">
      <c r="A55" s="384" t="s">
        <v>588</v>
      </c>
      <c r="B55" s="389">
        <f t="shared" ref="B55:H55" si="4">+B6</f>
        <v>224722716783.26001</v>
      </c>
      <c r="C55" s="389">
        <f t="shared" si="4"/>
        <v>219943781818.39999</v>
      </c>
      <c r="D55" s="389">
        <f t="shared" si="4"/>
        <v>5424847644.4899998</v>
      </c>
      <c r="E55" s="389">
        <f t="shared" si="4"/>
        <v>716666837.39999998</v>
      </c>
      <c r="F55" s="389">
        <f t="shared" si="4"/>
        <v>93304228.709999993</v>
      </c>
      <c r="G55" s="389">
        <f t="shared" si="4"/>
        <v>99368250.010000005</v>
      </c>
      <c r="H55" s="389">
        <f t="shared" si="4"/>
        <v>6544285.8399999999</v>
      </c>
      <c r="I55" s="451">
        <f t="shared" si="0"/>
        <v>100</v>
      </c>
      <c r="J55" s="452">
        <f>IF(B55=0,"",100*C55/B55)</f>
        <v>97.87340815683126</v>
      </c>
      <c r="K55" s="453"/>
    </row>
    <row r="56" spans="1:13">
      <c r="A56" s="454" t="s">
        <v>137</v>
      </c>
      <c r="B56" s="389">
        <f>37646635606.41</f>
        <v>37646635606.410004</v>
      </c>
      <c r="C56" s="389">
        <f>33023099164.62</f>
        <v>33023099164.619999</v>
      </c>
      <c r="D56" s="389">
        <f>0</f>
        <v>0</v>
      </c>
      <c r="E56" s="389">
        <f>0</f>
        <v>0</v>
      </c>
      <c r="F56" s="389">
        <f>0</f>
        <v>0</v>
      </c>
      <c r="G56" s="389">
        <f>0</f>
        <v>0</v>
      </c>
      <c r="H56" s="389">
        <f>0</f>
        <v>0</v>
      </c>
      <c r="I56" s="451">
        <f t="shared" si="0"/>
        <v>15.014336341586613</v>
      </c>
      <c r="J56" s="452">
        <f>IF(B56=0,"",100*C56/B56)</f>
        <v>87.718593262547046</v>
      </c>
      <c r="K56" s="453"/>
    </row>
    <row r="57" spans="1:13">
      <c r="A57" s="454" t="s">
        <v>136</v>
      </c>
      <c r="B57" s="389">
        <f>B55-B56</f>
        <v>187076081176.85001</v>
      </c>
      <c r="C57" s="389">
        <f t="shared" ref="C57:H57" si="5">C55-C56</f>
        <v>186920682653.78</v>
      </c>
      <c r="D57" s="389">
        <f t="shared" si="5"/>
        <v>5424847644.4899998</v>
      </c>
      <c r="E57" s="389">
        <f t="shared" si="5"/>
        <v>716666837.39999998</v>
      </c>
      <c r="F57" s="389">
        <f t="shared" si="5"/>
        <v>93304228.709999993</v>
      </c>
      <c r="G57" s="389">
        <f t="shared" si="5"/>
        <v>99368250.010000005</v>
      </c>
      <c r="H57" s="389">
        <f t="shared" si="5"/>
        <v>6544285.8399999999</v>
      </c>
      <c r="I57" s="451">
        <f t="shared" si="0"/>
        <v>84.985663658413387</v>
      </c>
      <c r="J57" s="452">
        <f>IF(B57=0,"",100*C57/B57)</f>
        <v>99.916932981441335</v>
      </c>
      <c r="K57" s="453"/>
    </row>
    <row r="58" spans="1:13">
      <c r="A58" s="405" t="s">
        <v>610</v>
      </c>
      <c r="B58" s="405"/>
      <c r="C58" s="405"/>
      <c r="D58" s="405"/>
      <c r="E58" s="455"/>
      <c r="F58" s="455"/>
      <c r="G58" s="455"/>
      <c r="H58" s="455"/>
      <c r="I58" s="400"/>
      <c r="J58" s="400"/>
      <c r="K58" s="400"/>
      <c r="L58" s="401"/>
    </row>
    <row r="59" spans="1:13">
      <c r="A59" s="456"/>
      <c r="B59" s="397"/>
      <c r="C59" s="398"/>
      <c r="D59" s="398"/>
      <c r="E59" s="399"/>
      <c r="F59" s="399"/>
      <c r="G59" s="399"/>
      <c r="H59" s="399"/>
      <c r="I59" s="399"/>
      <c r="J59" s="400"/>
      <c r="K59" s="400"/>
      <c r="L59" s="407"/>
    </row>
    <row r="60" spans="1:13" ht="28.8" customHeight="1">
      <c r="A60" s="2252" t="s">
        <v>584</v>
      </c>
      <c r="B60" s="2093" t="s">
        <v>735</v>
      </c>
      <c r="C60" s="2093" t="s">
        <v>736</v>
      </c>
      <c r="D60" s="2093" t="s">
        <v>737</v>
      </c>
      <c r="E60" s="2093" t="s">
        <v>611</v>
      </c>
      <c r="F60" s="2093"/>
      <c r="G60" s="2093"/>
      <c r="H60" s="2080" t="s">
        <v>738</v>
      </c>
      <c r="I60" s="2093" t="s">
        <v>585</v>
      </c>
      <c r="J60" s="2254" t="s">
        <v>586</v>
      </c>
      <c r="M60" s="408"/>
    </row>
    <row r="61" spans="1:13" ht="12.75" customHeight="1">
      <c r="A61" s="2252"/>
      <c r="B61" s="2093"/>
      <c r="C61" s="2093"/>
      <c r="D61" s="2087"/>
      <c r="E61" s="2086" t="s">
        <v>739</v>
      </c>
      <c r="F61" s="2088" t="s">
        <v>612</v>
      </c>
      <c r="G61" s="2087"/>
      <c r="H61" s="2081"/>
      <c r="I61" s="2093"/>
      <c r="J61" s="2254"/>
      <c r="K61" s="406"/>
      <c r="M61" s="408"/>
    </row>
    <row r="62" spans="1:13" ht="34.200000000000003">
      <c r="A62" s="2252"/>
      <c r="B62" s="2093"/>
      <c r="C62" s="2093"/>
      <c r="D62" s="2087"/>
      <c r="E62" s="2087"/>
      <c r="F62" s="1743" t="s">
        <v>740</v>
      </c>
      <c r="G62" s="1743" t="s">
        <v>741</v>
      </c>
      <c r="H62" s="2082"/>
      <c r="I62" s="2093"/>
      <c r="J62" s="2254"/>
      <c r="K62" s="406"/>
      <c r="M62" s="408"/>
    </row>
    <row r="63" spans="1:13">
      <c r="A63" s="2252"/>
      <c r="B63" s="2076" t="s">
        <v>163</v>
      </c>
      <c r="C63" s="2077"/>
      <c r="D63" s="2077"/>
      <c r="E63" s="2077"/>
      <c r="F63" s="2077"/>
      <c r="G63" s="2077"/>
      <c r="H63" s="2078"/>
      <c r="I63" s="2079" t="s">
        <v>169</v>
      </c>
      <c r="J63" s="2079"/>
      <c r="M63" s="457"/>
    </row>
    <row r="64" spans="1:13">
      <c r="A64" s="1741">
        <v>1</v>
      </c>
      <c r="B64" s="1740">
        <v>2</v>
      </c>
      <c r="C64" s="1740">
        <v>3</v>
      </c>
      <c r="D64" s="1740">
        <v>4</v>
      </c>
      <c r="E64" s="1741">
        <v>5</v>
      </c>
      <c r="F64" s="1741">
        <v>6</v>
      </c>
      <c r="G64" s="1740">
        <v>7</v>
      </c>
      <c r="H64" s="1740">
        <v>8</v>
      </c>
      <c r="I64" s="1741">
        <v>9</v>
      </c>
      <c r="J64" s="1740">
        <v>10</v>
      </c>
      <c r="M64" s="458"/>
    </row>
    <row r="65" spans="1:13" ht="27.6">
      <c r="A65" s="384" t="s">
        <v>613</v>
      </c>
      <c r="B65" s="402">
        <f>238683811386.59</f>
        <v>238683811386.59</v>
      </c>
      <c r="C65" s="402">
        <f>217469238499.02</f>
        <v>217469238499.01999</v>
      </c>
      <c r="D65" s="402">
        <f>217752247117.16</f>
        <v>217752247117.16</v>
      </c>
      <c r="E65" s="402">
        <f>8994588212.02</f>
        <v>8994588212.0200005</v>
      </c>
      <c r="F65" s="402">
        <f>2088532.71</f>
        <v>2088532.71</v>
      </c>
      <c r="G65" s="402">
        <f>16312632.36</f>
        <v>16312632.359999999</v>
      </c>
      <c r="H65" s="410">
        <f>858591138.85</f>
        <v>858591138.85000002</v>
      </c>
      <c r="I65" s="411">
        <f>IF($C$65=0,"",100*$C65/$C$65)</f>
        <v>100</v>
      </c>
      <c r="J65" s="411">
        <f>IF(B65=0,"",100*C65/B65)</f>
        <v>91.111850961182569</v>
      </c>
      <c r="M65" s="455"/>
    </row>
    <row r="66" spans="1:13">
      <c r="A66" s="387" t="s">
        <v>614</v>
      </c>
      <c r="B66" s="412">
        <f>59055203246.06</f>
        <v>59055203246.059998</v>
      </c>
      <c r="C66" s="412">
        <f>49775184094.4099</f>
        <v>49775184094.409897</v>
      </c>
      <c r="D66" s="412">
        <f>49904272790.5599</f>
        <v>49904272790.559898</v>
      </c>
      <c r="E66" s="412">
        <f>785597365.85</f>
        <v>785597365.85000002</v>
      </c>
      <c r="F66" s="412">
        <f>310749.55</f>
        <v>310749.55</v>
      </c>
      <c r="G66" s="412">
        <f>3665356.18</f>
        <v>3665356.18</v>
      </c>
      <c r="H66" s="413">
        <f>790523891.73</f>
        <v>790523891.73000002</v>
      </c>
      <c r="I66" s="411">
        <f t="shared" ref="I66:I74" si="6">IF($C$65=0,"",100*$C66/$C$65)</f>
        <v>22.888379265941193</v>
      </c>
      <c r="J66" s="411">
        <f t="shared" ref="J66:J74" si="7">IF(B66=0,"",100*C66/B66)</f>
        <v>84.285856890570869</v>
      </c>
      <c r="M66" s="458"/>
    </row>
    <row r="67" spans="1:13">
      <c r="A67" s="388" t="s">
        <v>615</v>
      </c>
      <c r="B67" s="389">
        <f>57019025902.59</f>
        <v>57019025902.589996</v>
      </c>
      <c r="C67" s="389">
        <f>47858930158.1499</f>
        <v>47858930158.149902</v>
      </c>
      <c r="D67" s="389">
        <f>47988018854.2999</f>
        <v>47988018854.299896</v>
      </c>
      <c r="E67" s="389">
        <f>785597365.85</f>
        <v>785597365.85000002</v>
      </c>
      <c r="F67" s="389">
        <f>310749.55</f>
        <v>310749.55</v>
      </c>
      <c r="G67" s="389">
        <f>3665356.18</f>
        <v>3665356.18</v>
      </c>
      <c r="H67" s="414">
        <f>790523891.73</f>
        <v>790523891.73000002</v>
      </c>
      <c r="I67" s="411">
        <f t="shared" si="6"/>
        <v>22.007218348891019</v>
      </c>
      <c r="J67" s="411">
        <f t="shared" si="7"/>
        <v>83.935018882839231</v>
      </c>
      <c r="M67" s="455"/>
    </row>
    <row r="68" spans="1:13" ht="27.6">
      <c r="A68" s="387" t="s">
        <v>616</v>
      </c>
      <c r="B68" s="412">
        <f t="shared" ref="B68:H68" si="8">B65-B66</f>
        <v>179628608140.53</v>
      </c>
      <c r="C68" s="412">
        <f>C65-C66</f>
        <v>167694054404.61011</v>
      </c>
      <c r="D68" s="412">
        <f>D65-D66</f>
        <v>167847974326.6001</v>
      </c>
      <c r="E68" s="412">
        <f t="shared" si="8"/>
        <v>8208990846.1700001</v>
      </c>
      <c r="F68" s="412">
        <f t="shared" si="8"/>
        <v>1777783.16</v>
      </c>
      <c r="G68" s="412">
        <f t="shared" si="8"/>
        <v>12647276.18</v>
      </c>
      <c r="H68" s="413">
        <f t="shared" si="8"/>
        <v>68067247.120000005</v>
      </c>
      <c r="I68" s="411">
        <f t="shared" si="6"/>
        <v>77.111620734058818</v>
      </c>
      <c r="J68" s="411">
        <f t="shared" si="7"/>
        <v>93.355983849419445</v>
      </c>
      <c r="M68" s="461"/>
    </row>
    <row r="69" spans="1:13">
      <c r="A69" s="388" t="s">
        <v>617</v>
      </c>
      <c r="B69" s="389">
        <f>84156275699.0701</f>
        <v>84156275699.070099</v>
      </c>
      <c r="C69" s="389">
        <f>80736950434.77</f>
        <v>80736950434.770004</v>
      </c>
      <c r="D69" s="389">
        <f>80797826847.31</f>
        <v>80797826847.309998</v>
      </c>
      <c r="E69" s="389">
        <f>6406020824.83</f>
        <v>6406020824.8299999</v>
      </c>
      <c r="F69" s="389">
        <f>439936.57</f>
        <v>439936.57</v>
      </c>
      <c r="G69" s="389">
        <f>4288824.59</f>
        <v>4288824.59</v>
      </c>
      <c r="H69" s="414">
        <f>1642369.88</f>
        <v>1642369.88</v>
      </c>
      <c r="I69" s="411">
        <f t="shared" si="6"/>
        <v>37.125687748768122</v>
      </c>
      <c r="J69" s="411">
        <f t="shared" si="7"/>
        <v>95.936933715404564</v>
      </c>
      <c r="M69" s="455"/>
    </row>
    <row r="70" spans="1:13">
      <c r="A70" s="388" t="s">
        <v>571</v>
      </c>
      <c r="B70" s="459">
        <f>17636384735.55</f>
        <v>17636384735.549999</v>
      </c>
      <c r="C70" s="459">
        <f>17032491885.69</f>
        <v>17032491885.690001</v>
      </c>
      <c r="D70" s="459">
        <f>17044244306</f>
        <v>17044244306</v>
      </c>
      <c r="E70" s="459">
        <f>10168451.68</f>
        <v>10168451.68</v>
      </c>
      <c r="F70" s="459">
        <f>0</f>
        <v>0</v>
      </c>
      <c r="G70" s="459">
        <f>67267.76</f>
        <v>67267.759999999995</v>
      </c>
      <c r="H70" s="460">
        <f>1662043.64</f>
        <v>1662043.64</v>
      </c>
      <c r="I70" s="411">
        <f t="shared" si="6"/>
        <v>7.8321384685249429</v>
      </c>
      <c r="J70" s="411">
        <f t="shared" si="7"/>
        <v>96.575869380742631</v>
      </c>
      <c r="M70" s="461"/>
    </row>
    <row r="71" spans="1:13">
      <c r="A71" s="388" t="s">
        <v>618</v>
      </c>
      <c r="B71" s="389">
        <f>2792539947.29</f>
        <v>2792539947.29</v>
      </c>
      <c r="C71" s="389">
        <f>2544357882.59</f>
        <v>2544357882.5900002</v>
      </c>
      <c r="D71" s="389">
        <f>2549256304.47</f>
        <v>2549256304.4699998</v>
      </c>
      <c r="E71" s="389">
        <f>42063671.59</f>
        <v>42063671.590000004</v>
      </c>
      <c r="F71" s="389">
        <f>0</f>
        <v>0</v>
      </c>
      <c r="G71" s="389">
        <f>27898.34</f>
        <v>27898.34</v>
      </c>
      <c r="H71" s="414">
        <f>0</f>
        <v>0</v>
      </c>
      <c r="I71" s="411">
        <f t="shared" si="6"/>
        <v>1.1699851896991242</v>
      </c>
      <c r="J71" s="411">
        <f t="shared" si="7"/>
        <v>91.112676295254204</v>
      </c>
      <c r="M71" s="461"/>
    </row>
    <row r="72" spans="1:13">
      <c r="A72" s="388" t="s">
        <v>619</v>
      </c>
      <c r="B72" s="459">
        <f>68029766.74</f>
        <v>68029766.739999995</v>
      </c>
      <c r="C72" s="459">
        <f>1593583.43</f>
        <v>1593583.43</v>
      </c>
      <c r="D72" s="459">
        <f>1633504.55</f>
        <v>1633504.55</v>
      </c>
      <c r="E72" s="459">
        <f>0</f>
        <v>0</v>
      </c>
      <c r="F72" s="459">
        <f>0</f>
        <v>0</v>
      </c>
      <c r="G72" s="459">
        <f>0</f>
        <v>0</v>
      </c>
      <c r="H72" s="460">
        <f>0</f>
        <v>0</v>
      </c>
      <c r="I72" s="411">
        <f t="shared" si="6"/>
        <v>7.3278567626344142E-4</v>
      </c>
      <c r="J72" s="411">
        <f t="shared" si="7"/>
        <v>2.3424796326150097</v>
      </c>
      <c r="M72" s="455"/>
    </row>
    <row r="73" spans="1:13">
      <c r="A73" s="388" t="s">
        <v>620</v>
      </c>
      <c r="B73" s="459">
        <f>18945103283.01</f>
        <v>18945103283.009998</v>
      </c>
      <c r="C73" s="459">
        <f>18489651292.92</f>
        <v>18489651292.919998</v>
      </c>
      <c r="D73" s="459">
        <f>18493926893.02</f>
        <v>18493926893.02</v>
      </c>
      <c r="E73" s="459">
        <f>248360484.82</f>
        <v>248360484.81999999</v>
      </c>
      <c r="F73" s="459">
        <f>189025.83</f>
        <v>189025.83</v>
      </c>
      <c r="G73" s="459">
        <f>430613.84</f>
        <v>430613.84</v>
      </c>
      <c r="H73" s="462">
        <f>0</f>
        <v>0</v>
      </c>
      <c r="I73" s="411">
        <f t="shared" si="6"/>
        <v>8.5021915837551063</v>
      </c>
      <c r="J73" s="411">
        <f t="shared" si="7"/>
        <v>97.595938204789562</v>
      </c>
      <c r="M73" s="458"/>
    </row>
    <row r="74" spans="1:13">
      <c r="A74" s="388" t="s">
        <v>621</v>
      </c>
      <c r="B74" s="389">
        <f t="shared" ref="B74:H74" si="9">B68-B69-B70-B71-B72-B73</f>
        <v>56030274708.869904</v>
      </c>
      <c r="C74" s="389">
        <f>C68-C69-C70-C71-C72-C73</f>
        <v>48889009325.210106</v>
      </c>
      <c r="D74" s="389">
        <f>D68-D69-D70-D71-D72-D73</f>
        <v>48961086471.250092</v>
      </c>
      <c r="E74" s="389">
        <f t="shared" si="9"/>
        <v>1502377413.2500002</v>
      </c>
      <c r="F74" s="389">
        <f t="shared" si="9"/>
        <v>1148820.7599999998</v>
      </c>
      <c r="G74" s="389">
        <f t="shared" si="9"/>
        <v>7832671.6500000004</v>
      </c>
      <c r="H74" s="460">
        <f t="shared" si="9"/>
        <v>64762833.600000001</v>
      </c>
      <c r="I74" s="411">
        <f t="shared" si="6"/>
        <v>22.480884957635247</v>
      </c>
      <c r="J74" s="411">
        <f t="shared" si="7"/>
        <v>87.254630785293486</v>
      </c>
      <c r="M74" s="458"/>
    </row>
    <row r="75" spans="1:13">
      <c r="A75" s="384" t="s">
        <v>622</v>
      </c>
      <c r="B75" s="412">
        <f>B6-B65</f>
        <v>-13961094603.329987</v>
      </c>
      <c r="C75" s="412">
        <f>C6-C65</f>
        <v>2474543319.3800049</v>
      </c>
      <c r="D75" s="463"/>
      <c r="E75" s="458"/>
      <c r="F75" s="458"/>
      <c r="G75" s="458"/>
      <c r="H75" s="464"/>
      <c r="I75" s="415"/>
      <c r="J75" s="415"/>
      <c r="K75" s="416"/>
      <c r="L75" s="416"/>
    </row>
    <row r="76" spans="1:13" ht="27.6">
      <c r="A76" s="465" t="s">
        <v>859</v>
      </c>
      <c r="B76" s="412">
        <f>+B57-B68</f>
        <v>7447473036.3200073</v>
      </c>
      <c r="C76" s="412">
        <f>+C57-C68</f>
        <v>19226628249.169891</v>
      </c>
      <c r="D76" s="463"/>
      <c r="E76" s="458"/>
      <c r="F76" s="458"/>
      <c r="G76" s="458"/>
      <c r="H76" s="458"/>
      <c r="I76" s="415"/>
      <c r="J76" s="415"/>
      <c r="K76" s="416"/>
      <c r="L76" s="416"/>
    </row>
    <row r="77" spans="1:13">
      <c r="A77" s="1769"/>
      <c r="B77" s="458"/>
      <c r="C77" s="458"/>
      <c r="D77" s="458"/>
      <c r="E77" s="458"/>
      <c r="F77" s="458"/>
      <c r="G77" s="458"/>
      <c r="H77" s="458"/>
      <c r="I77" s="415"/>
      <c r="J77" s="415"/>
      <c r="K77" s="416"/>
    </row>
    <row r="78" spans="1:13">
      <c r="A78" s="1769"/>
      <c r="B78" s="458"/>
      <c r="C78" s="458"/>
      <c r="D78" s="458"/>
      <c r="E78" s="458"/>
      <c r="F78" s="458"/>
      <c r="G78" s="458"/>
      <c r="H78" s="458"/>
      <c r="I78" s="415"/>
      <c r="J78" s="415"/>
      <c r="K78" s="416"/>
    </row>
    <row r="79" spans="1:13" ht="12.75" customHeight="1">
      <c r="A79" s="2256" t="s">
        <v>860</v>
      </c>
      <c r="B79" s="2092" t="s">
        <v>861</v>
      </c>
      <c r="C79" s="2092"/>
      <c r="D79" s="2092" t="s">
        <v>862</v>
      </c>
      <c r="E79" s="2092"/>
      <c r="F79" s="1752" t="s">
        <v>863</v>
      </c>
      <c r="G79" s="458"/>
      <c r="H79" s="415"/>
      <c r="I79" s="415"/>
      <c r="J79" s="416"/>
    </row>
    <row r="80" spans="1:13" ht="15.6">
      <c r="A80" s="2256"/>
      <c r="B80" s="1743" t="s">
        <v>864</v>
      </c>
      <c r="C80" s="1743" t="s">
        <v>865</v>
      </c>
      <c r="D80" s="1743" t="s">
        <v>864</v>
      </c>
      <c r="E80" s="1743" t="s">
        <v>865</v>
      </c>
      <c r="F80" s="1743" t="s">
        <v>864</v>
      </c>
      <c r="G80" s="458"/>
      <c r="H80" s="415"/>
      <c r="I80" s="415"/>
      <c r="J80" s="416"/>
      <c r="L80" s="449"/>
    </row>
    <row r="81" spans="1:12">
      <c r="A81" s="1753" t="s">
        <v>866</v>
      </c>
      <c r="B81" s="1754">
        <f>217</f>
        <v>217</v>
      </c>
      <c r="C81" s="1755">
        <f>475148680.7</f>
        <v>475148680.69999999</v>
      </c>
      <c r="D81" s="1754">
        <f>2187</f>
        <v>2187</v>
      </c>
      <c r="E81" s="1755">
        <f>+-14436243284.03</f>
        <v>-14436243284.030001</v>
      </c>
      <c r="F81" s="1754">
        <f>9</f>
        <v>9</v>
      </c>
      <c r="G81" s="458"/>
      <c r="H81" s="415"/>
      <c r="I81" s="415"/>
      <c r="J81" s="416"/>
    </row>
    <row r="82" spans="1:12">
      <c r="A82" s="1753" t="s">
        <v>867</v>
      </c>
      <c r="B82" s="1754">
        <f>1452</f>
        <v>1452</v>
      </c>
      <c r="C82" s="1755">
        <f>6359636737.1</f>
        <v>6359636737.1000004</v>
      </c>
      <c r="D82" s="1754">
        <f>961</f>
        <v>961</v>
      </c>
      <c r="E82" s="1755">
        <f>+-3885093417.72</f>
        <v>-3885093417.7199998</v>
      </c>
      <c r="F82" s="1754">
        <f>0</f>
        <v>0</v>
      </c>
      <c r="G82" s="458"/>
      <c r="H82" s="415"/>
      <c r="I82" s="415"/>
      <c r="J82" s="416"/>
    </row>
    <row r="83" spans="1:12">
      <c r="A83" s="481"/>
      <c r="B83" s="481"/>
      <c r="C83" s="481"/>
      <c r="D83" s="481"/>
      <c r="E83" s="481"/>
      <c r="F83" s="481"/>
      <c r="G83" s="458"/>
      <c r="H83" s="415"/>
      <c r="I83" s="415"/>
      <c r="J83" s="416"/>
      <c r="L83" s="469"/>
    </row>
    <row r="84" spans="1:12" ht="12.75" customHeight="1">
      <c r="A84" s="2256" t="s">
        <v>868</v>
      </c>
      <c r="B84" s="2092" t="s">
        <v>861</v>
      </c>
      <c r="C84" s="2092"/>
      <c r="D84" s="2092" t="s">
        <v>862</v>
      </c>
      <c r="E84" s="2092"/>
      <c r="F84" s="1752" t="s">
        <v>863</v>
      </c>
      <c r="G84" s="458"/>
      <c r="H84" s="415"/>
      <c r="I84" s="415"/>
      <c r="J84" s="416"/>
    </row>
    <row r="85" spans="1:12">
      <c r="A85" s="2256"/>
      <c r="B85" s="1743" t="s">
        <v>864</v>
      </c>
      <c r="C85" s="1743" t="s">
        <v>865</v>
      </c>
      <c r="D85" s="1743" t="s">
        <v>864</v>
      </c>
      <c r="E85" s="1743" t="s">
        <v>865</v>
      </c>
      <c r="F85" s="1743" t="s">
        <v>864</v>
      </c>
      <c r="G85" s="458"/>
      <c r="H85" s="415"/>
      <c r="I85" s="415"/>
      <c r="J85" s="416"/>
    </row>
    <row r="86" spans="1:12">
      <c r="A86" s="1753" t="s">
        <v>866</v>
      </c>
      <c r="B86" s="1754">
        <f>2023</f>
        <v>2023</v>
      </c>
      <c r="C86" s="1755">
        <f>8335656136.37999</f>
        <v>8335656136.3799896</v>
      </c>
      <c r="D86" s="1754">
        <f>390</f>
        <v>390</v>
      </c>
      <c r="E86" s="1755">
        <f>+-888183100.060001</f>
        <v>-888183100.06000102</v>
      </c>
      <c r="F86" s="1754">
        <f>0</f>
        <v>0</v>
      </c>
      <c r="G86" s="458"/>
      <c r="H86" s="415"/>
      <c r="I86" s="415"/>
      <c r="J86" s="416"/>
    </row>
    <row r="87" spans="1:12">
      <c r="A87" s="1753" t="s">
        <v>867</v>
      </c>
      <c r="B87" s="1754">
        <f>2366</f>
        <v>2366</v>
      </c>
      <c r="C87" s="1755">
        <f>19311091922.87</f>
        <v>19311091922.869999</v>
      </c>
      <c r="D87" s="1754">
        <f>47</f>
        <v>47</v>
      </c>
      <c r="E87" s="1755">
        <f>+-84463673.7</f>
        <v>-84463673.700000003</v>
      </c>
      <c r="F87" s="1754">
        <f>0</f>
        <v>0</v>
      </c>
      <c r="G87" s="458"/>
      <c r="H87" s="415"/>
      <c r="I87" s="415"/>
      <c r="J87" s="416"/>
    </row>
    <row r="88" spans="1:12">
      <c r="A88" s="1769"/>
      <c r="B88" s="458"/>
      <c r="C88" s="458"/>
      <c r="D88" s="458"/>
      <c r="E88" s="458"/>
      <c r="F88" s="458"/>
      <c r="G88" s="458"/>
      <c r="H88" s="458"/>
      <c r="I88" s="415"/>
      <c r="J88" s="415"/>
      <c r="K88" s="416"/>
    </row>
    <row r="89" spans="1:12">
      <c r="A89" s="1769"/>
      <c r="B89" s="458"/>
      <c r="C89" s="458"/>
      <c r="D89" s="458"/>
      <c r="E89" s="458"/>
      <c r="F89" s="458"/>
      <c r="G89" s="458"/>
      <c r="H89" s="458"/>
      <c r="I89" s="415"/>
      <c r="J89" s="415"/>
      <c r="K89" s="416"/>
    </row>
    <row r="90" spans="1:12">
      <c r="A90" s="1770" t="s">
        <v>623</v>
      </c>
      <c r="B90" s="466"/>
      <c r="C90" s="466"/>
      <c r="D90" s="466"/>
      <c r="E90" s="466"/>
      <c r="F90" s="458"/>
      <c r="G90" s="458"/>
      <c r="H90" s="458"/>
      <c r="I90" s="458"/>
      <c r="J90" s="415"/>
      <c r="K90" s="415"/>
    </row>
    <row r="91" spans="1:12" ht="27.6">
      <c r="A91" s="384" t="s">
        <v>743</v>
      </c>
      <c r="B91" s="389">
        <f>11913743594.32</f>
        <v>11913743594.32</v>
      </c>
      <c r="C91" s="389">
        <f>8937675157.67002</f>
        <v>8937675157.6700191</v>
      </c>
      <c r="D91" s="389">
        <f>8955293200.04001</f>
        <v>8955293200.0400105</v>
      </c>
      <c r="E91" s="389">
        <f>136097212.49</f>
        <v>136097212.49000001</v>
      </c>
      <c r="F91" s="389">
        <f>0</f>
        <v>0</v>
      </c>
      <c r="G91" s="389">
        <f>1260769.94</f>
        <v>1260769.94</v>
      </c>
      <c r="H91" s="389">
        <f>91067241.02</f>
        <v>91067241.019999996</v>
      </c>
      <c r="I91" s="403">
        <f>IF($C$91=0,"",100*$C91/$C$91)</f>
        <v>100</v>
      </c>
      <c r="J91" s="403">
        <f>IF(B91=0,"",100*C91/B91)</f>
        <v>75.019871687780395</v>
      </c>
      <c r="K91" s="416"/>
    </row>
    <row r="92" spans="1:12">
      <c r="A92" s="467" t="s">
        <v>625</v>
      </c>
      <c r="B92" s="389">
        <f>9642739020.95002</f>
        <v>9642739020.9500198</v>
      </c>
      <c r="C92" s="389">
        <f>7442566295.13</f>
        <v>7442566295.1300001</v>
      </c>
      <c r="D92" s="389">
        <f>7454763003.73</f>
        <v>7454763003.7299995</v>
      </c>
      <c r="E92" s="389">
        <f>114460926.84</f>
        <v>114460926.84</v>
      </c>
      <c r="F92" s="389">
        <f>0</f>
        <v>0</v>
      </c>
      <c r="G92" s="389">
        <f>1260469.94</f>
        <v>1260469.94</v>
      </c>
      <c r="H92" s="389">
        <f>89837334.78</f>
        <v>89837334.780000001</v>
      </c>
      <c r="I92" s="403">
        <f>IF($C$91=0,"",100*$C92/$C$91)</f>
        <v>83.271837069878671</v>
      </c>
      <c r="J92" s="403">
        <f>IF(B92=0,"",100*C92/B92)</f>
        <v>77.183114454929481</v>
      </c>
      <c r="K92" s="416"/>
    </row>
    <row r="93" spans="1:12">
      <c r="A93" s="468" t="s">
        <v>626</v>
      </c>
      <c r="B93" s="389">
        <f>+B91-B92</f>
        <v>2271004573.3699799</v>
      </c>
      <c r="C93" s="389">
        <f t="shared" ref="C93:H93" si="10">+C91-C92</f>
        <v>1495108862.540019</v>
      </c>
      <c r="D93" s="389">
        <f t="shared" si="10"/>
        <v>1500530196.3100109</v>
      </c>
      <c r="E93" s="389">
        <f t="shared" si="10"/>
        <v>21636285.650000006</v>
      </c>
      <c r="F93" s="389">
        <f t="shared" si="10"/>
        <v>0</v>
      </c>
      <c r="G93" s="389">
        <f t="shared" si="10"/>
        <v>300</v>
      </c>
      <c r="H93" s="389">
        <f t="shared" si="10"/>
        <v>1229906.2399999946</v>
      </c>
      <c r="I93" s="403">
        <f>IF($C$91=0,"",100*$C93/$C$91)</f>
        <v>16.728162930121325</v>
      </c>
      <c r="J93" s="403">
        <f>IF(B93=0,"",100*C93/B93)</f>
        <v>65.834691839541435</v>
      </c>
    </row>
    <row r="95" spans="1:12">
      <c r="A95" s="417" t="s">
        <v>1</v>
      </c>
      <c r="B95" s="421" t="s">
        <v>627</v>
      </c>
      <c r="C95" s="421" t="s">
        <v>628</v>
      </c>
      <c r="D95" s="2096" t="s">
        <v>597</v>
      </c>
      <c r="E95" s="2097"/>
      <c r="F95" s="2097"/>
      <c r="G95" s="2097"/>
      <c r="H95" s="2098"/>
      <c r="I95" s="1740" t="s">
        <v>5</v>
      </c>
      <c r="J95" s="1740" t="s">
        <v>4</v>
      </c>
    </row>
    <row r="96" spans="1:12">
      <c r="A96" s="417"/>
      <c r="B96" s="2086" t="s">
        <v>163</v>
      </c>
      <c r="C96" s="2094"/>
      <c r="D96" s="2099"/>
      <c r="E96" s="2100"/>
      <c r="F96" s="2100"/>
      <c r="G96" s="2100"/>
      <c r="H96" s="2101"/>
      <c r="I96" s="2086" t="s">
        <v>169</v>
      </c>
      <c r="J96" s="2253"/>
    </row>
    <row r="97" spans="1:10">
      <c r="A97" s="1743">
        <v>1</v>
      </c>
      <c r="B97" s="470">
        <v>2</v>
      </c>
      <c r="C97" s="470">
        <v>3</v>
      </c>
      <c r="D97" s="2102"/>
      <c r="E97" s="2103"/>
      <c r="F97" s="2103"/>
      <c r="G97" s="2103"/>
      <c r="H97" s="2104"/>
      <c r="I97" s="423">
        <v>4</v>
      </c>
      <c r="J97" s="423">
        <v>5</v>
      </c>
    </row>
    <row r="98" spans="1:10" ht="27.6">
      <c r="A98" s="471" t="s">
        <v>629</v>
      </c>
      <c r="B98" s="424">
        <f>21223362979.28</f>
        <v>21223362979.279999</v>
      </c>
      <c r="C98" s="424">
        <f>29895444110.41</f>
        <v>29895444110.41</v>
      </c>
      <c r="D98" s="424" t="s">
        <v>597</v>
      </c>
      <c r="E98" s="424" t="s">
        <v>597</v>
      </c>
      <c r="F98" s="424" t="s">
        <v>597</v>
      </c>
      <c r="G98" s="424" t="s">
        <v>597</v>
      </c>
      <c r="H98" s="424" t="s">
        <v>597</v>
      </c>
      <c r="I98" s="472">
        <f t="shared" ref="I98:I108" si="11">IF($C$98=0,"",100*$C98/$C$98)</f>
        <v>100</v>
      </c>
      <c r="J98" s="411">
        <f t="shared" ref="J98:J113" si="12">IF(B98=0,"",100*C98/B98)</f>
        <v>140.86101311840355</v>
      </c>
    </row>
    <row r="99" spans="1:10" ht="20.399999999999999">
      <c r="A99" s="426" t="s">
        <v>744</v>
      </c>
      <c r="B99" s="427">
        <f>9500341237.82</f>
        <v>9500341237.8199997</v>
      </c>
      <c r="C99" s="427">
        <f>7453544717.31</f>
        <v>7453544717.3100004</v>
      </c>
      <c r="D99" s="424" t="s">
        <v>597</v>
      </c>
      <c r="E99" s="424" t="s">
        <v>597</v>
      </c>
      <c r="F99" s="424" t="s">
        <v>597</v>
      </c>
      <c r="G99" s="424" t="s">
        <v>597</v>
      </c>
      <c r="H99" s="424" t="s">
        <v>597</v>
      </c>
      <c r="I99" s="472">
        <f t="shared" si="11"/>
        <v>24.932042119135385</v>
      </c>
      <c r="J99" s="411">
        <f t="shared" si="12"/>
        <v>78.455547340111451</v>
      </c>
    </row>
    <row r="100" spans="1:10">
      <c r="A100" s="428" t="s">
        <v>631</v>
      </c>
      <c r="B100" s="427">
        <f>256198354.47</f>
        <v>256198354.47</v>
      </c>
      <c r="C100" s="427">
        <f>206375000</f>
        <v>206375000</v>
      </c>
      <c r="D100" s="424" t="s">
        <v>597</v>
      </c>
      <c r="E100" s="424" t="s">
        <v>597</v>
      </c>
      <c r="F100" s="424" t="s">
        <v>597</v>
      </c>
      <c r="G100" s="424" t="s">
        <v>597</v>
      </c>
      <c r="H100" s="424" t="s">
        <v>597</v>
      </c>
      <c r="I100" s="472">
        <f t="shared" si="11"/>
        <v>0.69032257636921146</v>
      </c>
      <c r="J100" s="411">
        <f t="shared" si="12"/>
        <v>80.552820265739001</v>
      </c>
    </row>
    <row r="101" spans="1:10">
      <c r="A101" s="426" t="s">
        <v>632</v>
      </c>
      <c r="B101" s="427">
        <f>159039131.78</f>
        <v>159039131.78</v>
      </c>
      <c r="C101" s="427">
        <f>183444679.58</f>
        <v>183444679.58000001</v>
      </c>
      <c r="D101" s="424" t="s">
        <v>597</v>
      </c>
      <c r="E101" s="424" t="s">
        <v>597</v>
      </c>
      <c r="F101" s="424" t="s">
        <v>597</v>
      </c>
      <c r="G101" s="424" t="s">
        <v>597</v>
      </c>
      <c r="H101" s="424" t="s">
        <v>597</v>
      </c>
      <c r="I101" s="472">
        <f t="shared" si="11"/>
        <v>0.61362085441012759</v>
      </c>
      <c r="J101" s="411">
        <f t="shared" si="12"/>
        <v>115.34562439246737</v>
      </c>
    </row>
    <row r="102" spans="1:10" ht="30.6">
      <c r="A102" s="426" t="s">
        <v>633</v>
      </c>
      <c r="B102" s="427">
        <f>2524745813.69</f>
        <v>2524745813.6900001</v>
      </c>
      <c r="C102" s="427">
        <f>6528326733.17</f>
        <v>6528326733.1700001</v>
      </c>
      <c r="D102" s="424" t="s">
        <v>597</v>
      </c>
      <c r="E102" s="424" t="s">
        <v>597</v>
      </c>
      <c r="F102" s="424" t="s">
        <v>597</v>
      </c>
      <c r="G102" s="424" t="s">
        <v>597</v>
      </c>
      <c r="H102" s="424" t="s">
        <v>597</v>
      </c>
      <c r="I102" s="472">
        <f t="shared" si="11"/>
        <v>21.837196025787581</v>
      </c>
      <c r="J102" s="411">
        <f t="shared" si="12"/>
        <v>258.57362344245786</v>
      </c>
    </row>
    <row r="103" spans="1:10" ht="20.399999999999999">
      <c r="A103" s="426" t="s">
        <v>745</v>
      </c>
      <c r="B103" s="427">
        <f>2227221950.14</f>
        <v>2227221950.1399999</v>
      </c>
      <c r="C103" s="427">
        <f>2700510720.53</f>
        <v>2700510720.5300002</v>
      </c>
      <c r="D103" s="424" t="s">
        <v>597</v>
      </c>
      <c r="E103" s="424" t="s">
        <v>597</v>
      </c>
      <c r="F103" s="424" t="s">
        <v>597</v>
      </c>
      <c r="G103" s="424" t="s">
        <v>597</v>
      </c>
      <c r="H103" s="424" t="s">
        <v>597</v>
      </c>
      <c r="I103" s="472">
        <f t="shared" si="11"/>
        <v>9.0331848242710855</v>
      </c>
      <c r="J103" s="411">
        <f t="shared" si="12"/>
        <v>121.25018435456109</v>
      </c>
    </row>
    <row r="104" spans="1:10">
      <c r="A104" s="426" t="s">
        <v>635</v>
      </c>
      <c r="B104" s="427">
        <f>0</f>
        <v>0</v>
      </c>
      <c r="C104" s="427">
        <f>0</f>
        <v>0</v>
      </c>
      <c r="D104" s="424" t="s">
        <v>597</v>
      </c>
      <c r="E104" s="424" t="s">
        <v>597</v>
      </c>
      <c r="F104" s="424" t="s">
        <v>597</v>
      </c>
      <c r="G104" s="424" t="s">
        <v>597</v>
      </c>
      <c r="H104" s="424" t="s">
        <v>597</v>
      </c>
      <c r="I104" s="472">
        <f t="shared" si="11"/>
        <v>0</v>
      </c>
      <c r="J104" s="411" t="str">
        <f t="shared" si="12"/>
        <v/>
      </c>
    </row>
    <row r="105" spans="1:10" ht="20.399999999999999">
      <c r="A105" s="426" t="s">
        <v>746</v>
      </c>
      <c r="B105" s="427">
        <f>6296394216.71</f>
        <v>6296394216.71</v>
      </c>
      <c r="C105" s="427">
        <f>12484137158.36</f>
        <v>12484137158.360001</v>
      </c>
      <c r="D105" s="424" t="s">
        <v>597</v>
      </c>
      <c r="E105" s="424" t="s">
        <v>597</v>
      </c>
      <c r="F105" s="424" t="s">
        <v>597</v>
      </c>
      <c r="G105" s="424" t="s">
        <v>597</v>
      </c>
      <c r="H105" s="424" t="s">
        <v>597</v>
      </c>
      <c r="I105" s="472">
        <f t="shared" si="11"/>
        <v>41.759329991063268</v>
      </c>
      <c r="J105" s="411">
        <f t="shared" si="12"/>
        <v>198.27438893880483</v>
      </c>
    </row>
    <row r="106" spans="1:10" ht="40.799999999999997">
      <c r="A106" s="426" t="s">
        <v>747</v>
      </c>
      <c r="B106" s="427">
        <f>0</f>
        <v>0</v>
      </c>
      <c r="C106" s="427">
        <f>0</f>
        <v>0</v>
      </c>
      <c r="D106" s="424" t="s">
        <v>597</v>
      </c>
      <c r="E106" s="424" t="s">
        <v>597</v>
      </c>
      <c r="F106" s="424" t="s">
        <v>597</v>
      </c>
      <c r="G106" s="424" t="s">
        <v>597</v>
      </c>
      <c r="H106" s="424" t="s">
        <v>597</v>
      </c>
      <c r="I106" s="472"/>
      <c r="J106" s="411"/>
    </row>
    <row r="107" spans="1:10">
      <c r="A107" s="426" t="s">
        <v>638</v>
      </c>
      <c r="B107" s="427">
        <f>515620629.14</f>
        <v>515620629.13999999</v>
      </c>
      <c r="C107" s="427">
        <f>545480101.46</f>
        <v>545480101.46000004</v>
      </c>
      <c r="D107" s="424" t="s">
        <v>597</v>
      </c>
      <c r="E107" s="424" t="s">
        <v>597</v>
      </c>
      <c r="F107" s="424" t="s">
        <v>597</v>
      </c>
      <c r="G107" s="424" t="s">
        <v>597</v>
      </c>
      <c r="H107" s="424" t="s">
        <v>597</v>
      </c>
      <c r="I107" s="472"/>
      <c r="J107" s="411"/>
    </row>
    <row r="108" spans="1:10">
      <c r="A108" s="428" t="s">
        <v>639</v>
      </c>
      <c r="B108" s="427">
        <f>501182461.89</f>
        <v>501182461.88999999</v>
      </c>
      <c r="C108" s="427">
        <f>530205245.41</f>
        <v>530205245.41000003</v>
      </c>
      <c r="D108" s="424" t="s">
        <v>597</v>
      </c>
      <c r="E108" s="424" t="s">
        <v>597</v>
      </c>
      <c r="F108" s="424" t="s">
        <v>597</v>
      </c>
      <c r="G108" s="424" t="s">
        <v>597</v>
      </c>
      <c r="H108" s="424" t="s">
        <v>597</v>
      </c>
      <c r="I108" s="472">
        <f t="shared" si="11"/>
        <v>1.7735319249710537</v>
      </c>
      <c r="J108" s="411">
        <f t="shared" si="12"/>
        <v>105.79086175732341</v>
      </c>
    </row>
    <row r="109" spans="1:10" ht="27.6">
      <c r="A109" s="471" t="s">
        <v>640</v>
      </c>
      <c r="B109" s="424">
        <f>7255117184.22</f>
        <v>7255117184.2200003</v>
      </c>
      <c r="C109" s="424">
        <f>6996102279.71</f>
        <v>6996102279.71</v>
      </c>
      <c r="D109" s="424" t="s">
        <v>597</v>
      </c>
      <c r="E109" s="424" t="s">
        <v>597</v>
      </c>
      <c r="F109" s="424" t="s">
        <v>597</v>
      </c>
      <c r="G109" s="424" t="s">
        <v>597</v>
      </c>
      <c r="H109" s="424" t="s">
        <v>597</v>
      </c>
      <c r="I109" s="472">
        <f t="shared" ref="I109:I114" si="13">IF($C$109=0,"",100*$C109/$C$109)</f>
        <v>100</v>
      </c>
      <c r="J109" s="411">
        <f t="shared" si="12"/>
        <v>96.429900469790311</v>
      </c>
    </row>
    <row r="110" spans="1:10" ht="30.6">
      <c r="A110" s="426" t="s">
        <v>748</v>
      </c>
      <c r="B110" s="427">
        <f>6309222208.86</f>
        <v>6309222208.8599997</v>
      </c>
      <c r="C110" s="427">
        <f>6198388983.28</f>
        <v>6198388983.2799997</v>
      </c>
      <c r="D110" s="424" t="s">
        <v>597</v>
      </c>
      <c r="E110" s="424" t="s">
        <v>597</v>
      </c>
      <c r="F110" s="424" t="s">
        <v>597</v>
      </c>
      <c r="G110" s="424" t="s">
        <v>597</v>
      </c>
      <c r="H110" s="424" t="s">
        <v>597</v>
      </c>
      <c r="I110" s="472">
        <f t="shared" si="13"/>
        <v>88.597746794761463</v>
      </c>
      <c r="J110" s="411">
        <f t="shared" si="12"/>
        <v>98.243313963100604</v>
      </c>
    </row>
    <row r="111" spans="1:10">
      <c r="A111" s="428" t="s">
        <v>642</v>
      </c>
      <c r="B111" s="427">
        <f>190718766.16</f>
        <v>190718766.16</v>
      </c>
      <c r="C111" s="427">
        <f>189984763.16</f>
        <v>189984763.16</v>
      </c>
      <c r="D111" s="424" t="s">
        <v>597</v>
      </c>
      <c r="E111" s="424" t="s">
        <v>597</v>
      </c>
      <c r="F111" s="424" t="s">
        <v>597</v>
      </c>
      <c r="G111" s="424" t="s">
        <v>597</v>
      </c>
      <c r="H111" s="424" t="s">
        <v>597</v>
      </c>
      <c r="I111" s="472">
        <f t="shared" si="13"/>
        <v>2.7155801268227768</v>
      </c>
      <c r="J111" s="411">
        <f t="shared" si="12"/>
        <v>99.615138554648468</v>
      </c>
    </row>
    <row r="112" spans="1:10">
      <c r="A112" s="426" t="s">
        <v>643</v>
      </c>
      <c r="B112" s="427">
        <f>123587797.51</f>
        <v>123587797.51000001</v>
      </c>
      <c r="C112" s="427">
        <f>117491074.46</f>
        <v>117491074.45999999</v>
      </c>
      <c r="D112" s="424" t="s">
        <v>597</v>
      </c>
      <c r="E112" s="424" t="s">
        <v>597</v>
      </c>
      <c r="F112" s="424" t="s">
        <v>597</v>
      </c>
      <c r="G112" s="424" t="s">
        <v>597</v>
      </c>
      <c r="H112" s="424" t="s">
        <v>597</v>
      </c>
      <c r="I112" s="472">
        <f t="shared" si="13"/>
        <v>1.6793790279588394</v>
      </c>
      <c r="J112" s="411">
        <f t="shared" si="12"/>
        <v>95.066889148577403</v>
      </c>
    </row>
    <row r="113" spans="1:10">
      <c r="A113" s="426" t="s">
        <v>644</v>
      </c>
      <c r="B113" s="427">
        <f>822307177.85</f>
        <v>822307177.85000002</v>
      </c>
      <c r="C113" s="427">
        <f>680222221.97</f>
        <v>680222221.97000003</v>
      </c>
      <c r="D113" s="424" t="s">
        <v>597</v>
      </c>
      <c r="E113" s="424" t="s">
        <v>597</v>
      </c>
      <c r="F113" s="424" t="s">
        <v>597</v>
      </c>
      <c r="G113" s="424" t="s">
        <v>597</v>
      </c>
      <c r="H113" s="424" t="s">
        <v>597</v>
      </c>
      <c r="I113" s="472">
        <f t="shared" si="13"/>
        <v>9.7228741772796994</v>
      </c>
      <c r="J113" s="411">
        <f t="shared" si="12"/>
        <v>82.721182581490467</v>
      </c>
    </row>
    <row r="114" spans="1:10">
      <c r="A114" s="428" t="s">
        <v>645</v>
      </c>
      <c r="B114" s="427">
        <f>682248135.53</f>
        <v>682248135.52999997</v>
      </c>
      <c r="C114" s="427">
        <f>645231049.81</f>
        <v>645231049.80999994</v>
      </c>
      <c r="D114" s="424" t="s">
        <v>597</v>
      </c>
      <c r="E114" s="424" t="s">
        <v>597</v>
      </c>
      <c r="F114" s="424" t="s">
        <v>597</v>
      </c>
      <c r="G114" s="424" t="s">
        <v>597</v>
      </c>
      <c r="H114" s="424" t="s">
        <v>597</v>
      </c>
      <c r="I114" s="472">
        <f t="shared" si="13"/>
        <v>9.222721795838952</v>
      </c>
      <c r="J114" s="411">
        <f>IF(B114=0,"",100*C114/B114)</f>
        <v>94.574248899743267</v>
      </c>
    </row>
    <row r="116" spans="1:10">
      <c r="A116" s="417" t="s">
        <v>1</v>
      </c>
      <c r="B116" s="421" t="s">
        <v>627</v>
      </c>
      <c r="C116" s="1740" t="s">
        <v>628</v>
      </c>
    </row>
    <row r="117" spans="1:10">
      <c r="A117" s="417"/>
      <c r="B117" s="2086" t="s">
        <v>163</v>
      </c>
      <c r="C117" s="2094"/>
    </row>
    <row r="118" spans="1:10">
      <c r="A118" s="1743">
        <v>1</v>
      </c>
      <c r="B118" s="470">
        <v>2</v>
      </c>
      <c r="C118" s="423">
        <v>3</v>
      </c>
    </row>
    <row r="119" spans="1:10" ht="30.6">
      <c r="A119" s="429" t="s">
        <v>646</v>
      </c>
      <c r="B119" s="427">
        <f>14438470679.03</f>
        <v>14438470679.030001</v>
      </c>
      <c r="C119" s="404">
        <f>3877263699.56</f>
        <v>3877263699.5599999</v>
      </c>
    </row>
    <row r="120" spans="1:10" ht="20.399999999999999">
      <c r="A120" s="430" t="s">
        <v>647</v>
      </c>
      <c r="B120" s="427">
        <f>206715302.09</f>
        <v>206715302.09</v>
      </c>
      <c r="C120" s="404">
        <f>80699476.6</f>
        <v>80699476.599999994</v>
      </c>
    </row>
    <row r="121" spans="1:10">
      <c r="A121" s="430" t="s">
        <v>648</v>
      </c>
      <c r="B121" s="427">
        <f>5536652275.61</f>
        <v>5536652275.6099997</v>
      </c>
      <c r="C121" s="404">
        <f>1919724953.44</f>
        <v>1919724953.4400001</v>
      </c>
    </row>
    <row r="122" spans="1:10" ht="20.399999999999999">
      <c r="A122" s="430" t="s">
        <v>649</v>
      </c>
      <c r="B122" s="427">
        <f>0</f>
        <v>0</v>
      </c>
      <c r="C122" s="404">
        <f>0</f>
        <v>0</v>
      </c>
    </row>
    <row r="123" spans="1:10" ht="30.6">
      <c r="A123" s="430" t="s">
        <v>650</v>
      </c>
      <c r="B123" s="427">
        <f>2111206173.76</f>
        <v>2111206173.76</v>
      </c>
      <c r="C123" s="404">
        <f>314132023.77</f>
        <v>314132023.76999998</v>
      </c>
    </row>
    <row r="124" spans="1:10" ht="51">
      <c r="A124" s="430" t="s">
        <v>651</v>
      </c>
      <c r="B124" s="427">
        <f>4342278267.15</f>
        <v>4342278267.1499996</v>
      </c>
      <c r="C124" s="404">
        <f>763218474.48</f>
        <v>763218474.48000002</v>
      </c>
    </row>
    <row r="125" spans="1:10" ht="91.8">
      <c r="A125" s="430" t="s">
        <v>652</v>
      </c>
      <c r="B125" s="427">
        <f>1963190903.12</f>
        <v>1963190903.1199999</v>
      </c>
      <c r="C125" s="404">
        <f>730568325.94</f>
        <v>730568325.94000006</v>
      </c>
    </row>
    <row r="126" spans="1:10">
      <c r="A126" s="430" t="s">
        <v>653</v>
      </c>
      <c r="B126" s="427">
        <f>54204551.55</f>
        <v>54204551.549999997</v>
      </c>
      <c r="C126" s="404">
        <f>7228543.47</f>
        <v>7228543.4699999997</v>
      </c>
    </row>
    <row r="127" spans="1:10">
      <c r="A127" s="430" t="s">
        <v>639</v>
      </c>
      <c r="B127" s="427">
        <f>224223205.75</f>
        <v>224223205.75</v>
      </c>
      <c r="C127" s="404">
        <f>61691901.86</f>
        <v>61691901.859999999</v>
      </c>
    </row>
    <row r="129" spans="1:4">
      <c r="A129" s="2255" t="s">
        <v>884</v>
      </c>
      <c r="B129" s="2255"/>
      <c r="C129" s="2255"/>
      <c r="D129" s="2255"/>
    </row>
  </sheetData>
  <mergeCells count="26">
    <mergeCell ref="E60:G60"/>
    <mergeCell ref="H60:H62"/>
    <mergeCell ref="B117:C117"/>
    <mergeCell ref="A129:D129"/>
    <mergeCell ref="A79:A80"/>
    <mergeCell ref="B79:C79"/>
    <mergeCell ref="D79:E79"/>
    <mergeCell ref="A84:A85"/>
    <mergeCell ref="B84:C84"/>
    <mergeCell ref="D84:E84"/>
    <mergeCell ref="A3:A4"/>
    <mergeCell ref="B4:H4"/>
    <mergeCell ref="I4:K4"/>
    <mergeCell ref="A60:A63"/>
    <mergeCell ref="D95:H97"/>
    <mergeCell ref="B96:C96"/>
    <mergeCell ref="I96:J96"/>
    <mergeCell ref="I60:I62"/>
    <mergeCell ref="J60:J62"/>
    <mergeCell ref="E61:E62"/>
    <mergeCell ref="F61:G61"/>
    <mergeCell ref="B63:H63"/>
    <mergeCell ref="I63:J63"/>
    <mergeCell ref="B60:B62"/>
    <mergeCell ref="C60:C62"/>
    <mergeCell ref="D60:D6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rowBreaks count="4" manualBreakCount="4">
    <brk id="33" max="10" man="1"/>
    <brk id="58" max="10" man="1"/>
    <brk id="88" max="10" man="1"/>
    <brk id="10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F3E2-F3E2-4450-90D2-AF499C7A3C9C}">
  <dimension ref="A1:Q66"/>
  <sheetViews>
    <sheetView view="pageBreakPreview" topLeftCell="A16" zoomScale="90" zoomScaleNormal="100" zoomScaleSheetLayoutView="90" workbookViewId="0">
      <selection activeCell="A4" sqref="A4:Q21"/>
    </sheetView>
  </sheetViews>
  <sheetFormatPr defaultColWidth="9.21875" defaultRowHeight="13.8"/>
  <cols>
    <col min="1" max="1" width="24.21875" style="431" customWidth="1"/>
    <col min="2" max="2" width="11.44140625" style="431" customWidth="1"/>
    <col min="3" max="3" width="11.21875" style="431" customWidth="1"/>
    <col min="4" max="4" width="11.77734375" style="431" customWidth="1"/>
    <col min="5" max="5" width="10.21875" style="431" customWidth="1"/>
    <col min="6" max="7" width="11.21875" style="431" bestFit="1" customWidth="1"/>
    <col min="8" max="8" width="9.44140625" style="431" bestFit="1" customWidth="1"/>
    <col min="9" max="9" width="11.77734375" style="431" customWidth="1"/>
    <col min="10" max="10" width="12" style="431" bestFit="1" customWidth="1"/>
    <col min="11" max="11" width="11.44140625" style="431" bestFit="1" customWidth="1"/>
    <col min="12" max="12" width="13.21875" style="431" customWidth="1"/>
    <col min="13" max="13" width="12" style="431" bestFit="1" customWidth="1"/>
    <col min="14" max="14" width="10.21875" style="431" bestFit="1" customWidth="1"/>
    <col min="15" max="15" width="11.77734375" style="431" customWidth="1"/>
    <col min="16" max="16" width="12.21875" style="431" bestFit="1" customWidth="1"/>
    <col min="17" max="17" width="9.5546875" style="431" bestFit="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1746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1746"/>
      <c r="O2" s="1746"/>
      <c r="P2" s="1746"/>
      <c r="Q2" s="1746"/>
    </row>
    <row r="3" spans="1:17">
      <c r="B3" s="1746"/>
      <c r="C3" s="2106"/>
      <c r="D3" s="2106"/>
      <c r="E3" s="2106"/>
      <c r="F3" s="2106"/>
      <c r="G3" s="2106"/>
      <c r="H3" s="2106"/>
      <c r="I3" s="2106"/>
      <c r="J3" s="2106"/>
      <c r="K3" s="2106"/>
      <c r="L3" s="2106"/>
      <c r="M3" s="2106"/>
      <c r="N3" s="1746"/>
      <c r="O3" s="1746"/>
      <c r="P3" s="1746"/>
      <c r="Q3" s="1746"/>
    </row>
    <row r="4" spans="1:17">
      <c r="A4" s="2107" t="s">
        <v>1</v>
      </c>
      <c r="B4" s="2110" t="s">
        <v>655</v>
      </c>
      <c r="C4" s="2113" t="s">
        <v>656</v>
      </c>
      <c r="D4" s="2114"/>
      <c r="E4" s="2114"/>
      <c r="F4" s="2114"/>
      <c r="G4" s="2114"/>
      <c r="H4" s="2114"/>
      <c r="I4" s="2114"/>
      <c r="J4" s="2114"/>
      <c r="K4" s="2114"/>
      <c r="L4" s="2114"/>
      <c r="M4" s="2114"/>
      <c r="N4" s="2115"/>
      <c r="O4" s="2113" t="s">
        <v>657</v>
      </c>
      <c r="P4" s="2114"/>
      <c r="Q4" s="2115"/>
    </row>
    <row r="5" spans="1:17">
      <c r="A5" s="2108"/>
      <c r="B5" s="2111"/>
      <c r="C5" s="2112" t="s">
        <v>658</v>
      </c>
      <c r="D5" s="2112" t="s">
        <v>659</v>
      </c>
      <c r="E5" s="2112" t="s">
        <v>660</v>
      </c>
      <c r="F5" s="2112" t="s">
        <v>661</v>
      </c>
      <c r="G5" s="2112" t="s">
        <v>662</v>
      </c>
      <c r="H5" s="2112" t="s">
        <v>663</v>
      </c>
      <c r="I5" s="2117" t="s">
        <v>664</v>
      </c>
      <c r="J5" s="2112" t="s">
        <v>665</v>
      </c>
      <c r="K5" s="2112" t="s">
        <v>666</v>
      </c>
      <c r="L5" s="2112" t="s">
        <v>667</v>
      </c>
      <c r="M5" s="2112" t="s">
        <v>668</v>
      </c>
      <c r="N5" s="2111" t="s">
        <v>669</v>
      </c>
      <c r="O5" s="2116" t="s">
        <v>670</v>
      </c>
      <c r="P5" s="2116" t="s">
        <v>671</v>
      </c>
      <c r="Q5" s="2116" t="s">
        <v>672</v>
      </c>
    </row>
    <row r="6" spans="1:17">
      <c r="A6" s="2108"/>
      <c r="B6" s="2111"/>
      <c r="C6" s="2116"/>
      <c r="D6" s="2116"/>
      <c r="E6" s="2116"/>
      <c r="F6" s="2116"/>
      <c r="G6" s="2116"/>
      <c r="H6" s="2116"/>
      <c r="I6" s="2117"/>
      <c r="J6" s="2116"/>
      <c r="K6" s="2116"/>
      <c r="L6" s="2116"/>
      <c r="M6" s="2116"/>
      <c r="N6" s="2111"/>
      <c r="O6" s="2116"/>
      <c r="P6" s="2116"/>
      <c r="Q6" s="2116"/>
    </row>
    <row r="7" spans="1:17">
      <c r="A7" s="2108"/>
      <c r="B7" s="2111"/>
      <c r="C7" s="2116"/>
      <c r="D7" s="2116"/>
      <c r="E7" s="2116"/>
      <c r="F7" s="2116"/>
      <c r="G7" s="2116"/>
      <c r="H7" s="2116"/>
      <c r="I7" s="2117"/>
      <c r="J7" s="2116"/>
      <c r="K7" s="2116"/>
      <c r="L7" s="2116"/>
      <c r="M7" s="2116"/>
      <c r="N7" s="2111"/>
      <c r="O7" s="2116"/>
      <c r="P7" s="2116"/>
      <c r="Q7" s="2116"/>
    </row>
    <row r="8" spans="1:17">
      <c r="A8" s="2108"/>
      <c r="B8" s="2111"/>
      <c r="C8" s="2116"/>
      <c r="D8" s="2116"/>
      <c r="E8" s="2116"/>
      <c r="F8" s="2116"/>
      <c r="G8" s="2116"/>
      <c r="H8" s="2116"/>
      <c r="I8" s="2117"/>
      <c r="J8" s="2116"/>
      <c r="K8" s="2116"/>
      <c r="L8" s="2116"/>
      <c r="M8" s="2116"/>
      <c r="N8" s="2111"/>
      <c r="O8" s="2116"/>
      <c r="P8" s="2116"/>
      <c r="Q8" s="2116"/>
    </row>
    <row r="9" spans="1:17" ht="37.5" customHeight="1">
      <c r="A9" s="2109"/>
      <c r="B9" s="2112"/>
      <c r="C9" s="2116"/>
      <c r="D9" s="2116"/>
      <c r="E9" s="2116"/>
      <c r="F9" s="2116"/>
      <c r="G9" s="2116"/>
      <c r="H9" s="2116"/>
      <c r="I9" s="2118"/>
      <c r="J9" s="2116"/>
      <c r="K9" s="2116"/>
      <c r="L9" s="2116"/>
      <c r="M9" s="2116"/>
      <c r="N9" s="2112"/>
      <c r="O9" s="2116"/>
      <c r="P9" s="2116"/>
      <c r="Q9" s="2116"/>
    </row>
    <row r="10" spans="1:17">
      <c r="A10" s="2071">
        <v>1</v>
      </c>
      <c r="B10" s="2071">
        <v>2</v>
      </c>
      <c r="C10" s="2071">
        <v>3</v>
      </c>
      <c r="D10" s="2071">
        <v>4</v>
      </c>
      <c r="E10" s="2071">
        <v>5</v>
      </c>
      <c r="F10" s="2071">
        <v>6</v>
      </c>
      <c r="G10" s="2071">
        <v>7</v>
      </c>
      <c r="H10" s="2071">
        <v>8</v>
      </c>
      <c r="I10" s="2071">
        <v>9</v>
      </c>
      <c r="J10" s="2071">
        <v>10</v>
      </c>
      <c r="K10" s="2071">
        <v>11</v>
      </c>
      <c r="L10" s="2071">
        <v>12</v>
      </c>
      <c r="M10" s="2071">
        <v>13</v>
      </c>
      <c r="N10" s="2071">
        <v>14</v>
      </c>
      <c r="O10" s="2071">
        <v>15</v>
      </c>
      <c r="P10" s="2071">
        <v>16</v>
      </c>
      <c r="Q10" s="2071">
        <v>17</v>
      </c>
    </row>
    <row r="11" spans="1:17" ht="29.25" customHeight="1">
      <c r="A11" s="433" t="s">
        <v>673</v>
      </c>
      <c r="B11" s="434">
        <f>115537395847.4</f>
        <v>115537395847.39999</v>
      </c>
      <c r="C11" s="434">
        <f>91568635564.92</f>
        <v>91568635564.919998</v>
      </c>
      <c r="D11" s="434">
        <f>3539048749.25</f>
        <v>3539048749.25</v>
      </c>
      <c r="E11" s="434">
        <f>1136076010.38</f>
        <v>1136076010.3800001</v>
      </c>
      <c r="F11" s="434">
        <f>622497441.23</f>
        <v>622497441.23000002</v>
      </c>
      <c r="G11" s="434">
        <f>1778254541.4</f>
        <v>1778254541.4000001</v>
      </c>
      <c r="H11" s="434">
        <f>2220756.24</f>
        <v>2220756.2400000002</v>
      </c>
      <c r="I11" s="434">
        <f>0</f>
        <v>0</v>
      </c>
      <c r="J11" s="434">
        <f>83709103598.87</f>
        <v>83709103598.869995</v>
      </c>
      <c r="K11" s="434">
        <f>3296649376.8</f>
        <v>3296649376.8000002</v>
      </c>
      <c r="L11" s="434">
        <f>980183857.59</f>
        <v>980183857.59000003</v>
      </c>
      <c r="M11" s="434">
        <f>29058788.48</f>
        <v>29058788.48</v>
      </c>
      <c r="N11" s="434">
        <f>14591193.93</f>
        <v>14591193.93</v>
      </c>
      <c r="O11" s="434">
        <f>23968760282.48</f>
        <v>23968760282.48</v>
      </c>
      <c r="P11" s="434">
        <f>23968759244.71</f>
        <v>23968759244.709999</v>
      </c>
      <c r="Q11" s="434">
        <f>1037.77</f>
        <v>1037.77</v>
      </c>
    </row>
    <row r="12" spans="1:17">
      <c r="A12" s="433" t="s">
        <v>674</v>
      </c>
      <c r="B12" s="434">
        <f>9473873000</f>
        <v>9473873000</v>
      </c>
      <c r="C12" s="434">
        <f>9473873000</f>
        <v>9473873000</v>
      </c>
      <c r="D12" s="434">
        <f>0</f>
        <v>0</v>
      </c>
      <c r="E12" s="434">
        <f>0</f>
        <v>0</v>
      </c>
      <c r="F12" s="434">
        <f>0</f>
        <v>0</v>
      </c>
      <c r="G12" s="434">
        <f>0</f>
        <v>0</v>
      </c>
      <c r="H12" s="434">
        <f>0</f>
        <v>0</v>
      </c>
      <c r="I12" s="434">
        <f>0</f>
        <v>0</v>
      </c>
      <c r="J12" s="434">
        <f>9281323000</f>
        <v>9281323000</v>
      </c>
      <c r="K12" s="434">
        <f>192550000</f>
        <v>192550000</v>
      </c>
      <c r="L12" s="434">
        <f>0</f>
        <v>0</v>
      </c>
      <c r="M12" s="434">
        <f>0</f>
        <v>0</v>
      </c>
      <c r="N12" s="434">
        <f>0</f>
        <v>0</v>
      </c>
      <c r="O12" s="434">
        <f>0</f>
        <v>0</v>
      </c>
      <c r="P12" s="434">
        <f>0</f>
        <v>0</v>
      </c>
      <c r="Q12" s="434">
        <f>0</f>
        <v>0</v>
      </c>
    </row>
    <row r="13" spans="1:17">
      <c r="A13" s="435" t="s">
        <v>675</v>
      </c>
      <c r="B13" s="434">
        <f>650000</f>
        <v>650000</v>
      </c>
      <c r="C13" s="434">
        <f>650000</f>
        <v>650000</v>
      </c>
      <c r="D13" s="434">
        <f>0</f>
        <v>0</v>
      </c>
      <c r="E13" s="434">
        <f>0</f>
        <v>0</v>
      </c>
      <c r="F13" s="434">
        <f>0</f>
        <v>0</v>
      </c>
      <c r="G13" s="434">
        <f>0</f>
        <v>0</v>
      </c>
      <c r="H13" s="434">
        <f>0</f>
        <v>0</v>
      </c>
      <c r="I13" s="434">
        <f>0</f>
        <v>0</v>
      </c>
      <c r="J13" s="434">
        <f>0</f>
        <v>0</v>
      </c>
      <c r="K13" s="434">
        <f>650000</f>
        <v>650000</v>
      </c>
      <c r="L13" s="434">
        <f>0</f>
        <v>0</v>
      </c>
      <c r="M13" s="434">
        <f>0</f>
        <v>0</v>
      </c>
      <c r="N13" s="434">
        <f>0</f>
        <v>0</v>
      </c>
      <c r="O13" s="434">
        <f>0</f>
        <v>0</v>
      </c>
      <c r="P13" s="434">
        <f>0</f>
        <v>0</v>
      </c>
      <c r="Q13" s="434">
        <f>0</f>
        <v>0</v>
      </c>
    </row>
    <row r="14" spans="1:17">
      <c r="A14" s="435" t="s">
        <v>676</v>
      </c>
      <c r="B14" s="434">
        <f>9473223000</f>
        <v>9473223000</v>
      </c>
      <c r="C14" s="434">
        <f>9473223000</f>
        <v>9473223000</v>
      </c>
      <c r="D14" s="434">
        <f>0</f>
        <v>0</v>
      </c>
      <c r="E14" s="434">
        <f>0</f>
        <v>0</v>
      </c>
      <c r="F14" s="434">
        <f>0</f>
        <v>0</v>
      </c>
      <c r="G14" s="434">
        <f>0</f>
        <v>0</v>
      </c>
      <c r="H14" s="434">
        <f>0</f>
        <v>0</v>
      </c>
      <c r="I14" s="434">
        <f>0</f>
        <v>0</v>
      </c>
      <c r="J14" s="434">
        <f>9281323000</f>
        <v>9281323000</v>
      </c>
      <c r="K14" s="434">
        <f>191900000</f>
        <v>191900000</v>
      </c>
      <c r="L14" s="434">
        <f>0</f>
        <v>0</v>
      </c>
      <c r="M14" s="434">
        <f>0</f>
        <v>0</v>
      </c>
      <c r="N14" s="434">
        <f>0</f>
        <v>0</v>
      </c>
      <c r="O14" s="434">
        <f>0</f>
        <v>0</v>
      </c>
      <c r="P14" s="434">
        <f>0</f>
        <v>0</v>
      </c>
      <c r="Q14" s="434">
        <f>0</f>
        <v>0</v>
      </c>
    </row>
    <row r="15" spans="1:17">
      <c r="A15" s="433" t="s">
        <v>677</v>
      </c>
      <c r="B15" s="434">
        <f>106000653040.41</f>
        <v>106000653040.41</v>
      </c>
      <c r="C15" s="434">
        <f>82031893795.7</f>
        <v>82031893795.699997</v>
      </c>
      <c r="D15" s="434">
        <f>3515623732.95</f>
        <v>3515623732.9499998</v>
      </c>
      <c r="E15" s="434">
        <f>1135559085.19</f>
        <v>1135559085.1900001</v>
      </c>
      <c r="F15" s="434">
        <f>622466416.3</f>
        <v>622466416.29999995</v>
      </c>
      <c r="G15" s="434">
        <f>1757598231.46</f>
        <v>1757598231.46</v>
      </c>
      <c r="H15" s="434">
        <f>0</f>
        <v>0</v>
      </c>
      <c r="I15" s="434">
        <f>0</f>
        <v>0</v>
      </c>
      <c r="J15" s="434">
        <f>74427723487.69</f>
        <v>74427723487.690002</v>
      </c>
      <c r="K15" s="434">
        <f>3104037818.1</f>
        <v>3104037818.0999999</v>
      </c>
      <c r="L15" s="434">
        <f>954248212.67</f>
        <v>954248212.66999996</v>
      </c>
      <c r="M15" s="434">
        <f>17469051.95</f>
        <v>17469051.949999999</v>
      </c>
      <c r="N15" s="434">
        <f>12791492.34</f>
        <v>12791492.34</v>
      </c>
      <c r="O15" s="434">
        <f>23968759244.71</f>
        <v>23968759244.709999</v>
      </c>
      <c r="P15" s="434">
        <f>23968759244.71</f>
        <v>23968759244.709999</v>
      </c>
      <c r="Q15" s="434">
        <f>0</f>
        <v>0</v>
      </c>
    </row>
    <row r="16" spans="1:17">
      <c r="A16" s="435" t="s">
        <v>678</v>
      </c>
      <c r="B16" s="434">
        <f>133917060.59</f>
        <v>133917060.59</v>
      </c>
      <c r="C16" s="434">
        <f>133917060.59</f>
        <v>133917060.59</v>
      </c>
      <c r="D16" s="434">
        <f>11599588.89</f>
        <v>11599588.890000001</v>
      </c>
      <c r="E16" s="434">
        <f>3439306.09</f>
        <v>3439306.09</v>
      </c>
      <c r="F16" s="434">
        <f>142180.17</f>
        <v>142180.17000000001</v>
      </c>
      <c r="G16" s="434">
        <f>8018102.63</f>
        <v>8018102.6299999999</v>
      </c>
      <c r="H16" s="434">
        <f>0</f>
        <v>0</v>
      </c>
      <c r="I16" s="434">
        <f>0</f>
        <v>0</v>
      </c>
      <c r="J16" s="434">
        <f>102083814.42</f>
        <v>102083814.42</v>
      </c>
      <c r="K16" s="434">
        <f>1400000</f>
        <v>1400000</v>
      </c>
      <c r="L16" s="434">
        <f>17157075.4</f>
        <v>17157075.399999999</v>
      </c>
      <c r="M16" s="434">
        <f>1596581.88</f>
        <v>1596581.88</v>
      </c>
      <c r="N16" s="434">
        <f>80000</f>
        <v>80000</v>
      </c>
      <c r="O16" s="434">
        <f>0</f>
        <v>0</v>
      </c>
      <c r="P16" s="434">
        <f>0</f>
        <v>0</v>
      </c>
      <c r="Q16" s="434">
        <f>0</f>
        <v>0</v>
      </c>
    </row>
    <row r="17" spans="1:17">
      <c r="A17" s="435" t="s">
        <v>679</v>
      </c>
      <c r="B17" s="434">
        <f>105866735979.82</f>
        <v>105866735979.82001</v>
      </c>
      <c r="C17" s="434">
        <f>81897976735.11</f>
        <v>81897976735.110001</v>
      </c>
      <c r="D17" s="434">
        <f>3504024144.06</f>
        <v>3504024144.0599999</v>
      </c>
      <c r="E17" s="434">
        <f>1132119779.1</f>
        <v>1132119779.0999999</v>
      </c>
      <c r="F17" s="434">
        <f>622324236.13</f>
        <v>622324236.13</v>
      </c>
      <c r="G17" s="434">
        <f>1749580128.83</f>
        <v>1749580128.8299999</v>
      </c>
      <c r="H17" s="434">
        <f>0</f>
        <v>0</v>
      </c>
      <c r="I17" s="434">
        <f>0</f>
        <v>0</v>
      </c>
      <c r="J17" s="434">
        <f>74325639673.27</f>
        <v>74325639673.270004</v>
      </c>
      <c r="K17" s="434">
        <f>3102637818.1</f>
        <v>3102637818.0999999</v>
      </c>
      <c r="L17" s="434">
        <f>937091137.27</f>
        <v>937091137.26999998</v>
      </c>
      <c r="M17" s="434">
        <f>15872470.07</f>
        <v>15872470.07</v>
      </c>
      <c r="N17" s="434">
        <f>12711492.34</f>
        <v>12711492.34</v>
      </c>
      <c r="O17" s="434">
        <f>23968759244.71</f>
        <v>23968759244.709999</v>
      </c>
      <c r="P17" s="434">
        <f>23968759244.71</f>
        <v>23968759244.709999</v>
      </c>
      <c r="Q17" s="434">
        <f>0</f>
        <v>0</v>
      </c>
    </row>
    <row r="18" spans="1:17">
      <c r="A18" s="436" t="s">
        <v>680</v>
      </c>
      <c r="B18" s="434">
        <f>11500000</f>
        <v>11500000</v>
      </c>
      <c r="C18" s="434">
        <f>11500000</f>
        <v>11500000</v>
      </c>
      <c r="D18" s="434">
        <f>11500000</f>
        <v>11500000</v>
      </c>
      <c r="E18" s="434">
        <f>0</f>
        <v>0</v>
      </c>
      <c r="F18" s="434">
        <f>0</f>
        <v>0</v>
      </c>
      <c r="G18" s="434">
        <f>11500000</f>
        <v>11500000</v>
      </c>
      <c r="H18" s="434">
        <f>0</f>
        <v>0</v>
      </c>
      <c r="I18" s="434">
        <f>0</f>
        <v>0</v>
      </c>
      <c r="J18" s="434">
        <f>0</f>
        <v>0</v>
      </c>
      <c r="K18" s="434">
        <f>0</f>
        <v>0</v>
      </c>
      <c r="L18" s="434">
        <f>0</f>
        <v>0</v>
      </c>
      <c r="M18" s="434">
        <f>0</f>
        <v>0</v>
      </c>
      <c r="N18" s="434">
        <f>0</f>
        <v>0</v>
      </c>
      <c r="O18" s="434">
        <f>0</f>
        <v>0</v>
      </c>
      <c r="P18" s="434">
        <f>0</f>
        <v>0</v>
      </c>
      <c r="Q18" s="434">
        <f>0</f>
        <v>0</v>
      </c>
    </row>
    <row r="19" spans="1:17">
      <c r="A19" s="437" t="s">
        <v>681</v>
      </c>
      <c r="B19" s="434">
        <f>51369806.99</f>
        <v>51369806.990000002</v>
      </c>
      <c r="C19" s="434">
        <f>51368769.22</f>
        <v>51368769.219999999</v>
      </c>
      <c r="D19" s="434">
        <f>11925016.3</f>
        <v>11925016.300000001</v>
      </c>
      <c r="E19" s="434">
        <f>516925.19</f>
        <v>516925.19</v>
      </c>
      <c r="F19" s="434">
        <f>31024.93</f>
        <v>31024.93</v>
      </c>
      <c r="G19" s="434">
        <f>9156309.94</f>
        <v>9156309.9399999995</v>
      </c>
      <c r="H19" s="434">
        <f>2220756.24</f>
        <v>2220756.2400000002</v>
      </c>
      <c r="I19" s="434">
        <f>0</f>
        <v>0</v>
      </c>
      <c r="J19" s="434">
        <f>57111.18</f>
        <v>57111.18</v>
      </c>
      <c r="K19" s="434">
        <f>61558.7</f>
        <v>61558.7</v>
      </c>
      <c r="L19" s="434">
        <f>25935644.92</f>
        <v>25935644.920000002</v>
      </c>
      <c r="M19" s="434">
        <f>11589736.53</f>
        <v>11589736.529999999</v>
      </c>
      <c r="N19" s="434">
        <f>1799701.59</f>
        <v>1799701.59</v>
      </c>
      <c r="O19" s="434">
        <f>1037.77</f>
        <v>1037.77</v>
      </c>
      <c r="P19" s="434">
        <f>0</f>
        <v>0</v>
      </c>
      <c r="Q19" s="434">
        <f>1037.77</f>
        <v>1037.77</v>
      </c>
    </row>
    <row r="20" spans="1:17">
      <c r="A20" s="437" t="s">
        <v>682</v>
      </c>
      <c r="B20" s="434">
        <f>26466856.7</f>
        <v>26466856.699999999</v>
      </c>
      <c r="C20" s="434">
        <f>26466856.7</f>
        <v>26466856.699999999</v>
      </c>
      <c r="D20" s="434">
        <f>969880.47</f>
        <v>969880.47</v>
      </c>
      <c r="E20" s="434">
        <f>550.7</f>
        <v>550.70000000000005</v>
      </c>
      <c r="F20" s="434">
        <f>6933.98</f>
        <v>6933.98</v>
      </c>
      <c r="G20" s="434">
        <f>962395.79</f>
        <v>962395.79</v>
      </c>
      <c r="H20" s="434">
        <f>0</f>
        <v>0</v>
      </c>
      <c r="I20" s="434">
        <f>0</f>
        <v>0</v>
      </c>
      <c r="J20" s="434">
        <f>100</f>
        <v>100</v>
      </c>
      <c r="K20" s="434">
        <f>750.02</f>
        <v>750.02</v>
      </c>
      <c r="L20" s="434">
        <f>17522720.46</f>
        <v>17522720.460000001</v>
      </c>
      <c r="M20" s="434">
        <f>6205670.01</f>
        <v>6205670.0099999998</v>
      </c>
      <c r="N20" s="434">
        <f>1767735.74</f>
        <v>1767735.74</v>
      </c>
      <c r="O20" s="434">
        <f>0</f>
        <v>0</v>
      </c>
      <c r="P20" s="434">
        <f>0</f>
        <v>0</v>
      </c>
      <c r="Q20" s="434">
        <f>0</f>
        <v>0</v>
      </c>
    </row>
    <row r="21" spans="1:17">
      <c r="A21" s="437" t="s">
        <v>683</v>
      </c>
      <c r="B21" s="434">
        <f>24902950.29</f>
        <v>24902950.289999999</v>
      </c>
      <c r="C21" s="434">
        <f>24901912.52</f>
        <v>24901912.52</v>
      </c>
      <c r="D21" s="434">
        <f>10955135.83</f>
        <v>10955135.83</v>
      </c>
      <c r="E21" s="434">
        <f>516374.49</f>
        <v>516374.49</v>
      </c>
      <c r="F21" s="434">
        <f>24090.95</f>
        <v>24090.95</v>
      </c>
      <c r="G21" s="434">
        <f>8193914.15</f>
        <v>8193914.1500000004</v>
      </c>
      <c r="H21" s="434">
        <f>2220756.24</f>
        <v>2220756.2400000002</v>
      </c>
      <c r="I21" s="434">
        <f>0</f>
        <v>0</v>
      </c>
      <c r="J21" s="434">
        <f>57011.18</f>
        <v>57011.18</v>
      </c>
      <c r="K21" s="434">
        <f>60808.68</f>
        <v>60808.68</v>
      </c>
      <c r="L21" s="434">
        <f>8412924.46</f>
        <v>8412924.4600000009</v>
      </c>
      <c r="M21" s="434">
        <f>5384066.52</f>
        <v>5384066.5199999996</v>
      </c>
      <c r="N21" s="434">
        <f>31965.85</f>
        <v>31965.85</v>
      </c>
      <c r="O21" s="434">
        <f>1037.77</f>
        <v>1037.77</v>
      </c>
      <c r="P21" s="434">
        <f>0</f>
        <v>0</v>
      </c>
      <c r="Q21" s="434">
        <f>1037.77</f>
        <v>1037.77</v>
      </c>
    </row>
    <row r="22" spans="1:17">
      <c r="A22" s="438"/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</row>
    <row r="23" spans="1:17">
      <c r="A23" s="2119" t="s">
        <v>684</v>
      </c>
      <c r="B23" s="2119"/>
      <c r="C23" s="2119"/>
      <c r="D23" s="2119"/>
      <c r="E23" s="2119"/>
      <c r="F23" s="2119"/>
      <c r="G23" s="2119"/>
      <c r="H23" s="2119"/>
      <c r="I23" s="2119"/>
      <c r="J23" s="2119"/>
      <c r="K23" s="2119"/>
      <c r="L23" s="2119"/>
      <c r="M23" s="2119"/>
    </row>
    <row r="25" spans="1:17">
      <c r="A25" s="2107" t="s">
        <v>1</v>
      </c>
      <c r="B25" s="2110" t="s">
        <v>685</v>
      </c>
      <c r="C25" s="2120" t="s">
        <v>686</v>
      </c>
      <c r="D25" s="2121"/>
      <c r="E25" s="2121"/>
      <c r="F25" s="2121"/>
      <c r="G25" s="2121"/>
      <c r="H25" s="2121"/>
      <c r="I25" s="2121"/>
      <c r="J25" s="2121"/>
      <c r="K25" s="2121"/>
      <c r="L25" s="2121"/>
      <c r="M25" s="2121"/>
      <c r="N25" s="2122"/>
      <c r="O25" s="2120" t="s">
        <v>687</v>
      </c>
      <c r="P25" s="2121"/>
      <c r="Q25" s="2122"/>
    </row>
    <row r="26" spans="1:17">
      <c r="A26" s="2108"/>
      <c r="B26" s="2111"/>
      <c r="C26" s="2111" t="s">
        <v>688</v>
      </c>
      <c r="D26" s="2116" t="s">
        <v>689</v>
      </c>
      <c r="E26" s="2116" t="s">
        <v>690</v>
      </c>
      <c r="F26" s="2116" t="s">
        <v>691</v>
      </c>
      <c r="G26" s="2116" t="s">
        <v>692</v>
      </c>
      <c r="H26" s="2116" t="s">
        <v>663</v>
      </c>
      <c r="I26" s="2116" t="s">
        <v>693</v>
      </c>
      <c r="J26" s="2116" t="s">
        <v>665</v>
      </c>
      <c r="K26" s="2116" t="s">
        <v>666</v>
      </c>
      <c r="L26" s="2116" t="s">
        <v>667</v>
      </c>
      <c r="M26" s="2116" t="s">
        <v>668</v>
      </c>
      <c r="N26" s="2116" t="s">
        <v>669</v>
      </c>
      <c r="O26" s="2116" t="s">
        <v>670</v>
      </c>
      <c r="P26" s="2116" t="s">
        <v>671</v>
      </c>
      <c r="Q26" s="2110" t="s">
        <v>672</v>
      </c>
    </row>
    <row r="27" spans="1:17">
      <c r="A27" s="2108"/>
      <c r="B27" s="2111"/>
      <c r="C27" s="2111"/>
      <c r="D27" s="2116"/>
      <c r="E27" s="2116"/>
      <c r="F27" s="2116"/>
      <c r="G27" s="2116"/>
      <c r="H27" s="2116"/>
      <c r="I27" s="2116"/>
      <c r="J27" s="2116"/>
      <c r="K27" s="2116"/>
      <c r="L27" s="2116"/>
      <c r="M27" s="2116"/>
      <c r="N27" s="2116"/>
      <c r="O27" s="2116"/>
      <c r="P27" s="2116"/>
      <c r="Q27" s="2111"/>
    </row>
    <row r="28" spans="1:17">
      <c r="A28" s="2108"/>
      <c r="B28" s="2111"/>
      <c r="C28" s="2111"/>
      <c r="D28" s="2116"/>
      <c r="E28" s="2116"/>
      <c r="F28" s="2116"/>
      <c r="G28" s="2116"/>
      <c r="H28" s="2116"/>
      <c r="I28" s="2116"/>
      <c r="J28" s="2116"/>
      <c r="K28" s="2116"/>
      <c r="L28" s="2116"/>
      <c r="M28" s="2116"/>
      <c r="N28" s="2116"/>
      <c r="O28" s="2116"/>
      <c r="P28" s="2116"/>
      <c r="Q28" s="2111"/>
    </row>
    <row r="29" spans="1:17" ht="48.75" customHeight="1">
      <c r="A29" s="2109"/>
      <c r="B29" s="2112"/>
      <c r="C29" s="2112"/>
      <c r="D29" s="2116"/>
      <c r="E29" s="2116"/>
      <c r="F29" s="2116"/>
      <c r="G29" s="2116"/>
      <c r="H29" s="2116"/>
      <c r="I29" s="2116"/>
      <c r="J29" s="2116"/>
      <c r="K29" s="2116"/>
      <c r="L29" s="2116"/>
      <c r="M29" s="2116"/>
      <c r="N29" s="2116"/>
      <c r="O29" s="2116"/>
      <c r="P29" s="2116"/>
      <c r="Q29" s="2112"/>
    </row>
    <row r="30" spans="1:17">
      <c r="A30" s="2071">
        <v>1</v>
      </c>
      <c r="B30" s="2071">
        <v>2</v>
      </c>
      <c r="C30" s="2071">
        <v>3</v>
      </c>
      <c r="D30" s="2071">
        <v>4</v>
      </c>
      <c r="E30" s="2071">
        <v>5</v>
      </c>
      <c r="F30" s="2071">
        <v>6</v>
      </c>
      <c r="G30" s="2071">
        <v>7</v>
      </c>
      <c r="H30" s="2071">
        <v>8</v>
      </c>
      <c r="I30" s="2071">
        <v>9</v>
      </c>
      <c r="J30" s="2071">
        <v>10</v>
      </c>
      <c r="K30" s="2071">
        <v>11</v>
      </c>
      <c r="L30" s="2071">
        <v>12</v>
      </c>
      <c r="M30" s="2071">
        <v>13</v>
      </c>
      <c r="N30" s="2071">
        <v>14</v>
      </c>
      <c r="O30" s="2071">
        <v>15</v>
      </c>
      <c r="P30" s="2071">
        <v>16</v>
      </c>
      <c r="Q30" s="2071">
        <v>17</v>
      </c>
    </row>
    <row r="31" spans="1:17" ht="15.75" customHeight="1">
      <c r="A31" s="2484" t="s">
        <v>694</v>
      </c>
      <c r="B31" s="475">
        <f>70050013.13</f>
        <v>70050013.129999995</v>
      </c>
      <c r="C31" s="475">
        <f>70050013.13</f>
        <v>70050013.129999995</v>
      </c>
      <c r="D31" s="475">
        <f>0</f>
        <v>0</v>
      </c>
      <c r="E31" s="475">
        <f>0</f>
        <v>0</v>
      </c>
      <c r="F31" s="475">
        <f>0</f>
        <v>0</v>
      </c>
      <c r="G31" s="475">
        <f>0</f>
        <v>0</v>
      </c>
      <c r="H31" s="475">
        <f>0</f>
        <v>0</v>
      </c>
      <c r="I31" s="475">
        <f>0</f>
        <v>0</v>
      </c>
      <c r="J31" s="475">
        <f>69878205.9</f>
        <v>69878205.900000006</v>
      </c>
      <c r="K31" s="475">
        <f>0</f>
        <v>0</v>
      </c>
      <c r="L31" s="475">
        <f>158207.23</f>
        <v>158207.23000000001</v>
      </c>
      <c r="M31" s="475">
        <f>0</f>
        <v>0</v>
      </c>
      <c r="N31" s="475">
        <f>13600</f>
        <v>13600</v>
      </c>
      <c r="O31" s="475">
        <f>0</f>
        <v>0</v>
      </c>
      <c r="P31" s="475">
        <f>0</f>
        <v>0</v>
      </c>
      <c r="Q31" s="475">
        <f>0</f>
        <v>0</v>
      </c>
    </row>
    <row r="32" spans="1:17">
      <c r="A32" s="2485" t="s">
        <v>695</v>
      </c>
      <c r="B32" s="475">
        <f>0</f>
        <v>0</v>
      </c>
      <c r="C32" s="475">
        <f>0</f>
        <v>0</v>
      </c>
      <c r="D32" s="475">
        <f>0</f>
        <v>0</v>
      </c>
      <c r="E32" s="475">
        <f>0</f>
        <v>0</v>
      </c>
      <c r="F32" s="475">
        <f>0</f>
        <v>0</v>
      </c>
      <c r="G32" s="475">
        <f>0</f>
        <v>0</v>
      </c>
      <c r="H32" s="475">
        <f>0</f>
        <v>0</v>
      </c>
      <c r="I32" s="475">
        <f>0</f>
        <v>0</v>
      </c>
      <c r="J32" s="475">
        <f>0</f>
        <v>0</v>
      </c>
      <c r="K32" s="475">
        <f>0</f>
        <v>0</v>
      </c>
      <c r="L32" s="475">
        <f>0</f>
        <v>0</v>
      </c>
      <c r="M32" s="475">
        <f>0</f>
        <v>0</v>
      </c>
      <c r="N32" s="475">
        <f>0</f>
        <v>0</v>
      </c>
      <c r="O32" s="475">
        <f>0</f>
        <v>0</v>
      </c>
      <c r="P32" s="475">
        <f>0</f>
        <v>0</v>
      </c>
      <c r="Q32" s="475">
        <f>0</f>
        <v>0</v>
      </c>
    </row>
    <row r="33" spans="1:17">
      <c r="A33" s="2485" t="s">
        <v>696</v>
      </c>
      <c r="B33" s="475">
        <f>70050013.13</f>
        <v>70050013.129999995</v>
      </c>
      <c r="C33" s="475">
        <f>70050013.13</f>
        <v>70050013.129999995</v>
      </c>
      <c r="D33" s="475">
        <f>0</f>
        <v>0</v>
      </c>
      <c r="E33" s="475">
        <f>0</f>
        <v>0</v>
      </c>
      <c r="F33" s="475">
        <f>0</f>
        <v>0</v>
      </c>
      <c r="G33" s="475">
        <f>0</f>
        <v>0</v>
      </c>
      <c r="H33" s="475">
        <f>0</f>
        <v>0</v>
      </c>
      <c r="I33" s="475">
        <f>0</f>
        <v>0</v>
      </c>
      <c r="J33" s="475">
        <f>69878205.9</f>
        <v>69878205.900000006</v>
      </c>
      <c r="K33" s="475">
        <f>0</f>
        <v>0</v>
      </c>
      <c r="L33" s="475">
        <f>158207.23</f>
        <v>158207.23000000001</v>
      </c>
      <c r="M33" s="475">
        <f>0</f>
        <v>0</v>
      </c>
      <c r="N33" s="475">
        <f>13600</f>
        <v>13600</v>
      </c>
      <c r="O33" s="475">
        <f>0</f>
        <v>0</v>
      </c>
      <c r="P33" s="475">
        <f>0</f>
        <v>0</v>
      </c>
      <c r="Q33" s="475">
        <f>0</f>
        <v>0</v>
      </c>
    </row>
    <row r="34" spans="1:17">
      <c r="A34" s="2484" t="s">
        <v>697</v>
      </c>
      <c r="B34" s="475">
        <f>1925427226.8</f>
        <v>1925427226.8</v>
      </c>
      <c r="C34" s="475">
        <f>1925412065.05</f>
        <v>1925412065.05</v>
      </c>
      <c r="D34" s="475">
        <f>1184982659.9</f>
        <v>1184982659.9000001</v>
      </c>
      <c r="E34" s="475">
        <f>7513499.54</f>
        <v>7513499.54</v>
      </c>
      <c r="F34" s="475">
        <f>14875233.15</f>
        <v>14875233.15</v>
      </c>
      <c r="G34" s="475">
        <f>1158244427.21</f>
        <v>1158244427.21</v>
      </c>
      <c r="H34" s="475">
        <f>4349500</f>
        <v>4349500</v>
      </c>
      <c r="I34" s="475">
        <f>0</f>
        <v>0</v>
      </c>
      <c r="J34" s="475">
        <f>71537.72</f>
        <v>71537.72</v>
      </c>
      <c r="K34" s="475">
        <f>84030.5</f>
        <v>84030.5</v>
      </c>
      <c r="L34" s="475">
        <f>427101533.35</f>
        <v>427101533.35000002</v>
      </c>
      <c r="M34" s="475">
        <f>279123043.86</f>
        <v>279123043.86000001</v>
      </c>
      <c r="N34" s="475">
        <f>34049259.72</f>
        <v>34049259.719999999</v>
      </c>
      <c r="O34" s="475">
        <f>15161.75</f>
        <v>15161.75</v>
      </c>
      <c r="P34" s="475">
        <f>15161.75</f>
        <v>15161.75</v>
      </c>
      <c r="Q34" s="475">
        <f>0</f>
        <v>0</v>
      </c>
    </row>
    <row r="35" spans="1:17">
      <c r="A35" s="2485" t="s">
        <v>698</v>
      </c>
      <c r="B35" s="475">
        <f>106041048.83</f>
        <v>106041048.83</v>
      </c>
      <c r="C35" s="475">
        <f>106039986.3</f>
        <v>106039986.3</v>
      </c>
      <c r="D35" s="475">
        <f>58084667.63</f>
        <v>58084667.630000003</v>
      </c>
      <c r="E35" s="475">
        <f>4005822</f>
        <v>4005822</v>
      </c>
      <c r="F35" s="475">
        <f>0</f>
        <v>0</v>
      </c>
      <c r="G35" s="475">
        <f>49729345.63</f>
        <v>49729345.630000003</v>
      </c>
      <c r="H35" s="475">
        <f>4349500</f>
        <v>4349500</v>
      </c>
      <c r="I35" s="475">
        <f>0</f>
        <v>0</v>
      </c>
      <c r="J35" s="475">
        <f>0</f>
        <v>0</v>
      </c>
      <c r="K35" s="475">
        <f>0</f>
        <v>0</v>
      </c>
      <c r="L35" s="475">
        <f>21804624.87</f>
        <v>21804624.870000001</v>
      </c>
      <c r="M35" s="475">
        <f>21138242.23</f>
        <v>21138242.23</v>
      </c>
      <c r="N35" s="475">
        <f>5012451.57</f>
        <v>5012451.57</v>
      </c>
      <c r="O35" s="475">
        <f>1062.53</f>
        <v>1062.53</v>
      </c>
      <c r="P35" s="475">
        <f>1062.53</f>
        <v>1062.53</v>
      </c>
      <c r="Q35" s="475">
        <f>0</f>
        <v>0</v>
      </c>
    </row>
    <row r="36" spans="1:17">
      <c r="A36" s="2485" t="s">
        <v>699</v>
      </c>
      <c r="B36" s="475">
        <f>1819386177.97</f>
        <v>1819386177.97</v>
      </c>
      <c r="C36" s="475">
        <f>1819372078.75</f>
        <v>1819372078.75</v>
      </c>
      <c r="D36" s="475">
        <f>1126897992.27</f>
        <v>1126897992.27</v>
      </c>
      <c r="E36" s="475">
        <f>3507677.54</f>
        <v>3507677.54</v>
      </c>
      <c r="F36" s="475">
        <f>14875233.15</f>
        <v>14875233.15</v>
      </c>
      <c r="G36" s="475">
        <f>1108515081.58</f>
        <v>1108515081.5799999</v>
      </c>
      <c r="H36" s="475">
        <f>0</f>
        <v>0</v>
      </c>
      <c r="I36" s="475">
        <f>0</f>
        <v>0</v>
      </c>
      <c r="J36" s="475">
        <f>71537.72</f>
        <v>71537.72</v>
      </c>
      <c r="K36" s="475">
        <f>84030.5</f>
        <v>84030.5</v>
      </c>
      <c r="L36" s="475">
        <f>405296908.48</f>
        <v>405296908.48000002</v>
      </c>
      <c r="M36" s="475">
        <f>257984801.63</f>
        <v>257984801.63</v>
      </c>
      <c r="N36" s="475">
        <f>29036808.15</f>
        <v>29036808.149999999</v>
      </c>
      <c r="O36" s="475">
        <f>14099.22</f>
        <v>14099.22</v>
      </c>
      <c r="P36" s="475">
        <f>14099.22</f>
        <v>14099.22</v>
      </c>
      <c r="Q36" s="475">
        <f>0</f>
        <v>0</v>
      </c>
    </row>
    <row r="37" spans="1:17" ht="20.399999999999999">
      <c r="A37" s="2484" t="s">
        <v>700</v>
      </c>
      <c r="B37" s="475">
        <f>53967264123.28</f>
        <v>53967264123.279999</v>
      </c>
      <c r="C37" s="475">
        <f>53966965048.03</f>
        <v>53966965048.029999</v>
      </c>
      <c r="D37" s="475">
        <f>28064518.32</f>
        <v>28064518.32</v>
      </c>
      <c r="E37" s="475">
        <f>22958922.24</f>
        <v>22958922.239999998</v>
      </c>
      <c r="F37" s="475">
        <f>47465.58</f>
        <v>47465.58</v>
      </c>
      <c r="G37" s="475">
        <f>5058130.5</f>
        <v>5058130.5</v>
      </c>
      <c r="H37" s="475">
        <f>0</f>
        <v>0</v>
      </c>
      <c r="I37" s="475">
        <f>8331757.04</f>
        <v>8331757.04</v>
      </c>
      <c r="J37" s="475">
        <f>53906716436.31</f>
        <v>53906716436.309998</v>
      </c>
      <c r="K37" s="475">
        <f>2656540.6</f>
        <v>2656540.6</v>
      </c>
      <c r="L37" s="475">
        <f>20912840.65</f>
        <v>20912840.649999999</v>
      </c>
      <c r="M37" s="475">
        <f>186298.98</f>
        <v>186298.98</v>
      </c>
      <c r="N37" s="475">
        <f>96656.13</f>
        <v>96656.13</v>
      </c>
      <c r="O37" s="475">
        <f>299075.25</f>
        <v>299075.25</v>
      </c>
      <c r="P37" s="475">
        <f>299075.25</f>
        <v>299075.25</v>
      </c>
      <c r="Q37" s="475">
        <f>0</f>
        <v>0</v>
      </c>
    </row>
    <row r="38" spans="1:17">
      <c r="A38" s="2485" t="s">
        <v>701</v>
      </c>
      <c r="B38" s="475">
        <f>4804728.79</f>
        <v>4804728.79</v>
      </c>
      <c r="C38" s="475">
        <f>4804728.79</f>
        <v>4804728.79</v>
      </c>
      <c r="D38" s="475">
        <f>4804728.79</f>
        <v>4804728.79</v>
      </c>
      <c r="E38" s="475">
        <f>0</f>
        <v>0</v>
      </c>
      <c r="F38" s="475">
        <f>0</f>
        <v>0</v>
      </c>
      <c r="G38" s="475">
        <f>4804728.79</f>
        <v>4804728.79</v>
      </c>
      <c r="H38" s="475">
        <f>0</f>
        <v>0</v>
      </c>
      <c r="I38" s="475">
        <f>0</f>
        <v>0</v>
      </c>
      <c r="J38" s="475">
        <f>0</f>
        <v>0</v>
      </c>
      <c r="K38" s="475">
        <f>0</f>
        <v>0</v>
      </c>
      <c r="L38" s="475">
        <f>0</f>
        <v>0</v>
      </c>
      <c r="M38" s="475">
        <f>0</f>
        <v>0</v>
      </c>
      <c r="N38" s="475">
        <f>0</f>
        <v>0</v>
      </c>
      <c r="O38" s="475">
        <f>0</f>
        <v>0</v>
      </c>
      <c r="P38" s="475">
        <f>0</f>
        <v>0</v>
      </c>
      <c r="Q38" s="475">
        <f>0</f>
        <v>0</v>
      </c>
    </row>
    <row r="39" spans="1:17">
      <c r="A39" s="2485" t="s">
        <v>702</v>
      </c>
      <c r="B39" s="475">
        <f>50599706757.99</f>
        <v>50599706757.989998</v>
      </c>
      <c r="C39" s="475">
        <f>50599706757.99</f>
        <v>50599706757.989998</v>
      </c>
      <c r="D39" s="475">
        <f>22574037.13</f>
        <v>22574037.129999999</v>
      </c>
      <c r="E39" s="475">
        <f>22529506.94</f>
        <v>22529506.940000001</v>
      </c>
      <c r="F39" s="475">
        <f>500</f>
        <v>500</v>
      </c>
      <c r="G39" s="475">
        <f>44030.19</f>
        <v>44030.19</v>
      </c>
      <c r="H39" s="475">
        <f>0</f>
        <v>0</v>
      </c>
      <c r="I39" s="475">
        <f>8247972.51</f>
        <v>8247972.5099999998</v>
      </c>
      <c r="J39" s="475">
        <f>50547087162.37</f>
        <v>50547087162.370003</v>
      </c>
      <c r="K39" s="475">
        <f>2654050.5</f>
        <v>2654050.5</v>
      </c>
      <c r="L39" s="475">
        <f>19038464.63</f>
        <v>19038464.629999999</v>
      </c>
      <c r="M39" s="475">
        <f>9063.63</f>
        <v>9063.6299999999992</v>
      </c>
      <c r="N39" s="475">
        <f>96007.22</f>
        <v>96007.22</v>
      </c>
      <c r="O39" s="475">
        <f>0</f>
        <v>0</v>
      </c>
      <c r="P39" s="475">
        <f>0</f>
        <v>0</v>
      </c>
      <c r="Q39" s="475">
        <f>0</f>
        <v>0</v>
      </c>
    </row>
    <row r="40" spans="1:17">
      <c r="A40" s="2485" t="s">
        <v>703</v>
      </c>
      <c r="B40" s="475">
        <f>3362752636.5</f>
        <v>3362752636.5</v>
      </c>
      <c r="C40" s="475">
        <f>3362453561.25</f>
        <v>3362453561.25</v>
      </c>
      <c r="D40" s="475">
        <f>685752.4</f>
        <v>685752.4</v>
      </c>
      <c r="E40" s="475">
        <f>429415.3</f>
        <v>429415.3</v>
      </c>
      <c r="F40" s="475">
        <f>46965.58</f>
        <v>46965.58</v>
      </c>
      <c r="G40" s="475">
        <f>209371.52</f>
        <v>209371.51999999999</v>
      </c>
      <c r="H40" s="475">
        <f>0</f>
        <v>0</v>
      </c>
      <c r="I40" s="475">
        <f>83784.53</f>
        <v>83784.53</v>
      </c>
      <c r="J40" s="475">
        <f>3359629273.94</f>
        <v>3359629273.9400001</v>
      </c>
      <c r="K40" s="475">
        <f>2490.1</f>
        <v>2490.1</v>
      </c>
      <c r="L40" s="475">
        <f>1874376.02</f>
        <v>1874376.02</v>
      </c>
      <c r="M40" s="475">
        <f>177235.35</f>
        <v>177235.35</v>
      </c>
      <c r="N40" s="475">
        <f>648.91</f>
        <v>648.91</v>
      </c>
      <c r="O40" s="475">
        <f>299075.25</f>
        <v>299075.25</v>
      </c>
      <c r="P40" s="475">
        <f>299075.25</f>
        <v>299075.25</v>
      </c>
      <c r="Q40" s="475">
        <f>0</f>
        <v>0</v>
      </c>
    </row>
    <row r="41" spans="1:17">
      <c r="A41" s="2484" t="s">
        <v>704</v>
      </c>
      <c r="B41" s="475">
        <f>27932552919.88</f>
        <v>27932552919.880001</v>
      </c>
      <c r="C41" s="475">
        <f>27841253003.83</f>
        <v>27841253003.830002</v>
      </c>
      <c r="D41" s="475">
        <f>464511234.72</f>
        <v>464511234.72000003</v>
      </c>
      <c r="E41" s="475">
        <f>144363583.16</f>
        <v>144363583.16</v>
      </c>
      <c r="F41" s="475">
        <f>13255339.77</f>
        <v>13255339.77</v>
      </c>
      <c r="G41" s="475">
        <f>305355849.89</f>
        <v>305355849.88999999</v>
      </c>
      <c r="H41" s="475">
        <f>1536461.9</f>
        <v>1536461.9</v>
      </c>
      <c r="I41" s="475">
        <f>902</f>
        <v>902</v>
      </c>
      <c r="J41" s="475">
        <f>45003654.59</f>
        <v>45003654.590000004</v>
      </c>
      <c r="K41" s="475">
        <f>45850013.22</f>
        <v>45850013.219999999</v>
      </c>
      <c r="L41" s="475">
        <f>7511524957.56</f>
        <v>7511524957.5600004</v>
      </c>
      <c r="M41" s="475">
        <f>19561508066.74</f>
        <v>19561508066.740002</v>
      </c>
      <c r="N41" s="475">
        <f>212854175</f>
        <v>212854175</v>
      </c>
      <c r="O41" s="475">
        <f>91299916.05</f>
        <v>91299916.049999997</v>
      </c>
      <c r="P41" s="475">
        <f>35407963.69</f>
        <v>35407963.689999998</v>
      </c>
      <c r="Q41" s="475">
        <f>55891952.36</f>
        <v>55891952.359999999</v>
      </c>
    </row>
    <row r="42" spans="1:17">
      <c r="A42" s="2485" t="s">
        <v>705</v>
      </c>
      <c r="B42" s="475">
        <f>7069754378.28</f>
        <v>7069754378.2799997</v>
      </c>
      <c r="C42" s="475">
        <f>7034014215.01</f>
        <v>7034014215.0100002</v>
      </c>
      <c r="D42" s="475">
        <f>79712100.62</f>
        <v>79712100.620000005</v>
      </c>
      <c r="E42" s="475">
        <f>4430972.33</f>
        <v>4430972.33</v>
      </c>
      <c r="F42" s="475">
        <f>4904348.97</f>
        <v>4904348.97</v>
      </c>
      <c r="G42" s="475">
        <f>69660739.15</f>
        <v>69660739.150000006</v>
      </c>
      <c r="H42" s="475">
        <f>716040.17</f>
        <v>716040.17</v>
      </c>
      <c r="I42" s="475">
        <f>0</f>
        <v>0</v>
      </c>
      <c r="J42" s="475">
        <f>162065.03</f>
        <v>162065.03</v>
      </c>
      <c r="K42" s="475">
        <f>1241214.44</f>
        <v>1241214.44</v>
      </c>
      <c r="L42" s="475">
        <f>1192712243.92</f>
        <v>1192712243.9200001</v>
      </c>
      <c r="M42" s="475">
        <f>5675253938.74</f>
        <v>5675253938.7399998</v>
      </c>
      <c r="N42" s="475">
        <f>84932652.26</f>
        <v>84932652.260000005</v>
      </c>
      <c r="O42" s="475">
        <f>35740163.27</f>
        <v>35740163.270000003</v>
      </c>
      <c r="P42" s="475">
        <f>3089607.5</f>
        <v>3089607.5</v>
      </c>
      <c r="Q42" s="475">
        <f>32650555.77</f>
        <v>32650555.77</v>
      </c>
    </row>
    <row r="43" spans="1:17">
      <c r="A43" s="2485" t="s">
        <v>706</v>
      </c>
      <c r="B43" s="475">
        <f>20862798541.6</f>
        <v>20862798541.599998</v>
      </c>
      <c r="C43" s="475">
        <f>20807238788.82</f>
        <v>20807238788.82</v>
      </c>
      <c r="D43" s="475">
        <f>384799134.1</f>
        <v>384799134.10000002</v>
      </c>
      <c r="E43" s="475">
        <f>139932610.83</f>
        <v>139932610.83000001</v>
      </c>
      <c r="F43" s="475">
        <f>8350990.8</f>
        <v>8350990.7999999998</v>
      </c>
      <c r="G43" s="475">
        <f>235695110.74</f>
        <v>235695110.74000001</v>
      </c>
      <c r="H43" s="475">
        <f>820421.73</f>
        <v>820421.73</v>
      </c>
      <c r="I43" s="475">
        <f>902</f>
        <v>902</v>
      </c>
      <c r="J43" s="475">
        <f>44841589.56</f>
        <v>44841589.560000002</v>
      </c>
      <c r="K43" s="475">
        <f>44608798.78</f>
        <v>44608798.780000001</v>
      </c>
      <c r="L43" s="475">
        <f>6318812713.64</f>
        <v>6318812713.6400003</v>
      </c>
      <c r="M43" s="475">
        <f>13886254128</f>
        <v>13886254128</v>
      </c>
      <c r="N43" s="475">
        <f>127921522.74</f>
        <v>127921522.73999999</v>
      </c>
      <c r="O43" s="475">
        <f>55559752.78</f>
        <v>55559752.780000001</v>
      </c>
      <c r="P43" s="475">
        <f>32318356.19</f>
        <v>32318356.190000001</v>
      </c>
      <c r="Q43" s="475">
        <f>23241396.59</f>
        <v>23241396.59</v>
      </c>
    </row>
    <row r="44" spans="1:17" ht="20.399999999999999">
      <c r="A44" s="2484" t="s">
        <v>707</v>
      </c>
      <c r="B44" s="475">
        <f>9671667799.71</f>
        <v>9671667799.7099991</v>
      </c>
      <c r="C44" s="475">
        <f>9659926558</f>
        <v>9659926558</v>
      </c>
      <c r="D44" s="475">
        <f>1669225699.45</f>
        <v>1669225699.45</v>
      </c>
      <c r="E44" s="475">
        <f>885731521.1</f>
        <v>885731521.10000002</v>
      </c>
      <c r="F44" s="475">
        <f>31909019.15</f>
        <v>31909019.149999999</v>
      </c>
      <c r="G44" s="475">
        <f>704462215.65</f>
        <v>704462215.64999998</v>
      </c>
      <c r="H44" s="475">
        <f>47122943.55</f>
        <v>47122943.549999997</v>
      </c>
      <c r="I44" s="475">
        <f>27600</f>
        <v>27600</v>
      </c>
      <c r="J44" s="475">
        <f>57909378.92</f>
        <v>57909378.920000002</v>
      </c>
      <c r="K44" s="475">
        <f>25054874.1</f>
        <v>25054874.100000001</v>
      </c>
      <c r="L44" s="475">
        <f>4927011782.65</f>
        <v>4927011782.6499996</v>
      </c>
      <c r="M44" s="475">
        <f>2564316005.13</f>
        <v>2564316005.1300001</v>
      </c>
      <c r="N44" s="475">
        <f>416381217.75</f>
        <v>416381217.75</v>
      </c>
      <c r="O44" s="475">
        <f>11741241.71</f>
        <v>11741241.710000001</v>
      </c>
      <c r="P44" s="475">
        <f>5054985.32</f>
        <v>5054985.32</v>
      </c>
      <c r="Q44" s="475">
        <f>6686256.39</f>
        <v>6686256.3899999997</v>
      </c>
    </row>
    <row r="45" spans="1:17">
      <c r="A45" s="2485" t="s">
        <v>708</v>
      </c>
      <c r="B45" s="475">
        <f>1632303476.01</f>
        <v>1632303476.01</v>
      </c>
      <c r="C45" s="475">
        <f>1631832183.46</f>
        <v>1631832183.46</v>
      </c>
      <c r="D45" s="475">
        <f>110182949.09</f>
        <v>110182949.09</v>
      </c>
      <c r="E45" s="475">
        <f>7604887.54</f>
        <v>7604887.54</v>
      </c>
      <c r="F45" s="475">
        <f>14219640.19</f>
        <v>14219640.189999999</v>
      </c>
      <c r="G45" s="475">
        <f>74378764.49</f>
        <v>74378764.489999995</v>
      </c>
      <c r="H45" s="475">
        <f>13979656.87</f>
        <v>13979656.869999999</v>
      </c>
      <c r="I45" s="475">
        <f>0</f>
        <v>0</v>
      </c>
      <c r="J45" s="475">
        <f>3006353.67</f>
        <v>3006353.67</v>
      </c>
      <c r="K45" s="475">
        <f>1095607.2</f>
        <v>1095607.2</v>
      </c>
      <c r="L45" s="475">
        <f>792629986.73</f>
        <v>792629986.73000002</v>
      </c>
      <c r="M45" s="475">
        <f>697944914.11</f>
        <v>697944914.11000001</v>
      </c>
      <c r="N45" s="475">
        <f>26972372.66</f>
        <v>26972372.66</v>
      </c>
      <c r="O45" s="475">
        <f>471292.55</f>
        <v>471292.55</v>
      </c>
      <c r="P45" s="475">
        <f>323671.14</f>
        <v>323671.14</v>
      </c>
      <c r="Q45" s="475">
        <f>147621.41</f>
        <v>147621.41</v>
      </c>
    </row>
    <row r="46" spans="1:17" ht="20.399999999999999">
      <c r="A46" s="2485" t="s">
        <v>709</v>
      </c>
      <c r="B46" s="475">
        <f>695959346.49</f>
        <v>695959346.49000001</v>
      </c>
      <c r="C46" s="475">
        <f>695802931.34</f>
        <v>695802931.34000003</v>
      </c>
      <c r="D46" s="475">
        <f>163768530.18</f>
        <v>163768530.18000001</v>
      </c>
      <c r="E46" s="475">
        <f>139154801.25</f>
        <v>139154801.25</v>
      </c>
      <c r="F46" s="475">
        <f>3610602.17</f>
        <v>3610602.17</v>
      </c>
      <c r="G46" s="475">
        <f>19633869.64</f>
        <v>19633869.640000001</v>
      </c>
      <c r="H46" s="475">
        <f>1369257.12</f>
        <v>1369257.12</v>
      </c>
      <c r="I46" s="475">
        <f>0</f>
        <v>0</v>
      </c>
      <c r="J46" s="475">
        <f>74659.96</f>
        <v>74659.960000000006</v>
      </c>
      <c r="K46" s="475">
        <f>1660035.97</f>
        <v>1660035.97</v>
      </c>
      <c r="L46" s="475">
        <f>328140177.28</f>
        <v>328140177.27999997</v>
      </c>
      <c r="M46" s="475">
        <f>191932149.86</f>
        <v>191932149.86000001</v>
      </c>
      <c r="N46" s="475">
        <f>10227378.09</f>
        <v>10227378.09</v>
      </c>
      <c r="O46" s="475">
        <f>156415.15</f>
        <v>156415.15</v>
      </c>
      <c r="P46" s="475">
        <f>147106.78</f>
        <v>147106.78</v>
      </c>
      <c r="Q46" s="475">
        <f>9308.37</f>
        <v>9308.3700000000008</v>
      </c>
    </row>
    <row r="47" spans="1:17" ht="20.399999999999999">
      <c r="A47" s="2485" t="s">
        <v>710</v>
      </c>
      <c r="B47" s="475">
        <f>7343404977.21</f>
        <v>7343404977.21</v>
      </c>
      <c r="C47" s="475">
        <f>7332291443.2</f>
        <v>7332291443.1999998</v>
      </c>
      <c r="D47" s="475">
        <f>1395274220.18</f>
        <v>1395274220.1800001</v>
      </c>
      <c r="E47" s="475">
        <f>738971832.31</f>
        <v>738971832.30999994</v>
      </c>
      <c r="F47" s="475">
        <f>14078776.79</f>
        <v>14078776.789999999</v>
      </c>
      <c r="G47" s="475">
        <f>610449581.52</f>
        <v>610449581.51999998</v>
      </c>
      <c r="H47" s="475">
        <f>31774029.56</f>
        <v>31774029.559999999</v>
      </c>
      <c r="I47" s="475">
        <f>27600</f>
        <v>27600</v>
      </c>
      <c r="J47" s="475">
        <f>54828365.29</f>
        <v>54828365.289999999</v>
      </c>
      <c r="K47" s="475">
        <f>22299230.93</f>
        <v>22299230.93</v>
      </c>
      <c r="L47" s="475">
        <f>3806241618.64</f>
        <v>3806241618.6399999</v>
      </c>
      <c r="M47" s="475">
        <f>1674438941.16</f>
        <v>1674438941.1600001</v>
      </c>
      <c r="N47" s="475">
        <f>379181467</f>
        <v>379181467</v>
      </c>
      <c r="O47" s="475">
        <f>11113534.01</f>
        <v>11113534.01</v>
      </c>
      <c r="P47" s="475">
        <f>4584207.4</f>
        <v>4584207.4000000004</v>
      </c>
      <c r="Q47" s="475">
        <f>6529326.61</f>
        <v>6529326.6100000003</v>
      </c>
    </row>
    <row r="49" spans="2:13">
      <c r="B49" s="2123" t="s">
        <v>711</v>
      </c>
      <c r="C49" s="2123"/>
      <c r="D49" s="2123"/>
      <c r="E49" s="2123"/>
      <c r="F49" s="2123"/>
      <c r="G49" s="2123"/>
      <c r="H49" s="2123"/>
      <c r="I49" s="2123"/>
      <c r="J49" s="2123"/>
      <c r="K49" s="2123"/>
      <c r="L49" s="2123"/>
      <c r="M49" s="2123"/>
    </row>
    <row r="51" spans="2:13">
      <c r="B51" s="2124" t="s">
        <v>1</v>
      </c>
      <c r="C51" s="2125"/>
      <c r="D51" s="2125"/>
      <c r="E51" s="2126"/>
      <c r="F51" s="2133" t="s">
        <v>712</v>
      </c>
      <c r="G51" s="2113" t="s">
        <v>713</v>
      </c>
      <c r="H51" s="2114"/>
      <c r="I51" s="2114"/>
      <c r="J51" s="2114"/>
      <c r="K51" s="2114"/>
      <c r="L51" s="2115"/>
    </row>
    <row r="52" spans="2:13">
      <c r="B52" s="2127"/>
      <c r="C52" s="2128"/>
      <c r="D52" s="2128"/>
      <c r="E52" s="2129"/>
      <c r="F52" s="2117"/>
      <c r="G52" s="2116" t="s">
        <v>714</v>
      </c>
      <c r="H52" s="2116" t="s">
        <v>660</v>
      </c>
      <c r="I52" s="2116" t="s">
        <v>661</v>
      </c>
      <c r="J52" s="2116" t="s">
        <v>692</v>
      </c>
      <c r="K52" s="2116" t="s">
        <v>715</v>
      </c>
      <c r="L52" s="2116" t="s">
        <v>716</v>
      </c>
    </row>
    <row r="53" spans="2:13">
      <c r="B53" s="2127"/>
      <c r="C53" s="2128"/>
      <c r="D53" s="2128"/>
      <c r="E53" s="2129"/>
      <c r="F53" s="2117"/>
      <c r="G53" s="2116"/>
      <c r="H53" s="2116"/>
      <c r="I53" s="2116"/>
      <c r="J53" s="2116"/>
      <c r="K53" s="2116"/>
      <c r="L53" s="2116"/>
    </row>
    <row r="54" spans="2:13">
      <c r="B54" s="2127"/>
      <c r="C54" s="2128"/>
      <c r="D54" s="2128"/>
      <c r="E54" s="2129"/>
      <c r="F54" s="2117"/>
      <c r="G54" s="2116"/>
      <c r="H54" s="2116"/>
      <c r="I54" s="2116"/>
      <c r="J54" s="2116"/>
      <c r="K54" s="2116"/>
      <c r="L54" s="2116"/>
    </row>
    <row r="55" spans="2:13" ht="28.5" customHeight="1">
      <c r="B55" s="2130"/>
      <c r="C55" s="2131"/>
      <c r="D55" s="2131"/>
      <c r="E55" s="2132"/>
      <c r="F55" s="2118"/>
      <c r="G55" s="2116"/>
      <c r="H55" s="2116"/>
      <c r="I55" s="2116"/>
      <c r="J55" s="2116"/>
      <c r="K55" s="2116"/>
      <c r="L55" s="2116"/>
    </row>
    <row r="56" spans="2:13">
      <c r="B56" s="2116">
        <v>1</v>
      </c>
      <c r="C56" s="2116"/>
      <c r="D56" s="2116"/>
      <c r="E56" s="2116"/>
      <c r="F56" s="1744">
        <v>2</v>
      </c>
      <c r="G56" s="1744">
        <v>3</v>
      </c>
      <c r="H56" s="1744">
        <v>4</v>
      </c>
      <c r="I56" s="1744">
        <v>5</v>
      </c>
      <c r="J56" s="1744">
        <v>6</v>
      </c>
      <c r="K56" s="1744">
        <v>7</v>
      </c>
      <c r="L56" s="1744">
        <v>8</v>
      </c>
    </row>
    <row r="57" spans="2:13" ht="28.5" customHeight="1">
      <c r="B57" s="2134" t="s">
        <v>717</v>
      </c>
      <c r="C57" s="2135"/>
      <c r="D57" s="2135"/>
      <c r="E57" s="2136"/>
      <c r="F57" s="434">
        <f>4203906554.96</f>
        <v>4203906554.96</v>
      </c>
      <c r="G57" s="434">
        <f>1122847939.4</f>
        <v>1122847939.4000001</v>
      </c>
      <c r="H57" s="434">
        <f>87087481.48</f>
        <v>87087481.480000004</v>
      </c>
      <c r="I57" s="434">
        <f>172534883.86</f>
        <v>172534883.86000001</v>
      </c>
      <c r="J57" s="434">
        <f>734038628.72</f>
        <v>734038628.72000003</v>
      </c>
      <c r="K57" s="434">
        <f>129186945.34</f>
        <v>129186945.34</v>
      </c>
      <c r="L57" s="434">
        <f>3081058615.56</f>
        <v>3081058615.5599999</v>
      </c>
    </row>
    <row r="58" spans="2:13" ht="26.25" customHeight="1">
      <c r="B58" s="2134" t="s">
        <v>718</v>
      </c>
      <c r="C58" s="2135"/>
      <c r="D58" s="2135"/>
      <c r="E58" s="2136"/>
      <c r="F58" s="434">
        <f>13190241.96</f>
        <v>13190241.960000001</v>
      </c>
      <c r="G58" s="434">
        <f>689459</f>
        <v>689459</v>
      </c>
      <c r="H58" s="434">
        <f>489459</f>
        <v>489459</v>
      </c>
      <c r="I58" s="434">
        <f>0</f>
        <v>0</v>
      </c>
      <c r="J58" s="434">
        <f>0</f>
        <v>0</v>
      </c>
      <c r="K58" s="434">
        <f>200000</f>
        <v>200000</v>
      </c>
      <c r="L58" s="434">
        <f>12500782.96</f>
        <v>12500782.960000001</v>
      </c>
    </row>
    <row r="59" spans="2:13" ht="24.75" customHeight="1">
      <c r="B59" s="2134" t="s">
        <v>719</v>
      </c>
      <c r="C59" s="2135"/>
      <c r="D59" s="2135"/>
      <c r="E59" s="2136"/>
      <c r="F59" s="434">
        <f>618958584.27</f>
        <v>618958584.26999998</v>
      </c>
      <c r="G59" s="434">
        <f>79022220.77</f>
        <v>79022220.769999996</v>
      </c>
      <c r="H59" s="434">
        <f>0</f>
        <v>0</v>
      </c>
      <c r="I59" s="434">
        <f>5197275.71</f>
        <v>5197275.71</v>
      </c>
      <c r="J59" s="434">
        <f>73715359.02</f>
        <v>73715359.019999996</v>
      </c>
      <c r="K59" s="434">
        <f>109586.04</f>
        <v>109586.04</v>
      </c>
      <c r="L59" s="434">
        <f>539936363.5</f>
        <v>539936363.5</v>
      </c>
    </row>
    <row r="60" spans="2:13" ht="16.5" customHeight="1">
      <c r="B60" s="2134" t="s">
        <v>720</v>
      </c>
      <c r="C60" s="2135"/>
      <c r="D60" s="2135"/>
      <c r="E60" s="2136"/>
      <c r="F60" s="434">
        <f>107874936.28</f>
        <v>107874936.28</v>
      </c>
      <c r="G60" s="434">
        <f>70208900.17</f>
        <v>70208900.170000002</v>
      </c>
      <c r="H60" s="434">
        <f>0</f>
        <v>0</v>
      </c>
      <c r="I60" s="434">
        <f>0</f>
        <v>0</v>
      </c>
      <c r="J60" s="434">
        <f>70208900.17</f>
        <v>70208900.170000002</v>
      </c>
      <c r="K60" s="434">
        <f>0</f>
        <v>0</v>
      </c>
      <c r="L60" s="434">
        <f>37666036.11</f>
        <v>37666036.109999999</v>
      </c>
    </row>
    <row r="61" spans="2:13" ht="27" customHeight="1">
      <c r="B61" s="2134" t="s">
        <v>721</v>
      </c>
      <c r="C61" s="2135"/>
      <c r="D61" s="2135"/>
      <c r="E61" s="2136"/>
      <c r="F61" s="434">
        <f>22683960.94</f>
        <v>22683960.940000001</v>
      </c>
      <c r="G61" s="434">
        <f>22536001.38</f>
        <v>22536001.379999999</v>
      </c>
      <c r="H61" s="434">
        <f>0</f>
        <v>0</v>
      </c>
      <c r="I61" s="434">
        <f>0</f>
        <v>0</v>
      </c>
      <c r="J61" s="434">
        <f>22536001.38</f>
        <v>22536001.379999999</v>
      </c>
      <c r="K61" s="434">
        <f>0</f>
        <v>0</v>
      </c>
      <c r="L61" s="434">
        <f>147959.56</f>
        <v>147959.56</v>
      </c>
    </row>
    <row r="62" spans="2:13" ht="27" customHeight="1">
      <c r="B62" s="2134" t="s">
        <v>722</v>
      </c>
      <c r="C62" s="2135"/>
      <c r="D62" s="2135"/>
      <c r="E62" s="2136"/>
      <c r="F62" s="434">
        <f>40565669.73</f>
        <v>40565669.729999997</v>
      </c>
      <c r="G62" s="434">
        <f>31790000.24</f>
        <v>31790000.239999998</v>
      </c>
      <c r="H62" s="434">
        <f>0</f>
        <v>0</v>
      </c>
      <c r="I62" s="434">
        <f>30000</f>
        <v>30000</v>
      </c>
      <c r="J62" s="434">
        <f>31760000.24</f>
        <v>31760000.239999998</v>
      </c>
      <c r="K62" s="434">
        <f>0</f>
        <v>0</v>
      </c>
      <c r="L62" s="434">
        <f>8775669.49</f>
        <v>8775669.4900000002</v>
      </c>
    </row>
    <row r="63" spans="2:13" ht="21.75" customHeight="1">
      <c r="B63" s="2134" t="s">
        <v>723</v>
      </c>
      <c r="C63" s="2135"/>
      <c r="D63" s="2135"/>
      <c r="E63" s="2136"/>
      <c r="F63" s="434">
        <f>1709067.8</f>
        <v>1709067.8</v>
      </c>
      <c r="G63" s="434">
        <f>1214725.62</f>
        <v>1214725.6200000001</v>
      </c>
      <c r="H63" s="434">
        <f>0</f>
        <v>0</v>
      </c>
      <c r="I63" s="434">
        <f>0</f>
        <v>0</v>
      </c>
      <c r="J63" s="434">
        <f>1214725.62</f>
        <v>1214725.6200000001</v>
      </c>
      <c r="K63" s="434">
        <f>0</f>
        <v>0</v>
      </c>
      <c r="L63" s="434">
        <f>494342.18</f>
        <v>494342.18</v>
      </c>
    </row>
    <row r="66" spans="1:7">
      <c r="A66" s="2095" t="s">
        <v>884</v>
      </c>
      <c r="B66" s="2095"/>
      <c r="C66" s="2095"/>
      <c r="D66" s="2095"/>
      <c r="E66" s="2095"/>
      <c r="F66" s="2095"/>
      <c r="G66" s="2095"/>
    </row>
  </sheetData>
  <mergeCells count="61">
    <mergeCell ref="B61:E61"/>
    <mergeCell ref="B62:E62"/>
    <mergeCell ref="B63:E63"/>
    <mergeCell ref="A66:G66"/>
    <mergeCell ref="B56:E56"/>
    <mergeCell ref="B57:E57"/>
    <mergeCell ref="B58:E58"/>
    <mergeCell ref="B59:E59"/>
    <mergeCell ref="B60:E60"/>
    <mergeCell ref="B49:M49"/>
    <mergeCell ref="B51:E55"/>
    <mergeCell ref="F51:F55"/>
    <mergeCell ref="G51:L51"/>
    <mergeCell ref="G52:G55"/>
    <mergeCell ref="H52:H55"/>
    <mergeCell ref="I52:I55"/>
    <mergeCell ref="J52:J55"/>
    <mergeCell ref="K52:K55"/>
    <mergeCell ref="L52:L55"/>
    <mergeCell ref="O26:O29"/>
    <mergeCell ref="P26:P29"/>
    <mergeCell ref="Q26:Q29"/>
    <mergeCell ref="A23:M23"/>
    <mergeCell ref="A25:A29"/>
    <mergeCell ref="B25:B29"/>
    <mergeCell ref="C25:N25"/>
    <mergeCell ref="O25:Q25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5:N9"/>
    <mergeCell ref="N26:N29"/>
    <mergeCell ref="O4:Q4"/>
    <mergeCell ref="C5:C9"/>
    <mergeCell ref="D5:D9"/>
    <mergeCell ref="E5:E9"/>
    <mergeCell ref="F5:F9"/>
    <mergeCell ref="G5:G9"/>
    <mergeCell ref="H5:H9"/>
    <mergeCell ref="O5:O9"/>
    <mergeCell ref="P5:P9"/>
    <mergeCell ref="Q5:Q9"/>
    <mergeCell ref="I5:I9"/>
    <mergeCell ref="J5:J9"/>
    <mergeCell ref="K5:K9"/>
    <mergeCell ref="L5:L9"/>
    <mergeCell ref="M5:M9"/>
    <mergeCell ref="A1:M1"/>
    <mergeCell ref="C2:M2"/>
    <mergeCell ref="C3:M3"/>
    <mergeCell ref="A4:A9"/>
    <mergeCell ref="B4:B9"/>
    <mergeCell ref="C4:N4"/>
  </mergeCells>
  <pageMargins left="0.31496062992125984" right="0.31496062992125984" top="0.55118110236220474" bottom="0.55118110236220474" header="0.31496062992125984" footer="0.31496062992125984"/>
  <pageSetup paperSize="9" scale="67" orientation="landscape" r:id="rId1"/>
  <rowBreaks count="1" manualBreakCount="1">
    <brk id="47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8B50-F2F8-45E6-8425-BCD7A7AE08EA}">
  <dimension ref="A1:Q65"/>
  <sheetViews>
    <sheetView view="pageBreakPreview" topLeftCell="A19" zoomScaleNormal="100" zoomScaleSheetLayoutView="100" workbookViewId="0">
      <selection activeCell="A41" sqref="A41"/>
    </sheetView>
  </sheetViews>
  <sheetFormatPr defaultColWidth="9.21875" defaultRowHeight="13.8"/>
  <cols>
    <col min="1" max="1" width="24.77734375" style="431" customWidth="1"/>
    <col min="2" max="2" width="13.44140625" style="431" customWidth="1"/>
    <col min="3" max="3" width="10.21875" style="431" customWidth="1"/>
    <col min="4" max="4" width="11.77734375" style="431" customWidth="1"/>
    <col min="5" max="5" width="7.77734375" style="431" bestFit="1" customWidth="1"/>
    <col min="6" max="7" width="8.77734375" style="431" bestFit="1" customWidth="1"/>
    <col min="8" max="8" width="9" style="431" customWidth="1"/>
    <col min="9" max="9" width="10.44140625" style="431" bestFit="1" customWidth="1"/>
    <col min="10" max="10" width="9.21875" style="431" bestFit="1" customWidth="1"/>
    <col min="11" max="11" width="12.21875" style="431" customWidth="1"/>
    <col min="12" max="12" width="10.77734375" style="431" customWidth="1"/>
    <col min="13" max="13" width="9.21875" style="431" customWidth="1"/>
    <col min="14" max="14" width="12.77734375" style="431" customWidth="1"/>
    <col min="15" max="15" width="8.5546875" style="431" customWidth="1"/>
    <col min="16" max="16" width="8.77734375" style="431" customWidth="1"/>
    <col min="17" max="17" width="9.77734375" style="431" bestFit="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A2" s="1745"/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</row>
    <row r="3" spans="1:17">
      <c r="A3" s="2107" t="s">
        <v>1</v>
      </c>
      <c r="B3" s="2110" t="s">
        <v>655</v>
      </c>
      <c r="C3" s="2113" t="s">
        <v>656</v>
      </c>
      <c r="D3" s="2114"/>
      <c r="E3" s="2114"/>
      <c r="F3" s="2114"/>
      <c r="G3" s="2114"/>
      <c r="H3" s="2114"/>
      <c r="I3" s="2114"/>
      <c r="J3" s="2114"/>
      <c r="K3" s="2114"/>
      <c r="L3" s="2114"/>
      <c r="M3" s="2114"/>
      <c r="N3" s="2115"/>
      <c r="O3" s="2266" t="s">
        <v>657</v>
      </c>
      <c r="P3" s="2267"/>
      <c r="Q3" s="2268"/>
    </row>
    <row r="4" spans="1:17">
      <c r="A4" s="2108"/>
      <c r="B4" s="2111"/>
      <c r="C4" s="2112" t="s">
        <v>658</v>
      </c>
      <c r="D4" s="2112" t="s">
        <v>659</v>
      </c>
      <c r="E4" s="2112" t="s">
        <v>660</v>
      </c>
      <c r="F4" s="2112" t="s">
        <v>661</v>
      </c>
      <c r="G4" s="2112" t="s">
        <v>662</v>
      </c>
      <c r="H4" s="2112" t="s">
        <v>663</v>
      </c>
      <c r="I4" s="2117" t="s">
        <v>664</v>
      </c>
      <c r="J4" s="2112" t="s">
        <v>665</v>
      </c>
      <c r="K4" s="2112" t="s">
        <v>666</v>
      </c>
      <c r="L4" s="2112" t="s">
        <v>667</v>
      </c>
      <c r="M4" s="2112" t="s">
        <v>668</v>
      </c>
      <c r="N4" s="2111" t="s">
        <v>669</v>
      </c>
      <c r="O4" s="2269" t="s">
        <v>670</v>
      </c>
      <c r="P4" s="2269" t="s">
        <v>671</v>
      </c>
      <c r="Q4" s="2269" t="s">
        <v>672</v>
      </c>
    </row>
    <row r="5" spans="1:17">
      <c r="A5" s="2108"/>
      <c r="B5" s="2111"/>
      <c r="C5" s="2116"/>
      <c r="D5" s="2116"/>
      <c r="E5" s="2116"/>
      <c r="F5" s="2116"/>
      <c r="G5" s="2116"/>
      <c r="H5" s="2116"/>
      <c r="I5" s="2117"/>
      <c r="J5" s="2116"/>
      <c r="K5" s="2116"/>
      <c r="L5" s="2116"/>
      <c r="M5" s="2116"/>
      <c r="N5" s="2111"/>
      <c r="O5" s="2269"/>
      <c r="P5" s="2269"/>
      <c r="Q5" s="2269"/>
    </row>
    <row r="6" spans="1:17">
      <c r="A6" s="2108"/>
      <c r="B6" s="2111"/>
      <c r="C6" s="2116"/>
      <c r="D6" s="2116"/>
      <c r="E6" s="2116"/>
      <c r="F6" s="2116"/>
      <c r="G6" s="2116"/>
      <c r="H6" s="2116"/>
      <c r="I6" s="2117"/>
      <c r="J6" s="2116"/>
      <c r="K6" s="2116"/>
      <c r="L6" s="2116"/>
      <c r="M6" s="2116"/>
      <c r="N6" s="2111"/>
      <c r="O6" s="2269"/>
      <c r="P6" s="2269"/>
      <c r="Q6" s="2269"/>
    </row>
    <row r="7" spans="1:17" ht="42.75" customHeight="1">
      <c r="A7" s="2109"/>
      <c r="B7" s="2112"/>
      <c r="C7" s="2116"/>
      <c r="D7" s="2116"/>
      <c r="E7" s="2116"/>
      <c r="F7" s="2116"/>
      <c r="G7" s="2116"/>
      <c r="H7" s="2116"/>
      <c r="I7" s="2118"/>
      <c r="J7" s="2116"/>
      <c r="K7" s="2116"/>
      <c r="L7" s="2116"/>
      <c r="M7" s="2116"/>
      <c r="N7" s="2112"/>
      <c r="O7" s="2269"/>
      <c r="P7" s="2269"/>
      <c r="Q7" s="2269"/>
    </row>
    <row r="8" spans="1:17">
      <c r="A8" s="2071">
        <v>1</v>
      </c>
      <c r="B8" s="2071">
        <v>2</v>
      </c>
      <c r="C8" s="2071">
        <v>3</v>
      </c>
      <c r="D8" s="2071">
        <v>4</v>
      </c>
      <c r="E8" s="2071">
        <v>5</v>
      </c>
      <c r="F8" s="2071">
        <v>6</v>
      </c>
      <c r="G8" s="2071">
        <v>7</v>
      </c>
      <c r="H8" s="2071">
        <v>8</v>
      </c>
      <c r="I8" s="2071">
        <v>9</v>
      </c>
      <c r="J8" s="2071">
        <v>10</v>
      </c>
      <c r="K8" s="2071">
        <v>11</v>
      </c>
      <c r="L8" s="2071">
        <v>12</v>
      </c>
      <c r="M8" s="2071">
        <v>13</v>
      </c>
      <c r="N8" s="2071">
        <v>14</v>
      </c>
      <c r="O8" s="2071">
        <v>15</v>
      </c>
      <c r="P8" s="2071">
        <v>16</v>
      </c>
      <c r="Q8" s="2071">
        <v>17</v>
      </c>
    </row>
    <row r="9" spans="1:17">
      <c r="A9" s="2071"/>
      <c r="B9" s="2257" t="s">
        <v>163</v>
      </c>
      <c r="C9" s="2258"/>
      <c r="D9" s="2258"/>
      <c r="E9" s="2258"/>
      <c r="F9" s="2258"/>
      <c r="G9" s="2258"/>
      <c r="H9" s="2258"/>
      <c r="I9" s="2258"/>
      <c r="J9" s="2258"/>
      <c r="K9" s="2258"/>
      <c r="L9" s="2258"/>
      <c r="M9" s="2258"/>
      <c r="N9" s="2258"/>
      <c r="O9" s="2259"/>
      <c r="P9" s="2259"/>
      <c r="Q9" s="2253"/>
    </row>
    <row r="10" spans="1:17" ht="26.4">
      <c r="A10" s="473" t="s">
        <v>673</v>
      </c>
      <c r="B10" s="434">
        <f>43811023689.63</f>
        <v>43811023689.629997</v>
      </c>
      <c r="C10" s="434">
        <f>43811022651.86</f>
        <v>43811022651.860001</v>
      </c>
      <c r="D10" s="434">
        <f>2513210069.22</f>
        <v>2513210069.2199998</v>
      </c>
      <c r="E10" s="434">
        <f>449015143.8</f>
        <v>449015143.80000001</v>
      </c>
      <c r="F10" s="434">
        <f>444336326.32</f>
        <v>444336326.31999999</v>
      </c>
      <c r="G10" s="434">
        <f>1617638663.99</f>
        <v>1617638663.99</v>
      </c>
      <c r="H10" s="434">
        <f>2219935.11</f>
        <v>2219935.11</v>
      </c>
      <c r="I10" s="434">
        <f>0</f>
        <v>0</v>
      </c>
      <c r="J10" s="434">
        <f>39242925402.89</f>
        <v>39242925402.889999</v>
      </c>
      <c r="K10" s="434">
        <f>1847078128.91</f>
        <v>1847078128.9100001</v>
      </c>
      <c r="L10" s="434">
        <f>171773780.03</f>
        <v>171773780.03</v>
      </c>
      <c r="M10" s="434">
        <f>24546406.39</f>
        <v>24546406.390000001</v>
      </c>
      <c r="N10" s="434">
        <f>11488864.42</f>
        <v>11488864.42</v>
      </c>
      <c r="O10" s="434">
        <f>1037.77</f>
        <v>1037.77</v>
      </c>
      <c r="P10" s="434">
        <f>0</f>
        <v>0</v>
      </c>
      <c r="Q10" s="434">
        <f>1037.77</f>
        <v>1037.77</v>
      </c>
    </row>
    <row r="11" spans="1:17" ht="26.4">
      <c r="A11" s="2486" t="s">
        <v>749</v>
      </c>
      <c r="B11" s="434">
        <f>1337319000</f>
        <v>1337319000</v>
      </c>
      <c r="C11" s="434">
        <f>1337319000</f>
        <v>1337319000</v>
      </c>
      <c r="D11" s="434">
        <f>0</f>
        <v>0</v>
      </c>
      <c r="E11" s="434">
        <f>0</f>
        <v>0</v>
      </c>
      <c r="F11" s="434">
        <f>0</f>
        <v>0</v>
      </c>
      <c r="G11" s="434">
        <f>0</f>
        <v>0</v>
      </c>
      <c r="H11" s="434">
        <f>0</f>
        <v>0</v>
      </c>
      <c r="I11" s="434">
        <f>0</f>
        <v>0</v>
      </c>
      <c r="J11" s="434">
        <f>1302269000</f>
        <v>1302269000</v>
      </c>
      <c r="K11" s="434">
        <f>35050000</f>
        <v>35050000</v>
      </c>
      <c r="L11" s="434">
        <f>0</f>
        <v>0</v>
      </c>
      <c r="M11" s="434">
        <f>0</f>
        <v>0</v>
      </c>
      <c r="N11" s="434">
        <f>0</f>
        <v>0</v>
      </c>
      <c r="O11" s="434">
        <f>0</f>
        <v>0</v>
      </c>
      <c r="P11" s="434">
        <f>0</f>
        <v>0</v>
      </c>
      <c r="Q11" s="434">
        <f>0</f>
        <v>0</v>
      </c>
    </row>
    <row r="12" spans="1:17">
      <c r="A12" s="2487" t="s">
        <v>675</v>
      </c>
      <c r="B12" s="434">
        <f>650000</f>
        <v>650000</v>
      </c>
      <c r="C12" s="434">
        <f>650000</f>
        <v>650000</v>
      </c>
      <c r="D12" s="434">
        <f>0</f>
        <v>0</v>
      </c>
      <c r="E12" s="434">
        <f>0</f>
        <v>0</v>
      </c>
      <c r="F12" s="434">
        <f>0</f>
        <v>0</v>
      </c>
      <c r="G12" s="434">
        <f>0</f>
        <v>0</v>
      </c>
      <c r="H12" s="434">
        <f>0</f>
        <v>0</v>
      </c>
      <c r="I12" s="434">
        <f>0</f>
        <v>0</v>
      </c>
      <c r="J12" s="434">
        <f>0</f>
        <v>0</v>
      </c>
      <c r="K12" s="434">
        <f>650000</f>
        <v>650000</v>
      </c>
      <c r="L12" s="434">
        <f>0</f>
        <v>0</v>
      </c>
      <c r="M12" s="434">
        <f>0</f>
        <v>0</v>
      </c>
      <c r="N12" s="434">
        <f>0</f>
        <v>0</v>
      </c>
      <c r="O12" s="434">
        <f>0</f>
        <v>0</v>
      </c>
      <c r="P12" s="434">
        <f>0</f>
        <v>0</v>
      </c>
      <c r="Q12" s="434">
        <f>0</f>
        <v>0</v>
      </c>
    </row>
    <row r="13" spans="1:17">
      <c r="A13" s="2487" t="s">
        <v>676</v>
      </c>
      <c r="B13" s="434">
        <f>1336669000</f>
        <v>1336669000</v>
      </c>
      <c r="C13" s="434">
        <f>1336669000</f>
        <v>1336669000</v>
      </c>
      <c r="D13" s="434">
        <f>0</f>
        <v>0</v>
      </c>
      <c r="E13" s="434">
        <f>0</f>
        <v>0</v>
      </c>
      <c r="F13" s="434">
        <f>0</f>
        <v>0</v>
      </c>
      <c r="G13" s="434">
        <f>0</f>
        <v>0</v>
      </c>
      <c r="H13" s="434">
        <f>0</f>
        <v>0</v>
      </c>
      <c r="I13" s="434">
        <f>0</f>
        <v>0</v>
      </c>
      <c r="J13" s="434">
        <f>1302269000</f>
        <v>1302269000</v>
      </c>
      <c r="K13" s="434">
        <f>34400000</f>
        <v>34400000</v>
      </c>
      <c r="L13" s="434">
        <f>0</f>
        <v>0</v>
      </c>
      <c r="M13" s="434">
        <f>0</f>
        <v>0</v>
      </c>
      <c r="N13" s="434">
        <f>0</f>
        <v>0</v>
      </c>
      <c r="O13" s="434">
        <f>0</f>
        <v>0</v>
      </c>
      <c r="P13" s="434">
        <f>0</f>
        <v>0</v>
      </c>
      <c r="Q13" s="434">
        <f>0</f>
        <v>0</v>
      </c>
    </row>
    <row r="14" spans="1:17" ht="26.4">
      <c r="A14" s="2488" t="s">
        <v>750</v>
      </c>
      <c r="B14" s="434">
        <f>42429782349.24</f>
        <v>42429782349.239998</v>
      </c>
      <c r="C14" s="434">
        <f>42429782349.24</f>
        <v>42429782349.239998</v>
      </c>
      <c r="D14" s="434">
        <f>2501404185.28</f>
        <v>2501404185.2800002</v>
      </c>
      <c r="E14" s="434">
        <f>448526855.4</f>
        <v>448526855.39999998</v>
      </c>
      <c r="F14" s="434">
        <f>444312292.83</f>
        <v>444312292.82999998</v>
      </c>
      <c r="G14" s="434">
        <f>1608565037.05</f>
        <v>1608565037.05</v>
      </c>
      <c r="H14" s="434">
        <f>0</f>
        <v>0</v>
      </c>
      <c r="I14" s="434">
        <f>0</f>
        <v>0</v>
      </c>
      <c r="J14" s="434">
        <f>37940599291.71</f>
        <v>37940599291.709999</v>
      </c>
      <c r="K14" s="434">
        <f>1811969560.64</f>
        <v>1811969560.6400001</v>
      </c>
      <c r="L14" s="434">
        <f>150513976.32</f>
        <v>150513976.31999999</v>
      </c>
      <c r="M14" s="434">
        <f>15039051.95</f>
        <v>15039051.949999999</v>
      </c>
      <c r="N14" s="434">
        <f>10256283.34</f>
        <v>10256283.34</v>
      </c>
      <c r="O14" s="434">
        <f>0</f>
        <v>0</v>
      </c>
      <c r="P14" s="434">
        <f>0</f>
        <v>0</v>
      </c>
      <c r="Q14" s="434">
        <f>0</f>
        <v>0</v>
      </c>
    </row>
    <row r="15" spans="1:17">
      <c r="A15" s="2489" t="s">
        <v>678</v>
      </c>
      <c r="B15" s="434">
        <f>102546454.75</f>
        <v>102546454.75</v>
      </c>
      <c r="C15" s="434">
        <f>102546454.75</f>
        <v>102546454.75</v>
      </c>
      <c r="D15" s="434">
        <f>11474277.13</f>
        <v>11474277.130000001</v>
      </c>
      <c r="E15" s="434">
        <f>3439306.09</f>
        <v>3439306.09</v>
      </c>
      <c r="F15" s="434">
        <f>142180.17</f>
        <v>142180.17000000001</v>
      </c>
      <c r="G15" s="434">
        <f>7892790.87</f>
        <v>7892790.8700000001</v>
      </c>
      <c r="H15" s="434">
        <f>0</f>
        <v>0</v>
      </c>
      <c r="I15" s="434">
        <f>0</f>
        <v>0</v>
      </c>
      <c r="J15" s="434">
        <f>87995374.34</f>
        <v>87995374.340000004</v>
      </c>
      <c r="K15" s="434">
        <f>1400000</f>
        <v>1400000</v>
      </c>
      <c r="L15" s="434">
        <f>221.4</f>
        <v>221.4</v>
      </c>
      <c r="M15" s="434">
        <f>1596581.88</f>
        <v>1596581.88</v>
      </c>
      <c r="N15" s="434">
        <f>80000</f>
        <v>80000</v>
      </c>
      <c r="O15" s="434">
        <f>0</f>
        <v>0</v>
      </c>
      <c r="P15" s="434">
        <f>0</f>
        <v>0</v>
      </c>
      <c r="Q15" s="434">
        <f>0</f>
        <v>0</v>
      </c>
    </row>
    <row r="16" spans="1:17">
      <c r="A16" s="2490" t="s">
        <v>679</v>
      </c>
      <c r="B16" s="434">
        <f>42327235894.49</f>
        <v>42327235894.489998</v>
      </c>
      <c r="C16" s="434">
        <f>42327235894.49</f>
        <v>42327235894.489998</v>
      </c>
      <c r="D16" s="434">
        <f>2489929908.15</f>
        <v>2489929908.1500001</v>
      </c>
      <c r="E16" s="434">
        <f>445087549.31</f>
        <v>445087549.31</v>
      </c>
      <c r="F16" s="434">
        <f>444170112.66</f>
        <v>444170112.66000003</v>
      </c>
      <c r="G16" s="434">
        <f>1600672246.18</f>
        <v>1600672246.1800001</v>
      </c>
      <c r="H16" s="434">
        <f>0</f>
        <v>0</v>
      </c>
      <c r="I16" s="434">
        <f>0</f>
        <v>0</v>
      </c>
      <c r="J16" s="434">
        <f>37852603917.37</f>
        <v>37852603917.370003</v>
      </c>
      <c r="K16" s="434">
        <f>1810569560.64</f>
        <v>1810569560.6400001</v>
      </c>
      <c r="L16" s="434">
        <f>150513754.92</f>
        <v>150513754.91999999</v>
      </c>
      <c r="M16" s="434">
        <f>13442470.07</f>
        <v>13442470.07</v>
      </c>
      <c r="N16" s="434">
        <f>10176283.34</f>
        <v>10176283.34</v>
      </c>
      <c r="O16" s="434">
        <f>0</f>
        <v>0</v>
      </c>
      <c r="P16" s="434">
        <f>0</f>
        <v>0</v>
      </c>
      <c r="Q16" s="434">
        <f>0</f>
        <v>0</v>
      </c>
    </row>
    <row r="17" spans="1:17">
      <c r="A17" s="2491" t="s">
        <v>680</v>
      </c>
      <c r="B17" s="434">
        <f>1500000</f>
        <v>1500000</v>
      </c>
      <c r="C17" s="434">
        <f>1500000</f>
        <v>1500000</v>
      </c>
      <c r="D17" s="434">
        <f>1500000</f>
        <v>1500000</v>
      </c>
      <c r="E17" s="434">
        <f>0</f>
        <v>0</v>
      </c>
      <c r="F17" s="434">
        <f>0</f>
        <v>0</v>
      </c>
      <c r="G17" s="434">
        <f>1500000</f>
        <v>1500000</v>
      </c>
      <c r="H17" s="434">
        <f>0</f>
        <v>0</v>
      </c>
      <c r="I17" s="434">
        <f>0</f>
        <v>0</v>
      </c>
      <c r="J17" s="434">
        <f>0</f>
        <v>0</v>
      </c>
      <c r="K17" s="434">
        <f>0</f>
        <v>0</v>
      </c>
      <c r="L17" s="434">
        <f>0</f>
        <v>0</v>
      </c>
      <c r="M17" s="434">
        <f>0</f>
        <v>0</v>
      </c>
      <c r="N17" s="434">
        <f>0</f>
        <v>0</v>
      </c>
      <c r="O17" s="434">
        <f>0</f>
        <v>0</v>
      </c>
      <c r="P17" s="434">
        <f>0</f>
        <v>0</v>
      </c>
      <c r="Q17" s="434">
        <f>0</f>
        <v>0</v>
      </c>
    </row>
    <row r="18" spans="1:17" ht="26.4">
      <c r="A18" s="2492" t="s">
        <v>751</v>
      </c>
      <c r="B18" s="434">
        <f>42422340.39</f>
        <v>42422340.390000001</v>
      </c>
      <c r="C18" s="434">
        <f>42421302.62</f>
        <v>42421302.619999997</v>
      </c>
      <c r="D18" s="434">
        <f>10305883.94</f>
        <v>10305883.939999999</v>
      </c>
      <c r="E18" s="434">
        <f>488288.4</f>
        <v>488288.4</v>
      </c>
      <c r="F18" s="434">
        <f>24033.49</f>
        <v>24033.49</v>
      </c>
      <c r="G18" s="434">
        <f>7573626.94</f>
        <v>7573626.9400000004</v>
      </c>
      <c r="H18" s="434">
        <f>2219935.11</f>
        <v>2219935.11</v>
      </c>
      <c r="I18" s="434">
        <f>0</f>
        <v>0</v>
      </c>
      <c r="J18" s="434">
        <f>57111.18</f>
        <v>57111.18</v>
      </c>
      <c r="K18" s="434">
        <f>58568.27</f>
        <v>58568.27</v>
      </c>
      <c r="L18" s="434">
        <f>21259803.71</f>
        <v>21259803.710000001</v>
      </c>
      <c r="M18" s="434">
        <f>9507354.44</f>
        <v>9507354.4399999995</v>
      </c>
      <c r="N18" s="434">
        <f>1232581.08</f>
        <v>1232581.08</v>
      </c>
      <c r="O18" s="434">
        <f>1037.77</f>
        <v>1037.77</v>
      </c>
      <c r="P18" s="434">
        <f>0</f>
        <v>0</v>
      </c>
      <c r="Q18" s="434">
        <f>1037.77</f>
        <v>1037.77</v>
      </c>
    </row>
    <row r="19" spans="1:17">
      <c r="A19" s="2487" t="s">
        <v>682</v>
      </c>
      <c r="B19" s="434">
        <f>21772676.19</f>
        <v>21772676.190000001</v>
      </c>
      <c r="C19" s="434">
        <f>21772676.19</f>
        <v>21772676.190000001</v>
      </c>
      <c r="D19" s="434">
        <f>959271.77</f>
        <v>959271.77</v>
      </c>
      <c r="E19" s="434">
        <f>146</f>
        <v>146</v>
      </c>
      <c r="F19" s="434">
        <f>6933.98</f>
        <v>6933.98</v>
      </c>
      <c r="G19" s="434">
        <f>952191.79</f>
        <v>952191.79</v>
      </c>
      <c r="H19" s="434">
        <f>0</f>
        <v>0</v>
      </c>
      <c r="I19" s="434">
        <f>0</f>
        <v>0</v>
      </c>
      <c r="J19" s="434">
        <f>100</f>
        <v>100</v>
      </c>
      <c r="K19" s="434">
        <f>750.02</f>
        <v>750.02</v>
      </c>
      <c r="L19" s="434">
        <f>14123068.51</f>
        <v>14123068.51</v>
      </c>
      <c r="M19" s="434">
        <f>5473684.66</f>
        <v>5473684.6600000001</v>
      </c>
      <c r="N19" s="434">
        <f>1215801.23</f>
        <v>1215801.23</v>
      </c>
      <c r="O19" s="434">
        <f>0</f>
        <v>0</v>
      </c>
      <c r="P19" s="434">
        <f>0</f>
        <v>0</v>
      </c>
      <c r="Q19" s="434">
        <f>0</f>
        <v>0</v>
      </c>
    </row>
    <row r="20" spans="1:17">
      <c r="A20" s="474" t="s">
        <v>683</v>
      </c>
      <c r="B20" s="434">
        <f>20649664.2</f>
        <v>20649664.199999999</v>
      </c>
      <c r="C20" s="434">
        <f>20648626.43</f>
        <v>20648626.43</v>
      </c>
      <c r="D20" s="434">
        <f>9346612.17</f>
        <v>9346612.1699999999</v>
      </c>
      <c r="E20" s="434">
        <f>488142.4</f>
        <v>488142.4</v>
      </c>
      <c r="F20" s="434">
        <f>17099.51</f>
        <v>17099.509999999998</v>
      </c>
      <c r="G20" s="434">
        <f>6621435.15</f>
        <v>6621435.1500000004</v>
      </c>
      <c r="H20" s="434">
        <f>2219935.11</f>
        <v>2219935.11</v>
      </c>
      <c r="I20" s="434">
        <f>0</f>
        <v>0</v>
      </c>
      <c r="J20" s="434">
        <f>57011.18</f>
        <v>57011.18</v>
      </c>
      <c r="K20" s="434">
        <f>57818.25</f>
        <v>57818.25</v>
      </c>
      <c r="L20" s="434">
        <f>7136735.2</f>
        <v>7136735.2000000002</v>
      </c>
      <c r="M20" s="434">
        <f>4033669.78</f>
        <v>4033669.78</v>
      </c>
      <c r="N20" s="434">
        <f>16779.85</f>
        <v>16779.849999999999</v>
      </c>
      <c r="O20" s="434">
        <f>1037.77</f>
        <v>1037.77</v>
      </c>
      <c r="P20" s="434">
        <f>0</f>
        <v>0</v>
      </c>
      <c r="Q20" s="434">
        <f>1037.77</f>
        <v>1037.77</v>
      </c>
    </row>
    <row r="21" spans="1:17">
      <c r="A21" s="438"/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</row>
    <row r="22" spans="1:17" ht="16.5" customHeight="1">
      <c r="A22" s="2105" t="s">
        <v>684</v>
      </c>
      <c r="B22" s="2105"/>
      <c r="C22" s="2105"/>
      <c r="D22" s="2105"/>
      <c r="E22" s="2105"/>
      <c r="F22" s="2105"/>
      <c r="G22" s="2105"/>
      <c r="H22" s="2105"/>
      <c r="I22" s="2105"/>
      <c r="J22" s="2105"/>
      <c r="K22" s="2105"/>
      <c r="L22" s="2105"/>
      <c r="M22" s="2105"/>
    </row>
    <row r="24" spans="1:17">
      <c r="A24" s="2263" t="s">
        <v>1</v>
      </c>
      <c r="B24" s="2110" t="s">
        <v>685</v>
      </c>
      <c r="C24" s="2113" t="s">
        <v>686</v>
      </c>
      <c r="D24" s="2114"/>
      <c r="E24" s="2114"/>
      <c r="F24" s="2114"/>
      <c r="G24" s="2114"/>
      <c r="H24" s="2114"/>
      <c r="I24" s="2114"/>
      <c r="J24" s="2114"/>
      <c r="K24" s="2114"/>
      <c r="L24" s="2114"/>
      <c r="M24" s="2114"/>
      <c r="N24" s="2115"/>
      <c r="O24" s="2260" t="s">
        <v>687</v>
      </c>
      <c r="P24" s="2261"/>
      <c r="Q24" s="2262"/>
    </row>
    <row r="25" spans="1:17">
      <c r="A25" s="2264"/>
      <c r="B25" s="2111"/>
      <c r="C25" s="2111" t="s">
        <v>688</v>
      </c>
      <c r="D25" s="2116" t="s">
        <v>689</v>
      </c>
      <c r="E25" s="2116" t="s">
        <v>690</v>
      </c>
      <c r="F25" s="2116" t="s">
        <v>691</v>
      </c>
      <c r="G25" s="2116" t="s">
        <v>692</v>
      </c>
      <c r="H25" s="2116" t="s">
        <v>663</v>
      </c>
      <c r="I25" s="2116" t="s">
        <v>693</v>
      </c>
      <c r="J25" s="2116" t="s">
        <v>665</v>
      </c>
      <c r="K25" s="2116" t="s">
        <v>666</v>
      </c>
      <c r="L25" s="2116" t="s">
        <v>667</v>
      </c>
      <c r="M25" s="2116" t="s">
        <v>668</v>
      </c>
      <c r="N25" s="2116" t="s">
        <v>669</v>
      </c>
      <c r="O25" s="2269" t="s">
        <v>670</v>
      </c>
      <c r="P25" s="2269" t="s">
        <v>671</v>
      </c>
      <c r="Q25" s="2270" t="s">
        <v>672</v>
      </c>
    </row>
    <row r="26" spans="1:17">
      <c r="A26" s="2264"/>
      <c r="B26" s="2111"/>
      <c r="C26" s="2111"/>
      <c r="D26" s="2116"/>
      <c r="E26" s="2116"/>
      <c r="F26" s="2116"/>
      <c r="G26" s="2116"/>
      <c r="H26" s="2116"/>
      <c r="I26" s="2116"/>
      <c r="J26" s="2116"/>
      <c r="K26" s="2116"/>
      <c r="L26" s="2116"/>
      <c r="M26" s="2116"/>
      <c r="N26" s="2116"/>
      <c r="O26" s="2269"/>
      <c r="P26" s="2269"/>
      <c r="Q26" s="2271"/>
    </row>
    <row r="27" spans="1:17" ht="56.25" customHeight="1">
      <c r="A27" s="2265"/>
      <c r="B27" s="2112"/>
      <c r="C27" s="2112"/>
      <c r="D27" s="2116"/>
      <c r="E27" s="2116"/>
      <c r="F27" s="2116"/>
      <c r="G27" s="2116"/>
      <c r="H27" s="2116"/>
      <c r="I27" s="2116"/>
      <c r="J27" s="2116"/>
      <c r="K27" s="2116"/>
      <c r="L27" s="2116"/>
      <c r="M27" s="2116"/>
      <c r="N27" s="2116"/>
      <c r="O27" s="2269"/>
      <c r="P27" s="2269"/>
      <c r="Q27" s="2272"/>
    </row>
    <row r="28" spans="1:17">
      <c r="A28" s="1748">
        <v>1</v>
      </c>
      <c r="B28" s="1748">
        <v>2</v>
      </c>
      <c r="C28" s="1748">
        <v>3</v>
      </c>
      <c r="D28" s="1748">
        <v>4</v>
      </c>
      <c r="E28" s="1748">
        <v>5</v>
      </c>
      <c r="F28" s="1748">
        <v>6</v>
      </c>
      <c r="G28" s="1748">
        <v>7</v>
      </c>
      <c r="H28" s="1748">
        <v>8</v>
      </c>
      <c r="I28" s="1748">
        <v>9</v>
      </c>
      <c r="J28" s="1748">
        <v>10</v>
      </c>
      <c r="K28" s="1748">
        <v>11</v>
      </c>
      <c r="L28" s="1748">
        <v>12</v>
      </c>
      <c r="M28" s="1748">
        <v>13</v>
      </c>
      <c r="N28" s="1748">
        <v>14</v>
      </c>
      <c r="O28" s="1748">
        <v>15</v>
      </c>
      <c r="P28" s="1748">
        <v>16</v>
      </c>
      <c r="Q28" s="1748">
        <v>17</v>
      </c>
    </row>
    <row r="29" spans="1:17">
      <c r="A29" s="1748"/>
      <c r="B29" s="2113" t="s">
        <v>163</v>
      </c>
      <c r="C29" s="2114"/>
      <c r="D29" s="2114"/>
      <c r="E29" s="2114"/>
      <c r="F29" s="2114"/>
      <c r="G29" s="2114"/>
      <c r="H29" s="2114"/>
      <c r="I29" s="2114"/>
      <c r="J29" s="2114"/>
      <c r="K29" s="2114"/>
      <c r="L29" s="2114"/>
      <c r="M29" s="2114"/>
      <c r="N29" s="2114"/>
      <c r="O29" s="2114"/>
      <c r="P29" s="2114"/>
      <c r="Q29" s="2115"/>
    </row>
    <row r="30" spans="1:17">
      <c r="A30" s="1771" t="s">
        <v>694</v>
      </c>
      <c r="B30" s="475">
        <f>69892805.9</f>
        <v>69892805.900000006</v>
      </c>
      <c r="C30" s="475">
        <f>69892805.9</f>
        <v>69892805.900000006</v>
      </c>
      <c r="D30" s="475">
        <f>0</f>
        <v>0</v>
      </c>
      <c r="E30" s="475">
        <f>0</f>
        <v>0</v>
      </c>
      <c r="F30" s="475">
        <f>0</f>
        <v>0</v>
      </c>
      <c r="G30" s="475">
        <f>0</f>
        <v>0</v>
      </c>
      <c r="H30" s="475">
        <f>0</f>
        <v>0</v>
      </c>
      <c r="I30" s="475">
        <f>0</f>
        <v>0</v>
      </c>
      <c r="J30" s="475">
        <f>69878205.9</f>
        <v>69878205.900000006</v>
      </c>
      <c r="K30" s="475">
        <f>0</f>
        <v>0</v>
      </c>
      <c r="L30" s="475">
        <f>1000</f>
        <v>1000</v>
      </c>
      <c r="M30" s="475">
        <f>0</f>
        <v>0</v>
      </c>
      <c r="N30" s="475">
        <f>13600</f>
        <v>13600</v>
      </c>
      <c r="O30" s="475">
        <f>0</f>
        <v>0</v>
      </c>
      <c r="P30" s="475">
        <f>0</f>
        <v>0</v>
      </c>
      <c r="Q30" s="475">
        <f>0</f>
        <v>0</v>
      </c>
    </row>
    <row r="31" spans="1:17">
      <c r="A31" s="1772" t="s">
        <v>695</v>
      </c>
      <c r="B31" s="475">
        <f>0</f>
        <v>0</v>
      </c>
      <c r="C31" s="475">
        <f>0</f>
        <v>0</v>
      </c>
      <c r="D31" s="475">
        <f>0</f>
        <v>0</v>
      </c>
      <c r="E31" s="475">
        <f>0</f>
        <v>0</v>
      </c>
      <c r="F31" s="475">
        <f>0</f>
        <v>0</v>
      </c>
      <c r="G31" s="475">
        <f>0</f>
        <v>0</v>
      </c>
      <c r="H31" s="475">
        <f>0</f>
        <v>0</v>
      </c>
      <c r="I31" s="475">
        <f>0</f>
        <v>0</v>
      </c>
      <c r="J31" s="475">
        <f>0</f>
        <v>0</v>
      </c>
      <c r="K31" s="475">
        <f>0</f>
        <v>0</v>
      </c>
      <c r="L31" s="475">
        <f>0</f>
        <v>0</v>
      </c>
      <c r="M31" s="475">
        <f>0</f>
        <v>0</v>
      </c>
      <c r="N31" s="475">
        <f>0</f>
        <v>0</v>
      </c>
      <c r="O31" s="475">
        <f>0</f>
        <v>0</v>
      </c>
      <c r="P31" s="475">
        <f>0</f>
        <v>0</v>
      </c>
      <c r="Q31" s="475">
        <f>0</f>
        <v>0</v>
      </c>
    </row>
    <row r="32" spans="1:17">
      <c r="A32" s="1772" t="s">
        <v>696</v>
      </c>
      <c r="B32" s="475">
        <f>69892805.9</f>
        <v>69892805.900000006</v>
      </c>
      <c r="C32" s="475">
        <f>69892805.9</f>
        <v>69892805.900000006</v>
      </c>
      <c r="D32" s="475">
        <f>0</f>
        <v>0</v>
      </c>
      <c r="E32" s="475">
        <f>0</f>
        <v>0</v>
      </c>
      <c r="F32" s="475">
        <f>0</f>
        <v>0</v>
      </c>
      <c r="G32" s="475">
        <f>0</f>
        <v>0</v>
      </c>
      <c r="H32" s="475">
        <f>0</f>
        <v>0</v>
      </c>
      <c r="I32" s="475">
        <f>0</f>
        <v>0</v>
      </c>
      <c r="J32" s="475">
        <f>69878205.9</f>
        <v>69878205.900000006</v>
      </c>
      <c r="K32" s="475">
        <f>0</f>
        <v>0</v>
      </c>
      <c r="L32" s="475">
        <f>1000</f>
        <v>1000</v>
      </c>
      <c r="M32" s="475">
        <f>0</f>
        <v>0</v>
      </c>
      <c r="N32" s="475">
        <f>13600</f>
        <v>13600</v>
      </c>
      <c r="O32" s="475">
        <f>0</f>
        <v>0</v>
      </c>
      <c r="P32" s="475">
        <f>0</f>
        <v>0</v>
      </c>
      <c r="Q32" s="475">
        <f>0</f>
        <v>0</v>
      </c>
    </row>
    <row r="33" spans="1:17">
      <c r="A33" s="1773" t="s">
        <v>697</v>
      </c>
      <c r="B33" s="475">
        <f>419308388.79</f>
        <v>419308388.79000002</v>
      </c>
      <c r="C33" s="475">
        <f>419294289.57</f>
        <v>419294289.56999999</v>
      </c>
      <c r="D33" s="475">
        <f>30260998.14</f>
        <v>30260998.140000001</v>
      </c>
      <c r="E33" s="475">
        <f>16950.55</f>
        <v>16950.55</v>
      </c>
      <c r="F33" s="475">
        <f>753765.05</f>
        <v>753765.05</v>
      </c>
      <c r="G33" s="475">
        <f>25140782.54</f>
        <v>25140782.539999999</v>
      </c>
      <c r="H33" s="475">
        <f>4349500</f>
        <v>4349500</v>
      </c>
      <c r="I33" s="475">
        <f>0</f>
        <v>0</v>
      </c>
      <c r="J33" s="475">
        <f>44425.22</f>
        <v>44425.22</v>
      </c>
      <c r="K33" s="475">
        <f>52360</f>
        <v>52360</v>
      </c>
      <c r="L33" s="475">
        <f>182031015.99</f>
        <v>182031015.99000001</v>
      </c>
      <c r="M33" s="475">
        <f>189377499.11</f>
        <v>189377499.11000001</v>
      </c>
      <c r="N33" s="475">
        <f>17527991.11</f>
        <v>17527991.109999999</v>
      </c>
      <c r="O33" s="475">
        <f>14099.22</f>
        <v>14099.22</v>
      </c>
      <c r="P33" s="475">
        <f>14099.22</f>
        <v>14099.22</v>
      </c>
      <c r="Q33" s="475">
        <f>0</f>
        <v>0</v>
      </c>
    </row>
    <row r="34" spans="1:17">
      <c r="A34" s="1772" t="s">
        <v>698</v>
      </c>
      <c r="B34" s="475">
        <f>16709683.8</f>
        <v>16709683.800000001</v>
      </c>
      <c r="C34" s="475">
        <f>16709683.8</f>
        <v>16709683.800000001</v>
      </c>
      <c r="D34" s="475">
        <f>6717170.57</f>
        <v>6717170.5700000003</v>
      </c>
      <c r="E34" s="475">
        <f>0</f>
        <v>0</v>
      </c>
      <c r="F34" s="475">
        <f>0</f>
        <v>0</v>
      </c>
      <c r="G34" s="475">
        <f>2367670.57</f>
        <v>2367670.5699999998</v>
      </c>
      <c r="H34" s="475">
        <f>4349500</f>
        <v>4349500</v>
      </c>
      <c r="I34" s="475">
        <f>0</f>
        <v>0</v>
      </c>
      <c r="J34" s="475">
        <f>0</f>
        <v>0</v>
      </c>
      <c r="K34" s="475">
        <f>0</f>
        <v>0</v>
      </c>
      <c r="L34" s="475">
        <f>4429474.25</f>
        <v>4429474.25</v>
      </c>
      <c r="M34" s="475">
        <f>2138960.77</f>
        <v>2138960.77</v>
      </c>
      <c r="N34" s="475">
        <f>3424078.21</f>
        <v>3424078.21</v>
      </c>
      <c r="O34" s="475">
        <f>0</f>
        <v>0</v>
      </c>
      <c r="P34" s="475">
        <f>0</f>
        <v>0</v>
      </c>
      <c r="Q34" s="475">
        <f>0</f>
        <v>0</v>
      </c>
    </row>
    <row r="35" spans="1:17">
      <c r="A35" s="1772" t="s">
        <v>699</v>
      </c>
      <c r="B35" s="475">
        <f>402598704.99</f>
        <v>402598704.99000001</v>
      </c>
      <c r="C35" s="475">
        <f>402584605.77</f>
        <v>402584605.76999998</v>
      </c>
      <c r="D35" s="475">
        <f>23543827.57</f>
        <v>23543827.57</v>
      </c>
      <c r="E35" s="475">
        <f>16950.55</f>
        <v>16950.55</v>
      </c>
      <c r="F35" s="475">
        <f>753765.05</f>
        <v>753765.05</v>
      </c>
      <c r="G35" s="475">
        <f>22773111.97</f>
        <v>22773111.969999999</v>
      </c>
      <c r="H35" s="475">
        <f>0</f>
        <v>0</v>
      </c>
      <c r="I35" s="475">
        <f>0</f>
        <v>0</v>
      </c>
      <c r="J35" s="475">
        <f>44425.22</f>
        <v>44425.22</v>
      </c>
      <c r="K35" s="475">
        <f>52360</f>
        <v>52360</v>
      </c>
      <c r="L35" s="475">
        <f>177601541.74</f>
        <v>177601541.74000001</v>
      </c>
      <c r="M35" s="475">
        <f>187238538.34</f>
        <v>187238538.34</v>
      </c>
      <c r="N35" s="475">
        <f>14103912.9</f>
        <v>14103912.9</v>
      </c>
      <c r="O35" s="475">
        <f>14099.22</f>
        <v>14099.22</v>
      </c>
      <c r="P35" s="475">
        <f>14099.22</f>
        <v>14099.22</v>
      </c>
      <c r="Q35" s="475">
        <f>0</f>
        <v>0</v>
      </c>
    </row>
    <row r="36" spans="1:17" ht="26.4">
      <c r="A36" s="1771" t="s">
        <v>700</v>
      </c>
      <c r="B36" s="475">
        <f>26971117725.56</f>
        <v>26971117725.560001</v>
      </c>
      <c r="C36" s="475">
        <f>26971117725.56</f>
        <v>26971117725.560001</v>
      </c>
      <c r="D36" s="475">
        <f>1407648.47</f>
        <v>1407648.47</v>
      </c>
      <c r="E36" s="475">
        <f>450783.08</f>
        <v>450783.08</v>
      </c>
      <c r="F36" s="475">
        <f>2780.38</f>
        <v>2780.38</v>
      </c>
      <c r="G36" s="475">
        <f>954085.01</f>
        <v>954085.01</v>
      </c>
      <c r="H36" s="475">
        <f>0</f>
        <v>0</v>
      </c>
      <c r="I36" s="475">
        <f>0</f>
        <v>0</v>
      </c>
      <c r="J36" s="475">
        <f>26954274231.35</f>
        <v>26954274231.349998</v>
      </c>
      <c r="K36" s="475">
        <f>105787.75</f>
        <v>105787.75</v>
      </c>
      <c r="L36" s="475">
        <f>15196578.3</f>
        <v>15196578.300000001</v>
      </c>
      <c r="M36" s="475">
        <f>133479.69</f>
        <v>133479.69</v>
      </c>
      <c r="N36" s="475">
        <f>0</f>
        <v>0</v>
      </c>
      <c r="O36" s="475">
        <f>0</f>
        <v>0</v>
      </c>
      <c r="P36" s="475">
        <f>0</f>
        <v>0</v>
      </c>
      <c r="Q36" s="475">
        <f>0</f>
        <v>0</v>
      </c>
    </row>
    <row r="37" spans="1:17">
      <c r="A37" s="1772" t="s">
        <v>701</v>
      </c>
      <c r="B37" s="475">
        <f>882119.81</f>
        <v>882119.81</v>
      </c>
      <c r="C37" s="475">
        <f>882119.81</f>
        <v>882119.81</v>
      </c>
      <c r="D37" s="475">
        <f>882119.81</f>
        <v>882119.81</v>
      </c>
      <c r="E37" s="475">
        <f>0</f>
        <v>0</v>
      </c>
      <c r="F37" s="475">
        <f>0</f>
        <v>0</v>
      </c>
      <c r="G37" s="475">
        <f>882119.81</f>
        <v>882119.81</v>
      </c>
      <c r="H37" s="475">
        <f>0</f>
        <v>0</v>
      </c>
      <c r="I37" s="475">
        <f>0</f>
        <v>0</v>
      </c>
      <c r="J37" s="475">
        <f>0</f>
        <v>0</v>
      </c>
      <c r="K37" s="475">
        <f>0</f>
        <v>0</v>
      </c>
      <c r="L37" s="475">
        <f>0</f>
        <v>0</v>
      </c>
      <c r="M37" s="475">
        <f>0</f>
        <v>0</v>
      </c>
      <c r="N37" s="475">
        <f>0</f>
        <v>0</v>
      </c>
      <c r="O37" s="475">
        <f>0</f>
        <v>0</v>
      </c>
      <c r="P37" s="475">
        <f>0</f>
        <v>0</v>
      </c>
      <c r="Q37" s="475">
        <f>0</f>
        <v>0</v>
      </c>
    </row>
    <row r="38" spans="1:17">
      <c r="A38" s="1772" t="s">
        <v>702</v>
      </c>
      <c r="B38" s="475">
        <f>25712422413.02</f>
        <v>25712422413.02</v>
      </c>
      <c r="C38" s="475">
        <f>25712422413.02</f>
        <v>25712422413.02</v>
      </c>
      <c r="D38" s="475">
        <f>122484.39</f>
        <v>122484.39</v>
      </c>
      <c r="E38" s="475">
        <f>111469.39</f>
        <v>111469.39</v>
      </c>
      <c r="F38" s="475">
        <f>500</f>
        <v>500</v>
      </c>
      <c r="G38" s="475">
        <f>10515</f>
        <v>10515</v>
      </c>
      <c r="H38" s="475">
        <f>0</f>
        <v>0</v>
      </c>
      <c r="I38" s="475">
        <f>0</f>
        <v>0</v>
      </c>
      <c r="J38" s="475">
        <f>25697267688.26</f>
        <v>25697267688.259998</v>
      </c>
      <c r="K38" s="475">
        <f>105787.75</f>
        <v>105787.75</v>
      </c>
      <c r="L38" s="475">
        <f>14926452.62</f>
        <v>14926452.619999999</v>
      </c>
      <c r="M38" s="475">
        <f>0</f>
        <v>0</v>
      </c>
      <c r="N38" s="475">
        <f>0</f>
        <v>0</v>
      </c>
      <c r="O38" s="475">
        <f>0</f>
        <v>0</v>
      </c>
      <c r="P38" s="475">
        <f>0</f>
        <v>0</v>
      </c>
      <c r="Q38" s="475">
        <f>0</f>
        <v>0</v>
      </c>
    </row>
    <row r="39" spans="1:17">
      <c r="A39" s="1772" t="s">
        <v>703</v>
      </c>
      <c r="B39" s="475">
        <f>1257813192.73</f>
        <v>1257813192.73</v>
      </c>
      <c r="C39" s="475">
        <f>1257813192.73</f>
        <v>1257813192.73</v>
      </c>
      <c r="D39" s="475">
        <f>403044.27</f>
        <v>403044.27</v>
      </c>
      <c r="E39" s="475">
        <f>339313.69</f>
        <v>339313.69</v>
      </c>
      <c r="F39" s="475">
        <f>2280.38</f>
        <v>2280.38</v>
      </c>
      <c r="G39" s="475">
        <f>61450.2</f>
        <v>61450.2</v>
      </c>
      <c r="H39" s="475">
        <f>0</f>
        <v>0</v>
      </c>
      <c r="I39" s="475">
        <f>0</f>
        <v>0</v>
      </c>
      <c r="J39" s="475">
        <f>1257006543.09</f>
        <v>1257006543.0899999</v>
      </c>
      <c r="K39" s="475">
        <f>0</f>
        <v>0</v>
      </c>
      <c r="L39" s="475">
        <f>270125.68</f>
        <v>270125.68</v>
      </c>
      <c r="M39" s="475">
        <f>133479.69</f>
        <v>133479.69</v>
      </c>
      <c r="N39" s="475">
        <f>0</f>
        <v>0</v>
      </c>
      <c r="O39" s="475">
        <f>0</f>
        <v>0</v>
      </c>
      <c r="P39" s="475">
        <f>0</f>
        <v>0</v>
      </c>
      <c r="Q39" s="475">
        <f>0</f>
        <v>0</v>
      </c>
    </row>
    <row r="40" spans="1:17" ht="26.4">
      <c r="A40" s="1771" t="s">
        <v>704</v>
      </c>
      <c r="B40" s="475">
        <f>10485257525.7</f>
        <v>10485257525.700001</v>
      </c>
      <c r="C40" s="475">
        <f>10455622695.55</f>
        <v>10455622695.549999</v>
      </c>
      <c r="D40" s="475">
        <f>102608739.86</f>
        <v>102608739.86</v>
      </c>
      <c r="E40" s="475">
        <f>63921763.04</f>
        <v>63921763.039999999</v>
      </c>
      <c r="F40" s="475">
        <f>4888266.6</f>
        <v>4888266.5999999996</v>
      </c>
      <c r="G40" s="475">
        <f>32835008.39</f>
        <v>32835008.390000001</v>
      </c>
      <c r="H40" s="475">
        <f>963701.83</f>
        <v>963701.83</v>
      </c>
      <c r="I40" s="475">
        <f>902</f>
        <v>902</v>
      </c>
      <c r="J40" s="475">
        <f>9419647.17</f>
        <v>9419647.1699999999</v>
      </c>
      <c r="K40" s="475">
        <f>10151449.46</f>
        <v>10151449.460000001</v>
      </c>
      <c r="L40" s="475">
        <f>2281144852.68</f>
        <v>2281144852.6799998</v>
      </c>
      <c r="M40" s="475">
        <f>7967805833.62</f>
        <v>7967805833.6199999</v>
      </c>
      <c r="N40" s="475">
        <f>84491270.76</f>
        <v>84491270.760000005</v>
      </c>
      <c r="O40" s="475">
        <f>29634830.15</f>
        <v>29634830.149999999</v>
      </c>
      <c r="P40" s="475">
        <f>20102889.91</f>
        <v>20102889.91</v>
      </c>
      <c r="Q40" s="475">
        <f>9531940.24</f>
        <v>9531940.2400000002</v>
      </c>
    </row>
    <row r="41" spans="1:17">
      <c r="A41" s="1774" t="s">
        <v>705</v>
      </c>
      <c r="B41" s="475">
        <f>1451563961.52</f>
        <v>1451563961.52</v>
      </c>
      <c r="C41" s="475">
        <f>1450887142.1</f>
        <v>1450887142.0999999</v>
      </c>
      <c r="D41" s="475">
        <f>5324026.42</f>
        <v>5324026.42</v>
      </c>
      <c r="E41" s="475">
        <f>326555.82</f>
        <v>326555.82</v>
      </c>
      <c r="F41" s="475">
        <f>91476.38</f>
        <v>91476.38</v>
      </c>
      <c r="G41" s="475">
        <f>4317574.55</f>
        <v>4317574.55</v>
      </c>
      <c r="H41" s="475">
        <f>588419.67</f>
        <v>588419.67000000004</v>
      </c>
      <c r="I41" s="475">
        <f>0</f>
        <v>0</v>
      </c>
      <c r="J41" s="475">
        <f>59534.58</f>
        <v>59534.58</v>
      </c>
      <c r="K41" s="475">
        <f>177172.67</f>
        <v>177172.67</v>
      </c>
      <c r="L41" s="475">
        <f>297284990.37</f>
        <v>297284990.37</v>
      </c>
      <c r="M41" s="475">
        <f>1113515948.3</f>
        <v>1113515948.3</v>
      </c>
      <c r="N41" s="475">
        <f>34525469.76</f>
        <v>34525469.759999998</v>
      </c>
      <c r="O41" s="475">
        <f>676819.42</f>
        <v>676819.42</v>
      </c>
      <c r="P41" s="475">
        <f>300693.9</f>
        <v>300693.90000000002</v>
      </c>
      <c r="Q41" s="475">
        <f>376125.52</f>
        <v>376125.52</v>
      </c>
    </row>
    <row r="42" spans="1:17">
      <c r="A42" s="1772" t="s">
        <v>706</v>
      </c>
      <c r="B42" s="475">
        <f>9033693564.18</f>
        <v>9033693564.1800003</v>
      </c>
      <c r="C42" s="475">
        <f>9004735553.45</f>
        <v>9004735553.4500008</v>
      </c>
      <c r="D42" s="475">
        <f>97284713.44</f>
        <v>97284713.439999998</v>
      </c>
      <c r="E42" s="475">
        <f>63595207.22</f>
        <v>63595207.219999999</v>
      </c>
      <c r="F42" s="475">
        <f>4796790.22</f>
        <v>4796790.22</v>
      </c>
      <c r="G42" s="475">
        <f>28517433.84</f>
        <v>28517433.84</v>
      </c>
      <c r="H42" s="475">
        <f>375282.16</f>
        <v>375282.16</v>
      </c>
      <c r="I42" s="475">
        <f>902</f>
        <v>902</v>
      </c>
      <c r="J42" s="475">
        <f>9360112.59</f>
        <v>9360112.5899999999</v>
      </c>
      <c r="K42" s="475">
        <f>9974276.79</f>
        <v>9974276.7899999991</v>
      </c>
      <c r="L42" s="475">
        <f>1983859862.31</f>
        <v>1983859862.3099999</v>
      </c>
      <c r="M42" s="475">
        <f>6854289885.32</f>
        <v>6854289885.3199997</v>
      </c>
      <c r="N42" s="475">
        <f>49965801</f>
        <v>49965801</v>
      </c>
      <c r="O42" s="475">
        <f>28958010.73</f>
        <v>28958010.73</v>
      </c>
      <c r="P42" s="475">
        <f>19802196.01</f>
        <v>19802196.010000002</v>
      </c>
      <c r="Q42" s="475">
        <f>9155814.72</f>
        <v>9155814.7200000007</v>
      </c>
    </row>
    <row r="43" spans="1:17" ht="26.4">
      <c r="A43" s="2493" t="s">
        <v>707</v>
      </c>
      <c r="B43" s="475">
        <f>3197925873.43</f>
        <v>3197925873.4299998</v>
      </c>
      <c r="C43" s="475">
        <f>3197200637.69</f>
        <v>3197200637.6900001</v>
      </c>
      <c r="D43" s="475">
        <f>601946081.1</f>
        <v>601946081.10000002</v>
      </c>
      <c r="E43" s="475">
        <f>420697582.2</f>
        <v>420697582.19999999</v>
      </c>
      <c r="F43" s="475">
        <f>6843714.55</f>
        <v>6843714.5499999998</v>
      </c>
      <c r="G43" s="475">
        <f>160980984.99</f>
        <v>160980984.99000001</v>
      </c>
      <c r="H43" s="475">
        <f>13423799.36</f>
        <v>13423799.359999999</v>
      </c>
      <c r="I43" s="475">
        <f>0</f>
        <v>0</v>
      </c>
      <c r="J43" s="475">
        <f>1165827.58</f>
        <v>1165827.58</v>
      </c>
      <c r="K43" s="475">
        <f>5888899.53</f>
        <v>5888899.5300000003</v>
      </c>
      <c r="L43" s="475">
        <f>1558417164.73</f>
        <v>1558417164.73</v>
      </c>
      <c r="M43" s="475">
        <f>976986041.2</f>
        <v>976986041.20000005</v>
      </c>
      <c r="N43" s="475">
        <f>52796623.55</f>
        <v>52796623.549999997</v>
      </c>
      <c r="O43" s="475">
        <f>725235.74</f>
        <v>725235.74</v>
      </c>
      <c r="P43" s="475">
        <f>613432.41</f>
        <v>613432.41</v>
      </c>
      <c r="Q43" s="475">
        <f>111803.33</f>
        <v>111803.33</v>
      </c>
    </row>
    <row r="44" spans="1:17">
      <c r="A44" s="1774" t="s">
        <v>708</v>
      </c>
      <c r="B44" s="475">
        <f>638994496.03</f>
        <v>638994496.02999997</v>
      </c>
      <c r="C44" s="475">
        <f>638835688.79</f>
        <v>638835688.78999996</v>
      </c>
      <c r="D44" s="475">
        <f>38571095.22</f>
        <v>38571095.219999999</v>
      </c>
      <c r="E44" s="475">
        <f>4567890.96</f>
        <v>4567890.96</v>
      </c>
      <c r="F44" s="475">
        <f>408517.21</f>
        <v>408517.21</v>
      </c>
      <c r="G44" s="475">
        <f>28932876.83</f>
        <v>28932876.829999998</v>
      </c>
      <c r="H44" s="475">
        <f>4661810.22</f>
        <v>4661810.22</v>
      </c>
      <c r="I44" s="475">
        <f>0</f>
        <v>0</v>
      </c>
      <c r="J44" s="475">
        <f>108764.49</f>
        <v>108764.49</v>
      </c>
      <c r="K44" s="475">
        <f>346395</f>
        <v>346395</v>
      </c>
      <c r="L44" s="475">
        <f>278782906.99</f>
        <v>278782906.99000001</v>
      </c>
      <c r="M44" s="475">
        <f>304778093.32</f>
        <v>304778093.31999999</v>
      </c>
      <c r="N44" s="475">
        <f>16248433.77</f>
        <v>16248433.77</v>
      </c>
      <c r="O44" s="475">
        <f>158807.24</f>
        <v>158807.24</v>
      </c>
      <c r="P44" s="475">
        <f>48728.91</f>
        <v>48728.91</v>
      </c>
      <c r="Q44" s="475">
        <f>110078.33</f>
        <v>110078.33</v>
      </c>
    </row>
    <row r="45" spans="1:17" ht="26.4">
      <c r="A45" s="1774" t="s">
        <v>752</v>
      </c>
      <c r="B45" s="475">
        <f>473196126.82</f>
        <v>473196126.81999999</v>
      </c>
      <c r="C45" s="475">
        <f>473051665.04</f>
        <v>473051665.04000002</v>
      </c>
      <c r="D45" s="475">
        <f>117205583.64</f>
        <v>117205583.64</v>
      </c>
      <c r="E45" s="475">
        <f>103377344.35</f>
        <v>103377344.34999999</v>
      </c>
      <c r="F45" s="475">
        <f>228358.96</f>
        <v>228358.96</v>
      </c>
      <c r="G45" s="475">
        <f>12727785.37</f>
        <v>12727785.369999999</v>
      </c>
      <c r="H45" s="475">
        <f>872094.96</f>
        <v>872094.96</v>
      </c>
      <c r="I45" s="475">
        <f>0</f>
        <v>0</v>
      </c>
      <c r="J45" s="475">
        <f>74639.96</f>
        <v>74639.960000000006</v>
      </c>
      <c r="K45" s="475">
        <f>1653128.74</f>
        <v>1653128.74</v>
      </c>
      <c r="L45" s="475">
        <f>220450514.72</f>
        <v>220450514.72</v>
      </c>
      <c r="M45" s="475">
        <f>131308354.44</f>
        <v>131308354.44</v>
      </c>
      <c r="N45" s="475">
        <f>2359443.54</f>
        <v>2359443.54</v>
      </c>
      <c r="O45" s="475">
        <f>144461.78</f>
        <v>144461.78</v>
      </c>
      <c r="P45" s="475">
        <f>144461.78</f>
        <v>144461.78</v>
      </c>
      <c r="Q45" s="475">
        <f>0</f>
        <v>0</v>
      </c>
    </row>
    <row r="46" spans="1:17" ht="26.4">
      <c r="A46" s="1774" t="s">
        <v>710</v>
      </c>
      <c r="B46" s="475">
        <f>2085735250.58</f>
        <v>2085735250.5799999</v>
      </c>
      <c r="C46" s="475">
        <f>2085313283.86</f>
        <v>2085313283.8599999</v>
      </c>
      <c r="D46" s="475">
        <f>446169402.24</f>
        <v>446169402.24000001</v>
      </c>
      <c r="E46" s="475">
        <f>312752346.89</f>
        <v>312752346.88999999</v>
      </c>
      <c r="F46" s="475">
        <f>6206838.38</f>
        <v>6206838.3799999999</v>
      </c>
      <c r="G46" s="475">
        <f>119320322.79</f>
        <v>119320322.79000001</v>
      </c>
      <c r="H46" s="475">
        <f>7889894.18</f>
        <v>7889894.1799999997</v>
      </c>
      <c r="I46" s="475">
        <f>0</f>
        <v>0</v>
      </c>
      <c r="J46" s="475">
        <f>982423.13</f>
        <v>982423.13</v>
      </c>
      <c r="K46" s="475">
        <f>3889375.79</f>
        <v>3889375.79</v>
      </c>
      <c r="L46" s="475">
        <f>1059183743.02</f>
        <v>1059183743.02</v>
      </c>
      <c r="M46" s="475">
        <f>540899593.44</f>
        <v>540899593.44000006</v>
      </c>
      <c r="N46" s="475">
        <f>34188746.24</f>
        <v>34188746.240000002</v>
      </c>
      <c r="O46" s="475">
        <f>421966.72</f>
        <v>421966.72</v>
      </c>
      <c r="P46" s="475">
        <f>420241.72</f>
        <v>420241.72</v>
      </c>
      <c r="Q46" s="475">
        <f>1725</f>
        <v>1725</v>
      </c>
    </row>
    <row r="48" spans="1:17" ht="16.5" customHeight="1">
      <c r="B48" s="2105" t="s">
        <v>711</v>
      </c>
      <c r="C48" s="2105"/>
      <c r="D48" s="2105"/>
      <c r="E48" s="2105"/>
      <c r="F48" s="2105"/>
      <c r="G48" s="2105"/>
      <c r="H48" s="2105"/>
      <c r="I48" s="2105"/>
      <c r="J48" s="2105"/>
      <c r="K48" s="2105"/>
      <c r="L48" s="2105"/>
      <c r="M48" s="2105"/>
    </row>
    <row r="50" spans="1:13">
      <c r="B50" s="2124" t="s">
        <v>1</v>
      </c>
      <c r="C50" s="2125"/>
      <c r="D50" s="2125"/>
      <c r="E50" s="2126"/>
      <c r="F50" s="2133" t="s">
        <v>712</v>
      </c>
      <c r="G50" s="2113" t="s">
        <v>713</v>
      </c>
      <c r="H50" s="2114"/>
      <c r="I50" s="2114"/>
      <c r="J50" s="2114"/>
      <c r="K50" s="2114"/>
      <c r="L50" s="2115"/>
    </row>
    <row r="51" spans="1:13">
      <c r="B51" s="2127"/>
      <c r="C51" s="2128"/>
      <c r="D51" s="2128"/>
      <c r="E51" s="2129"/>
      <c r="F51" s="2117"/>
      <c r="G51" s="2269" t="s">
        <v>714</v>
      </c>
      <c r="H51" s="2116" t="s">
        <v>660</v>
      </c>
      <c r="I51" s="2116" t="s">
        <v>661</v>
      </c>
      <c r="J51" s="2116" t="s">
        <v>692</v>
      </c>
      <c r="K51" s="2116" t="s">
        <v>715</v>
      </c>
      <c r="L51" s="2273" t="s">
        <v>716</v>
      </c>
    </row>
    <row r="52" spans="1:13">
      <c r="B52" s="2127"/>
      <c r="C52" s="2128"/>
      <c r="D52" s="2128"/>
      <c r="E52" s="2129"/>
      <c r="F52" s="2117"/>
      <c r="G52" s="2269"/>
      <c r="H52" s="2116"/>
      <c r="I52" s="2116"/>
      <c r="J52" s="2116"/>
      <c r="K52" s="2116"/>
      <c r="L52" s="2273"/>
    </row>
    <row r="53" spans="1:13">
      <c r="B53" s="2127"/>
      <c r="C53" s="2128"/>
      <c r="D53" s="2128"/>
      <c r="E53" s="2129"/>
      <c r="F53" s="2117"/>
      <c r="G53" s="2269"/>
      <c r="H53" s="2116"/>
      <c r="I53" s="2116"/>
      <c r="J53" s="2116"/>
      <c r="K53" s="2116"/>
      <c r="L53" s="2273"/>
    </row>
    <row r="54" spans="1:13">
      <c r="B54" s="2130"/>
      <c r="C54" s="2131"/>
      <c r="D54" s="2131"/>
      <c r="E54" s="2132"/>
      <c r="F54" s="2118"/>
      <c r="G54" s="2269"/>
      <c r="H54" s="2116"/>
      <c r="I54" s="2116"/>
      <c r="J54" s="2116"/>
      <c r="K54" s="2116"/>
      <c r="L54" s="2273"/>
    </row>
    <row r="55" spans="1:13">
      <c r="B55" s="2116">
        <v>1</v>
      </c>
      <c r="C55" s="2116"/>
      <c r="D55" s="2116"/>
      <c r="E55" s="2116"/>
      <c r="F55" s="1744">
        <v>2</v>
      </c>
      <c r="G55" s="1744">
        <v>3</v>
      </c>
      <c r="H55" s="1744">
        <v>4</v>
      </c>
      <c r="I55" s="1744">
        <v>5</v>
      </c>
      <c r="J55" s="1744">
        <v>6</v>
      </c>
      <c r="K55" s="1744">
        <v>7</v>
      </c>
      <c r="L55" s="1749">
        <v>8</v>
      </c>
    </row>
    <row r="56" spans="1:13">
      <c r="B56" s="2116"/>
      <c r="C56" s="2116"/>
      <c r="D56" s="2116"/>
      <c r="E56" s="2116"/>
      <c r="F56" s="2113" t="s">
        <v>163</v>
      </c>
      <c r="G56" s="2259"/>
      <c r="H56" s="2259"/>
      <c r="I56" s="2259"/>
      <c r="J56" s="2259"/>
      <c r="K56" s="2259"/>
      <c r="L56" s="2253"/>
    </row>
    <row r="57" spans="1:13" ht="30" customHeight="1">
      <c r="B57" s="2134" t="s">
        <v>717</v>
      </c>
      <c r="C57" s="2135"/>
      <c r="D57" s="2135"/>
      <c r="E57" s="2136"/>
      <c r="F57" s="434">
        <f>1053341922.8</f>
        <v>1053341922.8</v>
      </c>
      <c r="G57" s="434">
        <f>360788267.01</f>
        <v>360788267.00999999</v>
      </c>
      <c r="H57" s="434">
        <f>21568386.44</f>
        <v>21568386.440000001</v>
      </c>
      <c r="I57" s="434">
        <f>120117507.58</f>
        <v>120117507.58</v>
      </c>
      <c r="J57" s="434">
        <f>208629547.49</f>
        <v>208629547.49000001</v>
      </c>
      <c r="K57" s="434">
        <f>10472825.5</f>
        <v>10472825.5</v>
      </c>
      <c r="L57" s="434">
        <f>692553655.79</f>
        <v>692553655.78999996</v>
      </c>
    </row>
    <row r="58" spans="1:13" ht="25.5" customHeight="1">
      <c r="B58" s="2134" t="s">
        <v>718</v>
      </c>
      <c r="C58" s="2135"/>
      <c r="D58" s="2135"/>
      <c r="E58" s="2136"/>
      <c r="F58" s="434">
        <f>13190241.96</f>
        <v>13190241.960000001</v>
      </c>
      <c r="G58" s="434">
        <f>689459</f>
        <v>689459</v>
      </c>
      <c r="H58" s="434">
        <f>489459</f>
        <v>489459</v>
      </c>
      <c r="I58" s="434">
        <f>0</f>
        <v>0</v>
      </c>
      <c r="J58" s="434">
        <f>0</f>
        <v>0</v>
      </c>
      <c r="K58" s="434">
        <f>200000</f>
        <v>200000</v>
      </c>
      <c r="L58" s="434">
        <f>12500782.96</f>
        <v>12500782.960000001</v>
      </c>
    </row>
    <row r="59" spans="1:13" ht="27" customHeight="1">
      <c r="B59" s="2134" t="s">
        <v>719</v>
      </c>
      <c r="C59" s="2135"/>
      <c r="D59" s="2135"/>
      <c r="E59" s="2136"/>
      <c r="F59" s="434">
        <f>73683071.81</f>
        <v>73683071.810000002</v>
      </c>
      <c r="G59" s="434">
        <f>11128415.07</f>
        <v>11128415.07</v>
      </c>
      <c r="H59" s="434">
        <f>0</f>
        <v>0</v>
      </c>
      <c r="I59" s="434">
        <f>5197275.71</f>
        <v>5197275.71</v>
      </c>
      <c r="J59" s="434">
        <f>5821553.32</f>
        <v>5821553.3200000003</v>
      </c>
      <c r="K59" s="434">
        <f>109586.04</f>
        <v>109586.04</v>
      </c>
      <c r="L59" s="434">
        <f>62554656.74</f>
        <v>62554656.740000002</v>
      </c>
    </row>
    <row r="60" spans="1:13">
      <c r="B60" s="2134" t="s">
        <v>720</v>
      </c>
      <c r="C60" s="2135"/>
      <c r="D60" s="2135"/>
      <c r="E60" s="2136"/>
      <c r="F60" s="434">
        <f>4836395.99</f>
        <v>4836395.99</v>
      </c>
      <c r="G60" s="434">
        <f>0</f>
        <v>0</v>
      </c>
      <c r="H60" s="434">
        <f>0</f>
        <v>0</v>
      </c>
      <c r="I60" s="434">
        <f>0</f>
        <v>0</v>
      </c>
      <c r="J60" s="434">
        <f>0</f>
        <v>0</v>
      </c>
      <c r="K60" s="434">
        <f>0</f>
        <v>0</v>
      </c>
      <c r="L60" s="434">
        <f>4836395.99</f>
        <v>4836395.99</v>
      </c>
    </row>
    <row r="61" spans="1:13" ht="23.25" customHeight="1">
      <c r="B61" s="2134" t="s">
        <v>721</v>
      </c>
      <c r="C61" s="2135"/>
      <c r="D61" s="2135"/>
      <c r="E61" s="2136"/>
      <c r="F61" s="434">
        <f>30731.24</f>
        <v>30731.24</v>
      </c>
      <c r="G61" s="434">
        <f>0</f>
        <v>0</v>
      </c>
      <c r="H61" s="434">
        <f>0</f>
        <v>0</v>
      </c>
      <c r="I61" s="434">
        <f>0</f>
        <v>0</v>
      </c>
      <c r="J61" s="434">
        <f>0</f>
        <v>0</v>
      </c>
      <c r="K61" s="434">
        <f>0</f>
        <v>0</v>
      </c>
      <c r="L61" s="434">
        <f>30731.24</f>
        <v>30731.24</v>
      </c>
    </row>
    <row r="62" spans="1:13" ht="24" customHeight="1">
      <c r="B62" s="2134" t="s">
        <v>722</v>
      </c>
      <c r="C62" s="2135"/>
      <c r="D62" s="2135"/>
      <c r="E62" s="2136"/>
      <c r="F62" s="434">
        <f>1593583.43</f>
        <v>1593583.43</v>
      </c>
      <c r="G62" s="434">
        <f>30000</f>
        <v>30000</v>
      </c>
      <c r="H62" s="434">
        <f>0</f>
        <v>0</v>
      </c>
      <c r="I62" s="434">
        <f>30000</f>
        <v>30000</v>
      </c>
      <c r="J62" s="434">
        <f>0</f>
        <v>0</v>
      </c>
      <c r="K62" s="434">
        <f>0</f>
        <v>0</v>
      </c>
      <c r="L62" s="434">
        <f>1563583.43</f>
        <v>1563583.43</v>
      </c>
    </row>
    <row r="63" spans="1:13" ht="27.75" customHeight="1">
      <c r="B63" s="2134" t="s">
        <v>723</v>
      </c>
      <c r="C63" s="2135"/>
      <c r="D63" s="2135"/>
      <c r="E63" s="2136"/>
      <c r="F63" s="434">
        <f>120000</f>
        <v>120000</v>
      </c>
      <c r="G63" s="434">
        <f>0</f>
        <v>0</v>
      </c>
      <c r="H63" s="434">
        <f>0</f>
        <v>0</v>
      </c>
      <c r="I63" s="434">
        <f>0</f>
        <v>0</v>
      </c>
      <c r="J63" s="434">
        <f>0</f>
        <v>0</v>
      </c>
      <c r="K63" s="434">
        <f>0</f>
        <v>0</v>
      </c>
      <c r="L63" s="434">
        <f>120000</f>
        <v>120000</v>
      </c>
    </row>
    <row r="64" spans="1:13">
      <c r="A64" s="1745"/>
      <c r="B64" s="1745"/>
      <c r="C64" s="1745"/>
      <c r="D64" s="1745"/>
      <c r="E64" s="1745"/>
      <c r="F64" s="1745"/>
      <c r="G64" s="1745"/>
      <c r="H64" s="1745"/>
      <c r="I64" s="1745"/>
      <c r="J64" s="1745"/>
      <c r="K64" s="1745"/>
      <c r="L64" s="1745"/>
      <c r="M64" s="1745"/>
    </row>
    <row r="65" spans="1:4">
      <c r="A65" s="710" t="s">
        <v>884</v>
      </c>
      <c r="B65" s="710"/>
      <c r="C65" s="710"/>
      <c r="D65" s="710"/>
    </row>
  </sheetData>
  <mergeCells count="62">
    <mergeCell ref="B59:E59"/>
    <mergeCell ref="B60:E60"/>
    <mergeCell ref="B61:E61"/>
    <mergeCell ref="B62:E62"/>
    <mergeCell ref="B63:E63"/>
    <mergeCell ref="B55:E55"/>
    <mergeCell ref="B56:E56"/>
    <mergeCell ref="F56:L56"/>
    <mergeCell ref="B57:E57"/>
    <mergeCell ref="B58:E58"/>
    <mergeCell ref="B29:Q29"/>
    <mergeCell ref="B48:M48"/>
    <mergeCell ref="B50:E54"/>
    <mergeCell ref="F50:F54"/>
    <mergeCell ref="G50:L50"/>
    <mergeCell ref="G51:G54"/>
    <mergeCell ref="H51:H54"/>
    <mergeCell ref="I51:I54"/>
    <mergeCell ref="J51:J54"/>
    <mergeCell ref="K51:K54"/>
    <mergeCell ref="L51:L54"/>
    <mergeCell ref="M25:M27"/>
    <mergeCell ref="N25:N27"/>
    <mergeCell ref="O25:O27"/>
    <mergeCell ref="P25:P27"/>
    <mergeCell ref="Q25:Q27"/>
    <mergeCell ref="A1:M1"/>
    <mergeCell ref="A3:A7"/>
    <mergeCell ref="B3:B7"/>
    <mergeCell ref="C3:N3"/>
    <mergeCell ref="L4:L7"/>
    <mergeCell ref="M4:M7"/>
    <mergeCell ref="N4:N7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B9:Q9"/>
    <mergeCell ref="O24:Q24"/>
    <mergeCell ref="F25:F27"/>
    <mergeCell ref="G25:G27"/>
    <mergeCell ref="H25:H27"/>
    <mergeCell ref="I25:I27"/>
    <mergeCell ref="J25:J27"/>
    <mergeCell ref="K25:K27"/>
    <mergeCell ref="L25:L27"/>
    <mergeCell ref="A22:M22"/>
    <mergeCell ref="A24:A27"/>
    <mergeCell ref="B24:B27"/>
    <mergeCell ref="C24:N24"/>
    <mergeCell ref="C25:C27"/>
    <mergeCell ref="D25:D27"/>
    <mergeCell ref="E25:E27"/>
  </mergeCells>
  <pageMargins left="0.70866141732283472" right="0.70866141732283472" top="0.55118110236220474" bottom="0.55118110236220474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92B7-0B74-419E-A39A-B716A5BB8C19}">
  <dimension ref="A1:M129"/>
  <sheetViews>
    <sheetView view="pageBreakPreview" topLeftCell="A30" zoomScaleNormal="100" zoomScaleSheetLayoutView="100" workbookViewId="0">
      <selection activeCell="A36" sqref="A36"/>
    </sheetView>
  </sheetViews>
  <sheetFormatPr defaultColWidth="9.21875" defaultRowHeight="13.8"/>
  <cols>
    <col min="1" max="1" width="30.77734375" style="383" customWidth="1"/>
    <col min="2" max="5" width="14.5546875" style="383" customWidth="1"/>
    <col min="6" max="6" width="13" style="383" customWidth="1"/>
    <col min="7" max="7" width="11.77734375" style="383" customWidth="1"/>
    <col min="8" max="8" width="12" style="383" bestFit="1" customWidth="1"/>
    <col min="9" max="9" width="5.77734375" style="383" bestFit="1" customWidth="1"/>
    <col min="10" max="10" width="7.44140625" style="383" customWidth="1"/>
    <col min="11" max="12" width="8.21875" style="383" customWidth="1"/>
    <col min="13" max="16384" width="9.21875" style="383"/>
  </cols>
  <sheetData>
    <row r="1" spans="1:12" ht="15.6">
      <c r="A1" s="444" t="s">
        <v>981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3" spans="1:12" ht="54">
      <c r="A3" s="2293" t="s">
        <v>584</v>
      </c>
      <c r="B3" s="1776" t="s">
        <v>885</v>
      </c>
      <c r="C3" s="1776" t="s">
        <v>886</v>
      </c>
      <c r="D3" s="1776" t="s">
        <v>887</v>
      </c>
      <c r="E3" s="1776" t="s">
        <v>888</v>
      </c>
      <c r="F3" s="1776" t="s">
        <v>889</v>
      </c>
      <c r="G3" s="1776" t="s">
        <v>890</v>
      </c>
      <c r="H3" s="1776" t="s">
        <v>891</v>
      </c>
      <c r="I3" s="1777" t="s">
        <v>585</v>
      </c>
      <c r="J3" s="1776" t="s">
        <v>586</v>
      </c>
      <c r="K3" s="1776" t="s">
        <v>587</v>
      </c>
    </row>
    <row r="4" spans="1:12">
      <c r="A4" s="2293"/>
      <c r="B4" s="2290" t="s">
        <v>163</v>
      </c>
      <c r="C4" s="2291"/>
      <c r="D4" s="2291"/>
      <c r="E4" s="2291"/>
      <c r="F4" s="2291"/>
      <c r="G4" s="2291"/>
      <c r="H4" s="2292"/>
      <c r="I4" s="2294" t="s">
        <v>169</v>
      </c>
      <c r="J4" s="2294"/>
      <c r="K4" s="2294"/>
    </row>
    <row r="5" spans="1:12">
      <c r="A5" s="1777">
        <v>1</v>
      </c>
      <c r="B5" s="1779">
        <v>2</v>
      </c>
      <c r="C5" s="1779">
        <v>3</v>
      </c>
      <c r="D5" s="1779">
        <v>4</v>
      </c>
      <c r="E5" s="1779">
        <v>5</v>
      </c>
      <c r="F5" s="1779">
        <v>6</v>
      </c>
      <c r="G5" s="1779">
        <v>7</v>
      </c>
      <c r="H5" s="1779">
        <v>8</v>
      </c>
      <c r="I5" s="1779">
        <v>9</v>
      </c>
      <c r="J5" s="1779">
        <v>10</v>
      </c>
      <c r="K5" s="1779">
        <v>11</v>
      </c>
    </row>
    <row r="6" spans="1:12">
      <c r="A6" s="1780" t="s">
        <v>588</v>
      </c>
      <c r="B6" s="1781">
        <f>47065839983.52</f>
        <v>47065839983.519997</v>
      </c>
      <c r="C6" s="1781">
        <f>46018254504.04</f>
        <v>46018254504.040001</v>
      </c>
      <c r="D6" s="1781">
        <f>845128886.42</f>
        <v>845128886.41999996</v>
      </c>
      <c r="E6" s="1781">
        <f>69116211.28</f>
        <v>69116211.280000001</v>
      </c>
      <c r="F6" s="1781">
        <f>23440541.96</f>
        <v>23440541.960000001</v>
      </c>
      <c r="G6" s="1781">
        <f>29254458.96</f>
        <v>29254458.960000001</v>
      </c>
      <c r="H6" s="1781">
        <f>2149218.38</f>
        <v>2149218.38</v>
      </c>
      <c r="I6" s="1782">
        <f t="shared" ref="I6:I57" si="0">IF($C$6=0,"",100*$C6/$C$6)</f>
        <v>100</v>
      </c>
      <c r="J6" s="1782">
        <f t="shared" ref="J6:J53" si="1">IF(B6=0,"",100*C6/B6)</f>
        <v>97.774212720208951</v>
      </c>
      <c r="K6" s="1782"/>
    </row>
    <row r="7" spans="1:12" ht="26.4">
      <c r="A7" s="1783" t="s">
        <v>589</v>
      </c>
      <c r="B7" s="1781">
        <f>B6-B26-B50</f>
        <v>35554204483.739998</v>
      </c>
      <c r="C7" s="1781">
        <f>C6-C26-C50</f>
        <v>35530554904.669998</v>
      </c>
      <c r="D7" s="1781">
        <f>D6</f>
        <v>845128886.41999996</v>
      </c>
      <c r="E7" s="1781">
        <f>E6</f>
        <v>69116211.280000001</v>
      </c>
      <c r="F7" s="1781">
        <f>F6</f>
        <v>23440541.960000001</v>
      </c>
      <c r="G7" s="1781">
        <f>G6</f>
        <v>29254458.960000001</v>
      </c>
      <c r="H7" s="1781">
        <f>H6</f>
        <v>2149218.38</v>
      </c>
      <c r="I7" s="1782">
        <f t="shared" si="0"/>
        <v>77.209697081297875</v>
      </c>
      <c r="J7" s="1782">
        <f t="shared" si="1"/>
        <v>99.93348303129433</v>
      </c>
      <c r="K7" s="1782">
        <f t="shared" ref="K7:K25" si="2">IF($C$7=0,"",100*$C7/$C$7)</f>
        <v>100</v>
      </c>
    </row>
    <row r="8" spans="1:12">
      <c r="A8" s="1784" t="s">
        <v>786</v>
      </c>
      <c r="B8" s="1785">
        <f>20053728162.31</f>
        <v>20053728162.310001</v>
      </c>
      <c r="C8" s="1785">
        <f>20053728059.41</f>
        <v>20053728059.41</v>
      </c>
      <c r="D8" s="1785">
        <f>0</f>
        <v>0</v>
      </c>
      <c r="E8" s="1785">
        <f>0</f>
        <v>0</v>
      </c>
      <c r="F8" s="1785">
        <f>0</f>
        <v>0</v>
      </c>
      <c r="G8" s="1785">
        <f>0</f>
        <v>0</v>
      </c>
      <c r="H8" s="1785">
        <f>0</f>
        <v>0</v>
      </c>
      <c r="I8" s="1786">
        <f t="shared" si="0"/>
        <v>43.577767726173661</v>
      </c>
      <c r="J8" s="1786">
        <f t="shared" si="1"/>
        <v>99.999999486878451</v>
      </c>
      <c r="K8" s="1786">
        <f t="shared" si="2"/>
        <v>56.440796135087147</v>
      </c>
    </row>
    <row r="9" spans="1:12">
      <c r="A9" s="1784" t="s">
        <v>785</v>
      </c>
      <c r="B9" s="1785">
        <f>1137661427.29</f>
        <v>1137661427.29</v>
      </c>
      <c r="C9" s="1785">
        <f>1137661425.82</f>
        <v>1137661425.8199999</v>
      </c>
      <c r="D9" s="1785">
        <f>0</f>
        <v>0</v>
      </c>
      <c r="E9" s="1785">
        <f>0</f>
        <v>0</v>
      </c>
      <c r="F9" s="1785">
        <f>0</f>
        <v>0</v>
      </c>
      <c r="G9" s="1785">
        <f>0</f>
        <v>0</v>
      </c>
      <c r="H9" s="1785">
        <f>0</f>
        <v>0</v>
      </c>
      <c r="I9" s="1786">
        <f t="shared" si="0"/>
        <v>2.4721959537168523</v>
      </c>
      <c r="J9" s="1786">
        <f t="shared" si="1"/>
        <v>99.999999870787576</v>
      </c>
      <c r="K9" s="1786">
        <f t="shared" si="2"/>
        <v>3.2019241716668776</v>
      </c>
    </row>
    <row r="10" spans="1:12">
      <c r="A10" s="1784" t="s">
        <v>847</v>
      </c>
      <c r="B10" s="1785">
        <f>5723383445.76</f>
        <v>5723383445.7600002</v>
      </c>
      <c r="C10" s="1785">
        <f>5778947232.17</f>
        <v>5778947232.1700001</v>
      </c>
      <c r="D10" s="1785">
        <f>583902468.65</f>
        <v>583902468.64999998</v>
      </c>
      <c r="E10" s="1785">
        <f>68972113.14</f>
        <v>68972113.140000001</v>
      </c>
      <c r="F10" s="1785">
        <f>19149406.05</f>
        <v>19149406.050000001</v>
      </c>
      <c r="G10" s="1785">
        <f>24223186.15</f>
        <v>24223186.149999999</v>
      </c>
      <c r="H10" s="1785">
        <f>1272313.32</f>
        <v>1272313.32</v>
      </c>
      <c r="I10" s="1786">
        <f t="shared" si="0"/>
        <v>12.557945307687971</v>
      </c>
      <c r="J10" s="1786">
        <f t="shared" si="1"/>
        <v>100.97082061575243</v>
      </c>
      <c r="K10" s="1786">
        <f t="shared" si="2"/>
        <v>16.264725523356343</v>
      </c>
    </row>
    <row r="11" spans="1:12">
      <c r="A11" s="1784" t="s">
        <v>848</v>
      </c>
      <c r="B11" s="1785">
        <f>35655131.73</f>
        <v>35655131.729999997</v>
      </c>
      <c r="C11" s="1787">
        <f>35790057.88</f>
        <v>35790057.880000003</v>
      </c>
      <c r="D11" s="1785">
        <f>1722138.24</f>
        <v>1722138.24</v>
      </c>
      <c r="E11" s="1785">
        <f>9944.03</f>
        <v>9944.0300000000007</v>
      </c>
      <c r="F11" s="1785">
        <f>60216.1</f>
        <v>60216.1</v>
      </c>
      <c r="G11" s="1785">
        <f>36591.03</f>
        <v>36591.03</v>
      </c>
      <c r="H11" s="1785">
        <f>798.2</f>
        <v>798.2</v>
      </c>
      <c r="I11" s="1786">
        <f t="shared" si="0"/>
        <v>7.7773610202572868E-2</v>
      </c>
      <c r="J11" s="1786">
        <f t="shared" si="1"/>
        <v>100.37842000142291</v>
      </c>
      <c r="K11" s="1786">
        <f t="shared" si="2"/>
        <v>0.10073036566984744</v>
      </c>
    </row>
    <row r="12" spans="1:12">
      <c r="A12" s="1784" t="s">
        <v>849</v>
      </c>
      <c r="B12" s="1785">
        <f>8359075.15</f>
        <v>8359075.1500000004</v>
      </c>
      <c r="C12" s="1787">
        <f>7885187.66</f>
        <v>7885187.6600000001</v>
      </c>
      <c r="D12" s="1785">
        <f>26329.25</f>
        <v>26329.25</v>
      </c>
      <c r="E12" s="1785">
        <f>89932.73</f>
        <v>89932.73</v>
      </c>
      <c r="F12" s="1785">
        <f>753.5</f>
        <v>753.5</v>
      </c>
      <c r="G12" s="1785">
        <f>222.54</f>
        <v>222.54</v>
      </c>
      <c r="H12" s="1785">
        <f>0</f>
        <v>0</v>
      </c>
      <c r="I12" s="1786">
        <f t="shared" si="0"/>
        <v>1.7134912536301762E-2</v>
      </c>
      <c r="J12" s="1786">
        <f t="shared" si="1"/>
        <v>94.330862188743453</v>
      </c>
      <c r="K12" s="1786">
        <f t="shared" si="2"/>
        <v>2.2192694938641674E-2</v>
      </c>
    </row>
    <row r="13" spans="1:12">
      <c r="A13" s="1784" t="s">
        <v>590</v>
      </c>
      <c r="B13" s="1785">
        <f>182374388.46</f>
        <v>182374388.46000001</v>
      </c>
      <c r="C13" s="1787">
        <f>179296800.13</f>
        <v>179296800.13</v>
      </c>
      <c r="D13" s="1785">
        <f>258884057.8</f>
        <v>258884057.80000001</v>
      </c>
      <c r="E13" s="1785">
        <f>44221.38</f>
        <v>44221.38</v>
      </c>
      <c r="F13" s="1785">
        <f>241478.92</f>
        <v>241478.92</v>
      </c>
      <c r="G13" s="1785">
        <f>408723.35</f>
        <v>408723.35</v>
      </c>
      <c r="H13" s="1785">
        <f>3177</f>
        <v>3177</v>
      </c>
      <c r="I13" s="1786">
        <f t="shared" si="0"/>
        <v>0.38962103639602258</v>
      </c>
      <c r="J13" s="1786">
        <f t="shared" si="1"/>
        <v>98.312488745822435</v>
      </c>
      <c r="K13" s="1786">
        <f t="shared" si="2"/>
        <v>0.50462707551587926</v>
      </c>
    </row>
    <row r="14" spans="1:12">
      <c r="A14" s="1784" t="s">
        <v>591</v>
      </c>
      <c r="B14" s="1785">
        <f>456791232.07</f>
        <v>456791232.06999999</v>
      </c>
      <c r="C14" s="1787">
        <f>489182168.25</f>
        <v>489182168.25</v>
      </c>
      <c r="D14" s="1785">
        <f>0</f>
        <v>0</v>
      </c>
      <c r="E14" s="1785">
        <f>0</f>
        <v>0</v>
      </c>
      <c r="F14" s="1785">
        <f>23002.85</f>
        <v>23002.85</v>
      </c>
      <c r="G14" s="1785">
        <f>74344.1</f>
        <v>74344.100000000006</v>
      </c>
      <c r="H14" s="1785">
        <f>0</f>
        <v>0</v>
      </c>
      <c r="I14" s="1786">
        <f t="shared" si="0"/>
        <v>1.063017651412776</v>
      </c>
      <c r="J14" s="1786">
        <f t="shared" si="1"/>
        <v>107.0909715217643</v>
      </c>
      <c r="K14" s="1786">
        <f t="shared" si="2"/>
        <v>1.3767929309364764</v>
      </c>
    </row>
    <row r="15" spans="1:12" ht="20.399999999999999">
      <c r="A15" s="1784" t="s">
        <v>850</v>
      </c>
      <c r="B15" s="1785">
        <f>33834602.47</f>
        <v>33834602.469999999</v>
      </c>
      <c r="C15" s="1787">
        <f>36774415.73</f>
        <v>36774415.729999997</v>
      </c>
      <c r="D15" s="1785">
        <f>0</f>
        <v>0</v>
      </c>
      <c r="E15" s="1785">
        <f>0</f>
        <v>0</v>
      </c>
      <c r="F15" s="1785">
        <f>4061</f>
        <v>4061</v>
      </c>
      <c r="G15" s="1785">
        <f>33006.66</f>
        <v>33006.660000000003</v>
      </c>
      <c r="H15" s="1785">
        <f>0</f>
        <v>0</v>
      </c>
      <c r="I15" s="1786">
        <f t="shared" si="0"/>
        <v>7.9912669714083839E-2</v>
      </c>
      <c r="J15" s="1786">
        <f t="shared" si="1"/>
        <v>108.68877730307791</v>
      </c>
      <c r="K15" s="1786">
        <f t="shared" si="2"/>
        <v>0.10350082014949478</v>
      </c>
    </row>
    <row r="16" spans="1:12">
      <c r="A16" s="1784" t="s">
        <v>851</v>
      </c>
      <c r="B16" s="1785">
        <f>76525777.15</f>
        <v>76525777.150000006</v>
      </c>
      <c r="C16" s="1787">
        <f>75731066.3</f>
        <v>75731066.299999997</v>
      </c>
      <c r="D16" s="1785">
        <f>0</f>
        <v>0</v>
      </c>
      <c r="E16" s="1785">
        <f>0</f>
        <v>0</v>
      </c>
      <c r="F16" s="1785">
        <f>176</f>
        <v>176</v>
      </c>
      <c r="G16" s="1785">
        <f>0</f>
        <v>0</v>
      </c>
      <c r="H16" s="1785">
        <f>0</f>
        <v>0</v>
      </c>
      <c r="I16" s="1786">
        <f t="shared" si="0"/>
        <v>0.16456744636707477</v>
      </c>
      <c r="J16" s="1786">
        <f t="shared" si="1"/>
        <v>98.961512212489822</v>
      </c>
      <c r="K16" s="1786">
        <f t="shared" si="2"/>
        <v>0.21314349439008115</v>
      </c>
    </row>
    <row r="17" spans="1:11">
      <c r="A17" s="1784" t="s">
        <v>592</v>
      </c>
      <c r="B17" s="1785">
        <f>22620368.86</f>
        <v>22620368.859999999</v>
      </c>
      <c r="C17" s="1787">
        <f>23773459.21</f>
        <v>23773459.210000001</v>
      </c>
      <c r="D17" s="1785">
        <f>0</f>
        <v>0</v>
      </c>
      <c r="E17" s="1785">
        <f>0</f>
        <v>0</v>
      </c>
      <c r="F17" s="1785">
        <f>0</f>
        <v>0</v>
      </c>
      <c r="G17" s="1785">
        <f>0</f>
        <v>0</v>
      </c>
      <c r="H17" s="1785">
        <f>0</f>
        <v>0</v>
      </c>
      <c r="I17" s="1786">
        <f t="shared" si="0"/>
        <v>5.1660932093617107E-2</v>
      </c>
      <c r="J17" s="1786">
        <f t="shared" si="1"/>
        <v>105.09757536288026</v>
      </c>
      <c r="K17" s="1786">
        <f t="shared" si="2"/>
        <v>6.6909901277323727E-2</v>
      </c>
    </row>
    <row r="18" spans="1:11">
      <c r="A18" s="1784" t="s">
        <v>852</v>
      </c>
      <c r="B18" s="1785">
        <f>70412800.01</f>
        <v>70412800.010000005</v>
      </c>
      <c r="C18" s="1787">
        <f>78063009.23</f>
        <v>78063009.230000004</v>
      </c>
      <c r="D18" s="1785">
        <f>0</f>
        <v>0</v>
      </c>
      <c r="E18" s="1785">
        <f>0</f>
        <v>0</v>
      </c>
      <c r="F18" s="1785">
        <f>939100.57</f>
        <v>939100.57</v>
      </c>
      <c r="G18" s="1785">
        <f>1915369.23</f>
        <v>1915369.23</v>
      </c>
      <c r="H18" s="1785">
        <f>0</f>
        <v>0</v>
      </c>
      <c r="I18" s="1786">
        <f t="shared" si="0"/>
        <v>0.16963487657522244</v>
      </c>
      <c r="J18" s="1786">
        <f t="shared" si="1"/>
        <v>110.86479904067657</v>
      </c>
      <c r="K18" s="1786">
        <f t="shared" si="2"/>
        <v>0.21970669875392151</v>
      </c>
    </row>
    <row r="19" spans="1:11">
      <c r="A19" s="1784" t="s">
        <v>593</v>
      </c>
      <c r="B19" s="1785">
        <f>49107131.99</f>
        <v>49107131.990000002</v>
      </c>
      <c r="C19" s="1787">
        <f>46663406.14</f>
        <v>46663406.140000001</v>
      </c>
      <c r="D19" s="1785">
        <f>0</f>
        <v>0</v>
      </c>
      <c r="E19" s="1785">
        <f>0</f>
        <v>0</v>
      </c>
      <c r="F19" s="1785">
        <f>0</f>
        <v>0</v>
      </c>
      <c r="G19" s="1785">
        <f>0</f>
        <v>0</v>
      </c>
      <c r="H19" s="1785">
        <f>0</f>
        <v>0</v>
      </c>
      <c r="I19" s="1786">
        <f t="shared" si="0"/>
        <v>0.10140194721184689</v>
      </c>
      <c r="J19" s="1786">
        <f t="shared" si="1"/>
        <v>95.023684440586692</v>
      </c>
      <c r="K19" s="1786">
        <f t="shared" si="2"/>
        <v>0.13133317581219858</v>
      </c>
    </row>
    <row r="20" spans="1:11">
      <c r="A20" s="1784" t="s">
        <v>853</v>
      </c>
      <c r="B20" s="1785">
        <f>24882150</f>
        <v>24882150</v>
      </c>
      <c r="C20" s="1787">
        <f>25732810.02</f>
        <v>25732810.02</v>
      </c>
      <c r="D20" s="1785">
        <f>5126.82</f>
        <v>5126.82</v>
      </c>
      <c r="E20" s="1785">
        <f>0</f>
        <v>0</v>
      </c>
      <c r="F20" s="1785">
        <f>0</f>
        <v>0</v>
      </c>
      <c r="G20" s="1785">
        <f>0</f>
        <v>0</v>
      </c>
      <c r="H20" s="1785">
        <f>0</f>
        <v>0</v>
      </c>
      <c r="I20" s="1786">
        <f t="shared" si="0"/>
        <v>5.5918700735902278E-2</v>
      </c>
      <c r="J20" s="1786">
        <f t="shared" si="1"/>
        <v>103.41875609623766</v>
      </c>
      <c r="K20" s="1786">
        <f t="shared" si="2"/>
        <v>7.2424452950544213E-2</v>
      </c>
    </row>
    <row r="21" spans="1:11">
      <c r="A21" s="1784" t="s">
        <v>854</v>
      </c>
      <c r="B21" s="1785">
        <f>64671787</f>
        <v>64671787</v>
      </c>
      <c r="C21" s="1787">
        <f>65258675.29</f>
        <v>65258675.289999999</v>
      </c>
      <c r="D21" s="1785">
        <f>0</f>
        <v>0</v>
      </c>
      <c r="E21" s="1785">
        <f>0</f>
        <v>0</v>
      </c>
      <c r="F21" s="1785">
        <f>132.3</f>
        <v>132.30000000000001</v>
      </c>
      <c r="G21" s="1785">
        <f>0</f>
        <v>0</v>
      </c>
      <c r="H21" s="1785">
        <f>0</f>
        <v>0</v>
      </c>
      <c r="I21" s="1786">
        <f t="shared" si="0"/>
        <v>0.14181040978916498</v>
      </c>
      <c r="J21" s="1786">
        <f t="shared" si="1"/>
        <v>100.90748735611713</v>
      </c>
      <c r="K21" s="1786">
        <f t="shared" si="2"/>
        <v>0.18366917000055819</v>
      </c>
    </row>
    <row r="22" spans="1:11">
      <c r="A22" s="1784" t="s">
        <v>855</v>
      </c>
      <c r="B22" s="1785">
        <f>1193060</f>
        <v>1193060</v>
      </c>
      <c r="C22" s="1787">
        <f>1070717.58</f>
        <v>1070717.58</v>
      </c>
      <c r="D22" s="1785">
        <f>588765.66</f>
        <v>588765.66</v>
      </c>
      <c r="E22" s="1785">
        <f>0</f>
        <v>0</v>
      </c>
      <c r="F22" s="1785">
        <f>796</f>
        <v>796</v>
      </c>
      <c r="G22" s="1785">
        <f>0</f>
        <v>0</v>
      </c>
      <c r="H22" s="1785">
        <f>1194.26</f>
        <v>1194.26</v>
      </c>
      <c r="I22" s="1786">
        <f t="shared" si="0"/>
        <v>2.3267235829338125E-3</v>
      </c>
      <c r="J22" s="1786">
        <f t="shared" si="1"/>
        <v>89.745493101771913</v>
      </c>
      <c r="K22" s="1786">
        <f t="shared" si="2"/>
        <v>3.0135121246284533E-3</v>
      </c>
    </row>
    <row r="23" spans="1:11">
      <c r="A23" s="1784" t="s">
        <v>856</v>
      </c>
      <c r="B23" s="1785">
        <f>696600</f>
        <v>696600</v>
      </c>
      <c r="C23" s="1787">
        <f>695763.6</f>
        <v>695763.6</v>
      </c>
      <c r="D23" s="1785">
        <f>0</f>
        <v>0</v>
      </c>
      <c r="E23" s="1785">
        <f>0</f>
        <v>0</v>
      </c>
      <c r="F23" s="1785">
        <f>0</f>
        <v>0</v>
      </c>
      <c r="G23" s="1785">
        <f>0</f>
        <v>0</v>
      </c>
      <c r="H23" s="1785">
        <f>0</f>
        <v>0</v>
      </c>
      <c r="I23" s="1786">
        <f t="shared" si="0"/>
        <v>1.5119295755533666E-3</v>
      </c>
      <c r="J23" s="1786">
        <f t="shared" si="1"/>
        <v>99.879931093884579</v>
      </c>
      <c r="K23" s="1786">
        <f t="shared" si="2"/>
        <v>1.9582120286800011E-3</v>
      </c>
    </row>
    <row r="24" spans="1:11">
      <c r="A24" s="1784" t="s">
        <v>594</v>
      </c>
      <c r="B24" s="1785">
        <f>1792081385.13</f>
        <v>1792081385.1300001</v>
      </c>
      <c r="C24" s="1787">
        <f>1696898823.5</f>
        <v>1696898823.5</v>
      </c>
      <c r="D24" s="1785">
        <f>0</f>
        <v>0</v>
      </c>
      <c r="E24" s="1785">
        <f>0</f>
        <v>0</v>
      </c>
      <c r="F24" s="1785">
        <f>0</f>
        <v>0</v>
      </c>
      <c r="G24" s="1785">
        <f>0</f>
        <v>0</v>
      </c>
      <c r="H24" s="1785">
        <f>0</f>
        <v>0</v>
      </c>
      <c r="I24" s="1786">
        <f t="shared" si="0"/>
        <v>3.6874471702333409</v>
      </c>
      <c r="J24" s="1786">
        <f t="shared" si="1"/>
        <v>94.688714339661786</v>
      </c>
      <c r="K24" s="1786">
        <f t="shared" si="2"/>
        <v>4.7758860734172384</v>
      </c>
    </row>
    <row r="25" spans="1:11">
      <c r="A25" s="1784" t="s">
        <v>595</v>
      </c>
      <c r="B25" s="1785">
        <f>B7-B8-B9-B10-B11-B12-B13-B14-B15-B16-B17-B18-B19-B20-B21-B22-B23-B24</f>
        <v>5820225958.3599968</v>
      </c>
      <c r="C25" s="1785">
        <f t="shared" ref="C25:H25" si="3">C7-C8-C9-C10-C11-C12-C13-C14-C15-C16-C17-C18-C19-C20-C21-C22-C23-C24</f>
        <v>5797401826.7499981</v>
      </c>
      <c r="D25" s="1785">
        <f t="shared" si="3"/>
        <v>-4.0512531995773315E-8</v>
      </c>
      <c r="E25" s="1785">
        <f t="shared" si="3"/>
        <v>6.0390448197722435E-10</v>
      </c>
      <c r="F25" s="1785">
        <f t="shared" si="3"/>
        <v>3021418.6700000009</v>
      </c>
      <c r="G25" s="1785">
        <f t="shared" si="3"/>
        <v>2563015.9000000027</v>
      </c>
      <c r="H25" s="1785">
        <f t="shared" si="3"/>
        <v>871735.59999999986</v>
      </c>
      <c r="I25" s="1786">
        <f t="shared" si="0"/>
        <v>12.598048077292971</v>
      </c>
      <c r="J25" s="1786">
        <f t="shared" si="1"/>
        <v>99.607848015295431</v>
      </c>
      <c r="K25" s="1786">
        <f t="shared" si="2"/>
        <v>16.316665591924121</v>
      </c>
    </row>
    <row r="26" spans="1:11" ht="26.4">
      <c r="A26" s="1783" t="s">
        <v>596</v>
      </c>
      <c r="B26" s="1781">
        <f>B27+B46+B48</f>
        <v>10241892571.33</v>
      </c>
      <c r="C26" s="1781">
        <f>C27+C46+C48</f>
        <v>9215654969.6100006</v>
      </c>
      <c r="D26" s="1785" t="s">
        <v>597</v>
      </c>
      <c r="E26" s="1785" t="s">
        <v>597</v>
      </c>
      <c r="F26" s="1785" t="s">
        <v>597</v>
      </c>
      <c r="G26" s="1785" t="s">
        <v>597</v>
      </c>
      <c r="H26" s="1785" t="s">
        <v>597</v>
      </c>
      <c r="I26" s="1782">
        <f t="shared" si="0"/>
        <v>20.026085450070571</v>
      </c>
      <c r="J26" s="1782">
        <f t="shared" si="1"/>
        <v>89.980000331259731</v>
      </c>
      <c r="K26" s="1788"/>
    </row>
    <row r="27" spans="1:11" ht="26.4">
      <c r="A27" s="1789" t="s">
        <v>598</v>
      </c>
      <c r="B27" s="1781">
        <f>B28+B30+B32+B34+B36+B38+B40+B42+B44</f>
        <v>8894636931.2699986</v>
      </c>
      <c r="C27" s="1781">
        <f>C28+C30+C32+C34+C36+C38+C40+C42+C44</f>
        <v>8240933065.1199999</v>
      </c>
      <c r="D27" s="1785" t="s">
        <v>597</v>
      </c>
      <c r="E27" s="1785" t="s">
        <v>597</v>
      </c>
      <c r="F27" s="1785" t="s">
        <v>597</v>
      </c>
      <c r="G27" s="1785" t="s">
        <v>597</v>
      </c>
      <c r="H27" s="1785" t="s">
        <v>597</v>
      </c>
      <c r="I27" s="1782">
        <f t="shared" si="0"/>
        <v>17.907965336661167</v>
      </c>
      <c r="J27" s="1782">
        <f t="shared" si="1"/>
        <v>92.650584040683697</v>
      </c>
      <c r="K27" s="1788"/>
    </row>
    <row r="28" spans="1:11">
      <c r="A28" s="1790" t="s">
        <v>599</v>
      </c>
      <c r="B28" s="1785">
        <f>3507701917.59</f>
        <v>3507701917.5900002</v>
      </c>
      <c r="C28" s="1785">
        <f>3469639750.22</f>
        <v>3469639750.2199998</v>
      </c>
      <c r="D28" s="1785" t="s">
        <v>597</v>
      </c>
      <c r="E28" s="1785" t="s">
        <v>597</v>
      </c>
      <c r="F28" s="1785" t="s">
        <v>597</v>
      </c>
      <c r="G28" s="1785" t="s">
        <v>597</v>
      </c>
      <c r="H28" s="1785" t="s">
        <v>597</v>
      </c>
      <c r="I28" s="1786">
        <f t="shared" si="0"/>
        <v>7.5397030756900962</v>
      </c>
      <c r="J28" s="1786">
        <f t="shared" si="1"/>
        <v>98.914897324110399</v>
      </c>
      <c r="K28" s="1788"/>
    </row>
    <row r="29" spans="1:11">
      <c r="A29" s="1791" t="s">
        <v>600</v>
      </c>
      <c r="B29" s="1785">
        <f>57620937.19</f>
        <v>57620937.189999998</v>
      </c>
      <c r="C29" s="1785">
        <f>45299332.03</f>
        <v>45299332.030000001</v>
      </c>
      <c r="D29" s="1785" t="s">
        <v>597</v>
      </c>
      <c r="E29" s="1785" t="s">
        <v>597</v>
      </c>
      <c r="F29" s="1785" t="s">
        <v>597</v>
      </c>
      <c r="G29" s="1785" t="s">
        <v>597</v>
      </c>
      <c r="H29" s="1785" t="s">
        <v>597</v>
      </c>
      <c r="I29" s="1786">
        <f t="shared" si="0"/>
        <v>9.8437745017084716E-2</v>
      </c>
      <c r="J29" s="1786">
        <f t="shared" si="1"/>
        <v>78.616097271430036</v>
      </c>
      <c r="K29" s="1788"/>
    </row>
    <row r="30" spans="1:11">
      <c r="A30" s="1790" t="s">
        <v>601</v>
      </c>
      <c r="B30" s="1785">
        <f>1373510003.36</f>
        <v>1373510003.3599999</v>
      </c>
      <c r="C30" s="1785">
        <f>1260321180.67</f>
        <v>1260321180.6700001</v>
      </c>
      <c r="D30" s="1785" t="s">
        <v>597</v>
      </c>
      <c r="E30" s="1785" t="s">
        <v>597</v>
      </c>
      <c r="F30" s="1785" t="s">
        <v>597</v>
      </c>
      <c r="G30" s="1785" t="s">
        <v>597</v>
      </c>
      <c r="H30" s="1785" t="s">
        <v>597</v>
      </c>
      <c r="I30" s="1786">
        <f t="shared" si="0"/>
        <v>2.7387418194215836</v>
      </c>
      <c r="J30" s="1786">
        <f t="shared" si="1"/>
        <v>91.759155563985146</v>
      </c>
      <c r="K30" s="1788"/>
    </row>
    <row r="31" spans="1:11">
      <c r="A31" s="1791" t="s">
        <v>600</v>
      </c>
      <c r="B31" s="1785">
        <f>366497328.41</f>
        <v>366497328.41000003</v>
      </c>
      <c r="C31" s="1785">
        <f>306240532.78</f>
        <v>306240532.77999997</v>
      </c>
      <c r="D31" s="1785" t="s">
        <v>597</v>
      </c>
      <c r="E31" s="1785" t="s">
        <v>597</v>
      </c>
      <c r="F31" s="1785" t="s">
        <v>597</v>
      </c>
      <c r="G31" s="1785" t="s">
        <v>597</v>
      </c>
      <c r="H31" s="1785" t="s">
        <v>597</v>
      </c>
      <c r="I31" s="1786">
        <f t="shared" si="0"/>
        <v>0.66547620304267452</v>
      </c>
      <c r="J31" s="1786">
        <f t="shared" si="1"/>
        <v>83.558735368845348</v>
      </c>
      <c r="K31" s="1788"/>
    </row>
    <row r="32" spans="1:11" ht="20.399999999999999">
      <c r="A32" s="1790" t="s">
        <v>602</v>
      </c>
      <c r="B32" s="1785">
        <f>10901401.67</f>
        <v>10901401.67</v>
      </c>
      <c r="C32" s="1785">
        <f>10364944.55</f>
        <v>10364944.550000001</v>
      </c>
      <c r="D32" s="1785" t="s">
        <v>597</v>
      </c>
      <c r="E32" s="1785" t="s">
        <v>597</v>
      </c>
      <c r="F32" s="1785" t="s">
        <v>597</v>
      </c>
      <c r="G32" s="1785" t="s">
        <v>597</v>
      </c>
      <c r="H32" s="1785" t="s">
        <v>597</v>
      </c>
      <c r="I32" s="1786">
        <f t="shared" si="0"/>
        <v>2.252354997317434E-2</v>
      </c>
      <c r="J32" s="1786">
        <f t="shared" si="1"/>
        <v>95.079007853858869</v>
      </c>
      <c r="K32" s="1788"/>
    </row>
    <row r="33" spans="1:11">
      <c r="A33" s="1791" t="s">
        <v>600</v>
      </c>
      <c r="B33" s="1785">
        <f>5574820.42</f>
        <v>5574820.4199999999</v>
      </c>
      <c r="C33" s="1785">
        <f>5388096.61</f>
        <v>5388096.6100000003</v>
      </c>
      <c r="D33" s="1785" t="s">
        <v>597</v>
      </c>
      <c r="E33" s="1785" t="s">
        <v>597</v>
      </c>
      <c r="F33" s="1785" t="s">
        <v>597</v>
      </c>
      <c r="G33" s="1785" t="s">
        <v>597</v>
      </c>
      <c r="H33" s="1785" t="s">
        <v>597</v>
      </c>
      <c r="I33" s="1786">
        <f t="shared" si="0"/>
        <v>1.170860709096859E-2</v>
      </c>
      <c r="J33" s="1786">
        <f t="shared" si="1"/>
        <v>96.650586100852379</v>
      </c>
      <c r="K33" s="1788"/>
    </row>
    <row r="34" spans="1:11" ht="20.399999999999999">
      <c r="A34" s="1790" t="s">
        <v>603</v>
      </c>
      <c r="B34" s="1785">
        <f>313834637.19</f>
        <v>313834637.19</v>
      </c>
      <c r="C34" s="1785">
        <f>297654140.92</f>
        <v>297654140.92000002</v>
      </c>
      <c r="D34" s="1785" t="s">
        <v>597</v>
      </c>
      <c r="E34" s="1785" t="s">
        <v>597</v>
      </c>
      <c r="F34" s="1785" t="s">
        <v>597</v>
      </c>
      <c r="G34" s="1785" t="s">
        <v>597</v>
      </c>
      <c r="H34" s="1785" t="s">
        <v>597</v>
      </c>
      <c r="I34" s="1786">
        <f t="shared" si="0"/>
        <v>0.64681753823120036</v>
      </c>
      <c r="J34" s="1786">
        <f t="shared" si="1"/>
        <v>94.844260526856985</v>
      </c>
      <c r="K34" s="1788"/>
    </row>
    <row r="35" spans="1:11">
      <c r="A35" s="1791" t="s">
        <v>600</v>
      </c>
      <c r="B35" s="1785">
        <f>33590460.18</f>
        <v>33590460.18</v>
      </c>
      <c r="C35" s="1785">
        <f>31133967.03</f>
        <v>31133967.030000001</v>
      </c>
      <c r="D35" s="1785" t="s">
        <v>597</v>
      </c>
      <c r="E35" s="1785" t="s">
        <v>597</v>
      </c>
      <c r="F35" s="1785" t="s">
        <v>597</v>
      </c>
      <c r="G35" s="1785" t="s">
        <v>597</v>
      </c>
      <c r="H35" s="1785" t="s">
        <v>597</v>
      </c>
      <c r="I35" s="1786">
        <f t="shared" si="0"/>
        <v>6.7655688738186948E-2</v>
      </c>
      <c r="J35" s="1786">
        <f t="shared" si="1"/>
        <v>92.686932132407605</v>
      </c>
      <c r="K35" s="1788"/>
    </row>
    <row r="36" spans="1:11" ht="30.6">
      <c r="A36" s="1790" t="s">
        <v>604</v>
      </c>
      <c r="B36" s="1785">
        <f>173723005.88</f>
        <v>173723005.88</v>
      </c>
      <c r="C36" s="1785">
        <f>146620218.8</f>
        <v>146620218.80000001</v>
      </c>
      <c r="D36" s="1785" t="s">
        <v>597</v>
      </c>
      <c r="E36" s="1785" t="s">
        <v>597</v>
      </c>
      <c r="F36" s="1785" t="s">
        <v>597</v>
      </c>
      <c r="G36" s="1785" t="s">
        <v>597</v>
      </c>
      <c r="H36" s="1785" t="s">
        <v>597</v>
      </c>
      <c r="I36" s="1786">
        <f t="shared" si="0"/>
        <v>0.31861316857884742</v>
      </c>
      <c r="J36" s="1786">
        <f t="shared" si="1"/>
        <v>84.398849799593407</v>
      </c>
      <c r="K36" s="1788"/>
    </row>
    <row r="37" spans="1:11">
      <c r="A37" s="1791" t="s">
        <v>600</v>
      </c>
      <c r="B37" s="1785">
        <f>154579333.68</f>
        <v>154579333.68000001</v>
      </c>
      <c r="C37" s="1785">
        <f>128327487.96</f>
        <v>128327487.95999999</v>
      </c>
      <c r="D37" s="1785" t="s">
        <v>597</v>
      </c>
      <c r="E37" s="1785" t="s">
        <v>597</v>
      </c>
      <c r="F37" s="1785" t="s">
        <v>597</v>
      </c>
      <c r="G37" s="1785" t="s">
        <v>597</v>
      </c>
      <c r="H37" s="1785" t="s">
        <v>597</v>
      </c>
      <c r="I37" s="1786">
        <f t="shared" si="0"/>
        <v>0.27886213708678143</v>
      </c>
      <c r="J37" s="1786">
        <f t="shared" si="1"/>
        <v>83.017234519625461</v>
      </c>
      <c r="K37" s="1788"/>
    </row>
    <row r="38" spans="1:11">
      <c r="A38" s="1790" t="s">
        <v>605</v>
      </c>
      <c r="B38" s="1785">
        <f>228681160.24</f>
        <v>228681160.24000001</v>
      </c>
      <c r="C38" s="1785">
        <f>212672657.24</f>
        <v>212672657.24000001</v>
      </c>
      <c r="D38" s="1785" t="s">
        <v>597</v>
      </c>
      <c r="E38" s="1785" t="s">
        <v>597</v>
      </c>
      <c r="F38" s="1785" t="s">
        <v>597</v>
      </c>
      <c r="G38" s="1785" t="s">
        <v>597</v>
      </c>
      <c r="H38" s="1785" t="s">
        <v>597</v>
      </c>
      <c r="I38" s="1786">
        <f t="shared" si="0"/>
        <v>0.46214846593394626</v>
      </c>
      <c r="J38" s="1786">
        <f t="shared" si="1"/>
        <v>92.999640642368988</v>
      </c>
      <c r="K38" s="1788"/>
    </row>
    <row r="39" spans="1:11">
      <c r="A39" s="1791" t="s">
        <v>600</v>
      </c>
      <c r="B39" s="1785">
        <f>221848933.32</f>
        <v>221848933.31999999</v>
      </c>
      <c r="C39" s="1785">
        <f>205531665.63</f>
        <v>205531665.63</v>
      </c>
      <c r="D39" s="1785" t="s">
        <v>597</v>
      </c>
      <c r="E39" s="1785" t="s">
        <v>597</v>
      </c>
      <c r="F39" s="1785" t="s">
        <v>597</v>
      </c>
      <c r="G39" s="1785" t="s">
        <v>597</v>
      </c>
      <c r="H39" s="1785" t="s">
        <v>597</v>
      </c>
      <c r="I39" s="1786">
        <f t="shared" si="0"/>
        <v>0.44663072914240176</v>
      </c>
      <c r="J39" s="1786">
        <f t="shared" si="1"/>
        <v>92.644874399074254</v>
      </c>
      <c r="K39" s="1788"/>
    </row>
    <row r="40" spans="1:11" ht="40.799999999999997">
      <c r="A40" s="1790" t="s">
        <v>606</v>
      </c>
      <c r="B40" s="1785">
        <f>2311233</f>
        <v>2311233</v>
      </c>
      <c r="C40" s="1785">
        <f>1790927</f>
        <v>1790927</v>
      </c>
      <c r="D40" s="1785" t="s">
        <v>597</v>
      </c>
      <c r="E40" s="1785" t="s">
        <v>597</v>
      </c>
      <c r="F40" s="1785" t="s">
        <v>597</v>
      </c>
      <c r="G40" s="1785" t="s">
        <v>597</v>
      </c>
      <c r="H40" s="1785" t="s">
        <v>597</v>
      </c>
      <c r="I40" s="1786">
        <f t="shared" si="0"/>
        <v>3.8917751646637797E-3</v>
      </c>
      <c r="J40" s="1786">
        <f>IF(B40=0,"",100*C40/B40)</f>
        <v>77.487946909723078</v>
      </c>
      <c r="K40" s="1788"/>
    </row>
    <row r="41" spans="1:11">
      <c r="A41" s="1791" t="s">
        <v>607</v>
      </c>
      <c r="B41" s="1785">
        <f>1703527</f>
        <v>1703527</v>
      </c>
      <c r="C41" s="1785">
        <f>1183221</f>
        <v>1183221</v>
      </c>
      <c r="D41" s="1785" t="s">
        <v>597</v>
      </c>
      <c r="E41" s="1785" t="s">
        <v>597</v>
      </c>
      <c r="F41" s="1785" t="s">
        <v>597</v>
      </c>
      <c r="G41" s="1785" t="s">
        <v>597</v>
      </c>
      <c r="H41" s="1785" t="s">
        <v>597</v>
      </c>
      <c r="I41" s="1786">
        <f t="shared" si="0"/>
        <v>2.5711992181192433E-3</v>
      </c>
      <c r="J41" s="1786">
        <f>IF(B41=0,"",100*C41/B41)</f>
        <v>69.457132173426075</v>
      </c>
      <c r="K41" s="1788"/>
    </row>
    <row r="42" spans="1:11" ht="20.399999999999999">
      <c r="A42" s="1790" t="s">
        <v>1049</v>
      </c>
      <c r="B42" s="1785">
        <f>2816211206.41</f>
        <v>2816211206.4099998</v>
      </c>
      <c r="C42" s="1785">
        <f>2380963612.55</f>
        <v>2380963612.5500002</v>
      </c>
      <c r="D42" s="1785" t="s">
        <v>597</v>
      </c>
      <c r="E42" s="1785" t="s">
        <v>597</v>
      </c>
      <c r="F42" s="1785" t="s">
        <v>597</v>
      </c>
      <c r="G42" s="1785" t="s">
        <v>597</v>
      </c>
      <c r="H42" s="1785" t="s">
        <v>597</v>
      </c>
      <c r="I42" s="1786">
        <f t="shared" si="0"/>
        <v>5.1739546365040257</v>
      </c>
      <c r="J42" s="1786">
        <f t="shared" si="1"/>
        <v>84.544923588496161</v>
      </c>
      <c r="K42" s="1788"/>
    </row>
    <row r="43" spans="1:11">
      <c r="A43" s="1791" t="s">
        <v>600</v>
      </c>
      <c r="B43" s="1785">
        <f>2800542493.16</f>
        <v>2800542493.1599998</v>
      </c>
      <c r="C43" s="1785">
        <f>2367788649.85</f>
        <v>2367788649.8499999</v>
      </c>
      <c r="D43" s="1785" t="s">
        <v>597</v>
      </c>
      <c r="E43" s="1785" t="s">
        <v>597</v>
      </c>
      <c r="F43" s="1785" t="s">
        <v>597</v>
      </c>
      <c r="G43" s="1785" t="s">
        <v>597</v>
      </c>
      <c r="H43" s="1785" t="s">
        <v>597</v>
      </c>
      <c r="I43" s="1786">
        <f t="shared" si="0"/>
        <v>5.1453247746329209</v>
      </c>
      <c r="J43" s="1786">
        <f t="shared" si="1"/>
        <v>84.547499480298868</v>
      </c>
      <c r="K43" s="1788"/>
    </row>
    <row r="44" spans="1:11" ht="20.399999999999999">
      <c r="A44" s="1790" t="s">
        <v>608</v>
      </c>
      <c r="B44" s="1785">
        <f>467762365.93</f>
        <v>467762365.93000001</v>
      </c>
      <c r="C44" s="1785">
        <f>460905633.17</f>
        <v>460905633.17000002</v>
      </c>
      <c r="D44" s="1785" t="s">
        <v>597</v>
      </c>
      <c r="E44" s="1785" t="s">
        <v>597</v>
      </c>
      <c r="F44" s="1785" t="s">
        <v>597</v>
      </c>
      <c r="G44" s="1785" t="s">
        <v>597</v>
      </c>
      <c r="H44" s="1785" t="s">
        <v>597</v>
      </c>
      <c r="I44" s="1786">
        <f t="shared" si="0"/>
        <v>1.0015713071636312</v>
      </c>
      <c r="J44" s="1786">
        <f t="shared" si="1"/>
        <v>98.534141850773409</v>
      </c>
      <c r="K44" s="1788"/>
    </row>
    <row r="45" spans="1:11">
      <c r="A45" s="1791" t="s">
        <v>600</v>
      </c>
      <c r="B45" s="1785">
        <f>93649.27</f>
        <v>93649.27</v>
      </c>
      <c r="C45" s="1785">
        <f>93649.27</f>
        <v>93649.27</v>
      </c>
      <c r="D45" s="1785" t="s">
        <v>597</v>
      </c>
      <c r="E45" s="1785" t="s">
        <v>597</v>
      </c>
      <c r="F45" s="1785" t="s">
        <v>597</v>
      </c>
      <c r="G45" s="1785" t="s">
        <v>597</v>
      </c>
      <c r="H45" s="1785" t="s">
        <v>597</v>
      </c>
      <c r="I45" s="1786">
        <f t="shared" si="0"/>
        <v>2.0350461139671957E-4</v>
      </c>
      <c r="J45" s="1786">
        <f t="shared" si="1"/>
        <v>100</v>
      </c>
      <c r="K45" s="1788"/>
    </row>
    <row r="46" spans="1:11">
      <c r="A46" s="1789" t="s">
        <v>731</v>
      </c>
      <c r="B46" s="1781">
        <f>89278683.03</f>
        <v>89278683.030000001</v>
      </c>
      <c r="C46" s="1781">
        <f>76833477.28</f>
        <v>76833477.280000001</v>
      </c>
      <c r="D46" s="1785" t="s">
        <v>597</v>
      </c>
      <c r="E46" s="1785" t="s">
        <v>597</v>
      </c>
      <c r="F46" s="1785" t="s">
        <v>597</v>
      </c>
      <c r="G46" s="1785" t="s">
        <v>597</v>
      </c>
      <c r="H46" s="1785" t="s">
        <v>597</v>
      </c>
      <c r="I46" s="1782">
        <f t="shared" si="0"/>
        <v>0.16696304131495185</v>
      </c>
      <c r="J46" s="1782">
        <f t="shared" si="1"/>
        <v>86.060271805512542</v>
      </c>
      <c r="K46" s="1788"/>
    </row>
    <row r="47" spans="1:11">
      <c r="A47" s="1791" t="s">
        <v>732</v>
      </c>
      <c r="B47" s="1785">
        <f>69123454.41</f>
        <v>69123454.409999996</v>
      </c>
      <c r="C47" s="1785">
        <f>57685655.41</f>
        <v>57685655.409999996</v>
      </c>
      <c r="D47" s="1785" t="s">
        <v>597</v>
      </c>
      <c r="E47" s="1785" t="s">
        <v>597</v>
      </c>
      <c r="F47" s="1785" t="s">
        <v>597</v>
      </c>
      <c r="G47" s="1785" t="s">
        <v>597</v>
      </c>
      <c r="H47" s="1785" t="s">
        <v>597</v>
      </c>
      <c r="I47" s="1786">
        <f t="shared" si="0"/>
        <v>0.12535385366460544</v>
      </c>
      <c r="J47" s="1786">
        <f t="shared" si="1"/>
        <v>83.453085356299397</v>
      </c>
      <c r="K47" s="1788"/>
    </row>
    <row r="48" spans="1:11">
      <c r="A48" s="1789" t="s">
        <v>733</v>
      </c>
      <c r="B48" s="1785">
        <f>1257976957.03</f>
        <v>1257976957.03</v>
      </c>
      <c r="C48" s="1785">
        <f>897888427.210001</f>
        <v>897888427.21000099</v>
      </c>
      <c r="D48" s="1785" t="s">
        <v>597</v>
      </c>
      <c r="E48" s="1785" t="s">
        <v>597</v>
      </c>
      <c r="F48" s="1785" t="s">
        <v>597</v>
      </c>
      <c r="G48" s="1785" t="s">
        <v>597</v>
      </c>
      <c r="H48" s="1785" t="s">
        <v>597</v>
      </c>
      <c r="I48" s="1786">
        <f t="shared" si="0"/>
        <v>1.9511570720944535</v>
      </c>
      <c r="J48" s="1786">
        <f t="shared" si="1"/>
        <v>71.375586189579806</v>
      </c>
      <c r="K48" s="1788"/>
    </row>
    <row r="49" spans="1:13">
      <c r="A49" s="1791" t="s">
        <v>734</v>
      </c>
      <c r="B49" s="1785">
        <f>959253290.02</f>
        <v>959253290.01999998</v>
      </c>
      <c r="C49" s="1785">
        <f>648451163.87</f>
        <v>648451163.87</v>
      </c>
      <c r="D49" s="1785" t="s">
        <v>597</v>
      </c>
      <c r="E49" s="1785" t="s">
        <v>597</v>
      </c>
      <c r="F49" s="1785" t="s">
        <v>597</v>
      </c>
      <c r="G49" s="1785" t="s">
        <v>597</v>
      </c>
      <c r="H49" s="1785" t="s">
        <v>597</v>
      </c>
      <c r="I49" s="1786">
        <f t="shared" si="0"/>
        <v>1.4091172532697251</v>
      </c>
      <c r="J49" s="1786">
        <f t="shared" si="1"/>
        <v>67.599576734991459</v>
      </c>
      <c r="K49" s="1788"/>
    </row>
    <row r="50" spans="1:13">
      <c r="A50" s="1783" t="s">
        <v>857</v>
      </c>
      <c r="B50" s="1781">
        <f>1269742928.45</f>
        <v>1269742928.45</v>
      </c>
      <c r="C50" s="1781">
        <f>1272044629.76</f>
        <v>1272044629.76</v>
      </c>
      <c r="D50" s="1785" t="s">
        <v>597</v>
      </c>
      <c r="E50" s="1785" t="s">
        <v>597</v>
      </c>
      <c r="F50" s="1785" t="s">
        <v>597</v>
      </c>
      <c r="G50" s="1785" t="s">
        <v>597</v>
      </c>
      <c r="H50" s="1785" t="s">
        <v>597</v>
      </c>
      <c r="I50" s="1782">
        <f t="shared" si="0"/>
        <v>2.7642174686315526</v>
      </c>
      <c r="J50" s="1782">
        <f t="shared" si="1"/>
        <v>100.18127301664201</v>
      </c>
      <c r="K50" s="1788"/>
    </row>
    <row r="51" spans="1:13">
      <c r="A51" s="1784" t="s">
        <v>609</v>
      </c>
      <c r="B51" s="1785">
        <f>197029</f>
        <v>197029</v>
      </c>
      <c r="C51" s="1785">
        <f>197029</f>
        <v>197029</v>
      </c>
      <c r="D51" s="1785" t="s">
        <v>597</v>
      </c>
      <c r="E51" s="1785" t="s">
        <v>597</v>
      </c>
      <c r="F51" s="1785" t="s">
        <v>597</v>
      </c>
      <c r="G51" s="1785" t="s">
        <v>597</v>
      </c>
      <c r="H51" s="1785" t="s">
        <v>597</v>
      </c>
      <c r="I51" s="1786">
        <f t="shared" si="0"/>
        <v>4.2815400567334117E-4</v>
      </c>
      <c r="J51" s="1786">
        <f t="shared" si="1"/>
        <v>100</v>
      </c>
      <c r="K51" s="1788"/>
    </row>
    <row r="52" spans="1:13" ht="20.399999999999999">
      <c r="A52" s="1784" t="s">
        <v>858</v>
      </c>
      <c r="B52" s="1785">
        <f>200811666.74</f>
        <v>200811666.74000001</v>
      </c>
      <c r="C52" s="1785">
        <f>203023043.06</f>
        <v>203023043.06</v>
      </c>
      <c r="D52" s="1785" t="s">
        <v>597</v>
      </c>
      <c r="E52" s="1785" t="s">
        <v>597</v>
      </c>
      <c r="F52" s="1785" t="s">
        <v>597</v>
      </c>
      <c r="G52" s="1785" t="s">
        <v>597</v>
      </c>
      <c r="H52" s="1785" t="s">
        <v>597</v>
      </c>
      <c r="I52" s="1786">
        <f t="shared" si="0"/>
        <v>0.44117936511950134</v>
      </c>
      <c r="J52" s="1786">
        <f t="shared" si="1"/>
        <v>101.10121904563601</v>
      </c>
      <c r="K52" s="1788"/>
    </row>
    <row r="53" spans="1:13">
      <c r="A53" s="1790" t="s">
        <v>600</v>
      </c>
      <c r="B53" s="1785">
        <f>30445809.11</f>
        <v>30445809.109999999</v>
      </c>
      <c r="C53" s="1785">
        <f>32121940.11</f>
        <v>32121940.109999999</v>
      </c>
      <c r="D53" s="1785" t="s">
        <v>597</v>
      </c>
      <c r="E53" s="1785" t="s">
        <v>597</v>
      </c>
      <c r="F53" s="1785" t="s">
        <v>597</v>
      </c>
      <c r="G53" s="1785" t="s">
        <v>597</v>
      </c>
      <c r="H53" s="1785" t="s">
        <v>597</v>
      </c>
      <c r="I53" s="1786">
        <f t="shared" si="0"/>
        <v>6.9802604327767304E-2</v>
      </c>
      <c r="J53" s="1786">
        <f t="shared" si="1"/>
        <v>105.50529300746838</v>
      </c>
      <c r="K53" s="1788"/>
    </row>
    <row r="54" spans="1:13">
      <c r="A54" s="1792"/>
      <c r="B54" s="1793"/>
      <c r="C54" s="1794"/>
      <c r="D54" s="1795"/>
      <c r="E54" s="1795"/>
      <c r="F54" s="1795"/>
      <c r="G54" s="1795"/>
      <c r="H54" s="1795"/>
      <c r="I54" s="1796"/>
      <c r="J54" s="1796"/>
      <c r="K54" s="1797"/>
    </row>
    <row r="55" spans="1:13">
      <c r="A55" s="1780" t="s">
        <v>588</v>
      </c>
      <c r="B55" s="1785">
        <f t="shared" ref="B55:H55" si="4">+B6</f>
        <v>47065839983.519997</v>
      </c>
      <c r="C55" s="1785">
        <f t="shared" si="4"/>
        <v>46018254504.040001</v>
      </c>
      <c r="D55" s="1785">
        <f t="shared" si="4"/>
        <v>845128886.41999996</v>
      </c>
      <c r="E55" s="1785">
        <f t="shared" si="4"/>
        <v>69116211.280000001</v>
      </c>
      <c r="F55" s="1785">
        <f t="shared" si="4"/>
        <v>23440541.960000001</v>
      </c>
      <c r="G55" s="1785">
        <f t="shared" si="4"/>
        <v>29254458.960000001</v>
      </c>
      <c r="H55" s="1785">
        <f t="shared" si="4"/>
        <v>2149218.38</v>
      </c>
      <c r="I55" s="1798">
        <f t="shared" si="0"/>
        <v>100</v>
      </c>
      <c r="J55" s="1799">
        <f>IF(B55=0,"",100*C55/B55)</f>
        <v>97.774212720208951</v>
      </c>
      <c r="K55" s="1800"/>
    </row>
    <row r="56" spans="1:13">
      <c r="A56" s="1801" t="s">
        <v>137</v>
      </c>
      <c r="B56" s="1785">
        <f>6583509881.74</f>
        <v>6583509881.7399998</v>
      </c>
      <c r="C56" s="1785">
        <f>5607057945.3</f>
        <v>5607057945.3000002</v>
      </c>
      <c r="D56" s="1785">
        <f>0</f>
        <v>0</v>
      </c>
      <c r="E56" s="1785">
        <f>0</f>
        <v>0</v>
      </c>
      <c r="F56" s="1785">
        <f>0</f>
        <v>0</v>
      </c>
      <c r="G56" s="1785">
        <f>0</f>
        <v>0</v>
      </c>
      <c r="H56" s="1785">
        <f>0</f>
        <v>0</v>
      </c>
      <c r="I56" s="1798">
        <f t="shared" si="0"/>
        <v>12.184421173140649</v>
      </c>
      <c r="J56" s="1799">
        <f>IF(B56=0,"",100*C56/B56)</f>
        <v>85.168216438038868</v>
      </c>
      <c r="K56" s="1800"/>
    </row>
    <row r="57" spans="1:13">
      <c r="A57" s="1801" t="s">
        <v>136</v>
      </c>
      <c r="B57" s="1785">
        <f>B55-B56</f>
        <v>40482330101.779999</v>
      </c>
      <c r="C57" s="1785">
        <f t="shared" ref="C57:H57" si="5">C55-C56</f>
        <v>40411196558.739998</v>
      </c>
      <c r="D57" s="1785">
        <f t="shared" si="5"/>
        <v>845128886.41999996</v>
      </c>
      <c r="E57" s="1785">
        <f t="shared" si="5"/>
        <v>69116211.280000001</v>
      </c>
      <c r="F57" s="1785">
        <f t="shared" si="5"/>
        <v>23440541.960000001</v>
      </c>
      <c r="G57" s="1785">
        <f t="shared" si="5"/>
        <v>29254458.960000001</v>
      </c>
      <c r="H57" s="1785">
        <f t="shared" si="5"/>
        <v>2149218.38</v>
      </c>
      <c r="I57" s="1798">
        <f t="shared" si="0"/>
        <v>87.815578826859351</v>
      </c>
      <c r="J57" s="1799">
        <f>IF(B57=0,"",100*C57/B57)</f>
        <v>99.824284958743348</v>
      </c>
      <c r="K57" s="1800"/>
      <c r="L57" s="401"/>
    </row>
    <row r="58" spans="1:13" ht="24.6" customHeight="1">
      <c r="A58" s="1802" t="s">
        <v>610</v>
      </c>
      <c r="B58" s="1802"/>
      <c r="C58" s="1802"/>
      <c r="D58" s="1802"/>
      <c r="E58" s="1803"/>
      <c r="F58" s="1803"/>
      <c r="G58" s="1803"/>
      <c r="H58" s="1803"/>
      <c r="I58" s="1796"/>
      <c r="J58" s="1796"/>
      <c r="K58" s="1796"/>
    </row>
    <row r="59" spans="1:13">
      <c r="A59" s="1804"/>
      <c r="B59" s="1793"/>
      <c r="C59" s="1794"/>
      <c r="D59" s="1794"/>
      <c r="E59" s="1795"/>
      <c r="F59" s="1795"/>
      <c r="G59" s="1795"/>
      <c r="H59" s="1795"/>
      <c r="I59" s="1795"/>
      <c r="J59" s="1796"/>
      <c r="K59" s="1796"/>
      <c r="M59" s="408"/>
    </row>
    <row r="60" spans="1:13" ht="22.2" customHeight="1">
      <c r="A60" s="2293" t="s">
        <v>584</v>
      </c>
      <c r="B60" s="2295" t="s">
        <v>892</v>
      </c>
      <c r="C60" s="2295" t="s">
        <v>893</v>
      </c>
      <c r="D60" s="2295" t="s">
        <v>894</v>
      </c>
      <c r="E60" s="2295" t="s">
        <v>611</v>
      </c>
      <c r="F60" s="2295"/>
      <c r="G60" s="2295"/>
      <c r="H60" s="2296" t="s">
        <v>895</v>
      </c>
      <c r="I60" s="2295" t="s">
        <v>585</v>
      </c>
      <c r="J60" s="2299" t="s">
        <v>586</v>
      </c>
      <c r="K60" s="1806"/>
      <c r="M60" s="408"/>
    </row>
    <row r="61" spans="1:13" ht="12.75" customHeight="1">
      <c r="A61" s="2293"/>
      <c r="B61" s="2295"/>
      <c r="C61" s="2295"/>
      <c r="D61" s="2289"/>
      <c r="E61" s="2283" t="s">
        <v>896</v>
      </c>
      <c r="F61" s="2288" t="s">
        <v>612</v>
      </c>
      <c r="G61" s="2289"/>
      <c r="H61" s="2297"/>
      <c r="I61" s="2295"/>
      <c r="J61" s="2299"/>
      <c r="K61" s="1808"/>
      <c r="M61" s="408"/>
    </row>
    <row r="62" spans="1:13" ht="58.8" customHeight="1">
      <c r="A62" s="2293"/>
      <c r="B62" s="2295"/>
      <c r="C62" s="2295"/>
      <c r="D62" s="2289"/>
      <c r="E62" s="2289"/>
      <c r="F62" s="1809" t="s">
        <v>897</v>
      </c>
      <c r="G62" s="1809" t="s">
        <v>898</v>
      </c>
      <c r="H62" s="2298"/>
      <c r="I62" s="2295"/>
      <c r="J62" s="2299"/>
      <c r="K62" s="1808"/>
      <c r="M62" s="457"/>
    </row>
    <row r="63" spans="1:13" ht="15" customHeight="1">
      <c r="A63" s="2293"/>
      <c r="B63" s="2290" t="s">
        <v>163</v>
      </c>
      <c r="C63" s="2291"/>
      <c r="D63" s="2291"/>
      <c r="E63" s="2291"/>
      <c r="F63" s="2291"/>
      <c r="G63" s="2291"/>
      <c r="H63" s="2292"/>
      <c r="I63" s="2294" t="s">
        <v>169</v>
      </c>
      <c r="J63" s="2294"/>
      <c r="K63" s="1806"/>
      <c r="M63" s="458"/>
    </row>
    <row r="64" spans="1:13">
      <c r="A64" s="1777">
        <v>1</v>
      </c>
      <c r="B64" s="1779">
        <v>2</v>
      </c>
      <c r="C64" s="1779">
        <v>3</v>
      </c>
      <c r="D64" s="1779">
        <v>4</v>
      </c>
      <c r="E64" s="1777">
        <v>5</v>
      </c>
      <c r="F64" s="1777">
        <v>6</v>
      </c>
      <c r="G64" s="1779">
        <v>7</v>
      </c>
      <c r="H64" s="1779">
        <v>8</v>
      </c>
      <c r="I64" s="1777">
        <v>9</v>
      </c>
      <c r="J64" s="1779">
        <v>10</v>
      </c>
      <c r="K64" s="1806"/>
      <c r="M64" s="455"/>
    </row>
    <row r="65" spans="1:13" ht="26.4">
      <c r="A65" s="1780" t="s">
        <v>613</v>
      </c>
      <c r="B65" s="1810">
        <f>49984375758.35</f>
        <v>49984375758.349998</v>
      </c>
      <c r="C65" s="1810">
        <f>46062520233.13</f>
        <v>46062520233.129997</v>
      </c>
      <c r="D65" s="1810">
        <f>46125618804.18</f>
        <v>46125618804.18</v>
      </c>
      <c r="E65" s="1810">
        <f>2080098981.47</f>
        <v>2080098981.47</v>
      </c>
      <c r="F65" s="1810">
        <f>7791.66</f>
        <v>7791.66</v>
      </c>
      <c r="G65" s="1810">
        <f>236900.01</f>
        <v>236900.01</v>
      </c>
      <c r="H65" s="1811">
        <f>172956727.84</f>
        <v>172956727.84</v>
      </c>
      <c r="I65" s="1812">
        <f>IF($C$65=0,"",100*$C65/$C$65)</f>
        <v>100</v>
      </c>
      <c r="J65" s="1812">
        <f>IF(B65=0,"",100*C65/B65)</f>
        <v>92.153837142669843</v>
      </c>
      <c r="K65" s="1806"/>
      <c r="M65" s="458"/>
    </row>
    <row r="66" spans="1:13">
      <c r="A66" s="1783" t="s">
        <v>614</v>
      </c>
      <c r="B66" s="1813">
        <f>10134158854.23</f>
        <v>10134158854.23</v>
      </c>
      <c r="C66" s="1813">
        <f>8334073852.59</f>
        <v>8334073852.5900002</v>
      </c>
      <c r="D66" s="1813">
        <f>8370065073.62001</f>
        <v>8370065073.6200104</v>
      </c>
      <c r="E66" s="1813">
        <f>195445348.67</f>
        <v>195445348.66999999</v>
      </c>
      <c r="F66" s="1813">
        <f>0</f>
        <v>0</v>
      </c>
      <c r="G66" s="1813">
        <f>0</f>
        <v>0</v>
      </c>
      <c r="H66" s="1814">
        <f>157633062.48</f>
        <v>157633062.47999999</v>
      </c>
      <c r="I66" s="1812">
        <f t="shared" ref="I66:I74" si="6">IF($C$65=0,"",100*$C66/$C$65)</f>
        <v>18.092961067718136</v>
      </c>
      <c r="J66" s="1812">
        <f t="shared" ref="J66:J74" si="7">IF(B66=0,"",100*C66/B66)</f>
        <v>82.237450314994391</v>
      </c>
      <c r="K66" s="1806"/>
      <c r="M66" s="455"/>
    </row>
    <row r="67" spans="1:13">
      <c r="A67" s="1784" t="s">
        <v>615</v>
      </c>
      <c r="B67" s="1785">
        <f>9412424919.27</f>
        <v>9412424919.2700005</v>
      </c>
      <c r="C67" s="1785">
        <f>7662402684.22001</f>
        <v>7662402684.2200098</v>
      </c>
      <c r="D67" s="1785">
        <f>7698393905.25001</f>
        <v>7698393905.2500095</v>
      </c>
      <c r="E67" s="1785">
        <f>195445348.67</f>
        <v>195445348.66999999</v>
      </c>
      <c r="F67" s="1785">
        <f>0</f>
        <v>0</v>
      </c>
      <c r="G67" s="1785">
        <f>0</f>
        <v>0</v>
      </c>
      <c r="H67" s="1815">
        <f>157633062.48</f>
        <v>157633062.47999999</v>
      </c>
      <c r="I67" s="1812">
        <f t="shared" si="6"/>
        <v>16.634788208372726</v>
      </c>
      <c r="J67" s="1812">
        <f t="shared" si="7"/>
        <v>81.407317985961498</v>
      </c>
      <c r="K67" s="1806"/>
      <c r="M67" s="461"/>
    </row>
    <row r="68" spans="1:13" ht="26.4">
      <c r="A68" s="1783" t="s">
        <v>616</v>
      </c>
      <c r="B68" s="1813">
        <f t="shared" ref="B68:H68" si="8">B65-B66</f>
        <v>39850216904.119995</v>
      </c>
      <c r="C68" s="1813">
        <f>C65-C66</f>
        <v>37728446380.539993</v>
      </c>
      <c r="D68" s="1813">
        <f>D65-D66</f>
        <v>37755553730.55999</v>
      </c>
      <c r="E68" s="1813">
        <f t="shared" si="8"/>
        <v>1884653632.8</v>
      </c>
      <c r="F68" s="1813">
        <f t="shared" si="8"/>
        <v>7791.66</v>
      </c>
      <c r="G68" s="1813">
        <f t="shared" si="8"/>
        <v>236900.01</v>
      </c>
      <c r="H68" s="1814">
        <f t="shared" si="8"/>
        <v>15323665.360000014</v>
      </c>
      <c r="I68" s="1812">
        <f t="shared" si="6"/>
        <v>81.907038932281864</v>
      </c>
      <c r="J68" s="1812">
        <f t="shared" si="7"/>
        <v>94.675636198706272</v>
      </c>
      <c r="K68" s="1806"/>
      <c r="M68" s="455"/>
    </row>
    <row r="69" spans="1:13" ht="20.399999999999999">
      <c r="A69" s="1784" t="s">
        <v>617</v>
      </c>
      <c r="B69" s="1785">
        <f>18112370352.75</f>
        <v>18112370352.75</v>
      </c>
      <c r="C69" s="1785">
        <f>17502496722.27</f>
        <v>17502496722.27</v>
      </c>
      <c r="D69" s="1785">
        <f>17511639594.37</f>
        <v>17511639594.369999</v>
      </c>
      <c r="E69" s="1785">
        <f>1412198008.89</f>
        <v>1412198008.8900001</v>
      </c>
      <c r="F69" s="1785">
        <f>0</f>
        <v>0</v>
      </c>
      <c r="G69" s="1785">
        <f>14066.85</f>
        <v>14066.85</v>
      </c>
      <c r="H69" s="1815">
        <f>348067.38</f>
        <v>348067.38</v>
      </c>
      <c r="I69" s="1812">
        <f t="shared" si="6"/>
        <v>37.997262489518555</v>
      </c>
      <c r="J69" s="1812">
        <f t="shared" si="7"/>
        <v>96.632833700933006</v>
      </c>
      <c r="K69" s="1806"/>
      <c r="M69" s="461"/>
    </row>
    <row r="70" spans="1:13">
      <c r="A70" s="1784" t="s">
        <v>571</v>
      </c>
      <c r="B70" s="1816">
        <f>5049254003.03</f>
        <v>5049254003.0299997</v>
      </c>
      <c r="C70" s="1816">
        <f>4902396961.23</f>
        <v>4902396961.2299995</v>
      </c>
      <c r="D70" s="1816">
        <f>4903076859.31</f>
        <v>4903076859.3100004</v>
      </c>
      <c r="E70" s="1816">
        <f>3313839.87</f>
        <v>3313839.87</v>
      </c>
      <c r="F70" s="1816">
        <f>0</f>
        <v>0</v>
      </c>
      <c r="G70" s="1816">
        <f>0</f>
        <v>0</v>
      </c>
      <c r="H70" s="1817">
        <f>1289500</f>
        <v>1289500</v>
      </c>
      <c r="I70" s="1812">
        <f t="shared" si="6"/>
        <v>10.642919528541125</v>
      </c>
      <c r="J70" s="1812">
        <f t="shared" si="7"/>
        <v>97.091510117893193</v>
      </c>
      <c r="K70" s="1806"/>
      <c r="M70" s="461"/>
    </row>
    <row r="71" spans="1:13">
      <c r="A71" s="1784" t="s">
        <v>618</v>
      </c>
      <c r="B71" s="1785">
        <f>681630271</f>
        <v>681630271</v>
      </c>
      <c r="C71" s="1785">
        <f>624181186.97</f>
        <v>624181186.97000003</v>
      </c>
      <c r="D71" s="1785">
        <f>625189022.91</f>
        <v>625189022.90999997</v>
      </c>
      <c r="E71" s="1785">
        <f>15217280.43</f>
        <v>15217280.43</v>
      </c>
      <c r="F71" s="1785">
        <f>0</f>
        <v>0</v>
      </c>
      <c r="G71" s="1785">
        <f>1949.18</f>
        <v>1949.18</v>
      </c>
      <c r="H71" s="1815">
        <f>0</f>
        <v>0</v>
      </c>
      <c r="I71" s="1812">
        <f t="shared" si="6"/>
        <v>1.3550738948084391</v>
      </c>
      <c r="J71" s="1812">
        <f t="shared" si="7"/>
        <v>91.571811512168011</v>
      </c>
      <c r="K71" s="1806"/>
      <c r="M71" s="455"/>
    </row>
    <row r="72" spans="1:13" ht="20.399999999999999">
      <c r="A72" s="1784" t="s">
        <v>619</v>
      </c>
      <c r="B72" s="1816">
        <f>19689658.09</f>
        <v>19689658.09</v>
      </c>
      <c r="C72" s="1816">
        <f>1117569.84</f>
        <v>1117569.8400000001</v>
      </c>
      <c r="D72" s="1816">
        <f>1117569.84</f>
        <v>1117569.8400000001</v>
      </c>
      <c r="E72" s="1816">
        <f>0</f>
        <v>0</v>
      </c>
      <c r="F72" s="1816">
        <f>0</f>
        <v>0</v>
      </c>
      <c r="G72" s="1816">
        <f>0</f>
        <v>0</v>
      </c>
      <c r="H72" s="1817">
        <f>0</f>
        <v>0</v>
      </c>
      <c r="I72" s="1812">
        <f t="shared" si="6"/>
        <v>2.426202114742735E-3</v>
      </c>
      <c r="J72" s="1812">
        <f t="shared" si="7"/>
        <v>5.6759230398601614</v>
      </c>
      <c r="K72" s="1806"/>
      <c r="M72" s="458"/>
    </row>
    <row r="73" spans="1:13">
      <c r="A73" s="1784" t="s">
        <v>620</v>
      </c>
      <c r="B73" s="1816">
        <f>3873459532.19</f>
        <v>3873459532.1900001</v>
      </c>
      <c r="C73" s="1816">
        <f>3796542363.75</f>
        <v>3796542363.75</v>
      </c>
      <c r="D73" s="1816">
        <f>3797131991.36</f>
        <v>3797131991.3600001</v>
      </c>
      <c r="E73" s="1816">
        <f>70282565.62</f>
        <v>70282565.620000005</v>
      </c>
      <c r="F73" s="1816">
        <f>6209.66</f>
        <v>6209.66</v>
      </c>
      <c r="G73" s="1816">
        <f>0</f>
        <v>0</v>
      </c>
      <c r="H73" s="1818">
        <f>0</f>
        <v>0</v>
      </c>
      <c r="I73" s="1812">
        <f t="shared" si="6"/>
        <v>8.242150764949626</v>
      </c>
      <c r="J73" s="1812">
        <f t="shared" si="7"/>
        <v>98.014251399794219</v>
      </c>
      <c r="K73" s="1806"/>
      <c r="M73" s="458"/>
    </row>
    <row r="74" spans="1:13">
      <c r="A74" s="1784" t="s">
        <v>621</v>
      </c>
      <c r="B74" s="1785">
        <f t="shared" ref="B74:H74" si="9">B68-B69-B70-B71-B72-B73</f>
        <v>12113813087.059996</v>
      </c>
      <c r="C74" s="1785">
        <f>C68-C69-C70-C71-C72-C73</f>
        <v>10901711576.479994</v>
      </c>
      <c r="D74" s="1785">
        <f>D68-D69-D70-D71-D72-D73</f>
        <v>10917398692.769989</v>
      </c>
      <c r="E74" s="1785">
        <f t="shared" si="9"/>
        <v>383641937.98999983</v>
      </c>
      <c r="F74" s="1785">
        <f t="shared" si="9"/>
        <v>1582</v>
      </c>
      <c r="G74" s="1785">
        <f t="shared" si="9"/>
        <v>220883.98</v>
      </c>
      <c r="H74" s="1817">
        <f t="shared" si="9"/>
        <v>13686097.980000013</v>
      </c>
      <c r="I74" s="1812">
        <f t="shared" si="6"/>
        <v>23.667206052349364</v>
      </c>
      <c r="J74" s="1812">
        <f t="shared" si="7"/>
        <v>89.994054705410875</v>
      </c>
      <c r="K74" s="1806"/>
      <c r="L74" s="416"/>
    </row>
    <row r="75" spans="1:13">
      <c r="A75" s="1780" t="s">
        <v>622</v>
      </c>
      <c r="B75" s="1813">
        <f>B6-B65</f>
        <v>-2918535774.8300018</v>
      </c>
      <c r="C75" s="1813">
        <f>C6-C65</f>
        <v>-44265729.089996338</v>
      </c>
      <c r="D75" s="1819"/>
      <c r="E75" s="1820"/>
      <c r="F75" s="1820"/>
      <c r="G75" s="1820"/>
      <c r="H75" s="1821"/>
      <c r="I75" s="1822"/>
      <c r="J75" s="1822"/>
      <c r="K75" s="1823"/>
      <c r="L75" s="416"/>
    </row>
    <row r="76" spans="1:13" ht="26.4">
      <c r="A76" s="1824" t="s">
        <v>859</v>
      </c>
      <c r="B76" s="1813">
        <f>+B57-B68</f>
        <v>632113197.66000366</v>
      </c>
      <c r="C76" s="1813">
        <f>+C57-C68</f>
        <v>2682750178.2000046</v>
      </c>
      <c r="D76" s="1819"/>
      <c r="E76" s="1820"/>
      <c r="F76" s="1820"/>
      <c r="G76" s="1820"/>
      <c r="H76" s="1820"/>
      <c r="I76" s="1822"/>
      <c r="J76" s="1822"/>
      <c r="K76" s="1823"/>
    </row>
    <row r="77" spans="1:13">
      <c r="A77" s="1825"/>
      <c r="B77" s="1820"/>
      <c r="C77" s="1820"/>
      <c r="D77" s="1820"/>
      <c r="E77" s="1820"/>
      <c r="F77" s="1820"/>
      <c r="G77" s="1820"/>
      <c r="H77" s="1820"/>
      <c r="I77" s="1822"/>
      <c r="J77" s="1822"/>
      <c r="K77" s="1823"/>
    </row>
    <row r="78" spans="1:13">
      <c r="A78" s="1825"/>
      <c r="B78" s="1820"/>
      <c r="C78" s="1820"/>
      <c r="D78" s="1820"/>
      <c r="E78" s="1820"/>
      <c r="F78" s="1820"/>
      <c r="G78" s="1820"/>
      <c r="H78" s="1820"/>
      <c r="I78" s="1822"/>
      <c r="J78" s="1822"/>
      <c r="K78" s="1823"/>
    </row>
    <row r="79" spans="1:13" ht="15.75" customHeight="1">
      <c r="A79" s="2286" t="s">
        <v>860</v>
      </c>
      <c r="B79" s="2287" t="s">
        <v>861</v>
      </c>
      <c r="C79" s="2287"/>
      <c r="D79" s="2287" t="s">
        <v>862</v>
      </c>
      <c r="E79" s="2287"/>
      <c r="F79" s="1827" t="s">
        <v>863</v>
      </c>
      <c r="G79" s="1820"/>
      <c r="H79" s="1822"/>
      <c r="I79" s="1822"/>
      <c r="J79" s="1823"/>
      <c r="K79" s="1806"/>
      <c r="L79" s="449"/>
    </row>
    <row r="80" spans="1:13">
      <c r="A80" s="2286"/>
      <c r="B80" s="1828" t="s">
        <v>864</v>
      </c>
      <c r="C80" s="1828" t="s">
        <v>865</v>
      </c>
      <c r="D80" s="1828" t="s">
        <v>864</v>
      </c>
      <c r="E80" s="1828" t="s">
        <v>865</v>
      </c>
      <c r="F80" s="1828" t="s">
        <v>864</v>
      </c>
      <c r="G80" s="1820"/>
      <c r="H80" s="1822"/>
      <c r="I80" s="1822"/>
      <c r="J80" s="1823"/>
      <c r="K80" s="1806"/>
    </row>
    <row r="81" spans="1:12">
      <c r="A81" s="1829" t="s">
        <v>866</v>
      </c>
      <c r="B81" s="1830">
        <f>23</f>
        <v>23</v>
      </c>
      <c r="C81" s="1831">
        <f>69335438.73</f>
        <v>69335438.730000004</v>
      </c>
      <c r="D81" s="1830">
        <f>212</f>
        <v>212</v>
      </c>
      <c r="E81" s="1831">
        <f>+-2987871213.56</f>
        <v>-2987871213.5599999</v>
      </c>
      <c r="F81" s="1830">
        <f>1</f>
        <v>1</v>
      </c>
      <c r="G81" s="1820"/>
      <c r="H81" s="1822"/>
      <c r="I81" s="1822"/>
      <c r="J81" s="1823"/>
      <c r="K81" s="1806"/>
    </row>
    <row r="82" spans="1:12">
      <c r="A82" s="1829" t="s">
        <v>867</v>
      </c>
      <c r="B82" s="1830">
        <f>126</f>
        <v>126</v>
      </c>
      <c r="C82" s="1831">
        <f>912771770.65</f>
        <v>912771770.64999998</v>
      </c>
      <c r="D82" s="1830">
        <f>110</f>
        <v>110</v>
      </c>
      <c r="E82" s="1831">
        <f>+-957037499.74</f>
        <v>-957037499.74000001</v>
      </c>
      <c r="F82" s="1830">
        <f>0</f>
        <v>0</v>
      </c>
      <c r="G82" s="1820"/>
      <c r="H82" s="1822"/>
      <c r="I82" s="1822"/>
      <c r="J82" s="1823"/>
      <c r="K82" s="1806"/>
      <c r="L82" s="469"/>
    </row>
    <row r="83" spans="1:12">
      <c r="A83" s="1832"/>
      <c r="B83" s="1832"/>
      <c r="C83" s="1832"/>
      <c r="D83" s="1832"/>
      <c r="E83" s="1832"/>
      <c r="F83" s="1832"/>
      <c r="G83" s="1820"/>
      <c r="H83" s="1822"/>
      <c r="I83" s="1822"/>
      <c r="J83" s="1823"/>
      <c r="K83" s="1806"/>
    </row>
    <row r="84" spans="1:12" ht="12.75" customHeight="1">
      <c r="A84" s="2286" t="s">
        <v>868</v>
      </c>
      <c r="B84" s="2287" t="s">
        <v>861</v>
      </c>
      <c r="C84" s="2287"/>
      <c r="D84" s="2287" t="s">
        <v>862</v>
      </c>
      <c r="E84" s="2287"/>
      <c r="F84" s="1827" t="s">
        <v>863</v>
      </c>
      <c r="G84" s="1820"/>
      <c r="H84" s="1822"/>
      <c r="I84" s="1822"/>
      <c r="J84" s="1823"/>
      <c r="K84" s="1806"/>
    </row>
    <row r="85" spans="1:12">
      <c r="A85" s="2286"/>
      <c r="B85" s="1828" t="s">
        <v>864</v>
      </c>
      <c r="C85" s="1828" t="s">
        <v>865</v>
      </c>
      <c r="D85" s="1828" t="s">
        <v>864</v>
      </c>
      <c r="E85" s="1828" t="s">
        <v>865</v>
      </c>
      <c r="F85" s="1828" t="s">
        <v>864</v>
      </c>
      <c r="G85" s="1820"/>
      <c r="H85" s="1822"/>
      <c r="I85" s="1822"/>
      <c r="J85" s="1823"/>
      <c r="K85" s="1806"/>
    </row>
    <row r="86" spans="1:12">
      <c r="A86" s="1829" t="s">
        <v>866</v>
      </c>
      <c r="B86" s="1830">
        <f>167</f>
        <v>167</v>
      </c>
      <c r="C86" s="1831">
        <f>1013430410.09</f>
        <v>1013430410.09</v>
      </c>
      <c r="D86" s="1830">
        <f>69</f>
        <v>69</v>
      </c>
      <c r="E86" s="1831">
        <f>+-381317212.43</f>
        <v>-381317212.43000001</v>
      </c>
      <c r="F86" s="1830">
        <f>0</f>
        <v>0</v>
      </c>
      <c r="G86" s="1820"/>
      <c r="H86" s="1822"/>
      <c r="I86" s="1822"/>
      <c r="J86" s="1823"/>
      <c r="K86" s="1806"/>
    </row>
    <row r="87" spans="1:12">
      <c r="A87" s="1829" t="s">
        <v>867</v>
      </c>
      <c r="B87" s="1830">
        <f>225</f>
        <v>225</v>
      </c>
      <c r="C87" s="1831">
        <f>2720424333.74</f>
        <v>2720424333.7399998</v>
      </c>
      <c r="D87" s="1830">
        <f>11</f>
        <v>11</v>
      </c>
      <c r="E87" s="1831">
        <f>+-37674155.54</f>
        <v>-37674155.539999999</v>
      </c>
      <c r="F87" s="1830">
        <f>0</f>
        <v>0</v>
      </c>
      <c r="G87" s="1820"/>
      <c r="H87" s="1822"/>
      <c r="I87" s="1822"/>
      <c r="J87" s="1823"/>
      <c r="K87" s="1806"/>
    </row>
    <row r="88" spans="1:12">
      <c r="A88" s="1825"/>
      <c r="B88" s="1820"/>
      <c r="C88" s="1820"/>
      <c r="D88" s="1820"/>
      <c r="E88" s="1820"/>
      <c r="F88" s="1820"/>
      <c r="G88" s="1820"/>
      <c r="H88" s="1820"/>
      <c r="I88" s="1822"/>
      <c r="J88" s="1822"/>
      <c r="K88" s="1823"/>
    </row>
    <row r="89" spans="1:12">
      <c r="A89" s="1825"/>
      <c r="B89" s="1820"/>
      <c r="C89" s="1820"/>
      <c r="D89" s="1820"/>
      <c r="E89" s="1820"/>
      <c r="F89" s="1820"/>
      <c r="G89" s="1820"/>
      <c r="H89" s="1820"/>
      <c r="I89" s="1822"/>
      <c r="J89" s="1822"/>
      <c r="K89" s="1823"/>
    </row>
    <row r="90" spans="1:12">
      <c r="A90" s="1833" t="s">
        <v>623</v>
      </c>
      <c r="B90" s="1834"/>
      <c r="C90" s="1834"/>
      <c r="D90" s="1834"/>
      <c r="E90" s="1834"/>
      <c r="F90" s="1820"/>
      <c r="G90" s="1820"/>
      <c r="H90" s="1820"/>
      <c r="I90" s="1820"/>
      <c r="J90" s="1822"/>
      <c r="K90" s="1822"/>
    </row>
    <row r="91" spans="1:12" ht="26.4">
      <c r="A91" s="1780" t="s">
        <v>743</v>
      </c>
      <c r="B91" s="1785">
        <f>1752729188.6</f>
        <v>1752729188.5999999</v>
      </c>
      <c r="C91" s="1785">
        <f>1174268153.21</f>
        <v>1174268153.21</v>
      </c>
      <c r="D91" s="1785">
        <f>1176182638.23</f>
        <v>1176182638.23</v>
      </c>
      <c r="E91" s="1785">
        <f>34104674.02</f>
        <v>34104674.020000003</v>
      </c>
      <c r="F91" s="1785">
        <f>0</f>
        <v>0</v>
      </c>
      <c r="G91" s="1785">
        <f>0</f>
        <v>0</v>
      </c>
      <c r="H91" s="1785">
        <f>18486698.48</f>
        <v>18486698.48</v>
      </c>
      <c r="I91" s="1835">
        <f>IF($C$91=0,"",100*$C91/$C$91)</f>
        <v>100</v>
      </c>
      <c r="J91" s="1835">
        <f>IF(B91=0,"",100*C91/B91)</f>
        <v>66.996553765841711</v>
      </c>
      <c r="K91" s="1823"/>
    </row>
    <row r="92" spans="1:12">
      <c r="A92" s="1836" t="s">
        <v>625</v>
      </c>
      <c r="B92" s="1785">
        <f>1350164560.89</f>
        <v>1350164560.8900001</v>
      </c>
      <c r="C92" s="1785">
        <f>907775249.94</f>
        <v>907775249.94000006</v>
      </c>
      <c r="D92" s="1785">
        <f>909539307.65</f>
        <v>909539307.64999998</v>
      </c>
      <c r="E92" s="1785">
        <f>30039412.97</f>
        <v>30039412.969999999</v>
      </c>
      <c r="F92" s="1785">
        <f>0</f>
        <v>0</v>
      </c>
      <c r="G92" s="1785">
        <f>0</f>
        <v>0</v>
      </c>
      <c r="H92" s="1785">
        <f>18477948.48</f>
        <v>18477948.48</v>
      </c>
      <c r="I92" s="1835">
        <f>IF($C$91=0,"",100*$C92/$C$91)</f>
        <v>77.305617755066393</v>
      </c>
      <c r="J92" s="1835">
        <f>IF(B92=0,"",100*C92/B92)</f>
        <v>67.234415436116436</v>
      </c>
      <c r="K92" s="1823"/>
    </row>
    <row r="93" spans="1:12">
      <c r="A93" s="1837" t="s">
        <v>626</v>
      </c>
      <c r="B93" s="1785">
        <f>+B91-B92</f>
        <v>402564627.7099998</v>
      </c>
      <c r="C93" s="1785">
        <f t="shared" ref="C93:H93" si="10">+C91-C92</f>
        <v>266492903.26999998</v>
      </c>
      <c r="D93" s="1785">
        <f t="shared" si="10"/>
        <v>266643330.58000004</v>
      </c>
      <c r="E93" s="1785">
        <f t="shared" si="10"/>
        <v>4065261.0500000045</v>
      </c>
      <c r="F93" s="1785">
        <f t="shared" si="10"/>
        <v>0</v>
      </c>
      <c r="G93" s="1785">
        <f t="shared" si="10"/>
        <v>0</v>
      </c>
      <c r="H93" s="1785">
        <f t="shared" si="10"/>
        <v>8750</v>
      </c>
      <c r="I93" s="1835">
        <f>IF($C$91=0,"",100*$C93/$C$91)</f>
        <v>22.694382244933607</v>
      </c>
      <c r="J93" s="1835">
        <f>IF(B93=0,"",100*C93/B93)</f>
        <v>66.198787704213444</v>
      </c>
      <c r="K93" s="1806"/>
    </row>
    <row r="94" spans="1:12">
      <c r="A94" s="1806"/>
      <c r="B94" s="1806"/>
      <c r="C94" s="1806"/>
      <c r="D94" s="1806"/>
      <c r="E94" s="1806"/>
      <c r="F94" s="1806"/>
      <c r="G94" s="1806"/>
      <c r="H94" s="1806"/>
      <c r="I94" s="1806"/>
      <c r="J94" s="1806"/>
      <c r="K94" s="1806"/>
    </row>
    <row r="95" spans="1:12">
      <c r="A95" s="1838" t="s">
        <v>1</v>
      </c>
      <c r="B95" s="1839" t="s">
        <v>627</v>
      </c>
      <c r="C95" s="1839" t="s">
        <v>628</v>
      </c>
      <c r="D95" s="2274" t="s">
        <v>597</v>
      </c>
      <c r="E95" s="2275"/>
      <c r="F95" s="2275"/>
      <c r="G95" s="2275"/>
      <c r="H95" s="2276"/>
      <c r="I95" s="1779" t="s">
        <v>5</v>
      </c>
      <c r="J95" s="1779" t="s">
        <v>4</v>
      </c>
      <c r="K95" s="1806"/>
    </row>
    <row r="96" spans="1:12" ht="14.4">
      <c r="A96" s="1838"/>
      <c r="B96" s="2283" t="s">
        <v>163</v>
      </c>
      <c r="C96" s="2284"/>
      <c r="D96" s="2277"/>
      <c r="E96" s="2278"/>
      <c r="F96" s="2278"/>
      <c r="G96" s="2278"/>
      <c r="H96" s="2279"/>
      <c r="I96" s="2283" t="s">
        <v>169</v>
      </c>
      <c r="J96" s="2285"/>
      <c r="K96" s="1806"/>
    </row>
    <row r="97" spans="1:11">
      <c r="A97" s="1809">
        <v>1</v>
      </c>
      <c r="B97" s="1840">
        <v>2</v>
      </c>
      <c r="C97" s="1840">
        <v>3</v>
      </c>
      <c r="D97" s="2280"/>
      <c r="E97" s="2281"/>
      <c r="F97" s="2281"/>
      <c r="G97" s="2281"/>
      <c r="H97" s="2282"/>
      <c r="I97" s="1841">
        <v>4</v>
      </c>
      <c r="J97" s="1841">
        <v>5</v>
      </c>
      <c r="K97" s="1806"/>
    </row>
    <row r="98" spans="1:11" ht="26.4">
      <c r="A98" s="1842" t="s">
        <v>629</v>
      </c>
      <c r="B98" s="1843">
        <f>4567205907.77</f>
        <v>4567205907.7700005</v>
      </c>
      <c r="C98" s="1843">
        <f>5675329483.71</f>
        <v>5675329483.71</v>
      </c>
      <c r="D98" s="1843" t="s">
        <v>597</v>
      </c>
      <c r="E98" s="1843" t="s">
        <v>597</v>
      </c>
      <c r="F98" s="1843" t="s">
        <v>597</v>
      </c>
      <c r="G98" s="1843" t="s">
        <v>597</v>
      </c>
      <c r="H98" s="1843" t="s">
        <v>597</v>
      </c>
      <c r="I98" s="1775">
        <f t="shared" ref="I98:I108" si="11">IF($C$98=0,"",100*$C98/$C$98)</f>
        <v>100</v>
      </c>
      <c r="J98" s="1812">
        <f t="shared" ref="J98:J113" si="12">IF(B98=0,"",100*C98/B98)</f>
        <v>124.26261478718956</v>
      </c>
      <c r="K98" s="1806"/>
    </row>
    <row r="99" spans="1:11" ht="30.6">
      <c r="A99" s="1844" t="s">
        <v>744</v>
      </c>
      <c r="B99" s="1845">
        <f>2485271894.09</f>
        <v>2485271894.0900002</v>
      </c>
      <c r="C99" s="1845">
        <f>2181810328.91</f>
        <v>2181810328.9099998</v>
      </c>
      <c r="D99" s="1843" t="s">
        <v>597</v>
      </c>
      <c r="E99" s="1843" t="s">
        <v>597</v>
      </c>
      <c r="F99" s="1843" t="s">
        <v>597</v>
      </c>
      <c r="G99" s="1843" t="s">
        <v>597</v>
      </c>
      <c r="H99" s="1843" t="s">
        <v>597</v>
      </c>
      <c r="I99" s="1775">
        <f t="shared" si="11"/>
        <v>38.443764986200172</v>
      </c>
      <c r="J99" s="1812">
        <f t="shared" si="12"/>
        <v>87.789602984621737</v>
      </c>
      <c r="K99" s="1806"/>
    </row>
    <row r="100" spans="1:11">
      <c r="A100" s="1846" t="s">
        <v>631</v>
      </c>
      <c r="B100" s="1845">
        <f>44762868.2</f>
        <v>44762868.200000003</v>
      </c>
      <c r="C100" s="1845">
        <f>41100000</f>
        <v>41100000</v>
      </c>
      <c r="D100" s="1843" t="s">
        <v>597</v>
      </c>
      <c r="E100" s="1843" t="s">
        <v>597</v>
      </c>
      <c r="F100" s="1843" t="s">
        <v>597</v>
      </c>
      <c r="G100" s="1843" t="s">
        <v>597</v>
      </c>
      <c r="H100" s="1843" t="s">
        <v>597</v>
      </c>
      <c r="I100" s="1775">
        <f t="shared" si="11"/>
        <v>0.72418702945740976</v>
      </c>
      <c r="J100" s="1812">
        <f t="shared" si="12"/>
        <v>91.817172698509069</v>
      </c>
      <c r="K100" s="1806"/>
    </row>
    <row r="101" spans="1:11">
      <c r="A101" s="1844" t="s">
        <v>632</v>
      </c>
      <c r="B101" s="1845">
        <f>17280254.76</f>
        <v>17280254.760000002</v>
      </c>
      <c r="C101" s="1845">
        <f>20338504.76</f>
        <v>20338504.760000002</v>
      </c>
      <c r="D101" s="1843" t="s">
        <v>597</v>
      </c>
      <c r="E101" s="1843" t="s">
        <v>597</v>
      </c>
      <c r="F101" s="1843" t="s">
        <v>597</v>
      </c>
      <c r="G101" s="1843" t="s">
        <v>597</v>
      </c>
      <c r="H101" s="1843" t="s">
        <v>597</v>
      </c>
      <c r="I101" s="1775">
        <f t="shared" si="11"/>
        <v>0.35836694271897301</v>
      </c>
      <c r="J101" s="1812">
        <f t="shared" si="12"/>
        <v>117.69794509673073</v>
      </c>
      <c r="K101" s="1806"/>
    </row>
    <row r="102" spans="1:11" ht="40.799999999999997">
      <c r="A102" s="1844" t="s">
        <v>633</v>
      </c>
      <c r="B102" s="1845">
        <f>334755845.23</f>
        <v>334755845.23000002</v>
      </c>
      <c r="C102" s="1845">
        <f>777327942.41</f>
        <v>777327942.40999997</v>
      </c>
      <c r="D102" s="1843" t="s">
        <v>597</v>
      </c>
      <c r="E102" s="1843" t="s">
        <v>597</v>
      </c>
      <c r="F102" s="1843" t="s">
        <v>597</v>
      </c>
      <c r="G102" s="1843" t="s">
        <v>597</v>
      </c>
      <c r="H102" s="1843" t="s">
        <v>597</v>
      </c>
      <c r="I102" s="1775">
        <f t="shared" si="11"/>
        <v>13.696613467837917</v>
      </c>
      <c r="J102" s="1812">
        <f t="shared" si="12"/>
        <v>232.20742923127239</v>
      </c>
      <c r="K102" s="1806"/>
    </row>
    <row r="103" spans="1:11" ht="30.6">
      <c r="A103" s="1844" t="s">
        <v>745</v>
      </c>
      <c r="B103" s="1845">
        <f>449799040.51</f>
        <v>449799040.50999999</v>
      </c>
      <c r="C103" s="1845">
        <f>656561333.65</f>
        <v>656561333.64999998</v>
      </c>
      <c r="D103" s="1843" t="s">
        <v>597</v>
      </c>
      <c r="E103" s="1843" t="s">
        <v>597</v>
      </c>
      <c r="F103" s="1843" t="s">
        <v>597</v>
      </c>
      <c r="G103" s="1843" t="s">
        <v>597</v>
      </c>
      <c r="H103" s="1843" t="s">
        <v>597</v>
      </c>
      <c r="I103" s="1775">
        <f t="shared" si="11"/>
        <v>11.56869104312868</v>
      </c>
      <c r="J103" s="1812">
        <f t="shared" si="12"/>
        <v>145.96770435649768</v>
      </c>
      <c r="K103" s="1806"/>
    </row>
    <row r="104" spans="1:11">
      <c r="A104" s="1844" t="s">
        <v>635</v>
      </c>
      <c r="B104" s="1845">
        <f>0</f>
        <v>0</v>
      </c>
      <c r="C104" s="1845">
        <f>0</f>
        <v>0</v>
      </c>
      <c r="D104" s="1843" t="s">
        <v>597</v>
      </c>
      <c r="E104" s="1843" t="s">
        <v>597</v>
      </c>
      <c r="F104" s="1843" t="s">
        <v>597</v>
      </c>
      <c r="G104" s="1843" t="s">
        <v>597</v>
      </c>
      <c r="H104" s="1843" t="s">
        <v>597</v>
      </c>
      <c r="I104" s="1775">
        <f t="shared" si="11"/>
        <v>0</v>
      </c>
      <c r="J104" s="1812" t="str">
        <f t="shared" si="12"/>
        <v/>
      </c>
      <c r="K104" s="1806"/>
    </row>
    <row r="105" spans="1:11" ht="30.6">
      <c r="A105" s="1844" t="s">
        <v>746</v>
      </c>
      <c r="B105" s="1845">
        <f>1168286091.34</f>
        <v>1168286091.3399999</v>
      </c>
      <c r="C105" s="1845">
        <f>1926979091.39</f>
        <v>1926979091.3900001</v>
      </c>
      <c r="D105" s="1843" t="s">
        <v>597</v>
      </c>
      <c r="E105" s="1843" t="s">
        <v>597</v>
      </c>
      <c r="F105" s="1843" t="s">
        <v>597</v>
      </c>
      <c r="G105" s="1843" t="s">
        <v>597</v>
      </c>
      <c r="H105" s="1843" t="s">
        <v>597</v>
      </c>
      <c r="I105" s="1775">
        <f t="shared" si="11"/>
        <v>33.953607397086685</v>
      </c>
      <c r="J105" s="1812">
        <f t="shared" si="12"/>
        <v>164.94068581949776</v>
      </c>
      <c r="K105" s="1806"/>
    </row>
    <row r="106" spans="1:11" ht="51">
      <c r="A106" s="1844" t="s">
        <v>747</v>
      </c>
      <c r="B106" s="1845">
        <f>0</f>
        <v>0</v>
      </c>
      <c r="C106" s="1845">
        <f>0</f>
        <v>0</v>
      </c>
      <c r="D106" s="1843" t="s">
        <v>597</v>
      </c>
      <c r="E106" s="1843" t="s">
        <v>597</v>
      </c>
      <c r="F106" s="1843" t="s">
        <v>597</v>
      </c>
      <c r="G106" s="1843" t="s">
        <v>597</v>
      </c>
      <c r="H106" s="1843" t="s">
        <v>597</v>
      </c>
      <c r="I106" s="1775"/>
      <c r="J106" s="1812"/>
      <c r="K106" s="1806"/>
    </row>
    <row r="107" spans="1:11">
      <c r="A107" s="1844" t="s">
        <v>638</v>
      </c>
      <c r="B107" s="1845">
        <f>111812781.84</f>
        <v>111812781.84</v>
      </c>
      <c r="C107" s="1845">
        <f>112312282.59</f>
        <v>112312282.59</v>
      </c>
      <c r="D107" s="1843" t="s">
        <v>597</v>
      </c>
      <c r="E107" s="1843" t="s">
        <v>597</v>
      </c>
      <c r="F107" s="1843" t="s">
        <v>597</v>
      </c>
      <c r="G107" s="1843" t="s">
        <v>597</v>
      </c>
      <c r="H107" s="1843" t="s">
        <v>597</v>
      </c>
      <c r="I107" s="1775"/>
      <c r="J107" s="1812"/>
      <c r="K107" s="1806"/>
    </row>
    <row r="108" spans="1:11" ht="20.399999999999999">
      <c r="A108" s="1846" t="s">
        <v>639</v>
      </c>
      <c r="B108" s="1845">
        <f>101812781.84</f>
        <v>101812781.84</v>
      </c>
      <c r="C108" s="1845">
        <f>107040967.65</f>
        <v>107040967.65000001</v>
      </c>
      <c r="D108" s="1843" t="s">
        <v>597</v>
      </c>
      <c r="E108" s="1843" t="s">
        <v>597</v>
      </c>
      <c r="F108" s="1843" t="s">
        <v>597</v>
      </c>
      <c r="G108" s="1843" t="s">
        <v>597</v>
      </c>
      <c r="H108" s="1843" t="s">
        <v>597</v>
      </c>
      <c r="I108" s="1775">
        <f t="shared" si="11"/>
        <v>1.8860749487274988</v>
      </c>
      <c r="J108" s="1812">
        <f t="shared" si="12"/>
        <v>105.13509769158077</v>
      </c>
      <c r="K108" s="1806"/>
    </row>
    <row r="109" spans="1:11" ht="26.4">
      <c r="A109" s="1842" t="s">
        <v>640</v>
      </c>
      <c r="B109" s="1843">
        <f>1648404458.94</f>
        <v>1648404458.9400001</v>
      </c>
      <c r="C109" s="1843">
        <f>1605207284.03</f>
        <v>1605207284.03</v>
      </c>
      <c r="D109" s="1843" t="s">
        <v>597</v>
      </c>
      <c r="E109" s="1843" t="s">
        <v>597</v>
      </c>
      <c r="F109" s="1843" t="s">
        <v>597</v>
      </c>
      <c r="G109" s="1843" t="s">
        <v>597</v>
      </c>
      <c r="H109" s="1843" t="s">
        <v>597</v>
      </c>
      <c r="I109" s="1775">
        <f t="shared" ref="I109:I114" si="13">IF($C$109=0,"",100*$C109/$C$109)</f>
        <v>100</v>
      </c>
      <c r="J109" s="1812">
        <f t="shared" si="12"/>
        <v>97.379455346912991</v>
      </c>
      <c r="K109" s="1806"/>
    </row>
    <row r="110" spans="1:11" ht="30.6">
      <c r="A110" s="1844" t="s">
        <v>748</v>
      </c>
      <c r="B110" s="1845">
        <f>1476909080.5</f>
        <v>1476909080.5</v>
      </c>
      <c r="C110" s="1845">
        <f>1450098062.46</f>
        <v>1450098062.46</v>
      </c>
      <c r="D110" s="1843" t="s">
        <v>597</v>
      </c>
      <c r="E110" s="1843" t="s">
        <v>597</v>
      </c>
      <c r="F110" s="1843" t="s">
        <v>597</v>
      </c>
      <c r="G110" s="1843" t="s">
        <v>597</v>
      </c>
      <c r="H110" s="1843" t="s">
        <v>597</v>
      </c>
      <c r="I110" s="1775">
        <f t="shared" si="13"/>
        <v>90.337121995821875</v>
      </c>
      <c r="J110" s="1812">
        <f t="shared" si="12"/>
        <v>98.184653449965708</v>
      </c>
      <c r="K110" s="1806"/>
    </row>
    <row r="111" spans="1:11">
      <c r="A111" s="1846" t="s">
        <v>642</v>
      </c>
      <c r="B111" s="1845">
        <f>54416330.88</f>
        <v>54416330.880000003</v>
      </c>
      <c r="C111" s="1845">
        <f>54416330.88</f>
        <v>54416330.880000003</v>
      </c>
      <c r="D111" s="1843" t="s">
        <v>597</v>
      </c>
      <c r="E111" s="1843" t="s">
        <v>597</v>
      </c>
      <c r="F111" s="1843" t="s">
        <v>597</v>
      </c>
      <c r="G111" s="1843" t="s">
        <v>597</v>
      </c>
      <c r="H111" s="1843" t="s">
        <v>597</v>
      </c>
      <c r="I111" s="1775">
        <f t="shared" si="13"/>
        <v>3.3899877867102304</v>
      </c>
      <c r="J111" s="1812">
        <f t="shared" si="12"/>
        <v>100</v>
      </c>
      <c r="K111" s="1806"/>
    </row>
    <row r="112" spans="1:11">
      <c r="A112" s="1844" t="s">
        <v>643</v>
      </c>
      <c r="B112" s="1845">
        <f>8275552</f>
        <v>8275552</v>
      </c>
      <c r="C112" s="1845">
        <f>10568372.4</f>
        <v>10568372.4</v>
      </c>
      <c r="D112" s="1843" t="s">
        <v>597</v>
      </c>
      <c r="E112" s="1843" t="s">
        <v>597</v>
      </c>
      <c r="F112" s="1843" t="s">
        <v>597</v>
      </c>
      <c r="G112" s="1843" t="s">
        <v>597</v>
      </c>
      <c r="H112" s="1843" t="s">
        <v>597</v>
      </c>
      <c r="I112" s="1775">
        <f t="shared" si="13"/>
        <v>0.65838054095214826</v>
      </c>
      <c r="J112" s="1812">
        <f t="shared" si="12"/>
        <v>127.70595121630556</v>
      </c>
      <c r="K112" s="1806"/>
    </row>
    <row r="113" spans="1:11">
      <c r="A113" s="1844" t="s">
        <v>644</v>
      </c>
      <c r="B113" s="1845">
        <f>163219826.44</f>
        <v>163219826.44</v>
      </c>
      <c r="C113" s="1845">
        <f>144540849.17</f>
        <v>144540849.16999999</v>
      </c>
      <c r="D113" s="1843" t="s">
        <v>597</v>
      </c>
      <c r="E113" s="1843" t="s">
        <v>597</v>
      </c>
      <c r="F113" s="1843" t="s">
        <v>597</v>
      </c>
      <c r="G113" s="1843" t="s">
        <v>597</v>
      </c>
      <c r="H113" s="1843" t="s">
        <v>597</v>
      </c>
      <c r="I113" s="1775">
        <f t="shared" si="13"/>
        <v>9.0044974632259791</v>
      </c>
      <c r="J113" s="1812">
        <f t="shared" si="12"/>
        <v>88.555938529400137</v>
      </c>
      <c r="K113" s="1806"/>
    </row>
    <row r="114" spans="1:11" ht="20.399999999999999">
      <c r="A114" s="1846" t="s">
        <v>645</v>
      </c>
      <c r="B114" s="1845">
        <f>124459517.05</f>
        <v>124459517.05</v>
      </c>
      <c r="C114" s="1845">
        <f>128962200.76</f>
        <v>128962200.76000001</v>
      </c>
      <c r="D114" s="1843" t="s">
        <v>597</v>
      </c>
      <c r="E114" s="1843" t="s">
        <v>597</v>
      </c>
      <c r="F114" s="1843" t="s">
        <v>597</v>
      </c>
      <c r="G114" s="1843" t="s">
        <v>597</v>
      </c>
      <c r="H114" s="1843" t="s">
        <v>597</v>
      </c>
      <c r="I114" s="1775">
        <f t="shared" si="13"/>
        <v>8.0339905034713137</v>
      </c>
      <c r="J114" s="1812">
        <f>IF(B114=0,"",100*C114/B114)</f>
        <v>103.61778979761837</v>
      </c>
      <c r="K114" s="1806"/>
    </row>
    <row r="115" spans="1:11">
      <c r="A115" s="1806"/>
      <c r="B115" s="1806"/>
      <c r="C115" s="1806"/>
      <c r="D115" s="1806"/>
      <c r="E115" s="1806"/>
      <c r="F115" s="1806"/>
      <c r="G115" s="1806"/>
      <c r="H115" s="1806"/>
      <c r="I115" s="1806"/>
      <c r="J115" s="1806"/>
      <c r="K115" s="1806"/>
    </row>
    <row r="116" spans="1:11">
      <c r="A116" s="1838" t="s">
        <v>1</v>
      </c>
      <c r="B116" s="1839" t="s">
        <v>627</v>
      </c>
      <c r="C116" s="1779" t="s">
        <v>628</v>
      </c>
      <c r="D116" s="1806"/>
      <c r="E116" s="1806"/>
      <c r="F116" s="1806"/>
      <c r="G116" s="1806"/>
      <c r="H116" s="1806"/>
      <c r="I116" s="1806"/>
      <c r="J116" s="1806"/>
      <c r="K116" s="1806"/>
    </row>
    <row r="117" spans="1:11">
      <c r="A117" s="1838"/>
      <c r="B117" s="2283" t="s">
        <v>163</v>
      </c>
      <c r="C117" s="2284"/>
      <c r="D117" s="1806"/>
      <c r="E117" s="1806"/>
      <c r="F117" s="1806"/>
      <c r="G117" s="1806"/>
      <c r="H117" s="1806"/>
      <c r="I117" s="1806"/>
      <c r="J117" s="1806"/>
      <c r="K117" s="1806"/>
    </row>
    <row r="118" spans="1:11">
      <c r="A118" s="1809">
        <v>1</v>
      </c>
      <c r="B118" s="1840">
        <v>2</v>
      </c>
      <c r="C118" s="1841">
        <v>3</v>
      </c>
      <c r="D118" s="1806"/>
      <c r="E118" s="1806"/>
      <c r="F118" s="1806"/>
      <c r="G118" s="1806"/>
      <c r="H118" s="1806"/>
      <c r="I118" s="1806"/>
      <c r="J118" s="1806"/>
      <c r="K118" s="1806"/>
    </row>
    <row r="119" spans="1:11" ht="30.6">
      <c r="A119" s="1847" t="s">
        <v>646</v>
      </c>
      <c r="B119" s="1845">
        <f>2987871213.56</f>
        <v>2987871213.5599999</v>
      </c>
      <c r="C119" s="1787">
        <f>954266184.8</f>
        <v>954266184.79999995</v>
      </c>
      <c r="D119" s="1806"/>
      <c r="E119" s="1806"/>
      <c r="F119" s="1806"/>
      <c r="G119" s="1806"/>
      <c r="H119" s="1806"/>
      <c r="I119" s="1806"/>
      <c r="J119" s="1806"/>
      <c r="K119" s="1806"/>
    </row>
    <row r="120" spans="1:11" ht="30.6">
      <c r="A120" s="1848" t="s">
        <v>647</v>
      </c>
      <c r="B120" s="1845">
        <f>26091343.32</f>
        <v>26091343.32</v>
      </c>
      <c r="C120" s="1787">
        <f>10855717.21</f>
        <v>10855717.210000001</v>
      </c>
      <c r="D120" s="1806"/>
      <c r="E120" s="1806"/>
      <c r="F120" s="1806"/>
      <c r="G120" s="1806"/>
      <c r="H120" s="1806"/>
      <c r="I120" s="1806"/>
      <c r="J120" s="1806"/>
      <c r="K120" s="1806"/>
    </row>
    <row r="121" spans="1:11">
      <c r="A121" s="1848" t="s">
        <v>648</v>
      </c>
      <c r="B121" s="1845">
        <f>1391378801.12</f>
        <v>1391378801.1199999</v>
      </c>
      <c r="C121" s="1787">
        <f>571703512.01</f>
        <v>571703512.00999999</v>
      </c>
      <c r="D121" s="1806"/>
      <c r="E121" s="1806"/>
      <c r="F121" s="1806"/>
      <c r="G121" s="1806"/>
      <c r="H121" s="1806"/>
      <c r="I121" s="1806"/>
      <c r="J121" s="1806"/>
      <c r="K121" s="1806"/>
    </row>
    <row r="122" spans="1:11" ht="20.399999999999999">
      <c r="A122" s="1848" t="s">
        <v>649</v>
      </c>
      <c r="B122" s="1845">
        <f>0</f>
        <v>0</v>
      </c>
      <c r="C122" s="1787">
        <f>0</f>
        <v>0</v>
      </c>
      <c r="D122" s="1806"/>
      <c r="E122" s="1806"/>
      <c r="F122" s="1806"/>
      <c r="G122" s="1806"/>
      <c r="H122" s="1806"/>
      <c r="I122" s="1806"/>
      <c r="J122" s="1806"/>
      <c r="K122" s="1806"/>
    </row>
    <row r="123" spans="1:11" ht="51">
      <c r="A123" s="1848" t="s">
        <v>650</v>
      </c>
      <c r="B123" s="1845">
        <f>287233970.77</f>
        <v>287233970.76999998</v>
      </c>
      <c r="C123" s="1787">
        <f>55776401.73</f>
        <v>55776401.729999997</v>
      </c>
      <c r="D123" s="1806"/>
      <c r="E123" s="1806"/>
      <c r="F123" s="1806"/>
      <c r="G123" s="1806"/>
      <c r="H123" s="1806"/>
      <c r="I123" s="1806"/>
      <c r="J123" s="1806"/>
      <c r="K123" s="1806"/>
    </row>
    <row r="124" spans="1:11" ht="61.2">
      <c r="A124" s="1848" t="s">
        <v>651</v>
      </c>
      <c r="B124" s="1845">
        <f>833025301.71</f>
        <v>833025301.71000004</v>
      </c>
      <c r="C124" s="1787">
        <f>149439587.36</f>
        <v>149439587.36000001</v>
      </c>
      <c r="D124" s="1806"/>
      <c r="E124" s="1806"/>
      <c r="F124" s="1806"/>
      <c r="G124" s="1806"/>
      <c r="H124" s="1806"/>
      <c r="I124" s="1806"/>
      <c r="J124" s="1806"/>
      <c r="K124" s="1806"/>
    </row>
    <row r="125" spans="1:11" ht="112.2">
      <c r="A125" s="1848" t="s">
        <v>652</v>
      </c>
      <c r="B125" s="1845">
        <f>401113401.14</f>
        <v>401113401.13999999</v>
      </c>
      <c r="C125" s="1787">
        <f>159627683.78</f>
        <v>159627683.78</v>
      </c>
      <c r="D125" s="1806"/>
      <c r="E125" s="1806"/>
      <c r="F125" s="1806"/>
      <c r="G125" s="1806"/>
      <c r="H125" s="1806"/>
      <c r="I125" s="1806"/>
      <c r="J125" s="1806"/>
      <c r="K125" s="1806"/>
    </row>
    <row r="126" spans="1:11" ht="20.399999999999999">
      <c r="A126" s="1848" t="s">
        <v>653</v>
      </c>
      <c r="B126" s="1845">
        <f>6089562.12</f>
        <v>6089562.1200000001</v>
      </c>
      <c r="C126" s="1787">
        <f>317050</f>
        <v>317050</v>
      </c>
      <c r="D126" s="1806"/>
      <c r="E126" s="1806"/>
      <c r="F126" s="1806"/>
      <c r="G126" s="1806"/>
      <c r="H126" s="1806"/>
      <c r="I126" s="1806"/>
      <c r="J126" s="1806"/>
      <c r="K126" s="1806"/>
    </row>
    <row r="127" spans="1:11" ht="20.399999999999999">
      <c r="A127" s="1848" t="s">
        <v>639</v>
      </c>
      <c r="B127" s="1845">
        <f>42938833.38</f>
        <v>42938833.380000003</v>
      </c>
      <c r="C127" s="1787">
        <f>6546232.71</f>
        <v>6546232.71</v>
      </c>
      <c r="D127" s="1806"/>
      <c r="E127" s="1806"/>
      <c r="F127" s="1806"/>
      <c r="G127" s="1806"/>
      <c r="H127" s="1806"/>
      <c r="I127" s="1806"/>
      <c r="J127" s="1806"/>
      <c r="K127" s="1806"/>
    </row>
    <row r="129" spans="1:4">
      <c r="A129" s="2255" t="s">
        <v>884</v>
      </c>
      <c r="B129" s="2255"/>
      <c r="C129" s="2255"/>
      <c r="D129" s="2255"/>
    </row>
  </sheetData>
  <mergeCells count="26">
    <mergeCell ref="F61:G61"/>
    <mergeCell ref="B63:H63"/>
    <mergeCell ref="A3:A4"/>
    <mergeCell ref="B4:H4"/>
    <mergeCell ref="I4:K4"/>
    <mergeCell ref="I63:J63"/>
    <mergeCell ref="A60:A63"/>
    <mergeCell ref="B60:B62"/>
    <mergeCell ref="C60:C62"/>
    <mergeCell ref="D60:D62"/>
    <mergeCell ref="E60:G60"/>
    <mergeCell ref="H60:H62"/>
    <mergeCell ref="I60:I62"/>
    <mergeCell ref="J60:J62"/>
    <mergeCell ref="E61:E62"/>
    <mergeCell ref="A79:A80"/>
    <mergeCell ref="B79:C79"/>
    <mergeCell ref="D79:E79"/>
    <mergeCell ref="A84:A85"/>
    <mergeCell ref="B84:C84"/>
    <mergeCell ref="D84:E84"/>
    <mergeCell ref="D95:H97"/>
    <mergeCell ref="B96:C96"/>
    <mergeCell ref="I96:J96"/>
    <mergeCell ref="B117:C117"/>
    <mergeCell ref="A129:D129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2" manualBreakCount="2">
    <brk id="58" max="10" man="1"/>
    <brk id="88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93B1-7BD4-4C62-A981-154288931572}">
  <dimension ref="A1:Q65"/>
  <sheetViews>
    <sheetView view="pageBreakPreview" topLeftCell="A3" zoomScaleNormal="100" zoomScaleSheetLayoutView="100" workbookViewId="0">
      <selection activeCell="C21" sqref="C21"/>
    </sheetView>
  </sheetViews>
  <sheetFormatPr defaultColWidth="9.21875" defaultRowHeight="13.8"/>
  <cols>
    <col min="1" max="1" width="28.21875" style="431" customWidth="1"/>
    <col min="2" max="2" width="14.77734375" style="431" customWidth="1"/>
    <col min="3" max="3" width="12.21875" style="431" bestFit="1" customWidth="1"/>
    <col min="4" max="4" width="11" style="431" customWidth="1"/>
    <col min="5" max="7" width="10.21875" style="431" bestFit="1" customWidth="1"/>
    <col min="8" max="8" width="9.44140625" style="431" bestFit="1" customWidth="1"/>
    <col min="9" max="9" width="10.44140625" style="431" bestFit="1" customWidth="1"/>
    <col min="10" max="10" width="12" style="431" bestFit="1" customWidth="1"/>
    <col min="11" max="11" width="12.21875" style="431" customWidth="1"/>
    <col min="12" max="12" width="10.21875" style="431" bestFit="1" customWidth="1"/>
    <col min="13" max="14" width="11.21875" style="431" bestFit="1" customWidth="1"/>
    <col min="15" max="15" width="9.44140625" style="431" bestFit="1" customWidth="1"/>
    <col min="16" max="17" width="8.77734375" style="431" bestFit="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1750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1750"/>
      <c r="O2" s="1750"/>
      <c r="P2" s="1750"/>
      <c r="Q2" s="1750"/>
    </row>
    <row r="3" spans="1:17">
      <c r="A3" s="2326" t="s">
        <v>1</v>
      </c>
      <c r="B3" s="2329" t="s">
        <v>655</v>
      </c>
      <c r="C3" s="2322" t="s">
        <v>656</v>
      </c>
      <c r="D3" s="2323"/>
      <c r="E3" s="2323"/>
      <c r="F3" s="2323"/>
      <c r="G3" s="2323"/>
      <c r="H3" s="2323"/>
      <c r="I3" s="2323"/>
      <c r="J3" s="2323"/>
      <c r="K3" s="2323"/>
      <c r="L3" s="2323"/>
      <c r="M3" s="2323"/>
      <c r="N3" s="2324"/>
      <c r="O3" s="2344" t="s">
        <v>657</v>
      </c>
      <c r="P3" s="2345"/>
      <c r="Q3" s="2346"/>
    </row>
    <row r="4" spans="1:17">
      <c r="A4" s="2327"/>
      <c r="B4" s="2330"/>
      <c r="C4" s="2331" t="s">
        <v>658</v>
      </c>
      <c r="D4" s="2331" t="s">
        <v>659</v>
      </c>
      <c r="E4" s="2331" t="s">
        <v>660</v>
      </c>
      <c r="F4" s="2331" t="s">
        <v>661</v>
      </c>
      <c r="G4" s="2331" t="s">
        <v>662</v>
      </c>
      <c r="H4" s="2331" t="s">
        <v>663</v>
      </c>
      <c r="I4" s="2347" t="s">
        <v>664</v>
      </c>
      <c r="J4" s="2331" t="s">
        <v>665</v>
      </c>
      <c r="K4" s="2331" t="s">
        <v>666</v>
      </c>
      <c r="L4" s="2331" t="s">
        <v>667</v>
      </c>
      <c r="M4" s="2331" t="s">
        <v>668</v>
      </c>
      <c r="N4" s="233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27"/>
      <c r="B5" s="2330"/>
      <c r="C5" s="2325"/>
      <c r="D5" s="2325"/>
      <c r="E5" s="2325"/>
      <c r="F5" s="2325"/>
      <c r="G5" s="2325"/>
      <c r="H5" s="2325"/>
      <c r="I5" s="2347"/>
      <c r="J5" s="2325"/>
      <c r="K5" s="2325"/>
      <c r="L5" s="2325"/>
      <c r="M5" s="2325"/>
      <c r="N5" s="2330"/>
      <c r="O5" s="2338"/>
      <c r="P5" s="2338"/>
      <c r="Q5" s="2338"/>
    </row>
    <row r="6" spans="1:17" ht="27.75" customHeight="1">
      <c r="A6" s="2327"/>
      <c r="B6" s="2330"/>
      <c r="C6" s="2325"/>
      <c r="D6" s="2325"/>
      <c r="E6" s="2325"/>
      <c r="F6" s="2325"/>
      <c r="G6" s="2325"/>
      <c r="H6" s="2325"/>
      <c r="I6" s="2347"/>
      <c r="J6" s="2325"/>
      <c r="K6" s="2325"/>
      <c r="L6" s="2325"/>
      <c r="M6" s="2325"/>
      <c r="N6" s="2330"/>
      <c r="O6" s="2338"/>
      <c r="P6" s="2338"/>
      <c r="Q6" s="2338"/>
    </row>
    <row r="7" spans="1:17" ht="25.2" customHeight="1">
      <c r="A7" s="2328"/>
      <c r="B7" s="2331"/>
      <c r="C7" s="2325"/>
      <c r="D7" s="2325"/>
      <c r="E7" s="2325"/>
      <c r="F7" s="2325"/>
      <c r="G7" s="2325"/>
      <c r="H7" s="2325"/>
      <c r="I7" s="2348"/>
      <c r="J7" s="2325"/>
      <c r="K7" s="2325"/>
      <c r="L7" s="2325"/>
      <c r="M7" s="2325"/>
      <c r="N7" s="233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 ht="14.4">
      <c r="A9" s="2072"/>
      <c r="B9" s="2342" t="s">
        <v>163</v>
      </c>
      <c r="C9" s="2343"/>
      <c r="D9" s="2343"/>
      <c r="E9" s="2343"/>
      <c r="F9" s="2343"/>
      <c r="G9" s="2343"/>
      <c r="H9" s="2343"/>
      <c r="I9" s="2343"/>
      <c r="J9" s="2343"/>
      <c r="K9" s="2343"/>
      <c r="L9" s="2343"/>
      <c r="M9" s="2343"/>
      <c r="N9" s="2343"/>
      <c r="O9" s="2305"/>
      <c r="P9" s="2305"/>
      <c r="Q9" s="2285"/>
    </row>
    <row r="10" spans="1:17" ht="24">
      <c r="A10" s="1850" t="s">
        <v>673</v>
      </c>
      <c r="B10" s="1851">
        <f>10926224349.63</f>
        <v>10926224349.629999</v>
      </c>
      <c r="C10" s="1851">
        <f>10926223311.86</f>
        <v>10926223311.860001</v>
      </c>
      <c r="D10" s="1851">
        <f>378248671.96</f>
        <v>378248671.95999998</v>
      </c>
      <c r="E10" s="1851">
        <f>136555426.42</f>
        <v>136555426.41999999</v>
      </c>
      <c r="F10" s="1851">
        <f>98896950.57</f>
        <v>98896950.569999993</v>
      </c>
      <c r="G10" s="1851">
        <f>142796294.97</f>
        <v>142796294.97</v>
      </c>
      <c r="H10" s="1851">
        <f>0</f>
        <v>0</v>
      </c>
      <c r="I10" s="1851">
        <f>0</f>
        <v>0</v>
      </c>
      <c r="J10" s="1851">
        <f>10141862626.82</f>
        <v>10141862626.82</v>
      </c>
      <c r="K10" s="1851">
        <f>322685113.87</f>
        <v>322685113.87</v>
      </c>
      <c r="L10" s="1851">
        <f>70545112.27</f>
        <v>70545112.269999996</v>
      </c>
      <c r="M10" s="1851">
        <f>5517429.88</f>
        <v>5517429.8799999999</v>
      </c>
      <c r="N10" s="1851">
        <f>7364357.06</f>
        <v>7364357.0599999996</v>
      </c>
      <c r="O10" s="1851">
        <f>1037.77</f>
        <v>1037.77</v>
      </c>
      <c r="P10" s="1851">
        <f>0</f>
        <v>0</v>
      </c>
      <c r="Q10" s="1851">
        <f>1037.77</f>
        <v>1037.77</v>
      </c>
    </row>
    <row r="11" spans="1:17" ht="24">
      <c r="A11" s="2495" t="s">
        <v>749</v>
      </c>
      <c r="B11" s="1851">
        <f>639400000</f>
        <v>639400000</v>
      </c>
      <c r="C11" s="1851">
        <f>639400000</f>
        <v>639400000</v>
      </c>
      <c r="D11" s="1851">
        <f>0</f>
        <v>0</v>
      </c>
      <c r="E11" s="1851">
        <f>0</f>
        <v>0</v>
      </c>
      <c r="F11" s="1851">
        <f>0</f>
        <v>0</v>
      </c>
      <c r="G11" s="1851">
        <f>0</f>
        <v>0</v>
      </c>
      <c r="H11" s="1851">
        <f>0</f>
        <v>0</v>
      </c>
      <c r="I11" s="1851">
        <f>0</f>
        <v>0</v>
      </c>
      <c r="J11" s="1851">
        <f>618200000</f>
        <v>618200000</v>
      </c>
      <c r="K11" s="1851">
        <f>21200000</f>
        <v>21200000</v>
      </c>
      <c r="L11" s="1851">
        <f>0</f>
        <v>0</v>
      </c>
      <c r="M11" s="1851">
        <f>0</f>
        <v>0</v>
      </c>
      <c r="N11" s="1851">
        <f>0</f>
        <v>0</v>
      </c>
      <c r="O11" s="1851">
        <f>0</f>
        <v>0</v>
      </c>
      <c r="P11" s="1851">
        <f>0</f>
        <v>0</v>
      </c>
      <c r="Q11" s="1851">
        <f>0</f>
        <v>0</v>
      </c>
    </row>
    <row r="12" spans="1:17">
      <c r="A12" s="2496" t="s">
        <v>675</v>
      </c>
      <c r="B12" s="1851">
        <f>0</f>
        <v>0</v>
      </c>
      <c r="C12" s="1851">
        <f>0</f>
        <v>0</v>
      </c>
      <c r="D12" s="1851">
        <f>0</f>
        <v>0</v>
      </c>
      <c r="E12" s="1851">
        <f>0</f>
        <v>0</v>
      </c>
      <c r="F12" s="1851">
        <f>0</f>
        <v>0</v>
      </c>
      <c r="G12" s="1851">
        <f>0</f>
        <v>0</v>
      </c>
      <c r="H12" s="1851">
        <f>0</f>
        <v>0</v>
      </c>
      <c r="I12" s="1851">
        <f>0</f>
        <v>0</v>
      </c>
      <c r="J12" s="1851">
        <f>0</f>
        <v>0</v>
      </c>
      <c r="K12" s="1851">
        <f>0</f>
        <v>0</v>
      </c>
      <c r="L12" s="1851">
        <f>0</f>
        <v>0</v>
      </c>
      <c r="M12" s="1851">
        <f>0</f>
        <v>0</v>
      </c>
      <c r="N12" s="1851">
        <f>0</f>
        <v>0</v>
      </c>
      <c r="O12" s="1851">
        <f>0</f>
        <v>0</v>
      </c>
      <c r="P12" s="1851">
        <f>0</f>
        <v>0</v>
      </c>
      <c r="Q12" s="1851">
        <f>0</f>
        <v>0</v>
      </c>
    </row>
    <row r="13" spans="1:17">
      <c r="A13" s="2496" t="s">
        <v>676</v>
      </c>
      <c r="B13" s="1851">
        <f>639400000</f>
        <v>639400000</v>
      </c>
      <c r="C13" s="1851">
        <f>639400000</f>
        <v>639400000</v>
      </c>
      <c r="D13" s="1851">
        <f>0</f>
        <v>0</v>
      </c>
      <c r="E13" s="1851">
        <f>0</f>
        <v>0</v>
      </c>
      <c r="F13" s="1851">
        <f>0</f>
        <v>0</v>
      </c>
      <c r="G13" s="1851">
        <f>0</f>
        <v>0</v>
      </c>
      <c r="H13" s="1851">
        <f>0</f>
        <v>0</v>
      </c>
      <c r="I13" s="1851">
        <f>0</f>
        <v>0</v>
      </c>
      <c r="J13" s="1851">
        <f>618200000</f>
        <v>618200000</v>
      </c>
      <c r="K13" s="1851">
        <f>21200000</f>
        <v>21200000</v>
      </c>
      <c r="L13" s="1851">
        <f>0</f>
        <v>0</v>
      </c>
      <c r="M13" s="1851">
        <f>0</f>
        <v>0</v>
      </c>
      <c r="N13" s="1851">
        <f>0</f>
        <v>0</v>
      </c>
      <c r="O13" s="1851">
        <f>0</f>
        <v>0</v>
      </c>
      <c r="P13" s="1851">
        <f>0</f>
        <v>0</v>
      </c>
      <c r="Q13" s="1851">
        <f>0</f>
        <v>0</v>
      </c>
    </row>
    <row r="14" spans="1:17" ht="24">
      <c r="A14" s="2497" t="s">
        <v>750</v>
      </c>
      <c r="B14" s="1851">
        <f>10280465482.68</f>
        <v>10280465482.68</v>
      </c>
      <c r="C14" s="1851">
        <f>10280465482.68</f>
        <v>10280465482.68</v>
      </c>
      <c r="D14" s="1851">
        <f>377664161.58</f>
        <v>377664161.57999998</v>
      </c>
      <c r="E14" s="1851">
        <f>136554802.87</f>
        <v>136554802.87</v>
      </c>
      <c r="F14" s="1851">
        <f>98885267.66</f>
        <v>98885267.659999996</v>
      </c>
      <c r="G14" s="1851">
        <f>142224091.05</f>
        <v>142224091.05000001</v>
      </c>
      <c r="H14" s="1851">
        <f>0</f>
        <v>0</v>
      </c>
      <c r="I14" s="1851">
        <f>0</f>
        <v>0</v>
      </c>
      <c r="J14" s="1851">
        <f>9523660677.64</f>
        <v>9523660677.6399994</v>
      </c>
      <c r="K14" s="1851">
        <f>301484981.57</f>
        <v>301484981.56999999</v>
      </c>
      <c r="L14" s="1851">
        <f>65370965.18</f>
        <v>65370965.18</v>
      </c>
      <c r="M14" s="1851">
        <f>5200664.78</f>
        <v>5200664.78</v>
      </c>
      <c r="N14" s="1851">
        <f>7084031.93</f>
        <v>7084031.9299999997</v>
      </c>
      <c r="O14" s="1851">
        <f>0</f>
        <v>0</v>
      </c>
      <c r="P14" s="1851">
        <f>0</f>
        <v>0</v>
      </c>
      <c r="Q14" s="1851">
        <f>0</f>
        <v>0</v>
      </c>
    </row>
    <row r="15" spans="1:17">
      <c r="A15" s="2498" t="s">
        <v>678</v>
      </c>
      <c r="B15" s="1851">
        <f>23506646.18</f>
        <v>23506646.18</v>
      </c>
      <c r="C15" s="1851">
        <f>23506646.18</f>
        <v>23506646.18</v>
      </c>
      <c r="D15" s="1851">
        <f>142180.17</f>
        <v>142180.17000000001</v>
      </c>
      <c r="E15" s="1851">
        <f>0</f>
        <v>0</v>
      </c>
      <c r="F15" s="1851">
        <f>142180.17</f>
        <v>142180.17000000001</v>
      </c>
      <c r="G15" s="1851">
        <f>0</f>
        <v>0</v>
      </c>
      <c r="H15" s="1851">
        <f>0</f>
        <v>0</v>
      </c>
      <c r="I15" s="1851">
        <f>0</f>
        <v>0</v>
      </c>
      <c r="J15" s="1851">
        <f>23364466.01</f>
        <v>23364466.010000002</v>
      </c>
      <c r="K15" s="1851">
        <f>0</f>
        <v>0</v>
      </c>
      <c r="L15" s="1851">
        <f>0</f>
        <v>0</v>
      </c>
      <c r="M15" s="1851">
        <f>0</f>
        <v>0</v>
      </c>
      <c r="N15" s="1851">
        <f>0</f>
        <v>0</v>
      </c>
      <c r="O15" s="1851">
        <f>0</f>
        <v>0</v>
      </c>
      <c r="P15" s="1851">
        <f>0</f>
        <v>0</v>
      </c>
      <c r="Q15" s="1851">
        <f>0</f>
        <v>0</v>
      </c>
    </row>
    <row r="16" spans="1:17">
      <c r="A16" s="2499" t="s">
        <v>679</v>
      </c>
      <c r="B16" s="1851">
        <f>10256958836.5</f>
        <v>10256958836.5</v>
      </c>
      <c r="C16" s="1851">
        <f>10256958836.5</f>
        <v>10256958836.5</v>
      </c>
      <c r="D16" s="1851">
        <f>377521981.41</f>
        <v>377521981.41000003</v>
      </c>
      <c r="E16" s="1851">
        <f>136554802.87</f>
        <v>136554802.87</v>
      </c>
      <c r="F16" s="1851">
        <f>98743087.49</f>
        <v>98743087.489999995</v>
      </c>
      <c r="G16" s="1851">
        <f>142224091.05</f>
        <v>142224091.05000001</v>
      </c>
      <c r="H16" s="1851">
        <f>0</f>
        <v>0</v>
      </c>
      <c r="I16" s="1851">
        <f>0</f>
        <v>0</v>
      </c>
      <c r="J16" s="1851">
        <f>9500296211.63</f>
        <v>9500296211.6299992</v>
      </c>
      <c r="K16" s="1851">
        <f>301484981.57</f>
        <v>301484981.56999999</v>
      </c>
      <c r="L16" s="1851">
        <f>65370965.18</f>
        <v>65370965.18</v>
      </c>
      <c r="M16" s="1851">
        <f>5200664.78</f>
        <v>5200664.78</v>
      </c>
      <c r="N16" s="1851">
        <f>7084031.93</f>
        <v>7084031.9299999997</v>
      </c>
      <c r="O16" s="1851">
        <f>0</f>
        <v>0</v>
      </c>
      <c r="P16" s="1851">
        <f>0</f>
        <v>0</v>
      </c>
      <c r="Q16" s="1851">
        <f>0</f>
        <v>0</v>
      </c>
    </row>
    <row r="17" spans="1:17">
      <c r="A17" s="2500" t="s">
        <v>680</v>
      </c>
      <c r="B17" s="1851">
        <f>0</f>
        <v>0</v>
      </c>
      <c r="C17" s="1851">
        <f>0</f>
        <v>0</v>
      </c>
      <c r="D17" s="1851">
        <f>0</f>
        <v>0</v>
      </c>
      <c r="E17" s="1851">
        <f>0</f>
        <v>0</v>
      </c>
      <c r="F17" s="1851">
        <f>0</f>
        <v>0</v>
      </c>
      <c r="G17" s="1851">
        <f>0</f>
        <v>0</v>
      </c>
      <c r="H17" s="1851">
        <f>0</f>
        <v>0</v>
      </c>
      <c r="I17" s="1851">
        <f>0</f>
        <v>0</v>
      </c>
      <c r="J17" s="1851">
        <f>0</f>
        <v>0</v>
      </c>
      <c r="K17" s="1851">
        <f>0</f>
        <v>0</v>
      </c>
      <c r="L17" s="1851">
        <f>0</f>
        <v>0</v>
      </c>
      <c r="M17" s="1851">
        <f>0</f>
        <v>0</v>
      </c>
      <c r="N17" s="1851">
        <f>0</f>
        <v>0</v>
      </c>
      <c r="O17" s="1851">
        <f>0</f>
        <v>0</v>
      </c>
      <c r="P17" s="1851">
        <f>0</f>
        <v>0</v>
      </c>
      <c r="Q17" s="1851">
        <f>0</f>
        <v>0</v>
      </c>
    </row>
    <row r="18" spans="1:17" ht="24">
      <c r="A18" s="2501" t="s">
        <v>751</v>
      </c>
      <c r="B18" s="1851">
        <f>6358866.95</f>
        <v>6358866.9500000002</v>
      </c>
      <c r="C18" s="1851">
        <f>6357829.18</f>
        <v>6357829.1799999997</v>
      </c>
      <c r="D18" s="1851">
        <f>584510.38</f>
        <v>584510.38</v>
      </c>
      <c r="E18" s="1851">
        <f>623.55</f>
        <v>623.54999999999995</v>
      </c>
      <c r="F18" s="1851">
        <f>11682.91</f>
        <v>11682.91</v>
      </c>
      <c r="G18" s="1851">
        <f>572203.92</f>
        <v>572203.92000000004</v>
      </c>
      <c r="H18" s="1851">
        <f>0</f>
        <v>0</v>
      </c>
      <c r="I18" s="1851">
        <f>0</f>
        <v>0</v>
      </c>
      <c r="J18" s="1851">
        <f>1949.18</f>
        <v>1949.18</v>
      </c>
      <c r="K18" s="1851">
        <f>132.3</f>
        <v>132.30000000000001</v>
      </c>
      <c r="L18" s="1851">
        <f>5174147.09</f>
        <v>5174147.09</v>
      </c>
      <c r="M18" s="1851">
        <f>316765.1</f>
        <v>316765.09999999998</v>
      </c>
      <c r="N18" s="1851">
        <f>280325.13</f>
        <v>280325.13</v>
      </c>
      <c r="O18" s="1851">
        <f>1037.77</f>
        <v>1037.77</v>
      </c>
      <c r="P18" s="1851">
        <f>0</f>
        <v>0</v>
      </c>
      <c r="Q18" s="1851">
        <f>1037.77</f>
        <v>1037.77</v>
      </c>
    </row>
    <row r="19" spans="1:17" ht="22.8">
      <c r="A19" s="2496" t="s">
        <v>682</v>
      </c>
      <c r="B19" s="1851">
        <f>1314924.21</f>
        <v>1314924.21</v>
      </c>
      <c r="C19" s="1851">
        <f>1314924.21</f>
        <v>1314924.21</v>
      </c>
      <c r="D19" s="1851">
        <f>388412.51</f>
        <v>388412.51</v>
      </c>
      <c r="E19" s="1851">
        <f>0</f>
        <v>0</v>
      </c>
      <c r="F19" s="1851">
        <f>5609.19</f>
        <v>5609.19</v>
      </c>
      <c r="G19" s="1851">
        <f>382803.32</f>
        <v>382803.32</v>
      </c>
      <c r="H19" s="1851">
        <f>0</f>
        <v>0</v>
      </c>
      <c r="I19" s="1851">
        <f>0</f>
        <v>0</v>
      </c>
      <c r="J19" s="1851">
        <f>0</f>
        <v>0</v>
      </c>
      <c r="K19" s="1851">
        <f>12.3</f>
        <v>12.3</v>
      </c>
      <c r="L19" s="1851">
        <f>511923.66</f>
        <v>511923.66</v>
      </c>
      <c r="M19" s="1851">
        <f>134826.86</f>
        <v>134826.85999999999</v>
      </c>
      <c r="N19" s="1851">
        <f>279748.88</f>
        <v>279748.88</v>
      </c>
      <c r="O19" s="1851">
        <f>0</f>
        <v>0</v>
      </c>
      <c r="P19" s="1851">
        <f>0</f>
        <v>0</v>
      </c>
      <c r="Q19" s="1851">
        <f>0</f>
        <v>0</v>
      </c>
    </row>
    <row r="20" spans="1:17">
      <c r="A20" s="1852" t="s">
        <v>683</v>
      </c>
      <c r="B20" s="1851">
        <f>5043942.74</f>
        <v>5043942.74</v>
      </c>
      <c r="C20" s="1851">
        <f>5042904.97</f>
        <v>5042904.97</v>
      </c>
      <c r="D20" s="1851">
        <f>196097.87</f>
        <v>196097.87</v>
      </c>
      <c r="E20" s="1851">
        <f>623.55</f>
        <v>623.54999999999995</v>
      </c>
      <c r="F20" s="1851">
        <f>6073.72</f>
        <v>6073.72</v>
      </c>
      <c r="G20" s="1851">
        <f>189400.6</f>
        <v>189400.6</v>
      </c>
      <c r="H20" s="1851">
        <f>0</f>
        <v>0</v>
      </c>
      <c r="I20" s="1851">
        <f>0</f>
        <v>0</v>
      </c>
      <c r="J20" s="1851">
        <f>1949.18</f>
        <v>1949.18</v>
      </c>
      <c r="K20" s="1851">
        <f>120</f>
        <v>120</v>
      </c>
      <c r="L20" s="1851">
        <f>4662223.43</f>
        <v>4662223.43</v>
      </c>
      <c r="M20" s="1851">
        <f>181938.24</f>
        <v>181938.24</v>
      </c>
      <c r="N20" s="1851">
        <f>576.25</f>
        <v>576.25</v>
      </c>
      <c r="O20" s="1851">
        <f>1037.77</f>
        <v>1037.77</v>
      </c>
      <c r="P20" s="1851">
        <f>0</f>
        <v>0</v>
      </c>
      <c r="Q20" s="1851">
        <f>1037.77</f>
        <v>1037.77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 ht="14.25" customHeight="1">
      <c r="A22" s="2105" t="s">
        <v>684</v>
      </c>
      <c r="B22" s="2105"/>
      <c r="C22" s="2105"/>
      <c r="D22" s="2105"/>
      <c r="E22" s="2105"/>
      <c r="F22" s="2105"/>
      <c r="G22" s="2105"/>
      <c r="H22" s="2105"/>
      <c r="I22" s="2105"/>
      <c r="J22" s="2105"/>
      <c r="K22" s="2105"/>
      <c r="L22" s="2105"/>
      <c r="M22" s="2105"/>
      <c r="N22" s="1855"/>
      <c r="O22" s="1855"/>
      <c r="P22" s="1855"/>
      <c r="Q22" s="1855"/>
    </row>
    <row r="23" spans="1:17">
      <c r="A23" s="1855"/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</row>
    <row r="24" spans="1:17">
      <c r="A24" s="2332" t="s">
        <v>1</v>
      </c>
      <c r="B24" s="2329" t="s">
        <v>685</v>
      </c>
      <c r="C24" s="2322" t="s">
        <v>686</v>
      </c>
      <c r="D24" s="2323"/>
      <c r="E24" s="2323"/>
      <c r="F24" s="2323"/>
      <c r="G24" s="2323"/>
      <c r="H24" s="2323"/>
      <c r="I24" s="2323"/>
      <c r="J24" s="2323"/>
      <c r="K24" s="2323"/>
      <c r="L24" s="2323"/>
      <c r="M24" s="2323"/>
      <c r="N24" s="2324"/>
      <c r="O24" s="2335" t="s">
        <v>687</v>
      </c>
      <c r="P24" s="2336"/>
      <c r="Q24" s="2337"/>
    </row>
    <row r="25" spans="1:17">
      <c r="A25" s="2333"/>
      <c r="B25" s="2330"/>
      <c r="C25" s="2330" t="s">
        <v>688</v>
      </c>
      <c r="D25" s="2325" t="s">
        <v>689</v>
      </c>
      <c r="E25" s="2325" t="s">
        <v>690</v>
      </c>
      <c r="F25" s="2325" t="s">
        <v>691</v>
      </c>
      <c r="G25" s="2325" t="s">
        <v>692</v>
      </c>
      <c r="H25" s="2325" t="s">
        <v>663</v>
      </c>
      <c r="I25" s="2325" t="s">
        <v>693</v>
      </c>
      <c r="J25" s="2325" t="s">
        <v>665</v>
      </c>
      <c r="K25" s="2325" t="s">
        <v>666</v>
      </c>
      <c r="L25" s="2325" t="s">
        <v>667</v>
      </c>
      <c r="M25" s="2325" t="s">
        <v>668</v>
      </c>
      <c r="N25" s="2325" t="s">
        <v>669</v>
      </c>
      <c r="O25" s="2338" t="s">
        <v>670</v>
      </c>
      <c r="P25" s="2338" t="s">
        <v>671</v>
      </c>
      <c r="Q25" s="2339" t="s">
        <v>672</v>
      </c>
    </row>
    <row r="26" spans="1:17">
      <c r="A26" s="2333"/>
      <c r="B26" s="2330"/>
      <c r="C26" s="2330"/>
      <c r="D26" s="2325"/>
      <c r="E26" s="2325"/>
      <c r="F26" s="2325"/>
      <c r="G26" s="2325"/>
      <c r="H26" s="2325"/>
      <c r="I26" s="2325"/>
      <c r="J26" s="2325"/>
      <c r="K26" s="2325"/>
      <c r="L26" s="2325"/>
      <c r="M26" s="2325"/>
      <c r="N26" s="2325"/>
      <c r="O26" s="2338"/>
      <c r="P26" s="2338"/>
      <c r="Q26" s="2340"/>
    </row>
    <row r="27" spans="1:17" ht="48" customHeight="1">
      <c r="A27" s="2334"/>
      <c r="B27" s="2331"/>
      <c r="C27" s="2331"/>
      <c r="D27" s="2325"/>
      <c r="E27" s="2325"/>
      <c r="F27" s="2325"/>
      <c r="G27" s="2325"/>
      <c r="H27" s="2325"/>
      <c r="I27" s="2325"/>
      <c r="J27" s="2325"/>
      <c r="K27" s="2325"/>
      <c r="L27" s="2325"/>
      <c r="M27" s="2325"/>
      <c r="N27" s="2325"/>
      <c r="O27" s="2338"/>
      <c r="P27" s="2338"/>
      <c r="Q27" s="2341"/>
    </row>
    <row r="28" spans="1:17">
      <c r="A28" s="1849">
        <v>1</v>
      </c>
      <c r="B28" s="1849">
        <v>2</v>
      </c>
      <c r="C28" s="1849">
        <v>3</v>
      </c>
      <c r="D28" s="1849">
        <v>4</v>
      </c>
      <c r="E28" s="1849">
        <v>5</v>
      </c>
      <c r="F28" s="1849">
        <v>6</v>
      </c>
      <c r="G28" s="1849">
        <v>7</v>
      </c>
      <c r="H28" s="1849">
        <v>8</v>
      </c>
      <c r="I28" s="1849">
        <v>9</v>
      </c>
      <c r="J28" s="1849">
        <v>10</v>
      </c>
      <c r="K28" s="1849">
        <v>11</v>
      </c>
      <c r="L28" s="1849">
        <v>12</v>
      </c>
      <c r="M28" s="1849">
        <v>13</v>
      </c>
      <c r="N28" s="1849">
        <v>14</v>
      </c>
      <c r="O28" s="1849">
        <v>15</v>
      </c>
      <c r="P28" s="1849">
        <v>16</v>
      </c>
      <c r="Q28" s="1849">
        <v>17</v>
      </c>
    </row>
    <row r="29" spans="1:17">
      <c r="A29" s="1849"/>
      <c r="B29" s="2322" t="s">
        <v>163</v>
      </c>
      <c r="C29" s="2323"/>
      <c r="D29" s="2323"/>
      <c r="E29" s="2323"/>
      <c r="F29" s="2323"/>
      <c r="G29" s="2323"/>
      <c r="H29" s="2323"/>
      <c r="I29" s="2323"/>
      <c r="J29" s="2323"/>
      <c r="K29" s="2323"/>
      <c r="L29" s="2323"/>
      <c r="M29" s="2323"/>
      <c r="N29" s="2323"/>
      <c r="O29" s="2323"/>
      <c r="P29" s="2323"/>
      <c r="Q29" s="2324"/>
    </row>
    <row r="30" spans="1:17" ht="24">
      <c r="A30" s="1856" t="s">
        <v>694</v>
      </c>
      <c r="B30" s="1857">
        <f>342317.6</f>
        <v>342317.6</v>
      </c>
      <c r="C30" s="1857">
        <f>342317.6</f>
        <v>342317.6</v>
      </c>
      <c r="D30" s="1857">
        <f>0</f>
        <v>0</v>
      </c>
      <c r="E30" s="1857">
        <f>0</f>
        <v>0</v>
      </c>
      <c r="F30" s="1857">
        <f>0</f>
        <v>0</v>
      </c>
      <c r="G30" s="1857">
        <f>0</f>
        <v>0</v>
      </c>
      <c r="H30" s="1857">
        <f>0</f>
        <v>0</v>
      </c>
      <c r="I30" s="1857">
        <f>0</f>
        <v>0</v>
      </c>
      <c r="J30" s="1857">
        <f>328717.6</f>
        <v>328717.59999999998</v>
      </c>
      <c r="K30" s="1857">
        <f>0</f>
        <v>0</v>
      </c>
      <c r="L30" s="1857">
        <f>0</f>
        <v>0</v>
      </c>
      <c r="M30" s="1857">
        <f>0</f>
        <v>0</v>
      </c>
      <c r="N30" s="1857">
        <f>13600</f>
        <v>13600</v>
      </c>
      <c r="O30" s="1857">
        <f>0</f>
        <v>0</v>
      </c>
      <c r="P30" s="1857">
        <f>0</f>
        <v>0</v>
      </c>
      <c r="Q30" s="1857">
        <f>0</f>
        <v>0</v>
      </c>
    </row>
    <row r="31" spans="1:17">
      <c r="A31" s="1858" t="s">
        <v>695</v>
      </c>
      <c r="B31" s="1857">
        <f>0</f>
        <v>0</v>
      </c>
      <c r="C31" s="1857">
        <f>0</f>
        <v>0</v>
      </c>
      <c r="D31" s="1857">
        <f>0</f>
        <v>0</v>
      </c>
      <c r="E31" s="1857">
        <f>0</f>
        <v>0</v>
      </c>
      <c r="F31" s="1857">
        <f>0</f>
        <v>0</v>
      </c>
      <c r="G31" s="1857">
        <f>0</f>
        <v>0</v>
      </c>
      <c r="H31" s="1857">
        <f>0</f>
        <v>0</v>
      </c>
      <c r="I31" s="1857">
        <f>0</f>
        <v>0</v>
      </c>
      <c r="J31" s="1857">
        <f>0</f>
        <v>0</v>
      </c>
      <c r="K31" s="1857">
        <f>0</f>
        <v>0</v>
      </c>
      <c r="L31" s="1857">
        <f>0</f>
        <v>0</v>
      </c>
      <c r="M31" s="1857">
        <f>0</f>
        <v>0</v>
      </c>
      <c r="N31" s="1857">
        <f>0</f>
        <v>0</v>
      </c>
      <c r="O31" s="1857">
        <f>0</f>
        <v>0</v>
      </c>
      <c r="P31" s="1857">
        <f>0</f>
        <v>0</v>
      </c>
      <c r="Q31" s="1857">
        <f>0</f>
        <v>0</v>
      </c>
    </row>
    <row r="32" spans="1:17">
      <c r="A32" s="1858" t="s">
        <v>696</v>
      </c>
      <c r="B32" s="1857">
        <f>342317.6</f>
        <v>342317.6</v>
      </c>
      <c r="C32" s="1857">
        <f>342317.6</f>
        <v>342317.6</v>
      </c>
      <c r="D32" s="1857">
        <f>0</f>
        <v>0</v>
      </c>
      <c r="E32" s="1857">
        <f>0</f>
        <v>0</v>
      </c>
      <c r="F32" s="1857">
        <f>0</f>
        <v>0</v>
      </c>
      <c r="G32" s="1857">
        <f>0</f>
        <v>0</v>
      </c>
      <c r="H32" s="1857">
        <f>0</f>
        <v>0</v>
      </c>
      <c r="I32" s="1857">
        <f>0</f>
        <v>0</v>
      </c>
      <c r="J32" s="1857">
        <f>328717.6</f>
        <v>328717.59999999998</v>
      </c>
      <c r="K32" s="1857">
        <f>0</f>
        <v>0</v>
      </c>
      <c r="L32" s="1857">
        <f>0</f>
        <v>0</v>
      </c>
      <c r="M32" s="1857">
        <f>0</f>
        <v>0</v>
      </c>
      <c r="N32" s="1857">
        <f>13600</f>
        <v>13600</v>
      </c>
      <c r="O32" s="1857">
        <f>0</f>
        <v>0</v>
      </c>
      <c r="P32" s="1857">
        <f>0</f>
        <v>0</v>
      </c>
      <c r="Q32" s="1857">
        <f>0</f>
        <v>0</v>
      </c>
    </row>
    <row r="33" spans="1:17">
      <c r="A33" s="1859" t="s">
        <v>697</v>
      </c>
      <c r="B33" s="1857">
        <f>148859257.24</f>
        <v>148859257.24000001</v>
      </c>
      <c r="C33" s="1857">
        <f>148855373.58</f>
        <v>148855373.58000001</v>
      </c>
      <c r="D33" s="1857">
        <f>10409228.38</f>
        <v>10409228.380000001</v>
      </c>
      <c r="E33" s="1857">
        <f>2500</f>
        <v>2500</v>
      </c>
      <c r="F33" s="1857">
        <f>0</f>
        <v>0</v>
      </c>
      <c r="G33" s="1857">
        <f>6106728.38</f>
        <v>6106728.3799999999</v>
      </c>
      <c r="H33" s="1857">
        <f>4300000</f>
        <v>4300000</v>
      </c>
      <c r="I33" s="1857">
        <f>0</f>
        <v>0</v>
      </c>
      <c r="J33" s="1857">
        <f>0</f>
        <v>0</v>
      </c>
      <c r="K33" s="1857">
        <f>0</f>
        <v>0</v>
      </c>
      <c r="L33" s="1857">
        <f>63924781.12</f>
        <v>63924781.119999997</v>
      </c>
      <c r="M33" s="1857">
        <f>73538460.25</f>
        <v>73538460.25</v>
      </c>
      <c r="N33" s="1857">
        <f>982903.83</f>
        <v>982903.83</v>
      </c>
      <c r="O33" s="1857">
        <f>3883.66</f>
        <v>3883.66</v>
      </c>
      <c r="P33" s="1857">
        <f>3883.66</f>
        <v>3883.66</v>
      </c>
      <c r="Q33" s="1857">
        <f>0</f>
        <v>0</v>
      </c>
    </row>
    <row r="34" spans="1:17">
      <c r="A34" s="1858" t="s">
        <v>698</v>
      </c>
      <c r="B34" s="1857">
        <f>7354479.23</f>
        <v>7354479.2300000004</v>
      </c>
      <c r="C34" s="1857">
        <f>7354479.23</f>
        <v>7354479.2300000004</v>
      </c>
      <c r="D34" s="1857">
        <f>4300000</f>
        <v>4300000</v>
      </c>
      <c r="E34" s="1857">
        <f>0</f>
        <v>0</v>
      </c>
      <c r="F34" s="1857">
        <f>0</f>
        <v>0</v>
      </c>
      <c r="G34" s="1857">
        <f>0</f>
        <v>0</v>
      </c>
      <c r="H34" s="1857">
        <f>4300000</f>
        <v>4300000</v>
      </c>
      <c r="I34" s="1857">
        <f>0</f>
        <v>0</v>
      </c>
      <c r="J34" s="1857">
        <f>0</f>
        <v>0</v>
      </c>
      <c r="K34" s="1857">
        <f>0</f>
        <v>0</v>
      </c>
      <c r="L34" s="1857">
        <f>1756671.23</f>
        <v>1756671.23</v>
      </c>
      <c r="M34" s="1857">
        <f>697808</f>
        <v>697808</v>
      </c>
      <c r="N34" s="1857">
        <f>600000</f>
        <v>600000</v>
      </c>
      <c r="O34" s="1857">
        <f>0</f>
        <v>0</v>
      </c>
      <c r="P34" s="1857">
        <f>0</f>
        <v>0</v>
      </c>
      <c r="Q34" s="1857">
        <f>0</f>
        <v>0</v>
      </c>
    </row>
    <row r="35" spans="1:17">
      <c r="A35" s="1858" t="s">
        <v>699</v>
      </c>
      <c r="B35" s="1857">
        <f>141504778.01</f>
        <v>141504778.00999999</v>
      </c>
      <c r="C35" s="1857">
        <f>141500894.35</f>
        <v>141500894.34999999</v>
      </c>
      <c r="D35" s="1857">
        <f>6109228.38</f>
        <v>6109228.3799999999</v>
      </c>
      <c r="E35" s="1857">
        <f>2500</f>
        <v>2500</v>
      </c>
      <c r="F35" s="1857">
        <f>0</f>
        <v>0</v>
      </c>
      <c r="G35" s="1857">
        <f>6106728.38</f>
        <v>6106728.3799999999</v>
      </c>
      <c r="H35" s="1857">
        <f>0</f>
        <v>0</v>
      </c>
      <c r="I35" s="1857">
        <f>0</f>
        <v>0</v>
      </c>
      <c r="J35" s="1857">
        <f>0</f>
        <v>0</v>
      </c>
      <c r="K35" s="1857">
        <f>0</f>
        <v>0</v>
      </c>
      <c r="L35" s="1857">
        <f>62168109.89</f>
        <v>62168109.890000001</v>
      </c>
      <c r="M35" s="1857">
        <f>72840652.25</f>
        <v>72840652.25</v>
      </c>
      <c r="N35" s="1857">
        <f>382903.83</f>
        <v>382903.83</v>
      </c>
      <c r="O35" s="1857">
        <f>3883.66</f>
        <v>3883.66</v>
      </c>
      <c r="P35" s="1857">
        <f>3883.66</f>
        <v>3883.66</v>
      </c>
      <c r="Q35" s="1857">
        <f>0</f>
        <v>0</v>
      </c>
    </row>
    <row r="36" spans="1:17" ht="24">
      <c r="A36" s="1856" t="s">
        <v>700</v>
      </c>
      <c r="B36" s="1857">
        <f>4778564044</f>
        <v>4778564044</v>
      </c>
      <c r="C36" s="1857">
        <f>4778564044</f>
        <v>4778564044</v>
      </c>
      <c r="D36" s="1857">
        <f>336493.87</f>
        <v>336493.87</v>
      </c>
      <c r="E36" s="1857">
        <f>25548</f>
        <v>25548</v>
      </c>
      <c r="F36" s="1857">
        <f>0</f>
        <v>0</v>
      </c>
      <c r="G36" s="1857">
        <f>310945.87</f>
        <v>310945.87</v>
      </c>
      <c r="H36" s="1857">
        <f>0</f>
        <v>0</v>
      </c>
      <c r="I36" s="1857">
        <f>0</f>
        <v>0</v>
      </c>
      <c r="J36" s="1857">
        <f>4777965459.1</f>
        <v>4777965459.1000004</v>
      </c>
      <c r="K36" s="1857">
        <f>22352.7</f>
        <v>22352.7</v>
      </c>
      <c r="L36" s="1857">
        <f>239738.33</f>
        <v>239738.33</v>
      </c>
      <c r="M36" s="1857">
        <f>0</f>
        <v>0</v>
      </c>
      <c r="N36" s="1857">
        <f>0</f>
        <v>0</v>
      </c>
      <c r="O36" s="1857">
        <f>0</f>
        <v>0</v>
      </c>
      <c r="P36" s="1857">
        <f>0</f>
        <v>0</v>
      </c>
      <c r="Q36" s="1857">
        <f>0</f>
        <v>0</v>
      </c>
    </row>
    <row r="37" spans="1:17">
      <c r="A37" s="1858" t="s">
        <v>701</v>
      </c>
      <c r="B37" s="1857">
        <f>310945.87</f>
        <v>310945.87</v>
      </c>
      <c r="C37" s="1857">
        <f>310945.87</f>
        <v>310945.87</v>
      </c>
      <c r="D37" s="1857">
        <f>310945.87</f>
        <v>310945.87</v>
      </c>
      <c r="E37" s="1857">
        <f>0</f>
        <v>0</v>
      </c>
      <c r="F37" s="1857">
        <f>0</f>
        <v>0</v>
      </c>
      <c r="G37" s="1857">
        <f>310945.87</f>
        <v>310945.87</v>
      </c>
      <c r="H37" s="1857">
        <f>0</f>
        <v>0</v>
      </c>
      <c r="I37" s="1857">
        <f>0</f>
        <v>0</v>
      </c>
      <c r="J37" s="1857">
        <f>0</f>
        <v>0</v>
      </c>
      <c r="K37" s="1857">
        <f>0</f>
        <v>0</v>
      </c>
      <c r="L37" s="1857">
        <f>0</f>
        <v>0</v>
      </c>
      <c r="M37" s="1857">
        <f>0</f>
        <v>0</v>
      </c>
      <c r="N37" s="1857">
        <f>0</f>
        <v>0</v>
      </c>
      <c r="O37" s="1857">
        <f>0</f>
        <v>0</v>
      </c>
      <c r="P37" s="1857">
        <f>0</f>
        <v>0</v>
      </c>
      <c r="Q37" s="1857">
        <f>0</f>
        <v>0</v>
      </c>
    </row>
    <row r="38" spans="1:17">
      <c r="A38" s="1858" t="s">
        <v>702</v>
      </c>
      <c r="B38" s="1857">
        <f>4629695502.08</f>
        <v>4629695502.0799999</v>
      </c>
      <c r="C38" s="1857">
        <f>4629695502.08</f>
        <v>4629695502.0799999</v>
      </c>
      <c r="D38" s="1857">
        <f>0</f>
        <v>0</v>
      </c>
      <c r="E38" s="1857">
        <f>0</f>
        <v>0</v>
      </c>
      <c r="F38" s="1857">
        <f>0</f>
        <v>0</v>
      </c>
      <c r="G38" s="1857">
        <f>0</f>
        <v>0</v>
      </c>
      <c r="H38" s="1857">
        <f>0</f>
        <v>0</v>
      </c>
      <c r="I38" s="1857">
        <f>0</f>
        <v>0</v>
      </c>
      <c r="J38" s="1857">
        <f>4629656012.9</f>
        <v>4629656012.8999996</v>
      </c>
      <c r="K38" s="1857">
        <f>22352.7</f>
        <v>22352.7</v>
      </c>
      <c r="L38" s="1857">
        <f>17136.48</f>
        <v>17136.48</v>
      </c>
      <c r="M38" s="1857">
        <f>0</f>
        <v>0</v>
      </c>
      <c r="N38" s="1857">
        <f>0</f>
        <v>0</v>
      </c>
      <c r="O38" s="1857">
        <f>0</f>
        <v>0</v>
      </c>
      <c r="P38" s="1857">
        <f>0</f>
        <v>0</v>
      </c>
      <c r="Q38" s="1857">
        <f>0</f>
        <v>0</v>
      </c>
    </row>
    <row r="39" spans="1:17">
      <c r="A39" s="1858" t="s">
        <v>703</v>
      </c>
      <c r="B39" s="1857">
        <f>148557596.05</f>
        <v>148557596.05000001</v>
      </c>
      <c r="C39" s="1857">
        <f>148557596.05</f>
        <v>148557596.05000001</v>
      </c>
      <c r="D39" s="1857">
        <f>25548</f>
        <v>25548</v>
      </c>
      <c r="E39" s="1857">
        <f>25548</f>
        <v>25548</v>
      </c>
      <c r="F39" s="1857">
        <f>0</f>
        <v>0</v>
      </c>
      <c r="G39" s="1857">
        <f>0</f>
        <v>0</v>
      </c>
      <c r="H39" s="1857">
        <f>0</f>
        <v>0</v>
      </c>
      <c r="I39" s="1857">
        <f>0</f>
        <v>0</v>
      </c>
      <c r="J39" s="1857">
        <f>148309446.2</f>
        <v>148309446.19999999</v>
      </c>
      <c r="K39" s="1857">
        <f>0</f>
        <v>0</v>
      </c>
      <c r="L39" s="1857">
        <f>222601.85</f>
        <v>222601.85</v>
      </c>
      <c r="M39" s="1857">
        <f>0</f>
        <v>0</v>
      </c>
      <c r="N39" s="1857">
        <f>0</f>
        <v>0</v>
      </c>
      <c r="O39" s="1857">
        <f>0</f>
        <v>0</v>
      </c>
      <c r="P39" s="1857">
        <f>0</f>
        <v>0</v>
      </c>
      <c r="Q39" s="1857">
        <f>0</f>
        <v>0</v>
      </c>
    </row>
    <row r="40" spans="1:17" ht="24">
      <c r="A40" s="1856" t="s">
        <v>704</v>
      </c>
      <c r="B40" s="1857">
        <f>3353094302.89</f>
        <v>3353094302.8899999</v>
      </c>
      <c r="C40" s="1857">
        <f>3340546287.67</f>
        <v>3340546287.6700001</v>
      </c>
      <c r="D40" s="1857">
        <f>21579277.26</f>
        <v>21579277.260000002</v>
      </c>
      <c r="E40" s="1857">
        <f>16622397.15</f>
        <v>16622397.15</v>
      </c>
      <c r="F40" s="1857">
        <f>273299.9</f>
        <v>273299.90000000002</v>
      </c>
      <c r="G40" s="1857">
        <f>4358725.08</f>
        <v>4358725.08</v>
      </c>
      <c r="H40" s="1857">
        <f>324855.13</f>
        <v>324855.13</v>
      </c>
      <c r="I40" s="1857">
        <f>902</f>
        <v>902</v>
      </c>
      <c r="J40" s="1857">
        <f>3482811.31</f>
        <v>3482811.31</v>
      </c>
      <c r="K40" s="1857">
        <f>7577529.9</f>
        <v>7577529.9000000004</v>
      </c>
      <c r="L40" s="1857">
        <f>787158706.93</f>
        <v>787158706.92999995</v>
      </c>
      <c r="M40" s="1857">
        <f>2480659186.15</f>
        <v>2480659186.1500001</v>
      </c>
      <c r="N40" s="1857">
        <f>40087874.12</f>
        <v>40087874.119999997</v>
      </c>
      <c r="O40" s="1857">
        <f>12548015.22</f>
        <v>12548015.220000001</v>
      </c>
      <c r="P40" s="1857">
        <f>7456577.82</f>
        <v>7456577.8200000003</v>
      </c>
      <c r="Q40" s="1857">
        <f>5091437.4</f>
        <v>5091437.4000000004</v>
      </c>
    </row>
    <row r="41" spans="1:17">
      <c r="A41" s="1860" t="s">
        <v>705</v>
      </c>
      <c r="B41" s="1857">
        <f>705906658.88</f>
        <v>705906658.88</v>
      </c>
      <c r="C41" s="1857">
        <f>705319685.39</f>
        <v>705319685.38999999</v>
      </c>
      <c r="D41" s="1857">
        <f>755937.63</f>
        <v>755937.63</v>
      </c>
      <c r="E41" s="1857">
        <f>11697.6</f>
        <v>11697.6</v>
      </c>
      <c r="F41" s="1857">
        <f>1359.83</f>
        <v>1359.83</v>
      </c>
      <c r="G41" s="1857">
        <f>455372.27</f>
        <v>455372.27</v>
      </c>
      <c r="H41" s="1857">
        <f>287507.93</f>
        <v>287507.93</v>
      </c>
      <c r="I41" s="1857">
        <f>0</f>
        <v>0</v>
      </c>
      <c r="J41" s="1857">
        <f>55018.62</f>
        <v>55018.62</v>
      </c>
      <c r="K41" s="1857">
        <f>38298.02</f>
        <v>38298.019999999997</v>
      </c>
      <c r="L41" s="1857">
        <f>166135372.28</f>
        <v>166135372.28</v>
      </c>
      <c r="M41" s="1857">
        <f>512651198.57</f>
        <v>512651198.56999999</v>
      </c>
      <c r="N41" s="1857">
        <f>25683860.27</f>
        <v>25683860.27</v>
      </c>
      <c r="O41" s="1857">
        <f>586973.49</f>
        <v>586973.49</v>
      </c>
      <c r="P41" s="1857">
        <f>223841.6</f>
        <v>223841.6</v>
      </c>
      <c r="Q41" s="1857">
        <f>363131.89</f>
        <v>363131.89</v>
      </c>
    </row>
    <row r="42" spans="1:17">
      <c r="A42" s="1858" t="s">
        <v>706</v>
      </c>
      <c r="B42" s="1857">
        <f>2647187644.01</f>
        <v>2647187644.0100002</v>
      </c>
      <c r="C42" s="1857">
        <f>2635226602.28</f>
        <v>2635226602.2800002</v>
      </c>
      <c r="D42" s="1857">
        <f>20823339.63</f>
        <v>20823339.629999999</v>
      </c>
      <c r="E42" s="1857">
        <f>16610699.55</f>
        <v>16610699.550000001</v>
      </c>
      <c r="F42" s="1857">
        <f>271940.07</f>
        <v>271940.07</v>
      </c>
      <c r="G42" s="1857">
        <f>3903352.81</f>
        <v>3903352.81</v>
      </c>
      <c r="H42" s="1857">
        <f>37347.2</f>
        <v>37347.199999999997</v>
      </c>
      <c r="I42" s="1857">
        <f>902</f>
        <v>902</v>
      </c>
      <c r="J42" s="1857">
        <f>3427792.69</f>
        <v>3427792.69</v>
      </c>
      <c r="K42" s="1857">
        <f>7539231.88</f>
        <v>7539231.8799999999</v>
      </c>
      <c r="L42" s="1857">
        <f>621023334.65</f>
        <v>621023334.64999998</v>
      </c>
      <c r="M42" s="1857">
        <f>1968007987.58</f>
        <v>1968007987.5799999</v>
      </c>
      <c r="N42" s="1857">
        <f>14404013.85</f>
        <v>14404013.85</v>
      </c>
      <c r="O42" s="1857">
        <f>11961041.73</f>
        <v>11961041.73</v>
      </c>
      <c r="P42" s="1857">
        <f>7232736.22</f>
        <v>7232736.2199999997</v>
      </c>
      <c r="Q42" s="1857">
        <f>4728305.51</f>
        <v>4728305.51</v>
      </c>
    </row>
    <row r="43" spans="1:17" ht="24">
      <c r="A43" s="2494" t="s">
        <v>707</v>
      </c>
      <c r="B43" s="1857">
        <f>808106759.37</f>
        <v>808106759.37</v>
      </c>
      <c r="C43" s="1857">
        <f>807647626.97</f>
        <v>807647626.97000003</v>
      </c>
      <c r="D43" s="1857">
        <f>112693119.51</f>
        <v>112693119.51000001</v>
      </c>
      <c r="E43" s="1857">
        <f>73591582.41</f>
        <v>73591582.409999996</v>
      </c>
      <c r="F43" s="1857">
        <f>510533.32</f>
        <v>510533.32</v>
      </c>
      <c r="G43" s="1857">
        <f>34586883.58</f>
        <v>34586883.579999998</v>
      </c>
      <c r="H43" s="1857">
        <f>4004120.2</f>
        <v>4004120.2</v>
      </c>
      <c r="I43" s="1857">
        <f>0</f>
        <v>0</v>
      </c>
      <c r="J43" s="1857">
        <f>471572.1</f>
        <v>471572.1</v>
      </c>
      <c r="K43" s="1857">
        <f>942986.46</f>
        <v>942986.46</v>
      </c>
      <c r="L43" s="1857">
        <f>412329108.64</f>
        <v>412329108.63999999</v>
      </c>
      <c r="M43" s="1857">
        <f>263966947.05</f>
        <v>263966947.05000001</v>
      </c>
      <c r="N43" s="1857">
        <f>17243893.21</f>
        <v>17243893.210000001</v>
      </c>
      <c r="O43" s="1857">
        <f>459132.4</f>
        <v>459132.4</v>
      </c>
      <c r="P43" s="1857">
        <f>453791.07</f>
        <v>453791.07</v>
      </c>
      <c r="Q43" s="1857">
        <f>5341.33</f>
        <v>5341.33</v>
      </c>
    </row>
    <row r="44" spans="1:17">
      <c r="A44" s="1860" t="s">
        <v>708</v>
      </c>
      <c r="B44" s="1857">
        <f>176528990.02</f>
        <v>176528990.02000001</v>
      </c>
      <c r="C44" s="1857">
        <f>176489859.68</f>
        <v>176489859.68000001</v>
      </c>
      <c r="D44" s="1857">
        <f>9701228.84</f>
        <v>9701228.8399999999</v>
      </c>
      <c r="E44" s="1857">
        <f>253583.64</f>
        <v>253583.64</v>
      </c>
      <c r="F44" s="1857">
        <f>90670.67</f>
        <v>90670.67</v>
      </c>
      <c r="G44" s="1857">
        <f>7704657.22</f>
        <v>7704657.2199999997</v>
      </c>
      <c r="H44" s="1857">
        <f>1652317.31</f>
        <v>1652317.31</v>
      </c>
      <c r="I44" s="1857">
        <f>0</f>
        <v>0</v>
      </c>
      <c r="J44" s="1857">
        <f>29390.67</f>
        <v>29390.67</v>
      </c>
      <c r="K44" s="1857">
        <f>67123.03</f>
        <v>67123.03</v>
      </c>
      <c r="L44" s="1857">
        <f>64502251.22</f>
        <v>64502251.219999999</v>
      </c>
      <c r="M44" s="1857">
        <f>93795761.47</f>
        <v>93795761.469999999</v>
      </c>
      <c r="N44" s="1857">
        <f>8394104.45</f>
        <v>8394104.4499999993</v>
      </c>
      <c r="O44" s="1857">
        <f>39130.34</f>
        <v>39130.339999999997</v>
      </c>
      <c r="P44" s="1857">
        <f>35503.01</f>
        <v>35503.01</v>
      </c>
      <c r="Q44" s="1857">
        <f>3627.33</f>
        <v>3627.33</v>
      </c>
    </row>
    <row r="45" spans="1:17" ht="22.8">
      <c r="A45" s="1860" t="s">
        <v>752</v>
      </c>
      <c r="B45" s="1857">
        <f>131087599.16</f>
        <v>131087599.16</v>
      </c>
      <c r="C45" s="1857">
        <f>131087599.16</f>
        <v>131087599.16</v>
      </c>
      <c r="D45" s="1857">
        <f>27385428.3</f>
        <v>27385428.300000001</v>
      </c>
      <c r="E45" s="1857">
        <f>22497488.52</f>
        <v>22497488.52</v>
      </c>
      <c r="F45" s="1857">
        <f>104140.94</f>
        <v>104140.94</v>
      </c>
      <c r="G45" s="1857">
        <f>4658259.36</f>
        <v>4658259.3600000003</v>
      </c>
      <c r="H45" s="1857">
        <f>125539.48</f>
        <v>125539.48</v>
      </c>
      <c r="I45" s="1857">
        <f>0</f>
        <v>0</v>
      </c>
      <c r="J45" s="1857">
        <f>29117</f>
        <v>29117</v>
      </c>
      <c r="K45" s="1857">
        <f>710361.65</f>
        <v>710361.65</v>
      </c>
      <c r="L45" s="1857">
        <f>73324127.69</f>
        <v>73324127.689999998</v>
      </c>
      <c r="M45" s="1857">
        <f>28777811.61</f>
        <v>28777811.609999999</v>
      </c>
      <c r="N45" s="1857">
        <f>860752.91</f>
        <v>860752.91</v>
      </c>
      <c r="O45" s="1857">
        <f>0</f>
        <v>0</v>
      </c>
      <c r="P45" s="1857">
        <f>0</f>
        <v>0</v>
      </c>
      <c r="Q45" s="1857">
        <f>0</f>
        <v>0</v>
      </c>
    </row>
    <row r="46" spans="1:17" ht="22.8">
      <c r="A46" s="1860" t="s">
        <v>710</v>
      </c>
      <c r="B46" s="1857">
        <f>500490170.19</f>
        <v>500490170.19</v>
      </c>
      <c r="C46" s="1857">
        <f>500070168.13</f>
        <v>500070168.13</v>
      </c>
      <c r="D46" s="1857">
        <f>75606462.37</f>
        <v>75606462.370000005</v>
      </c>
      <c r="E46" s="1857">
        <f>50840510.25</f>
        <v>50840510.25</v>
      </c>
      <c r="F46" s="1857">
        <f>315721.71</f>
        <v>315721.71000000002</v>
      </c>
      <c r="G46" s="1857">
        <f>22223967</f>
        <v>22223967</v>
      </c>
      <c r="H46" s="1857">
        <f>2226263.41</f>
        <v>2226263.41</v>
      </c>
      <c r="I46" s="1857">
        <f>0</f>
        <v>0</v>
      </c>
      <c r="J46" s="1857">
        <f>413064.43</f>
        <v>413064.43</v>
      </c>
      <c r="K46" s="1857">
        <f>165501.78</f>
        <v>165501.78</v>
      </c>
      <c r="L46" s="1857">
        <f>274502729.73</f>
        <v>274502729.73000002</v>
      </c>
      <c r="M46" s="1857">
        <f>141393373.97</f>
        <v>141393373.97</v>
      </c>
      <c r="N46" s="1857">
        <f>7989035.85</f>
        <v>7989035.8499999996</v>
      </c>
      <c r="O46" s="1857">
        <f>420002.06</f>
        <v>420002.06</v>
      </c>
      <c r="P46" s="1857">
        <f>418288.06</f>
        <v>418288.06</v>
      </c>
      <c r="Q46" s="1857">
        <f>1714</f>
        <v>1714</v>
      </c>
    </row>
    <row r="47" spans="1:17" ht="25.95" customHeight="1">
      <c r="A47" s="1855"/>
      <c r="B47" s="1855"/>
      <c r="C47" s="1855"/>
      <c r="D47" s="1855"/>
      <c r="E47" s="1855"/>
      <c r="F47" s="1855"/>
      <c r="G47" s="1855"/>
      <c r="H47" s="1855"/>
      <c r="I47" s="1855"/>
      <c r="J47" s="1855"/>
      <c r="K47" s="1855"/>
      <c r="L47" s="1855"/>
      <c r="M47" s="1855"/>
      <c r="N47" s="1855"/>
      <c r="O47" s="1855"/>
      <c r="P47" s="1855"/>
      <c r="Q47" s="1855"/>
    </row>
    <row r="48" spans="1:17" ht="14.25" customHeight="1">
      <c r="A48" s="1855"/>
      <c r="B48" s="2105" t="s">
        <v>711</v>
      </c>
      <c r="C48" s="2105"/>
      <c r="D48" s="2105"/>
      <c r="E48" s="2105"/>
      <c r="F48" s="2105"/>
      <c r="G48" s="2105"/>
      <c r="H48" s="2105"/>
      <c r="I48" s="2105"/>
      <c r="J48" s="2105"/>
      <c r="K48" s="2105"/>
      <c r="L48" s="2105"/>
      <c r="M48" s="2105"/>
      <c r="N48" s="1855"/>
      <c r="O48" s="1855"/>
      <c r="P48" s="1855"/>
      <c r="Q48" s="1855"/>
    </row>
    <row r="49" spans="1:17">
      <c r="A49" s="1855"/>
      <c r="B49" s="1855"/>
      <c r="C49" s="1855"/>
      <c r="D49" s="1855"/>
      <c r="E49" s="1855"/>
      <c r="F49" s="1855"/>
      <c r="G49" s="1855"/>
      <c r="H49" s="1855"/>
      <c r="I49" s="1855"/>
      <c r="J49" s="1855"/>
      <c r="K49" s="1855"/>
      <c r="L49" s="1855"/>
      <c r="M49" s="1855"/>
      <c r="N49" s="1855"/>
      <c r="O49" s="1855"/>
      <c r="P49" s="1855"/>
      <c r="Q49" s="1855"/>
    </row>
    <row r="50" spans="1:17">
      <c r="A50" s="1855"/>
      <c r="B50" s="2306" t="s">
        <v>1</v>
      </c>
      <c r="C50" s="2307"/>
      <c r="D50" s="2307"/>
      <c r="E50" s="2308"/>
      <c r="F50" s="2315" t="s">
        <v>712</v>
      </c>
      <c r="G50" s="2304" t="s">
        <v>713</v>
      </c>
      <c r="H50" s="2318"/>
      <c r="I50" s="2318"/>
      <c r="J50" s="2318"/>
      <c r="K50" s="2318"/>
      <c r="L50" s="2319"/>
      <c r="M50" s="1855"/>
      <c r="N50" s="1855"/>
      <c r="O50" s="1855"/>
      <c r="P50" s="1855"/>
      <c r="Q50" s="1855"/>
    </row>
    <row r="51" spans="1:17">
      <c r="A51" s="1855"/>
      <c r="B51" s="2309"/>
      <c r="C51" s="2310"/>
      <c r="D51" s="2310"/>
      <c r="E51" s="2311"/>
      <c r="F51" s="2316"/>
      <c r="G51" s="2320" t="s">
        <v>714</v>
      </c>
      <c r="H51" s="2303" t="s">
        <v>660</v>
      </c>
      <c r="I51" s="2303" t="s">
        <v>661</v>
      </c>
      <c r="J51" s="2303" t="s">
        <v>692</v>
      </c>
      <c r="K51" s="2303" t="s">
        <v>715</v>
      </c>
      <c r="L51" s="2321" t="s">
        <v>716</v>
      </c>
      <c r="M51" s="1855"/>
      <c r="N51" s="1855"/>
      <c r="O51" s="1855"/>
      <c r="P51" s="1855"/>
      <c r="Q51" s="1855"/>
    </row>
    <row r="52" spans="1:17">
      <c r="A52" s="1855"/>
      <c r="B52" s="2309"/>
      <c r="C52" s="2310"/>
      <c r="D52" s="2310"/>
      <c r="E52" s="2311"/>
      <c r="F52" s="2316"/>
      <c r="G52" s="2320"/>
      <c r="H52" s="2303"/>
      <c r="I52" s="2303"/>
      <c r="J52" s="2303"/>
      <c r="K52" s="2303"/>
      <c r="L52" s="2321"/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/>
      <c r="H53" s="2303"/>
      <c r="I53" s="2303"/>
      <c r="J53" s="2303"/>
      <c r="K53" s="2303"/>
      <c r="L53" s="2321"/>
      <c r="M53" s="1855"/>
      <c r="N53" s="1855"/>
      <c r="O53" s="1855"/>
      <c r="P53" s="1855"/>
      <c r="Q53" s="1855"/>
    </row>
    <row r="54" spans="1:17">
      <c r="A54" s="1855"/>
      <c r="B54" s="2312"/>
      <c r="C54" s="2313"/>
      <c r="D54" s="2313"/>
      <c r="E54" s="2314"/>
      <c r="F54" s="2317"/>
      <c r="G54" s="2320"/>
      <c r="H54" s="2303"/>
      <c r="I54" s="2303"/>
      <c r="J54" s="2303"/>
      <c r="K54" s="2303"/>
      <c r="L54" s="2321"/>
      <c r="M54" s="1855"/>
      <c r="N54" s="1855"/>
      <c r="O54" s="1855"/>
      <c r="P54" s="1855"/>
      <c r="Q54" s="1855"/>
    </row>
    <row r="55" spans="1:17">
      <c r="A55" s="1855"/>
      <c r="B55" s="2303">
        <v>1</v>
      </c>
      <c r="C55" s="2303"/>
      <c r="D55" s="2303"/>
      <c r="E55" s="2303"/>
      <c r="F55" s="1861">
        <v>2</v>
      </c>
      <c r="G55" s="1861">
        <v>3</v>
      </c>
      <c r="H55" s="1861">
        <v>4</v>
      </c>
      <c r="I55" s="1861">
        <v>5</v>
      </c>
      <c r="J55" s="1861">
        <v>6</v>
      </c>
      <c r="K55" s="1861">
        <v>7</v>
      </c>
      <c r="L55" s="1862">
        <v>8</v>
      </c>
      <c r="M55" s="1855"/>
      <c r="N55" s="1855"/>
      <c r="O55" s="1855"/>
      <c r="P55" s="1855"/>
      <c r="Q55" s="1855"/>
    </row>
    <row r="56" spans="1:17" ht="14.4">
      <c r="A56" s="1855"/>
      <c r="B56" s="2303"/>
      <c r="C56" s="2303"/>
      <c r="D56" s="2303"/>
      <c r="E56" s="2303"/>
      <c r="F56" s="2304" t="s">
        <v>163</v>
      </c>
      <c r="G56" s="2305"/>
      <c r="H56" s="2305"/>
      <c r="I56" s="2305"/>
      <c r="J56" s="2305"/>
      <c r="K56" s="2305"/>
      <c r="L56" s="2285"/>
      <c r="M56" s="1855"/>
      <c r="N56" s="1855"/>
      <c r="O56" s="1855"/>
      <c r="P56" s="1855"/>
      <c r="Q56" s="1855"/>
    </row>
    <row r="57" spans="1:17" ht="36.75" customHeight="1">
      <c r="A57" s="1855"/>
      <c r="B57" s="2300" t="s">
        <v>717</v>
      </c>
      <c r="C57" s="2301"/>
      <c r="D57" s="2301"/>
      <c r="E57" s="2302"/>
      <c r="F57" s="1851">
        <f>342891872.69</f>
        <v>342891872.69</v>
      </c>
      <c r="G57" s="1851">
        <f>49066399.23</f>
        <v>49066399.229999997</v>
      </c>
      <c r="H57" s="1851">
        <f>10068215.76</f>
        <v>10068215.76</v>
      </c>
      <c r="I57" s="1851">
        <f>5115790.93</f>
        <v>5115790.93</v>
      </c>
      <c r="J57" s="1851">
        <f>33648504.47</f>
        <v>33648504.469999999</v>
      </c>
      <c r="K57" s="1851">
        <f>233888.07</f>
        <v>233888.07</v>
      </c>
      <c r="L57" s="1851">
        <f>293825473.46</f>
        <v>293825473.45999998</v>
      </c>
      <c r="M57" s="1855"/>
      <c r="N57" s="1855"/>
      <c r="O57" s="1855"/>
      <c r="P57" s="1855"/>
      <c r="Q57" s="1855"/>
    </row>
    <row r="58" spans="1:17" ht="36.75" customHeight="1">
      <c r="A58" s="1855"/>
      <c r="B58" s="2300" t="s">
        <v>718</v>
      </c>
      <c r="C58" s="2301"/>
      <c r="D58" s="2301"/>
      <c r="E58" s="2302"/>
      <c r="F58" s="1851">
        <f>0</f>
        <v>0</v>
      </c>
      <c r="G58" s="1851">
        <f>0</f>
        <v>0</v>
      </c>
      <c r="H58" s="1851">
        <f>0</f>
        <v>0</v>
      </c>
      <c r="I58" s="1851">
        <f>0</f>
        <v>0</v>
      </c>
      <c r="J58" s="1851">
        <f>0</f>
        <v>0</v>
      </c>
      <c r="K58" s="1851">
        <f>0</f>
        <v>0</v>
      </c>
      <c r="L58" s="1851">
        <f>0</f>
        <v>0</v>
      </c>
      <c r="M58" s="1855"/>
      <c r="N58" s="1855"/>
      <c r="O58" s="1855"/>
      <c r="P58" s="1855"/>
      <c r="Q58" s="1855"/>
    </row>
    <row r="59" spans="1:17" ht="31.5" customHeight="1">
      <c r="A59" s="1855"/>
      <c r="B59" s="2300" t="s">
        <v>719</v>
      </c>
      <c r="C59" s="2301"/>
      <c r="D59" s="2301"/>
      <c r="E59" s="2302"/>
      <c r="F59" s="1851">
        <f>16413842.32</f>
        <v>16413842.32</v>
      </c>
      <c r="G59" s="1851">
        <f>1959</f>
        <v>1959</v>
      </c>
      <c r="H59" s="1851">
        <f>0</f>
        <v>0</v>
      </c>
      <c r="I59" s="1851">
        <f>0</f>
        <v>0</v>
      </c>
      <c r="J59" s="1851">
        <f>1959</f>
        <v>1959</v>
      </c>
      <c r="K59" s="1851">
        <f>0</f>
        <v>0</v>
      </c>
      <c r="L59" s="1851">
        <f>16411883.32</f>
        <v>16411883.32</v>
      </c>
      <c r="M59" s="1855"/>
      <c r="N59" s="1855"/>
      <c r="O59" s="1855"/>
      <c r="P59" s="1855"/>
      <c r="Q59" s="1855"/>
    </row>
    <row r="60" spans="1:17" ht="28.5" customHeight="1">
      <c r="A60" s="1855"/>
      <c r="B60" s="2300" t="s">
        <v>720</v>
      </c>
      <c r="C60" s="2301"/>
      <c r="D60" s="2301"/>
      <c r="E60" s="2302"/>
      <c r="F60" s="1851">
        <f>69428.95</f>
        <v>69428.95</v>
      </c>
      <c r="G60" s="1851">
        <f>0</f>
        <v>0</v>
      </c>
      <c r="H60" s="1851">
        <f>0</f>
        <v>0</v>
      </c>
      <c r="I60" s="1851">
        <f>0</f>
        <v>0</v>
      </c>
      <c r="J60" s="1851">
        <f>0</f>
        <v>0</v>
      </c>
      <c r="K60" s="1851">
        <f>0</f>
        <v>0</v>
      </c>
      <c r="L60" s="1851">
        <f>69428.95</f>
        <v>69428.95</v>
      </c>
      <c r="M60" s="1855"/>
      <c r="N60" s="1855"/>
      <c r="O60" s="1855"/>
      <c r="P60" s="1855"/>
      <c r="Q60" s="1855"/>
    </row>
    <row r="61" spans="1:17" ht="28.5" customHeight="1">
      <c r="A61" s="1855"/>
      <c r="B61" s="2300" t="s">
        <v>721</v>
      </c>
      <c r="C61" s="2301"/>
      <c r="D61" s="2301"/>
      <c r="E61" s="2302"/>
      <c r="F61" s="1851">
        <f>1595.11</f>
        <v>1595.11</v>
      </c>
      <c r="G61" s="1851">
        <f>0</f>
        <v>0</v>
      </c>
      <c r="H61" s="1851">
        <f>0</f>
        <v>0</v>
      </c>
      <c r="I61" s="1851">
        <f>0</f>
        <v>0</v>
      </c>
      <c r="J61" s="1851">
        <f>0</f>
        <v>0</v>
      </c>
      <c r="K61" s="1851">
        <f>0</f>
        <v>0</v>
      </c>
      <c r="L61" s="1851">
        <f>1595.11</f>
        <v>1595.11</v>
      </c>
      <c r="M61" s="1855"/>
      <c r="N61" s="1855"/>
      <c r="O61" s="1855"/>
      <c r="P61" s="1855"/>
      <c r="Q61" s="1855"/>
    </row>
    <row r="62" spans="1:17" ht="36" customHeight="1">
      <c r="A62" s="1855"/>
      <c r="B62" s="2300" t="s">
        <v>722</v>
      </c>
      <c r="C62" s="2301"/>
      <c r="D62" s="2301"/>
      <c r="E62" s="2302"/>
      <c r="F62" s="1851">
        <f>1117569.84</f>
        <v>1117569.8400000001</v>
      </c>
      <c r="G62" s="1851">
        <f>0</f>
        <v>0</v>
      </c>
      <c r="H62" s="1851">
        <f>0</f>
        <v>0</v>
      </c>
      <c r="I62" s="1851">
        <f>0</f>
        <v>0</v>
      </c>
      <c r="J62" s="1851">
        <f>0</f>
        <v>0</v>
      </c>
      <c r="K62" s="1851">
        <f>0</f>
        <v>0</v>
      </c>
      <c r="L62" s="1851">
        <f>1117569.84</f>
        <v>1117569.8400000001</v>
      </c>
      <c r="M62" s="1855"/>
      <c r="N62" s="1855"/>
      <c r="O62" s="1855"/>
      <c r="P62" s="1855"/>
      <c r="Q62" s="1855"/>
    </row>
    <row r="63" spans="1:17" ht="37.5" customHeight="1">
      <c r="A63" s="1855"/>
      <c r="B63" s="2300" t="s">
        <v>723</v>
      </c>
      <c r="C63" s="2301"/>
      <c r="D63" s="2301"/>
      <c r="E63" s="2302"/>
      <c r="F63" s="1851">
        <f>0</f>
        <v>0</v>
      </c>
      <c r="G63" s="1851">
        <f>0</f>
        <v>0</v>
      </c>
      <c r="H63" s="1851">
        <f>0</f>
        <v>0</v>
      </c>
      <c r="I63" s="1851">
        <f>0</f>
        <v>0</v>
      </c>
      <c r="J63" s="1851">
        <f>0</f>
        <v>0</v>
      </c>
      <c r="K63" s="1851">
        <f>0</f>
        <v>0</v>
      </c>
      <c r="L63" s="1851">
        <f>0</f>
        <v>0</v>
      </c>
      <c r="M63" s="1855"/>
      <c r="N63" s="1855"/>
      <c r="O63" s="1855"/>
      <c r="P63" s="1855"/>
      <c r="Q63" s="1855"/>
    </row>
    <row r="65" spans="1:4">
      <c r="A65" s="2255" t="s">
        <v>884</v>
      </c>
      <c r="B65" s="2255"/>
      <c r="C65" s="2255"/>
      <c r="D65" s="2255"/>
    </row>
  </sheetData>
  <mergeCells count="64">
    <mergeCell ref="A1:M1"/>
    <mergeCell ref="C2:M2"/>
    <mergeCell ref="B9:Q9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A22:M22"/>
    <mergeCell ref="A24:A27"/>
    <mergeCell ref="B24:B27"/>
    <mergeCell ref="C24:N24"/>
    <mergeCell ref="O24:Q24"/>
    <mergeCell ref="C25:C27"/>
    <mergeCell ref="D25:D27"/>
    <mergeCell ref="O25:O27"/>
    <mergeCell ref="P25:P27"/>
    <mergeCell ref="Q25:Q27"/>
    <mergeCell ref="A3:A7"/>
    <mergeCell ref="B3:B7"/>
    <mergeCell ref="C3:N3"/>
    <mergeCell ref="L4:L7"/>
    <mergeCell ref="M4:M7"/>
    <mergeCell ref="N4:N7"/>
    <mergeCell ref="B29:Q29"/>
    <mergeCell ref="J25:J27"/>
    <mergeCell ref="K25:K27"/>
    <mergeCell ref="L25:L27"/>
    <mergeCell ref="M25:M27"/>
    <mergeCell ref="N25:N27"/>
    <mergeCell ref="E25:E27"/>
    <mergeCell ref="F25:F27"/>
    <mergeCell ref="G25:G27"/>
    <mergeCell ref="H25:H27"/>
    <mergeCell ref="I25:I27"/>
    <mergeCell ref="B48:M48"/>
    <mergeCell ref="B50:E54"/>
    <mergeCell ref="F50:F54"/>
    <mergeCell ref="G50:L50"/>
    <mergeCell ref="G51:G54"/>
    <mergeCell ref="H51:H54"/>
    <mergeCell ref="I51:I54"/>
    <mergeCell ref="J51:J54"/>
    <mergeCell ref="K51:K54"/>
    <mergeCell ref="L51:L54"/>
    <mergeCell ref="B55:E55"/>
    <mergeCell ref="B56:E56"/>
    <mergeCell ref="F56:L56"/>
    <mergeCell ref="B57:E57"/>
    <mergeCell ref="B58:E58"/>
    <mergeCell ref="A65:D65"/>
    <mergeCell ref="B59:E59"/>
    <mergeCell ref="B60:E60"/>
    <mergeCell ref="B61:E61"/>
    <mergeCell ref="B62:E62"/>
    <mergeCell ref="B63:E6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2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AE59-6B7A-4D6F-A7B9-740E3F4DB37D}">
  <dimension ref="A1:M129"/>
  <sheetViews>
    <sheetView view="pageBreakPreview" topLeftCell="A24" zoomScaleNormal="100" zoomScaleSheetLayoutView="100" workbookViewId="0">
      <selection activeCell="A43" sqref="A43"/>
    </sheetView>
  </sheetViews>
  <sheetFormatPr defaultColWidth="9.21875" defaultRowHeight="13.8"/>
  <cols>
    <col min="1" max="1" width="30.77734375" style="383" customWidth="1"/>
    <col min="2" max="4" width="14.5546875" style="383" customWidth="1"/>
    <col min="5" max="5" width="13.77734375" style="383" customWidth="1"/>
    <col min="6" max="6" width="13" style="383" customWidth="1"/>
    <col min="7" max="7" width="11.77734375" style="383" customWidth="1"/>
    <col min="8" max="8" width="13" style="383" customWidth="1"/>
    <col min="9" max="9" width="7.109375" style="383" bestFit="1" customWidth="1"/>
    <col min="10" max="10" width="7.21875" style="383" bestFit="1" customWidth="1"/>
    <col min="11" max="11" width="6.21875" style="383" bestFit="1" customWidth="1"/>
    <col min="12" max="12" width="8.21875" style="383" customWidth="1"/>
    <col min="13" max="16384" width="9.21875" style="383"/>
  </cols>
  <sheetData>
    <row r="1" spans="1:12" ht="15.6">
      <c r="A1" s="444" t="s">
        <v>982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3" spans="1:12" ht="61.2">
      <c r="A3" s="2293" t="s">
        <v>584</v>
      </c>
      <c r="B3" s="1776" t="s">
        <v>885</v>
      </c>
      <c r="C3" s="1776" t="s">
        <v>886</v>
      </c>
      <c r="D3" s="1776" t="s">
        <v>887</v>
      </c>
      <c r="E3" s="1776" t="s">
        <v>888</v>
      </c>
      <c r="F3" s="1776" t="s">
        <v>889</v>
      </c>
      <c r="G3" s="1776" t="s">
        <v>890</v>
      </c>
      <c r="H3" s="1776" t="s">
        <v>891</v>
      </c>
      <c r="I3" s="1777" t="s">
        <v>585</v>
      </c>
      <c r="J3" s="1776" t="s">
        <v>586</v>
      </c>
      <c r="K3" s="1776" t="s">
        <v>587</v>
      </c>
    </row>
    <row r="4" spans="1:12">
      <c r="A4" s="2293"/>
      <c r="B4" s="2290" t="s">
        <v>163</v>
      </c>
      <c r="C4" s="2291"/>
      <c r="D4" s="2291"/>
      <c r="E4" s="2291"/>
      <c r="F4" s="2291"/>
      <c r="G4" s="2291"/>
      <c r="H4" s="2292"/>
      <c r="I4" s="2294" t="s">
        <v>169</v>
      </c>
      <c r="J4" s="2294"/>
      <c r="K4" s="2294"/>
    </row>
    <row r="5" spans="1:12">
      <c r="A5" s="1777">
        <v>1</v>
      </c>
      <c r="B5" s="1779">
        <v>2</v>
      </c>
      <c r="C5" s="1779">
        <v>3</v>
      </c>
      <c r="D5" s="1779">
        <v>4</v>
      </c>
      <c r="E5" s="1779">
        <v>5</v>
      </c>
      <c r="F5" s="1779">
        <v>6</v>
      </c>
      <c r="G5" s="1779">
        <v>7</v>
      </c>
      <c r="H5" s="1779">
        <v>8</v>
      </c>
      <c r="I5" s="1779">
        <v>9</v>
      </c>
      <c r="J5" s="1779">
        <v>10</v>
      </c>
      <c r="K5" s="1779">
        <v>11</v>
      </c>
    </row>
    <row r="6" spans="1:12">
      <c r="A6" s="1780" t="s">
        <v>588</v>
      </c>
      <c r="B6" s="1781">
        <f>96972157571.57</f>
        <v>96972157571.570007</v>
      </c>
      <c r="C6" s="1781">
        <f>94809086259.15</f>
        <v>94809086259.149994</v>
      </c>
      <c r="D6" s="1781">
        <f>2410692121.02</f>
        <v>2410692121.02</v>
      </c>
      <c r="E6" s="1781">
        <f>369278182.63</f>
        <v>369278182.63</v>
      </c>
      <c r="F6" s="1781">
        <f>30759102.26</f>
        <v>30759102.260000002</v>
      </c>
      <c r="G6" s="1781">
        <f>31274290.08</f>
        <v>31274290.079999998</v>
      </c>
      <c r="H6" s="1781">
        <f>1814303.27</f>
        <v>1814303.27</v>
      </c>
      <c r="I6" s="1782">
        <f t="shared" ref="I6:I57" si="0">IF($C$6=0,"",100*$C6/$C$6)</f>
        <v>100</v>
      </c>
      <c r="J6" s="1782">
        <f t="shared" ref="J6:J53" si="1">IF(B6=0,"",100*C6/B6)</f>
        <v>97.769389310716775</v>
      </c>
      <c r="K6" s="1782"/>
    </row>
    <row r="7" spans="1:12" ht="26.4">
      <c r="A7" s="1783" t="s">
        <v>589</v>
      </c>
      <c r="B7" s="1781">
        <f>B6-B26-B50</f>
        <v>54185219254.830009</v>
      </c>
      <c r="C7" s="1781">
        <f>C6-C26-C50</f>
        <v>54159038410.779984</v>
      </c>
      <c r="D7" s="1781">
        <f>D6</f>
        <v>2410692121.02</v>
      </c>
      <c r="E7" s="1781">
        <f>E6</f>
        <v>369278182.63</v>
      </c>
      <c r="F7" s="1781">
        <f>F6</f>
        <v>30759102.260000002</v>
      </c>
      <c r="G7" s="1781">
        <f>G6</f>
        <v>31274290.079999998</v>
      </c>
      <c r="H7" s="1781">
        <f>H6</f>
        <v>1814303.27</v>
      </c>
      <c r="I7" s="1782">
        <f t="shared" si="0"/>
        <v>57.124312181157755</v>
      </c>
      <c r="J7" s="1782">
        <f t="shared" si="1"/>
        <v>99.9516826831928</v>
      </c>
      <c r="K7" s="1782">
        <f t="shared" ref="K7:K25" si="2">IF($C$7=0,"",100*$C7/$C$7)</f>
        <v>100</v>
      </c>
    </row>
    <row r="8" spans="1:12">
      <c r="A8" s="1784" t="s">
        <v>786</v>
      </c>
      <c r="B8" s="1785">
        <f>30306293403.55</f>
        <v>30306293403.549999</v>
      </c>
      <c r="C8" s="1785">
        <f>30306293127.66</f>
        <v>30306293127.66</v>
      </c>
      <c r="D8" s="1785">
        <f>0</f>
        <v>0</v>
      </c>
      <c r="E8" s="1785">
        <f>0</f>
        <v>0</v>
      </c>
      <c r="F8" s="1785">
        <f>0</f>
        <v>0</v>
      </c>
      <c r="G8" s="1785">
        <f>0</f>
        <v>0</v>
      </c>
      <c r="H8" s="1785">
        <f>0</f>
        <v>0</v>
      </c>
      <c r="I8" s="1786">
        <f t="shared" si="0"/>
        <v>31.965599842214647</v>
      </c>
      <c r="J8" s="1786">
        <f t="shared" si="1"/>
        <v>99.999999089661031</v>
      </c>
      <c r="K8" s="1786">
        <f t="shared" si="2"/>
        <v>55.957960142859072</v>
      </c>
    </row>
    <row r="9" spans="1:12">
      <c r="A9" s="1784" t="s">
        <v>785</v>
      </c>
      <c r="B9" s="1785">
        <f>932316174.2</f>
        <v>932316174.20000005</v>
      </c>
      <c r="C9" s="1785">
        <f>932316143.44</f>
        <v>932316143.44000006</v>
      </c>
      <c r="D9" s="1785">
        <f>0</f>
        <v>0</v>
      </c>
      <c r="E9" s="1785">
        <f>0</f>
        <v>0</v>
      </c>
      <c r="F9" s="1785">
        <f>0</f>
        <v>0</v>
      </c>
      <c r="G9" s="1785">
        <f>0</f>
        <v>0</v>
      </c>
      <c r="H9" s="1785">
        <f>0</f>
        <v>0</v>
      </c>
      <c r="I9" s="1786">
        <f t="shared" si="0"/>
        <v>0.98336159562978853</v>
      </c>
      <c r="J9" s="1786">
        <f t="shared" si="1"/>
        <v>99.999996700690076</v>
      </c>
      <c r="K9" s="1786">
        <f t="shared" si="2"/>
        <v>1.7214414635072783</v>
      </c>
    </row>
    <row r="10" spans="1:12">
      <c r="A10" s="1784" t="s">
        <v>847</v>
      </c>
      <c r="B10" s="1785">
        <f>8506413259.82</f>
        <v>8506413259.8199997</v>
      </c>
      <c r="C10" s="1785">
        <f>8685971702.91</f>
        <v>8685971702.9099998</v>
      </c>
      <c r="D10" s="1785">
        <f>1460358676.77</f>
        <v>1460358676.77</v>
      </c>
      <c r="E10" s="1785">
        <f>364280431.49</f>
        <v>364280431.49000001</v>
      </c>
      <c r="F10" s="1785">
        <f>18758133.21</f>
        <v>18758133.210000001</v>
      </c>
      <c r="G10" s="1785">
        <f>19904328.17</f>
        <v>19904328.170000002</v>
      </c>
      <c r="H10" s="1785">
        <f>1606967.64</f>
        <v>1606967.64</v>
      </c>
      <c r="I10" s="1786">
        <f t="shared" si="0"/>
        <v>9.1615393055976426</v>
      </c>
      <c r="J10" s="1786">
        <f t="shared" si="1"/>
        <v>102.11085962562086</v>
      </c>
      <c r="K10" s="1786">
        <f t="shared" si="2"/>
        <v>16.03789867358708</v>
      </c>
    </row>
    <row r="11" spans="1:12">
      <c r="A11" s="1784" t="s">
        <v>848</v>
      </c>
      <c r="B11" s="1785">
        <f>1355260266.24</f>
        <v>1355260266.24</v>
      </c>
      <c r="C11" s="1787">
        <f>1335502000.04</f>
        <v>1335502000.04</v>
      </c>
      <c r="D11" s="1785">
        <f>222689019.26</f>
        <v>222689019.25999999</v>
      </c>
      <c r="E11" s="1785">
        <f>3134770.81</f>
        <v>3134770.81</v>
      </c>
      <c r="F11" s="1785">
        <f>2069468.4</f>
        <v>2069468.4</v>
      </c>
      <c r="G11" s="1785">
        <f>613812.53</f>
        <v>613812.53</v>
      </c>
      <c r="H11" s="1785">
        <f>465</f>
        <v>465</v>
      </c>
      <c r="I11" s="1786">
        <f t="shared" si="0"/>
        <v>1.4086223723215254</v>
      </c>
      <c r="J11" s="1786">
        <f t="shared" si="1"/>
        <v>98.542105402763937</v>
      </c>
      <c r="K11" s="1786">
        <f t="shared" si="2"/>
        <v>2.4658894234986595</v>
      </c>
    </row>
    <row r="12" spans="1:12">
      <c r="A12" s="1784" t="s">
        <v>849</v>
      </c>
      <c r="B12" s="1785">
        <f>262855374.84</f>
        <v>262855374.84</v>
      </c>
      <c r="C12" s="1787">
        <f>251143420.58</f>
        <v>251143420.58000001</v>
      </c>
      <c r="D12" s="1785">
        <f>1467255.11</f>
        <v>1467255.11</v>
      </c>
      <c r="E12" s="1785">
        <f>349028.04</f>
        <v>349028.04</v>
      </c>
      <c r="F12" s="1785">
        <f>57036.35</f>
        <v>57036.35</v>
      </c>
      <c r="G12" s="1785">
        <f>29382.83</f>
        <v>29382.83</v>
      </c>
      <c r="H12" s="1785">
        <f>0</f>
        <v>0</v>
      </c>
      <c r="I12" s="1786">
        <f t="shared" si="0"/>
        <v>0.26489383084394219</v>
      </c>
      <c r="J12" s="1786">
        <f t="shared" si="1"/>
        <v>95.544335257694826</v>
      </c>
      <c r="K12" s="1786">
        <f t="shared" si="2"/>
        <v>0.46371469647439612</v>
      </c>
    </row>
    <row r="13" spans="1:12">
      <c r="A13" s="1784" t="s">
        <v>590</v>
      </c>
      <c r="B13" s="1785">
        <f>535746505.07</f>
        <v>535746505.06999999</v>
      </c>
      <c r="C13" s="1787">
        <f>531236434.68</f>
        <v>531236434.68000001</v>
      </c>
      <c r="D13" s="1785">
        <f>723432328.55</f>
        <v>723432328.54999995</v>
      </c>
      <c r="E13" s="1785">
        <f>1513952.29</f>
        <v>1513952.29</v>
      </c>
      <c r="F13" s="1785">
        <f>1160157</f>
        <v>1160157</v>
      </c>
      <c r="G13" s="1785">
        <f>1742649.83</f>
        <v>1742649.83</v>
      </c>
      <c r="H13" s="1785">
        <f>0</f>
        <v>0</v>
      </c>
      <c r="I13" s="1786">
        <f t="shared" si="0"/>
        <v>0.5603222809551448</v>
      </c>
      <c r="J13" s="1786">
        <f t="shared" si="1"/>
        <v>99.1581708238282</v>
      </c>
      <c r="K13" s="1786">
        <f t="shared" si="2"/>
        <v>0.98088232411131782</v>
      </c>
    </row>
    <row r="14" spans="1:12">
      <c r="A14" s="1784" t="s">
        <v>591</v>
      </c>
      <c r="B14" s="1785">
        <f>781030065.92</f>
        <v>781030065.91999996</v>
      </c>
      <c r="C14" s="1787">
        <f>878824876.35</f>
        <v>878824876.35000002</v>
      </c>
      <c r="D14" s="1785">
        <f>0</f>
        <v>0</v>
      </c>
      <c r="E14" s="1785">
        <f>0</f>
        <v>0</v>
      </c>
      <c r="F14" s="1785">
        <f>42509</f>
        <v>42509</v>
      </c>
      <c r="G14" s="1785">
        <f>272975.31</f>
        <v>272975.31</v>
      </c>
      <c r="H14" s="1785">
        <f>0</f>
        <v>0</v>
      </c>
      <c r="I14" s="1786">
        <f t="shared" si="0"/>
        <v>0.92694161606813807</v>
      </c>
      <c r="J14" s="1786">
        <f t="shared" si="1"/>
        <v>112.5212606655295</v>
      </c>
      <c r="K14" s="1786">
        <f t="shared" si="2"/>
        <v>1.622674445739561</v>
      </c>
    </row>
    <row r="15" spans="1:12" ht="20.399999999999999">
      <c r="A15" s="1784" t="s">
        <v>850</v>
      </c>
      <c r="B15" s="1785">
        <f>27241477.04</f>
        <v>27241477.039999999</v>
      </c>
      <c r="C15" s="1787">
        <f>27586499.42</f>
        <v>27586499.420000002</v>
      </c>
      <c r="D15" s="1785">
        <f>0</f>
        <v>0</v>
      </c>
      <c r="E15" s="1785">
        <f>0</f>
        <v>0</v>
      </c>
      <c r="F15" s="1785">
        <f>14230.18</f>
        <v>14230.18</v>
      </c>
      <c r="G15" s="1785">
        <f>0</f>
        <v>0</v>
      </c>
      <c r="H15" s="1785">
        <f>0</f>
        <v>0</v>
      </c>
      <c r="I15" s="1786">
        <f t="shared" si="0"/>
        <v>2.9096894093668828E-2</v>
      </c>
      <c r="J15" s="1786">
        <f t="shared" si="1"/>
        <v>101.26653330688856</v>
      </c>
      <c r="K15" s="1786">
        <f t="shared" si="2"/>
        <v>5.093609530280932E-2</v>
      </c>
    </row>
    <row r="16" spans="1:12">
      <c r="A16" s="1784" t="s">
        <v>851</v>
      </c>
      <c r="B16" s="1785">
        <f>46686373.25</f>
        <v>46686373.25</v>
      </c>
      <c r="C16" s="1787">
        <f>50856116.11</f>
        <v>50856116.109999999</v>
      </c>
      <c r="D16" s="1785">
        <f>0</f>
        <v>0</v>
      </c>
      <c r="E16" s="1785">
        <f>0</f>
        <v>0</v>
      </c>
      <c r="F16" s="1785">
        <f>0</f>
        <v>0</v>
      </c>
      <c r="G16" s="1785">
        <f>0</f>
        <v>0</v>
      </c>
      <c r="H16" s="1785">
        <f>0</f>
        <v>0</v>
      </c>
      <c r="I16" s="1786">
        <f t="shared" si="0"/>
        <v>5.3640550833904795E-2</v>
      </c>
      <c r="J16" s="1786">
        <f t="shared" si="1"/>
        <v>108.93139168825884</v>
      </c>
      <c r="K16" s="1786">
        <f t="shared" si="2"/>
        <v>9.390143843447088E-2</v>
      </c>
    </row>
    <row r="17" spans="1:11">
      <c r="A17" s="1784" t="s">
        <v>592</v>
      </c>
      <c r="B17" s="1785">
        <f>278738545.04</f>
        <v>278738545.04000002</v>
      </c>
      <c r="C17" s="1787">
        <f>287035628.92</f>
        <v>287035628.92000002</v>
      </c>
      <c r="D17" s="1785">
        <f>0</f>
        <v>0</v>
      </c>
      <c r="E17" s="1785">
        <f>0</f>
        <v>0</v>
      </c>
      <c r="F17" s="1785">
        <f>6676.51</f>
        <v>6676.51</v>
      </c>
      <c r="G17" s="1785">
        <f>400565.56</f>
        <v>400565.56</v>
      </c>
      <c r="H17" s="1785">
        <f>0</f>
        <v>0</v>
      </c>
      <c r="I17" s="1786">
        <f t="shared" si="0"/>
        <v>0.30275118160660291</v>
      </c>
      <c r="J17" s="1786">
        <f t="shared" si="1"/>
        <v>102.97665465635882</v>
      </c>
      <c r="K17" s="1786">
        <f t="shared" si="2"/>
        <v>0.52998656797212917</v>
      </c>
    </row>
    <row r="18" spans="1:11">
      <c r="A18" s="1784" t="s">
        <v>852</v>
      </c>
      <c r="B18" s="1785">
        <f>102053155.74</f>
        <v>102053155.73999999</v>
      </c>
      <c r="C18" s="1787">
        <f>115603385.27</f>
        <v>115603385.27</v>
      </c>
      <c r="D18" s="1785">
        <f>0</f>
        <v>0</v>
      </c>
      <c r="E18" s="1785">
        <f>0</f>
        <v>0</v>
      </c>
      <c r="F18" s="1785">
        <f>1988134.15</f>
        <v>1988134.15</v>
      </c>
      <c r="G18" s="1785">
        <f>2538639.12</f>
        <v>2538639.12</v>
      </c>
      <c r="H18" s="1785">
        <f>0</f>
        <v>0</v>
      </c>
      <c r="I18" s="1786">
        <f t="shared" si="0"/>
        <v>0.12193281238257178</v>
      </c>
      <c r="J18" s="1786">
        <f t="shared" si="1"/>
        <v>113.27761932665935</v>
      </c>
      <c r="K18" s="1786">
        <f t="shared" si="2"/>
        <v>0.21345169460577043</v>
      </c>
    </row>
    <row r="19" spans="1:11">
      <c r="A19" s="1784" t="s">
        <v>593</v>
      </c>
      <c r="B19" s="1785">
        <f>13444448.51</f>
        <v>13444448.51</v>
      </c>
      <c r="C19" s="1787">
        <f>13545976.88</f>
        <v>13545976.880000001</v>
      </c>
      <c r="D19" s="1785">
        <f>2193366</f>
        <v>2193366</v>
      </c>
      <c r="E19" s="1785">
        <f>0</f>
        <v>0</v>
      </c>
      <c r="F19" s="1785">
        <f>13923</f>
        <v>13923</v>
      </c>
      <c r="G19" s="1785">
        <f>0</f>
        <v>0</v>
      </c>
      <c r="H19" s="1785">
        <f>0</f>
        <v>0</v>
      </c>
      <c r="I19" s="1786">
        <f t="shared" si="0"/>
        <v>1.4287635726151387E-2</v>
      </c>
      <c r="J19" s="1786">
        <f t="shared" si="1"/>
        <v>100.75516946585412</v>
      </c>
      <c r="K19" s="1786">
        <f t="shared" si="2"/>
        <v>2.501147966708317E-2</v>
      </c>
    </row>
    <row r="20" spans="1:11">
      <c r="A20" s="1784" t="s">
        <v>853</v>
      </c>
      <c r="B20" s="1785">
        <f>23881913.79</f>
        <v>23881913.789999999</v>
      </c>
      <c r="C20" s="1787">
        <f>23539681.4</f>
        <v>23539681.399999999</v>
      </c>
      <c r="D20" s="1785">
        <f>392862.18</f>
        <v>392862.18</v>
      </c>
      <c r="E20" s="1785">
        <f>0</f>
        <v>0</v>
      </c>
      <c r="F20" s="1785">
        <f>0</f>
        <v>0</v>
      </c>
      <c r="G20" s="1785">
        <f>0</f>
        <v>0</v>
      </c>
      <c r="H20" s="1785">
        <f>0</f>
        <v>0</v>
      </c>
      <c r="I20" s="1786">
        <f t="shared" si="0"/>
        <v>2.4828507824299587E-2</v>
      </c>
      <c r="J20" s="1786">
        <f t="shared" si="1"/>
        <v>98.566980883486394</v>
      </c>
      <c r="K20" s="1786">
        <f t="shared" si="2"/>
        <v>4.3463994359461501E-2</v>
      </c>
    </row>
    <row r="21" spans="1:11">
      <c r="A21" s="1784" t="s">
        <v>854</v>
      </c>
      <c r="B21" s="1785">
        <f>8003346</f>
        <v>8003346</v>
      </c>
      <c r="C21" s="1787">
        <f>8479608.58</f>
        <v>8479608.5800000001</v>
      </c>
      <c r="D21" s="1785">
        <f>0</f>
        <v>0</v>
      </c>
      <c r="E21" s="1785">
        <f>0</f>
        <v>0</v>
      </c>
      <c r="F21" s="1785">
        <f>0</f>
        <v>0</v>
      </c>
      <c r="G21" s="1785">
        <f>0</f>
        <v>0</v>
      </c>
      <c r="H21" s="1785">
        <f>0</f>
        <v>0</v>
      </c>
      <c r="I21" s="1786">
        <f t="shared" si="0"/>
        <v>8.9438775486369963E-3</v>
      </c>
      <c r="J21" s="1786">
        <f t="shared" si="1"/>
        <v>105.95079333068944</v>
      </c>
      <c r="K21" s="1786">
        <f t="shared" si="2"/>
        <v>1.5656866940075127E-2</v>
      </c>
    </row>
    <row r="22" spans="1:11">
      <c r="A22" s="1784" t="s">
        <v>855</v>
      </c>
      <c r="B22" s="1785">
        <f>754921</f>
        <v>754921</v>
      </c>
      <c r="C22" s="1787">
        <f>694515.82</f>
        <v>694515.82</v>
      </c>
      <c r="D22" s="1785">
        <f>158613.15</f>
        <v>158613.15</v>
      </c>
      <c r="E22" s="1785">
        <f>0</f>
        <v>0</v>
      </c>
      <c r="F22" s="1785">
        <f>96</f>
        <v>96</v>
      </c>
      <c r="G22" s="1785">
        <f>0</f>
        <v>0</v>
      </c>
      <c r="H22" s="1785">
        <f>0</f>
        <v>0</v>
      </c>
      <c r="I22" s="1786">
        <f t="shared" si="0"/>
        <v>7.3254141285743332E-4</v>
      </c>
      <c r="J22" s="1786">
        <f t="shared" si="1"/>
        <v>91.998476661796403</v>
      </c>
      <c r="K22" s="1786">
        <f t="shared" si="2"/>
        <v>1.2823636467329919E-3</v>
      </c>
    </row>
    <row r="23" spans="1:11">
      <c r="A23" s="1784" t="s">
        <v>856</v>
      </c>
      <c r="B23" s="1785">
        <f>78000</f>
        <v>78000</v>
      </c>
      <c r="C23" s="1787">
        <f>280270.45</f>
        <v>280270.45</v>
      </c>
      <c r="D23" s="1785">
        <f>0</f>
        <v>0</v>
      </c>
      <c r="E23" s="1785">
        <f>0</f>
        <v>0</v>
      </c>
      <c r="F23" s="1785">
        <f>0</f>
        <v>0</v>
      </c>
      <c r="G23" s="1785">
        <f>0</f>
        <v>0</v>
      </c>
      <c r="H23" s="1785">
        <f>0</f>
        <v>0</v>
      </c>
      <c r="I23" s="1786">
        <f t="shared" si="0"/>
        <v>2.9561560084432432E-4</v>
      </c>
      <c r="J23" s="1786">
        <f t="shared" si="1"/>
        <v>359.32108974358977</v>
      </c>
      <c r="K23" s="1786">
        <f t="shared" si="2"/>
        <v>5.1749524774467577E-4</v>
      </c>
    </row>
    <row r="24" spans="1:11">
      <c r="A24" s="1784" t="s">
        <v>594</v>
      </c>
      <c r="B24" s="1785">
        <f>1156479224.61</f>
        <v>1156479224.6099999</v>
      </c>
      <c r="C24" s="1787">
        <f>1002249658.76</f>
        <v>1002249658.76</v>
      </c>
      <c r="D24" s="1785">
        <f>0</f>
        <v>0</v>
      </c>
      <c r="E24" s="1785">
        <f>0</f>
        <v>0</v>
      </c>
      <c r="F24" s="1785">
        <f>0</f>
        <v>0</v>
      </c>
      <c r="G24" s="1785">
        <f>0</f>
        <v>0</v>
      </c>
      <c r="H24" s="1785">
        <f>0</f>
        <v>0</v>
      </c>
      <c r="I24" s="1786">
        <f t="shared" si="0"/>
        <v>1.057124056675816</v>
      </c>
      <c r="J24" s="1786">
        <f t="shared" si="1"/>
        <v>86.663870602430336</v>
      </c>
      <c r="K24" s="1786">
        <f t="shared" si="2"/>
        <v>1.8505676765496433</v>
      </c>
    </row>
    <row r="25" spans="1:11">
      <c r="A25" s="1784" t="s">
        <v>595</v>
      </c>
      <c r="B25" s="1785">
        <f>B7-B8-B9-B10-B11-B12-B13-B14-B15-B16-B17-B18-B19-B20-B21-B22-B23-B24</f>
        <v>9847942800.2100067</v>
      </c>
      <c r="C25" s="1785">
        <f t="shared" ref="C25:H25" si="3">C7-C8-C9-C10-C11-C12-C13-C14-C15-C16-C17-C18-C19-C20-C21-C22-C23-C24</f>
        <v>9707879363.5099831</v>
      </c>
      <c r="D25" s="1785">
        <f t="shared" si="3"/>
        <v>4.2928149923682213E-8</v>
      </c>
      <c r="E25" s="1785">
        <f t="shared" si="3"/>
        <v>-1.4435499906539917E-8</v>
      </c>
      <c r="F25" s="1785">
        <f t="shared" si="3"/>
        <v>6648738.4600000009</v>
      </c>
      <c r="G25" s="1785">
        <f t="shared" si="3"/>
        <v>5771936.7299999967</v>
      </c>
      <c r="H25" s="1785">
        <f t="shared" si="3"/>
        <v>206870.63000000012</v>
      </c>
      <c r="I25" s="1786">
        <f t="shared" si="0"/>
        <v>10.239397663821572</v>
      </c>
      <c r="J25" s="1786">
        <f t="shared" si="1"/>
        <v>98.577739132511638</v>
      </c>
      <c r="K25" s="1786">
        <f t="shared" si="2"/>
        <v>17.924763157496713</v>
      </c>
    </row>
    <row r="26" spans="1:11" ht="26.4">
      <c r="A26" s="1783" t="s">
        <v>596</v>
      </c>
      <c r="B26" s="1781">
        <f>B27+B46+B48</f>
        <v>27287102194.369995</v>
      </c>
      <c r="C26" s="1781">
        <f>C27+C46+C48</f>
        <v>25138702595.700005</v>
      </c>
      <c r="D26" s="1785" t="s">
        <v>597</v>
      </c>
      <c r="E26" s="1785" t="s">
        <v>597</v>
      </c>
      <c r="F26" s="1785" t="s">
        <v>597</v>
      </c>
      <c r="G26" s="1785" t="s">
        <v>597</v>
      </c>
      <c r="H26" s="1785" t="s">
        <v>597</v>
      </c>
      <c r="I26" s="1782">
        <f t="shared" si="0"/>
        <v>26.515077391407594</v>
      </c>
      <c r="J26" s="1782">
        <f t="shared" si="1"/>
        <v>92.126684675541483</v>
      </c>
      <c r="K26" s="1788"/>
    </row>
    <row r="27" spans="1:11" ht="26.4">
      <c r="A27" s="1789" t="s">
        <v>598</v>
      </c>
      <c r="B27" s="1781">
        <f>B28+B30+B32+B34+B36+B38+B40+B42+B44</f>
        <v>22411547259.539997</v>
      </c>
      <c r="C27" s="1781">
        <f>C28+C30+C32+C34+C36+C38+C40+C42+C44</f>
        <v>21143292782.710003</v>
      </c>
      <c r="D27" s="1785" t="s">
        <v>597</v>
      </c>
      <c r="E27" s="1785" t="s">
        <v>597</v>
      </c>
      <c r="F27" s="1785" t="s">
        <v>597</v>
      </c>
      <c r="G27" s="1785" t="s">
        <v>597</v>
      </c>
      <c r="H27" s="1785" t="s">
        <v>597</v>
      </c>
      <c r="I27" s="1782">
        <f t="shared" si="0"/>
        <v>22.300913991426082</v>
      </c>
      <c r="J27" s="1782">
        <f t="shared" si="1"/>
        <v>94.341066852088346</v>
      </c>
      <c r="K27" s="1788"/>
    </row>
    <row r="28" spans="1:11">
      <c r="A28" s="1790" t="s">
        <v>599</v>
      </c>
      <c r="B28" s="1785">
        <f>7890322307.85</f>
        <v>7890322307.8500004</v>
      </c>
      <c r="C28" s="1785">
        <f>7836630893.54</f>
        <v>7836630893.54</v>
      </c>
      <c r="D28" s="1785" t="s">
        <v>597</v>
      </c>
      <c r="E28" s="1785" t="s">
        <v>597</v>
      </c>
      <c r="F28" s="1785" t="s">
        <v>597</v>
      </c>
      <c r="G28" s="1785" t="s">
        <v>597</v>
      </c>
      <c r="H28" s="1785" t="s">
        <v>597</v>
      </c>
      <c r="I28" s="1786">
        <f t="shared" si="0"/>
        <v>8.2656960453341455</v>
      </c>
      <c r="J28" s="1786">
        <f t="shared" si="1"/>
        <v>99.319528249732159</v>
      </c>
      <c r="K28" s="1788"/>
    </row>
    <row r="29" spans="1:11">
      <c r="A29" s="1791" t="s">
        <v>600</v>
      </c>
      <c r="B29" s="1785">
        <f>92698115.04</f>
        <v>92698115.040000007</v>
      </c>
      <c r="C29" s="1785">
        <f>81125314.89</f>
        <v>81125314.890000001</v>
      </c>
      <c r="D29" s="1785" t="s">
        <v>597</v>
      </c>
      <c r="E29" s="1785" t="s">
        <v>597</v>
      </c>
      <c r="F29" s="1785" t="s">
        <v>597</v>
      </c>
      <c r="G29" s="1785" t="s">
        <v>597</v>
      </c>
      <c r="H29" s="1785" t="s">
        <v>597</v>
      </c>
      <c r="I29" s="1786">
        <f t="shared" si="0"/>
        <v>8.5567025367434782E-2</v>
      </c>
      <c r="J29" s="1786">
        <f t="shared" si="1"/>
        <v>87.515603585891427</v>
      </c>
      <c r="K29" s="1788"/>
    </row>
    <row r="30" spans="1:11">
      <c r="A30" s="1790" t="s">
        <v>601</v>
      </c>
      <c r="B30" s="1785">
        <f>2784315580.2</f>
        <v>2784315580.1999998</v>
      </c>
      <c r="C30" s="1785">
        <f>2606935983.05</f>
        <v>2606935983.0500002</v>
      </c>
      <c r="D30" s="1785" t="s">
        <v>597</v>
      </c>
      <c r="E30" s="1785" t="s">
        <v>597</v>
      </c>
      <c r="F30" s="1785" t="s">
        <v>597</v>
      </c>
      <c r="G30" s="1785" t="s">
        <v>597</v>
      </c>
      <c r="H30" s="1785" t="s">
        <v>597</v>
      </c>
      <c r="I30" s="1786">
        <f t="shared" si="0"/>
        <v>2.7496689251114956</v>
      </c>
      <c r="J30" s="1786">
        <f t="shared" si="1"/>
        <v>93.629328571394979</v>
      </c>
      <c r="K30" s="1788"/>
    </row>
    <row r="31" spans="1:11">
      <c r="A31" s="1791" t="s">
        <v>600</v>
      </c>
      <c r="B31" s="1785">
        <f>1035240349.51</f>
        <v>1035240349.51</v>
      </c>
      <c r="C31" s="1785">
        <f>936944392.92</f>
        <v>936944392.91999996</v>
      </c>
      <c r="D31" s="1785" t="s">
        <v>597</v>
      </c>
      <c r="E31" s="1785" t="s">
        <v>597</v>
      </c>
      <c r="F31" s="1785" t="s">
        <v>597</v>
      </c>
      <c r="G31" s="1785" t="s">
        <v>597</v>
      </c>
      <c r="H31" s="1785" t="s">
        <v>597</v>
      </c>
      <c r="I31" s="1786">
        <f t="shared" si="0"/>
        <v>0.98824324744462544</v>
      </c>
      <c r="J31" s="1786">
        <f t="shared" si="1"/>
        <v>90.505011069504249</v>
      </c>
      <c r="K31" s="1788"/>
    </row>
    <row r="32" spans="1:11" ht="20.399999999999999">
      <c r="A32" s="1790" t="s">
        <v>602</v>
      </c>
      <c r="B32" s="1785">
        <f>21402467.06</f>
        <v>21402467.059999999</v>
      </c>
      <c r="C32" s="1785">
        <f>15637163.75</f>
        <v>15637163.75</v>
      </c>
      <c r="D32" s="1785" t="s">
        <v>597</v>
      </c>
      <c r="E32" s="1785" t="s">
        <v>597</v>
      </c>
      <c r="F32" s="1785" t="s">
        <v>597</v>
      </c>
      <c r="G32" s="1785" t="s">
        <v>597</v>
      </c>
      <c r="H32" s="1785" t="s">
        <v>597</v>
      </c>
      <c r="I32" s="1786">
        <f t="shared" si="0"/>
        <v>1.6493317641789698E-2</v>
      </c>
      <c r="J32" s="1786">
        <f t="shared" si="1"/>
        <v>73.062435775102657</v>
      </c>
      <c r="K32" s="1788"/>
    </row>
    <row r="33" spans="1:11">
      <c r="A33" s="1791" t="s">
        <v>600</v>
      </c>
      <c r="B33" s="1785">
        <f>10170607.48</f>
        <v>10170607.48</v>
      </c>
      <c r="C33" s="1785">
        <f>4724505.92</f>
        <v>4724505.92</v>
      </c>
      <c r="D33" s="1785" t="s">
        <v>597</v>
      </c>
      <c r="E33" s="1785" t="s">
        <v>597</v>
      </c>
      <c r="F33" s="1785" t="s">
        <v>597</v>
      </c>
      <c r="G33" s="1785" t="s">
        <v>597</v>
      </c>
      <c r="H33" s="1785" t="s">
        <v>597</v>
      </c>
      <c r="I33" s="1786">
        <f t="shared" si="0"/>
        <v>4.9831784129699269E-3</v>
      </c>
      <c r="J33" s="1786">
        <f t="shared" si="1"/>
        <v>46.452544051970435</v>
      </c>
      <c r="K33" s="1788"/>
    </row>
    <row r="34" spans="1:11" ht="20.399999999999999">
      <c r="A34" s="1790" t="s">
        <v>603</v>
      </c>
      <c r="B34" s="1785">
        <f>323548197.8</f>
        <v>323548197.80000001</v>
      </c>
      <c r="C34" s="1785">
        <f>294540301.51</f>
        <v>294540301.50999999</v>
      </c>
      <c r="D34" s="1785" t="s">
        <v>597</v>
      </c>
      <c r="E34" s="1785" t="s">
        <v>597</v>
      </c>
      <c r="F34" s="1785" t="s">
        <v>597</v>
      </c>
      <c r="G34" s="1785" t="s">
        <v>597</v>
      </c>
      <c r="H34" s="1785" t="s">
        <v>597</v>
      </c>
      <c r="I34" s="1786">
        <f t="shared" si="0"/>
        <v>0.31066674422418455</v>
      </c>
      <c r="J34" s="1786">
        <f t="shared" si="1"/>
        <v>91.034443558257394</v>
      </c>
      <c r="K34" s="1788"/>
    </row>
    <row r="35" spans="1:11">
      <c r="A35" s="1791" t="s">
        <v>600</v>
      </c>
      <c r="B35" s="1785">
        <f>181763683.94</f>
        <v>181763683.94</v>
      </c>
      <c r="C35" s="1785">
        <f>175270172.24</f>
        <v>175270172.24000001</v>
      </c>
      <c r="D35" s="1785" t="s">
        <v>597</v>
      </c>
      <c r="E35" s="1785" t="s">
        <v>597</v>
      </c>
      <c r="F35" s="1785" t="s">
        <v>597</v>
      </c>
      <c r="G35" s="1785" t="s">
        <v>597</v>
      </c>
      <c r="H35" s="1785" t="s">
        <v>597</v>
      </c>
      <c r="I35" s="1786">
        <f t="shared" si="0"/>
        <v>0.18486642911093845</v>
      </c>
      <c r="J35" s="1786">
        <f t="shared" si="1"/>
        <v>96.427497749141409</v>
      </c>
      <c r="K35" s="1788"/>
    </row>
    <row r="36" spans="1:11" ht="30.6">
      <c r="A36" s="1790" t="s">
        <v>604</v>
      </c>
      <c r="B36" s="1785">
        <f>542746899.36</f>
        <v>542746899.36000001</v>
      </c>
      <c r="C36" s="1785">
        <f>492436494.22</f>
        <v>492436494.22000003</v>
      </c>
      <c r="D36" s="1785" t="s">
        <v>597</v>
      </c>
      <c r="E36" s="1785" t="s">
        <v>597</v>
      </c>
      <c r="F36" s="1785" t="s">
        <v>597</v>
      </c>
      <c r="G36" s="1785" t="s">
        <v>597</v>
      </c>
      <c r="H36" s="1785" t="s">
        <v>597</v>
      </c>
      <c r="I36" s="1786">
        <f t="shared" si="0"/>
        <v>0.51939799617304627</v>
      </c>
      <c r="J36" s="1786">
        <f t="shared" si="1"/>
        <v>90.730411320760126</v>
      </c>
      <c r="K36" s="1788"/>
    </row>
    <row r="37" spans="1:11">
      <c r="A37" s="1791" t="s">
        <v>600</v>
      </c>
      <c r="B37" s="1785">
        <f>464470265.79</f>
        <v>464470265.79000002</v>
      </c>
      <c r="C37" s="1785">
        <f>417836616.81</f>
        <v>417836616.81</v>
      </c>
      <c r="D37" s="1785" t="s">
        <v>597</v>
      </c>
      <c r="E37" s="1785" t="s">
        <v>597</v>
      </c>
      <c r="F37" s="1785" t="s">
        <v>597</v>
      </c>
      <c r="G37" s="1785" t="s">
        <v>597</v>
      </c>
      <c r="H37" s="1785" t="s">
        <v>597</v>
      </c>
      <c r="I37" s="1786">
        <f t="shared" si="0"/>
        <v>0.44071368399004557</v>
      </c>
      <c r="J37" s="1786">
        <f t="shared" si="1"/>
        <v>89.959820377159645</v>
      </c>
      <c r="K37" s="1788"/>
    </row>
    <row r="38" spans="1:11">
      <c r="A38" s="1790" t="s">
        <v>605</v>
      </c>
      <c r="B38" s="1785">
        <f>221899153.12</f>
        <v>221899153.12</v>
      </c>
      <c r="C38" s="1785">
        <f>176617452.57</f>
        <v>176617452.56999999</v>
      </c>
      <c r="D38" s="1785" t="s">
        <v>597</v>
      </c>
      <c r="E38" s="1785" t="s">
        <v>597</v>
      </c>
      <c r="F38" s="1785" t="s">
        <v>597</v>
      </c>
      <c r="G38" s="1785" t="s">
        <v>597</v>
      </c>
      <c r="H38" s="1785" t="s">
        <v>597</v>
      </c>
      <c r="I38" s="1786">
        <f t="shared" si="0"/>
        <v>0.1862874746912295</v>
      </c>
      <c r="J38" s="1786">
        <f t="shared" si="1"/>
        <v>79.593567657505986</v>
      </c>
      <c r="K38" s="1788"/>
    </row>
    <row r="39" spans="1:11">
      <c r="A39" s="1791" t="s">
        <v>600</v>
      </c>
      <c r="B39" s="1785">
        <f>203333159.81</f>
        <v>203333159.81</v>
      </c>
      <c r="C39" s="1785">
        <f>159468545.52</f>
        <v>159468545.52000001</v>
      </c>
      <c r="D39" s="1785" t="s">
        <v>597</v>
      </c>
      <c r="E39" s="1785" t="s">
        <v>597</v>
      </c>
      <c r="F39" s="1785" t="s">
        <v>597</v>
      </c>
      <c r="G39" s="1785" t="s">
        <v>597</v>
      </c>
      <c r="H39" s="1785" t="s">
        <v>597</v>
      </c>
      <c r="I39" s="1786">
        <f t="shared" si="0"/>
        <v>0.16819964394985376</v>
      </c>
      <c r="J39" s="1786">
        <f t="shared" si="1"/>
        <v>78.4272204637019</v>
      </c>
      <c r="K39" s="1788"/>
    </row>
    <row r="40" spans="1:11" ht="40.799999999999997">
      <c r="A40" s="1790" t="s">
        <v>606</v>
      </c>
      <c r="B40" s="1785">
        <f>4397057.72</f>
        <v>4397057.72</v>
      </c>
      <c r="C40" s="1785">
        <f>3208870.61</f>
        <v>3208870.61</v>
      </c>
      <c r="D40" s="1785" t="s">
        <v>597</v>
      </c>
      <c r="E40" s="1785" t="s">
        <v>597</v>
      </c>
      <c r="F40" s="1785" t="s">
        <v>597</v>
      </c>
      <c r="G40" s="1785" t="s">
        <v>597</v>
      </c>
      <c r="H40" s="1785" t="s">
        <v>597</v>
      </c>
      <c r="I40" s="1786">
        <f t="shared" si="0"/>
        <v>3.3845602110634337E-3</v>
      </c>
      <c r="J40" s="1786">
        <f>IF(B40=0,"",100*C40/B40)</f>
        <v>72.977677673059986</v>
      </c>
      <c r="K40" s="1788"/>
    </row>
    <row r="41" spans="1:11">
      <c r="A41" s="1791" t="s">
        <v>607</v>
      </c>
      <c r="B41" s="1785">
        <f>4079057.72</f>
        <v>4079057.72</v>
      </c>
      <c r="C41" s="1785">
        <f>2890870.61</f>
        <v>2890870.61</v>
      </c>
      <c r="D41" s="1785" t="s">
        <v>597</v>
      </c>
      <c r="E41" s="1785" t="s">
        <v>597</v>
      </c>
      <c r="F41" s="1785" t="s">
        <v>597</v>
      </c>
      <c r="G41" s="1785" t="s">
        <v>597</v>
      </c>
      <c r="H41" s="1785" t="s">
        <v>597</v>
      </c>
      <c r="I41" s="1786">
        <f t="shared" si="0"/>
        <v>3.0491493210873582E-3</v>
      </c>
      <c r="J41" s="1786">
        <f>IF(B41=0,"",100*C41/B41)</f>
        <v>70.871039549790922</v>
      </c>
      <c r="K41" s="1788"/>
    </row>
    <row r="42" spans="1:11" ht="20.399999999999999">
      <c r="A42" s="1790" t="s">
        <v>1049</v>
      </c>
      <c r="B42" s="1785">
        <f>10281061677.16</f>
        <v>10281061677.16</v>
      </c>
      <c r="C42" s="1785">
        <f>9386467299.76</f>
        <v>9386467299.7600002</v>
      </c>
      <c r="D42" s="1785" t="s">
        <v>597</v>
      </c>
      <c r="E42" s="1785" t="s">
        <v>597</v>
      </c>
      <c r="F42" s="1785" t="s">
        <v>597</v>
      </c>
      <c r="G42" s="1785" t="s">
        <v>597</v>
      </c>
      <c r="H42" s="1785" t="s">
        <v>597</v>
      </c>
      <c r="I42" s="1786">
        <f t="shared" si="0"/>
        <v>9.9003878954208524</v>
      </c>
      <c r="J42" s="1786">
        <f t="shared" si="1"/>
        <v>91.298618707955086</v>
      </c>
      <c r="K42" s="1788"/>
    </row>
    <row r="43" spans="1:11">
      <c r="A43" s="1791" t="s">
        <v>600</v>
      </c>
      <c r="B43" s="1785">
        <f>10254816311.33</f>
        <v>10254816311.33</v>
      </c>
      <c r="C43" s="1785">
        <f>9364338097.7</f>
        <v>9364338097.7000008</v>
      </c>
      <c r="D43" s="1785" t="s">
        <v>597</v>
      </c>
      <c r="E43" s="1785" t="s">
        <v>597</v>
      </c>
      <c r="F43" s="1785" t="s">
        <v>597</v>
      </c>
      <c r="G43" s="1785" t="s">
        <v>597</v>
      </c>
      <c r="H43" s="1785" t="s">
        <v>597</v>
      </c>
      <c r="I43" s="1786">
        <f t="shared" si="0"/>
        <v>9.8770470924101463</v>
      </c>
      <c r="J43" s="1786">
        <f t="shared" si="1"/>
        <v>91.316487915574299</v>
      </c>
      <c r="K43" s="1788"/>
    </row>
    <row r="44" spans="1:11" ht="20.399999999999999">
      <c r="A44" s="1790" t="s">
        <v>608</v>
      </c>
      <c r="B44" s="1785">
        <f>341853919.27</f>
        <v>341853919.26999998</v>
      </c>
      <c r="C44" s="1785">
        <f>330818323.7</f>
        <v>330818323.69999999</v>
      </c>
      <c r="D44" s="1785" t="s">
        <v>597</v>
      </c>
      <c r="E44" s="1785" t="s">
        <v>597</v>
      </c>
      <c r="F44" s="1785" t="s">
        <v>597</v>
      </c>
      <c r="G44" s="1785" t="s">
        <v>597</v>
      </c>
      <c r="H44" s="1785" t="s">
        <v>597</v>
      </c>
      <c r="I44" s="1786">
        <f t="shared" si="0"/>
        <v>0.34893103261827169</v>
      </c>
      <c r="J44" s="1786">
        <f t="shared" si="1"/>
        <v>96.771838803672182</v>
      </c>
      <c r="K44" s="1788"/>
    </row>
    <row r="45" spans="1:11">
      <c r="A45" s="1791" t="s">
        <v>600</v>
      </c>
      <c r="B45" s="1785">
        <f>1844689</f>
        <v>1844689</v>
      </c>
      <c r="C45" s="1785">
        <f>1827889</f>
        <v>1827889</v>
      </c>
      <c r="D45" s="1785" t="s">
        <v>597</v>
      </c>
      <c r="E45" s="1785" t="s">
        <v>597</v>
      </c>
      <c r="F45" s="1785" t="s">
        <v>597</v>
      </c>
      <c r="G45" s="1785" t="s">
        <v>597</v>
      </c>
      <c r="H45" s="1785" t="s">
        <v>597</v>
      </c>
      <c r="I45" s="1786">
        <f t="shared" si="0"/>
        <v>1.9279681643631398E-3</v>
      </c>
      <c r="J45" s="1786">
        <f t="shared" si="1"/>
        <v>99.08927737954744</v>
      </c>
      <c r="K45" s="1788"/>
    </row>
    <row r="46" spans="1:11">
      <c r="A46" s="1789" t="s">
        <v>731</v>
      </c>
      <c r="B46" s="1781">
        <f>341453538.19</f>
        <v>341453538.19</v>
      </c>
      <c r="C46" s="1781">
        <f>284456245.93</f>
        <v>284456245.93000001</v>
      </c>
      <c r="D46" s="1785" t="s">
        <v>597</v>
      </c>
      <c r="E46" s="1785" t="s">
        <v>597</v>
      </c>
      <c r="F46" s="1785" t="s">
        <v>597</v>
      </c>
      <c r="G46" s="1785" t="s">
        <v>597</v>
      </c>
      <c r="H46" s="1785" t="s">
        <v>597</v>
      </c>
      <c r="I46" s="1782">
        <f t="shared" si="0"/>
        <v>0.30003057423470025</v>
      </c>
      <c r="J46" s="1782">
        <f t="shared" si="1"/>
        <v>83.307453025048417</v>
      </c>
      <c r="K46" s="1788"/>
    </row>
    <row r="47" spans="1:11">
      <c r="A47" s="1791" t="s">
        <v>732</v>
      </c>
      <c r="B47" s="1785">
        <f>271242627.12</f>
        <v>271242627.12</v>
      </c>
      <c r="C47" s="1785">
        <f>220030036.59</f>
        <v>220030036.59</v>
      </c>
      <c r="D47" s="1785" t="s">
        <v>597</v>
      </c>
      <c r="E47" s="1785" t="s">
        <v>597</v>
      </c>
      <c r="F47" s="1785" t="s">
        <v>597</v>
      </c>
      <c r="G47" s="1785" t="s">
        <v>597</v>
      </c>
      <c r="H47" s="1785" t="s">
        <v>597</v>
      </c>
      <c r="I47" s="1786">
        <f t="shared" si="0"/>
        <v>0.23207695092490671</v>
      </c>
      <c r="J47" s="1786">
        <f t="shared" si="1"/>
        <v>81.119269093591569</v>
      </c>
      <c r="K47" s="1788"/>
    </row>
    <row r="48" spans="1:11">
      <c r="A48" s="1789" t="s">
        <v>733</v>
      </c>
      <c r="B48" s="1785">
        <f>4534101396.64</f>
        <v>4534101396.6400003</v>
      </c>
      <c r="C48" s="1785">
        <f>3710953567.06</f>
        <v>3710953567.0599999</v>
      </c>
      <c r="D48" s="1785" t="s">
        <v>597</v>
      </c>
      <c r="E48" s="1785" t="s">
        <v>597</v>
      </c>
      <c r="F48" s="1785" t="s">
        <v>597</v>
      </c>
      <c r="G48" s="1785" t="s">
        <v>597</v>
      </c>
      <c r="H48" s="1785" t="s">
        <v>597</v>
      </c>
      <c r="I48" s="1786">
        <f t="shared" si="0"/>
        <v>3.9141328257468118</v>
      </c>
      <c r="J48" s="1786">
        <f t="shared" si="1"/>
        <v>81.845403144490888</v>
      </c>
      <c r="K48" s="1788"/>
    </row>
    <row r="49" spans="1:13">
      <c r="A49" s="1791" t="s">
        <v>734</v>
      </c>
      <c r="B49" s="1785">
        <f>3739176766.9</f>
        <v>3739176766.9000001</v>
      </c>
      <c r="C49" s="1785">
        <f>3020846128.89</f>
        <v>3020846128.8899999</v>
      </c>
      <c r="D49" s="1785" t="s">
        <v>597</v>
      </c>
      <c r="E49" s="1785" t="s">
        <v>597</v>
      </c>
      <c r="F49" s="1785" t="s">
        <v>597</v>
      </c>
      <c r="G49" s="1785" t="s">
        <v>597</v>
      </c>
      <c r="H49" s="1785" t="s">
        <v>597</v>
      </c>
      <c r="I49" s="1786">
        <f t="shared" si="0"/>
        <v>3.1862411590307453</v>
      </c>
      <c r="J49" s="1786">
        <f t="shared" si="1"/>
        <v>80.78906981962399</v>
      </c>
      <c r="K49" s="1788"/>
    </row>
    <row r="50" spans="1:13">
      <c r="A50" s="1783" t="s">
        <v>857</v>
      </c>
      <c r="B50" s="1781">
        <f>15499836122.37</f>
        <v>15499836122.370001</v>
      </c>
      <c r="C50" s="1781">
        <f>15511345252.67</f>
        <v>15511345252.67</v>
      </c>
      <c r="D50" s="1785" t="s">
        <v>597</v>
      </c>
      <c r="E50" s="1785" t="s">
        <v>597</v>
      </c>
      <c r="F50" s="1785" t="s">
        <v>597</v>
      </c>
      <c r="G50" s="1785" t="s">
        <v>597</v>
      </c>
      <c r="H50" s="1785" t="s">
        <v>597</v>
      </c>
      <c r="I50" s="1782">
        <f t="shared" si="0"/>
        <v>16.360610427434644</v>
      </c>
      <c r="J50" s="1782">
        <f t="shared" si="1"/>
        <v>100.07425323860933</v>
      </c>
      <c r="K50" s="1788"/>
    </row>
    <row r="51" spans="1:13">
      <c r="A51" s="1784" t="s">
        <v>609</v>
      </c>
      <c r="B51" s="1785">
        <f>0</f>
        <v>0</v>
      </c>
      <c r="C51" s="1785">
        <f>0</f>
        <v>0</v>
      </c>
      <c r="D51" s="1785" t="s">
        <v>597</v>
      </c>
      <c r="E51" s="1785" t="s">
        <v>597</v>
      </c>
      <c r="F51" s="1785" t="s">
        <v>597</v>
      </c>
      <c r="G51" s="1785" t="s">
        <v>597</v>
      </c>
      <c r="H51" s="1785" t="s">
        <v>597</v>
      </c>
      <c r="I51" s="1786">
        <f t="shared" si="0"/>
        <v>0</v>
      </c>
      <c r="J51" s="1786" t="str">
        <f t="shared" si="1"/>
        <v/>
      </c>
      <c r="K51" s="1788"/>
    </row>
    <row r="52" spans="1:13" ht="20.399999999999999">
      <c r="A52" s="1784" t="s">
        <v>858</v>
      </c>
      <c r="B52" s="1785">
        <f>1247982135.56</f>
        <v>1247982135.5599999</v>
      </c>
      <c r="C52" s="1785">
        <f>1259919470.66</f>
        <v>1259919470.6600001</v>
      </c>
      <c r="D52" s="1785" t="s">
        <v>597</v>
      </c>
      <c r="E52" s="1785" t="s">
        <v>597</v>
      </c>
      <c r="F52" s="1785" t="s">
        <v>597</v>
      </c>
      <c r="G52" s="1785" t="s">
        <v>597</v>
      </c>
      <c r="H52" s="1785" t="s">
        <v>597</v>
      </c>
      <c r="I52" s="1786">
        <f t="shared" si="0"/>
        <v>1.3289016067681021</v>
      </c>
      <c r="J52" s="1786">
        <f t="shared" si="1"/>
        <v>100.95653092779598</v>
      </c>
      <c r="K52" s="1788"/>
    </row>
    <row r="53" spans="1:13">
      <c r="A53" s="1790" t="s">
        <v>600</v>
      </c>
      <c r="B53" s="1785">
        <f>94602098.74</f>
        <v>94602098.739999995</v>
      </c>
      <c r="C53" s="1785">
        <f>95620656.44</f>
        <v>95620656.439999998</v>
      </c>
      <c r="D53" s="1785" t="s">
        <v>597</v>
      </c>
      <c r="E53" s="1785" t="s">
        <v>597</v>
      </c>
      <c r="F53" s="1785" t="s">
        <v>597</v>
      </c>
      <c r="G53" s="1785" t="s">
        <v>597</v>
      </c>
      <c r="H53" s="1785" t="s">
        <v>597</v>
      </c>
      <c r="I53" s="1786">
        <f t="shared" si="0"/>
        <v>0.10085600464351241</v>
      </c>
      <c r="J53" s="1786">
        <f t="shared" si="1"/>
        <v>101.07667558496705</v>
      </c>
      <c r="K53" s="1788"/>
    </row>
    <row r="54" spans="1:13">
      <c r="A54" s="1792"/>
      <c r="B54" s="1793"/>
      <c r="C54" s="1794"/>
      <c r="D54" s="1795"/>
      <c r="E54" s="1795"/>
      <c r="F54" s="1795"/>
      <c r="G54" s="1795"/>
      <c r="H54" s="1795"/>
      <c r="I54" s="1796"/>
      <c r="J54" s="1796"/>
      <c r="K54" s="1797"/>
    </row>
    <row r="55" spans="1:13">
      <c r="A55" s="1780" t="s">
        <v>588</v>
      </c>
      <c r="B55" s="1785">
        <f t="shared" ref="B55:H55" si="4">+B6</f>
        <v>96972157571.570007</v>
      </c>
      <c r="C55" s="1785">
        <f t="shared" si="4"/>
        <v>94809086259.149994</v>
      </c>
      <c r="D55" s="1785">
        <f t="shared" si="4"/>
        <v>2410692121.02</v>
      </c>
      <c r="E55" s="1785">
        <f t="shared" si="4"/>
        <v>369278182.63</v>
      </c>
      <c r="F55" s="1785">
        <f t="shared" si="4"/>
        <v>30759102.260000002</v>
      </c>
      <c r="G55" s="1785">
        <f t="shared" si="4"/>
        <v>31274290.079999998</v>
      </c>
      <c r="H55" s="1785">
        <f t="shared" si="4"/>
        <v>1814303.27</v>
      </c>
      <c r="I55" s="1798">
        <f t="shared" si="0"/>
        <v>100</v>
      </c>
      <c r="J55" s="1799">
        <f>IF(B55=0,"",100*C55/B55)</f>
        <v>97.769389310716775</v>
      </c>
      <c r="K55" s="1800"/>
    </row>
    <row r="56" spans="1:13">
      <c r="A56" s="1801" t="s">
        <v>137</v>
      </c>
      <c r="B56" s="1785">
        <f>18543127032.42</f>
        <v>18543127032.419998</v>
      </c>
      <c r="C56" s="1785">
        <f>16379948228.3</f>
        <v>16379948228.299999</v>
      </c>
      <c r="D56" s="1785">
        <f>0</f>
        <v>0</v>
      </c>
      <c r="E56" s="1785">
        <f>0</f>
        <v>0</v>
      </c>
      <c r="F56" s="1785">
        <f>0</f>
        <v>0</v>
      </c>
      <c r="G56" s="1785">
        <f>0</f>
        <v>0</v>
      </c>
      <c r="H56" s="1785">
        <f>0</f>
        <v>0</v>
      </c>
      <c r="I56" s="1798">
        <f t="shared" si="0"/>
        <v>17.276770481182837</v>
      </c>
      <c r="J56" s="1799">
        <f>IF(B56=0,"",100*C56/B56)</f>
        <v>88.334336488457467</v>
      </c>
      <c r="K56" s="1800"/>
    </row>
    <row r="57" spans="1:13">
      <c r="A57" s="1801" t="s">
        <v>136</v>
      </c>
      <c r="B57" s="1785">
        <f>B55-B56</f>
        <v>78429030539.150009</v>
      </c>
      <c r="C57" s="1785">
        <f t="shared" ref="C57:H57" si="5">C55-C56</f>
        <v>78429138030.849991</v>
      </c>
      <c r="D57" s="1785">
        <f t="shared" si="5"/>
        <v>2410692121.02</v>
      </c>
      <c r="E57" s="1785">
        <f t="shared" si="5"/>
        <v>369278182.63</v>
      </c>
      <c r="F57" s="1785">
        <f t="shared" si="5"/>
        <v>30759102.260000002</v>
      </c>
      <c r="G57" s="1785">
        <f t="shared" si="5"/>
        <v>31274290.079999998</v>
      </c>
      <c r="H57" s="1785">
        <f t="shared" si="5"/>
        <v>1814303.27</v>
      </c>
      <c r="I57" s="1798">
        <f t="shared" si="0"/>
        <v>82.723229518817163</v>
      </c>
      <c r="J57" s="1799">
        <f>IF(B57=0,"",100*C57/B57)</f>
        <v>100.00013705601006</v>
      </c>
      <c r="K57" s="1800"/>
    </row>
    <row r="58" spans="1:13">
      <c r="A58" s="1802" t="s">
        <v>610</v>
      </c>
      <c r="B58" s="1802"/>
      <c r="C58" s="1802"/>
      <c r="D58" s="1802"/>
      <c r="E58" s="1803"/>
      <c r="F58" s="1803"/>
      <c r="G58" s="1803"/>
      <c r="H58" s="1803"/>
      <c r="I58" s="1796"/>
      <c r="J58" s="1796"/>
      <c r="K58" s="1796"/>
      <c r="L58" s="401"/>
    </row>
    <row r="59" spans="1:13">
      <c r="A59" s="1804"/>
      <c r="B59" s="1793"/>
      <c r="C59" s="1794"/>
      <c r="D59" s="1794"/>
      <c r="E59" s="1795"/>
      <c r="F59" s="1795"/>
      <c r="G59" s="1795"/>
      <c r="H59" s="1795"/>
      <c r="I59" s="1795"/>
      <c r="J59" s="1796"/>
      <c r="K59" s="1796"/>
      <c r="L59" s="407"/>
    </row>
    <row r="60" spans="1:13" ht="29.4" customHeight="1">
      <c r="A60" s="2293" t="s">
        <v>584</v>
      </c>
      <c r="B60" s="2295" t="s">
        <v>892</v>
      </c>
      <c r="C60" s="2295" t="s">
        <v>893</v>
      </c>
      <c r="D60" s="2295" t="s">
        <v>894</v>
      </c>
      <c r="E60" s="2295" t="s">
        <v>611</v>
      </c>
      <c r="F60" s="2295"/>
      <c r="G60" s="2295"/>
      <c r="H60" s="2296" t="s">
        <v>895</v>
      </c>
      <c r="I60" s="2295" t="s">
        <v>585</v>
      </c>
      <c r="J60" s="2299" t="s">
        <v>586</v>
      </c>
      <c r="K60" s="1806"/>
      <c r="M60" s="408"/>
    </row>
    <row r="61" spans="1:13">
      <c r="A61" s="2293"/>
      <c r="B61" s="2295"/>
      <c r="C61" s="2295"/>
      <c r="D61" s="2289"/>
      <c r="E61" s="2283" t="s">
        <v>896</v>
      </c>
      <c r="F61" s="2288" t="s">
        <v>612</v>
      </c>
      <c r="G61" s="2289"/>
      <c r="H61" s="2297"/>
      <c r="I61" s="2295"/>
      <c r="J61" s="2299"/>
      <c r="K61" s="1808"/>
      <c r="M61" s="408"/>
    </row>
    <row r="62" spans="1:13" ht="53.4" customHeight="1">
      <c r="A62" s="2293"/>
      <c r="B62" s="2295"/>
      <c r="C62" s="2295"/>
      <c r="D62" s="2289"/>
      <c r="E62" s="2289"/>
      <c r="F62" s="1809" t="s">
        <v>897</v>
      </c>
      <c r="G62" s="1809" t="s">
        <v>898</v>
      </c>
      <c r="H62" s="2298"/>
      <c r="I62" s="2295"/>
      <c r="J62" s="2299"/>
      <c r="K62" s="1808"/>
      <c r="M62" s="408"/>
    </row>
    <row r="63" spans="1:13">
      <c r="A63" s="2293"/>
      <c r="B63" s="2290" t="s">
        <v>163</v>
      </c>
      <c r="C63" s="2291"/>
      <c r="D63" s="2291"/>
      <c r="E63" s="2291"/>
      <c r="F63" s="2291"/>
      <c r="G63" s="2291"/>
      <c r="H63" s="2292"/>
      <c r="I63" s="2294" t="s">
        <v>169</v>
      </c>
      <c r="J63" s="2294"/>
      <c r="K63" s="1806"/>
      <c r="M63" s="457"/>
    </row>
    <row r="64" spans="1:13">
      <c r="A64" s="1777">
        <v>1</v>
      </c>
      <c r="B64" s="1779">
        <v>2</v>
      </c>
      <c r="C64" s="1779">
        <v>3</v>
      </c>
      <c r="D64" s="1779">
        <v>4</v>
      </c>
      <c r="E64" s="1777">
        <v>5</v>
      </c>
      <c r="F64" s="1777">
        <v>6</v>
      </c>
      <c r="G64" s="1779">
        <v>7</v>
      </c>
      <c r="H64" s="1779">
        <v>8</v>
      </c>
      <c r="I64" s="1777">
        <v>9</v>
      </c>
      <c r="J64" s="1779">
        <v>10</v>
      </c>
      <c r="K64" s="1806"/>
      <c r="M64" s="458"/>
    </row>
    <row r="65" spans="1:13" ht="26.4">
      <c r="A65" s="1780" t="s">
        <v>613</v>
      </c>
      <c r="B65" s="1810">
        <f>102914995684.03</f>
        <v>102914995684.03</v>
      </c>
      <c r="C65" s="1810">
        <f>93003732755.67</f>
        <v>93003732755.669998</v>
      </c>
      <c r="D65" s="1810">
        <f>93160973028.87</f>
        <v>93160973028.869995</v>
      </c>
      <c r="E65" s="1810">
        <f>3594597235.89</f>
        <v>3594597235.8899999</v>
      </c>
      <c r="F65" s="1810">
        <f>1979488.74</f>
        <v>1979488.74</v>
      </c>
      <c r="G65" s="1810">
        <f>14909602.76</f>
        <v>14909602.76</v>
      </c>
      <c r="H65" s="1811">
        <f>327570785.74</f>
        <v>327570785.74000001</v>
      </c>
      <c r="I65" s="1812">
        <f>IF($C$65=0,"",100*$C65/$C$65)</f>
        <v>100</v>
      </c>
      <c r="J65" s="1812">
        <f>IF(B65=0,"",100*C65/B65)</f>
        <v>90.36946670163637</v>
      </c>
      <c r="K65" s="1806"/>
      <c r="M65" s="455"/>
    </row>
    <row r="66" spans="1:13">
      <c r="A66" s="1783" t="s">
        <v>614</v>
      </c>
      <c r="B66" s="1813">
        <f>29111246679.24</f>
        <v>29111246679.240002</v>
      </c>
      <c r="C66" s="1813">
        <f>24837381039.92</f>
        <v>24837381039.919998</v>
      </c>
      <c r="D66" s="1813">
        <f>24900852761.42</f>
        <v>24900852761.419998</v>
      </c>
      <c r="E66" s="1813">
        <f>328232130.87</f>
        <v>328232130.87</v>
      </c>
      <c r="F66" s="1813">
        <f>218423.98</f>
        <v>218423.98</v>
      </c>
      <c r="G66" s="1813">
        <f>3658969.82</f>
        <v>3658969.82</v>
      </c>
      <c r="H66" s="1814">
        <f>308991851.58</f>
        <v>308991851.57999998</v>
      </c>
      <c r="I66" s="1812">
        <f t="shared" ref="I66:I74" si="6">IF($C$65=0,"",100*$C66/$C$65)</f>
        <v>26.705789438763986</v>
      </c>
      <c r="J66" s="1812">
        <f t="shared" ref="J66:J74" si="7">IF(B66=0,"",100*C66/B66)</f>
        <v>85.318850523952975</v>
      </c>
      <c r="K66" s="1806"/>
      <c r="M66" s="458"/>
    </row>
    <row r="67" spans="1:13">
      <c r="A67" s="1784" t="s">
        <v>615</v>
      </c>
      <c r="B67" s="1785">
        <f>28575473645.51</f>
        <v>28575473645.509998</v>
      </c>
      <c r="C67" s="1785">
        <f>24316543685.09</f>
        <v>24316543685.09</v>
      </c>
      <c r="D67" s="1785">
        <f>24380015406.59</f>
        <v>24380015406.59</v>
      </c>
      <c r="E67" s="1785">
        <f>328232130.87</f>
        <v>328232130.87</v>
      </c>
      <c r="F67" s="1785">
        <f>218423.98</f>
        <v>218423.98</v>
      </c>
      <c r="G67" s="1785">
        <f>3658969.82</f>
        <v>3658969.82</v>
      </c>
      <c r="H67" s="1815">
        <f>308991851.58</f>
        <v>308991851.57999998</v>
      </c>
      <c r="I67" s="1812">
        <f t="shared" si="6"/>
        <v>26.145771749798435</v>
      </c>
      <c r="J67" s="1812">
        <f t="shared" si="7"/>
        <v>85.095855231469827</v>
      </c>
      <c r="K67" s="1806"/>
      <c r="M67" s="455"/>
    </row>
    <row r="68" spans="1:13" ht="26.4">
      <c r="A68" s="1783" t="s">
        <v>616</v>
      </c>
      <c r="B68" s="1813">
        <f t="shared" ref="B68:H68" si="8">B65-B66</f>
        <v>73803749004.789993</v>
      </c>
      <c r="C68" s="1813">
        <f>C65-C66</f>
        <v>68166351715.75</v>
      </c>
      <c r="D68" s="1813">
        <f>D65-D66</f>
        <v>68260120267.449997</v>
      </c>
      <c r="E68" s="1813">
        <f t="shared" si="8"/>
        <v>3266365105.02</v>
      </c>
      <c r="F68" s="1813">
        <f t="shared" si="8"/>
        <v>1761064.76</v>
      </c>
      <c r="G68" s="1813">
        <f t="shared" si="8"/>
        <v>11250632.939999999</v>
      </c>
      <c r="H68" s="1814">
        <f t="shared" si="8"/>
        <v>18578934.160000026</v>
      </c>
      <c r="I68" s="1812">
        <f t="shared" si="6"/>
        <v>73.294210561236014</v>
      </c>
      <c r="J68" s="1812">
        <f t="shared" si="7"/>
        <v>92.36163831098321</v>
      </c>
      <c r="K68" s="1806"/>
      <c r="M68" s="461"/>
    </row>
    <row r="69" spans="1:13" ht="20.399999999999999">
      <c r="A69" s="1784" t="s">
        <v>617</v>
      </c>
      <c r="B69" s="1785">
        <f>35417575818.19</f>
        <v>35417575818.190002</v>
      </c>
      <c r="C69" s="1785">
        <f>33776341829.08</f>
        <v>33776341829.080002</v>
      </c>
      <c r="D69" s="1785">
        <f>33816610801.77</f>
        <v>33816610801.77</v>
      </c>
      <c r="E69" s="1785">
        <f>2609206468.29</f>
        <v>2609206468.29</v>
      </c>
      <c r="F69" s="1785">
        <f>438645.68</f>
        <v>438645.68</v>
      </c>
      <c r="G69" s="1785">
        <f>3967214.13</f>
        <v>3967214.13</v>
      </c>
      <c r="H69" s="1815">
        <f>796462</f>
        <v>796462</v>
      </c>
      <c r="I69" s="1812">
        <f t="shared" si="6"/>
        <v>36.317189459280939</v>
      </c>
      <c r="J69" s="1812">
        <f t="shared" si="7"/>
        <v>95.366046514490449</v>
      </c>
      <c r="K69" s="1806"/>
      <c r="M69" s="455"/>
    </row>
    <row r="70" spans="1:13">
      <c r="A70" s="1784" t="s">
        <v>571</v>
      </c>
      <c r="B70" s="1816">
        <f>5982974464.14</f>
        <v>5982974464.1400003</v>
      </c>
      <c r="C70" s="1816">
        <f>5723395185.69</f>
        <v>5723395185.6899996</v>
      </c>
      <c r="D70" s="1816">
        <f>5733130999.86</f>
        <v>5733130999.8599997</v>
      </c>
      <c r="E70" s="1816">
        <f>4582819.77</f>
        <v>4582819.7699999996</v>
      </c>
      <c r="F70" s="1816">
        <f>0</f>
        <v>0</v>
      </c>
      <c r="G70" s="1816">
        <f>67267.76</f>
        <v>67267.759999999995</v>
      </c>
      <c r="H70" s="1817">
        <f>0</f>
        <v>0</v>
      </c>
      <c r="I70" s="1812">
        <f t="shared" si="6"/>
        <v>6.1539413699941754</v>
      </c>
      <c r="J70" s="1812">
        <f t="shared" si="7"/>
        <v>95.66136743511386</v>
      </c>
      <c r="K70" s="1806"/>
      <c r="M70" s="461"/>
    </row>
    <row r="71" spans="1:13">
      <c r="A71" s="1784" t="s">
        <v>618</v>
      </c>
      <c r="B71" s="1785">
        <f>998897968.3</f>
        <v>998897968.29999995</v>
      </c>
      <c r="C71" s="1785">
        <f>890161490.09</f>
        <v>890161490.09000003</v>
      </c>
      <c r="D71" s="1785">
        <f>893437653.26</f>
        <v>893437653.25999999</v>
      </c>
      <c r="E71" s="1785">
        <f>10109949.01</f>
        <v>10109949.01</v>
      </c>
      <c r="F71" s="1785">
        <f>0</f>
        <v>0</v>
      </c>
      <c r="G71" s="1785">
        <f>25919.16</f>
        <v>25919.16</v>
      </c>
      <c r="H71" s="1815">
        <f>0</f>
        <v>0</v>
      </c>
      <c r="I71" s="1812">
        <f t="shared" si="6"/>
        <v>0.95712447631380804</v>
      </c>
      <c r="J71" s="1812">
        <f t="shared" si="7"/>
        <v>89.11435585407628</v>
      </c>
      <c r="K71" s="1806"/>
      <c r="M71" s="461"/>
    </row>
    <row r="72" spans="1:13" ht="20.399999999999999">
      <c r="A72" s="1784" t="s">
        <v>619</v>
      </c>
      <c r="B72" s="1816">
        <f>18381272.4</f>
        <v>18381272.399999999</v>
      </c>
      <c r="C72" s="1816">
        <f>30000</f>
        <v>30000</v>
      </c>
      <c r="D72" s="1816">
        <f>69921.12</f>
        <v>69921.119999999995</v>
      </c>
      <c r="E72" s="1816">
        <f>0</f>
        <v>0</v>
      </c>
      <c r="F72" s="1816">
        <f>0</f>
        <v>0</v>
      </c>
      <c r="G72" s="1816">
        <f>0</f>
        <v>0</v>
      </c>
      <c r="H72" s="1817">
        <f>0</f>
        <v>0</v>
      </c>
      <c r="I72" s="1812">
        <f t="shared" si="6"/>
        <v>3.2256769821070481E-5</v>
      </c>
      <c r="J72" s="1812">
        <f t="shared" si="7"/>
        <v>0.1632095936949392</v>
      </c>
      <c r="K72" s="1806"/>
      <c r="M72" s="455"/>
    </row>
    <row r="73" spans="1:13">
      <c r="A73" s="1784" t="s">
        <v>620</v>
      </c>
      <c r="B73" s="1816">
        <f>8057429111.04</f>
        <v>8057429111.04</v>
      </c>
      <c r="C73" s="1816">
        <f>7830548032.99001</f>
        <v>7830548032.9900103</v>
      </c>
      <c r="D73" s="1816">
        <f>7832884165.09</f>
        <v>7832884165.0900002</v>
      </c>
      <c r="E73" s="1816">
        <f>95655131.26</f>
        <v>95655131.260000005</v>
      </c>
      <c r="F73" s="1816">
        <f>179184.3</f>
        <v>179184.3</v>
      </c>
      <c r="G73" s="1816">
        <f>420846.1</f>
        <v>420846.1</v>
      </c>
      <c r="H73" s="1818">
        <f>0</f>
        <v>0</v>
      </c>
      <c r="I73" s="1812">
        <f t="shared" si="6"/>
        <v>8.4196061824331654</v>
      </c>
      <c r="J73" s="1812">
        <f t="shared" si="7"/>
        <v>97.184200134765987</v>
      </c>
      <c r="K73" s="1806"/>
      <c r="M73" s="458"/>
    </row>
    <row r="74" spans="1:13">
      <c r="A74" s="1784" t="s">
        <v>621</v>
      </c>
      <c r="B74" s="1785">
        <f t="shared" ref="B74:H74" si="9">B68-B69-B70-B71-B72-B73</f>
        <v>23328490370.71999</v>
      </c>
      <c r="C74" s="1785">
        <f>C68-C69-C70-C71-C72-C73</f>
        <v>19945875177.89999</v>
      </c>
      <c r="D74" s="1785">
        <f>D68-D69-D70-D71-D72-D73</f>
        <v>19983986726.349995</v>
      </c>
      <c r="E74" s="1785">
        <f t="shared" si="9"/>
        <v>546810736.69000006</v>
      </c>
      <c r="F74" s="1785">
        <f t="shared" si="9"/>
        <v>1143234.78</v>
      </c>
      <c r="G74" s="1785">
        <f t="shared" si="9"/>
        <v>6769385.79</v>
      </c>
      <c r="H74" s="1817">
        <f t="shared" si="9"/>
        <v>17782472.160000026</v>
      </c>
      <c r="I74" s="1812">
        <f t="shared" si="6"/>
        <v>21.446316816444106</v>
      </c>
      <c r="J74" s="1812">
        <f t="shared" si="7"/>
        <v>85.500068203874946</v>
      </c>
      <c r="K74" s="1806"/>
      <c r="M74" s="458"/>
    </row>
    <row r="75" spans="1:13">
      <c r="A75" s="1780" t="s">
        <v>622</v>
      </c>
      <c r="B75" s="1813">
        <f>B6-B65</f>
        <v>-5942838112.4599915</v>
      </c>
      <c r="C75" s="1813">
        <f>C6-C65</f>
        <v>1805353503.4799957</v>
      </c>
      <c r="D75" s="1819"/>
      <c r="E75" s="1820"/>
      <c r="F75" s="1820"/>
      <c r="G75" s="1820"/>
      <c r="H75" s="1821"/>
      <c r="I75" s="1822"/>
      <c r="J75" s="1822"/>
      <c r="K75" s="1823"/>
      <c r="L75" s="416"/>
    </row>
    <row r="76" spans="1:13" ht="26.4">
      <c r="A76" s="1824" t="s">
        <v>859</v>
      </c>
      <c r="B76" s="1813">
        <f>+B57-B68</f>
        <v>4625281534.3600159</v>
      </c>
      <c r="C76" s="1813">
        <f>+C57-C68</f>
        <v>10262786315.099991</v>
      </c>
      <c r="D76" s="1819"/>
      <c r="E76" s="1820"/>
      <c r="F76" s="1820"/>
      <c r="G76" s="1820"/>
      <c r="H76" s="1820"/>
      <c r="I76" s="1822"/>
      <c r="J76" s="1822"/>
      <c r="K76" s="1823"/>
      <c r="L76" s="416"/>
    </row>
    <row r="77" spans="1:13">
      <c r="A77" s="1825"/>
      <c r="B77" s="1820"/>
      <c r="C77" s="1820"/>
      <c r="D77" s="1820"/>
      <c r="E77" s="1820"/>
      <c r="F77" s="1820"/>
      <c r="G77" s="1820"/>
      <c r="H77" s="1820"/>
      <c r="I77" s="1822"/>
      <c r="J77" s="1822"/>
      <c r="K77" s="1823"/>
    </row>
    <row r="78" spans="1:13">
      <c r="A78" s="1825"/>
      <c r="B78" s="1820"/>
      <c r="C78" s="1820"/>
      <c r="D78" s="1820"/>
      <c r="E78" s="1820"/>
      <c r="F78" s="1820"/>
      <c r="G78" s="1820"/>
      <c r="H78" s="1820"/>
      <c r="I78" s="1822"/>
      <c r="J78" s="1822"/>
      <c r="K78" s="1823"/>
    </row>
    <row r="79" spans="1:13">
      <c r="A79" s="2286" t="s">
        <v>860</v>
      </c>
      <c r="B79" s="2287" t="s">
        <v>861</v>
      </c>
      <c r="C79" s="2287"/>
      <c r="D79" s="2287" t="s">
        <v>862</v>
      </c>
      <c r="E79" s="2287"/>
      <c r="F79" s="1827" t="s">
        <v>863</v>
      </c>
      <c r="G79" s="1820"/>
      <c r="H79" s="1822"/>
      <c r="I79" s="1822"/>
      <c r="J79" s="1823"/>
      <c r="K79" s="1806"/>
    </row>
    <row r="80" spans="1:13" ht="15.6">
      <c r="A80" s="2286"/>
      <c r="B80" s="1828" t="s">
        <v>864</v>
      </c>
      <c r="C80" s="1828" t="s">
        <v>865</v>
      </c>
      <c r="D80" s="1828" t="s">
        <v>864</v>
      </c>
      <c r="E80" s="1828" t="s">
        <v>865</v>
      </c>
      <c r="F80" s="1828" t="s">
        <v>864</v>
      </c>
      <c r="G80" s="1820"/>
      <c r="H80" s="1822"/>
      <c r="I80" s="1822"/>
      <c r="J80" s="1823"/>
      <c r="K80" s="1806"/>
      <c r="L80" s="449"/>
    </row>
    <row r="81" spans="1:12">
      <c r="A81" s="1829" t="s">
        <v>866</v>
      </c>
      <c r="B81" s="1830">
        <f>139</f>
        <v>139</v>
      </c>
      <c r="C81" s="1831">
        <f>250521020.59</f>
        <v>250521020.59</v>
      </c>
      <c r="D81" s="1830">
        <f>1314</f>
        <v>1314</v>
      </c>
      <c r="E81" s="1831">
        <f>+-6193359133.05</f>
        <v>-6193359133.0500002</v>
      </c>
      <c r="F81" s="1830">
        <f>6</f>
        <v>6</v>
      </c>
      <c r="G81" s="1820"/>
      <c r="H81" s="1822"/>
      <c r="I81" s="1822"/>
      <c r="J81" s="1823"/>
      <c r="K81" s="1806"/>
    </row>
    <row r="82" spans="1:12">
      <c r="A82" s="1829" t="s">
        <v>867</v>
      </c>
      <c r="B82" s="1830">
        <f>921</f>
        <v>921</v>
      </c>
      <c r="C82" s="1831">
        <f>3214172129.66</f>
        <v>3214172129.6599998</v>
      </c>
      <c r="D82" s="1830">
        <f>538</f>
        <v>538</v>
      </c>
      <c r="E82" s="1831">
        <f>+-1408818626.18</f>
        <v>-1408818626.1800001</v>
      </c>
      <c r="F82" s="1830">
        <f>0</f>
        <v>0</v>
      </c>
      <c r="G82" s="1820"/>
      <c r="H82" s="1822"/>
      <c r="I82" s="1822"/>
      <c r="J82" s="1823"/>
      <c r="K82" s="1806"/>
    </row>
    <row r="83" spans="1:12">
      <c r="A83" s="1832"/>
      <c r="B83" s="1832"/>
      <c r="C83" s="1832"/>
      <c r="D83" s="1832"/>
      <c r="E83" s="1832"/>
      <c r="F83" s="1832"/>
      <c r="G83" s="1820"/>
      <c r="H83" s="1822"/>
      <c r="I83" s="1822"/>
      <c r="J83" s="1823"/>
      <c r="K83" s="1806"/>
      <c r="L83" s="469"/>
    </row>
    <row r="84" spans="1:12">
      <c r="A84" s="2286" t="s">
        <v>868</v>
      </c>
      <c r="B84" s="2287" t="s">
        <v>861</v>
      </c>
      <c r="C84" s="2287"/>
      <c r="D84" s="2287" t="s">
        <v>862</v>
      </c>
      <c r="E84" s="2287"/>
      <c r="F84" s="1827" t="s">
        <v>863</v>
      </c>
      <c r="G84" s="1820"/>
      <c r="H84" s="1822"/>
      <c r="I84" s="1822"/>
      <c r="J84" s="1823"/>
      <c r="K84" s="1806"/>
    </row>
    <row r="85" spans="1:12">
      <c r="A85" s="2286"/>
      <c r="B85" s="1828" t="s">
        <v>864</v>
      </c>
      <c r="C85" s="1828" t="s">
        <v>865</v>
      </c>
      <c r="D85" s="1828" t="s">
        <v>864</v>
      </c>
      <c r="E85" s="1828" t="s">
        <v>865</v>
      </c>
      <c r="F85" s="1828" t="s">
        <v>864</v>
      </c>
      <c r="G85" s="1820"/>
      <c r="H85" s="1822"/>
      <c r="I85" s="1822"/>
      <c r="J85" s="1823"/>
      <c r="K85" s="1806"/>
    </row>
    <row r="86" spans="1:12">
      <c r="A86" s="1829" t="s">
        <v>866</v>
      </c>
      <c r="B86" s="1830">
        <f>1274</f>
        <v>1274</v>
      </c>
      <c r="C86" s="1831">
        <f>4832042703.68</f>
        <v>4832042703.6800003</v>
      </c>
      <c r="D86" s="1830">
        <f>185</f>
        <v>185</v>
      </c>
      <c r="E86" s="1831">
        <f>+-206761169.32</f>
        <v>-206761169.31999999</v>
      </c>
      <c r="F86" s="1830">
        <f>0</f>
        <v>0</v>
      </c>
      <c r="G86" s="1820"/>
      <c r="H86" s="1822"/>
      <c r="I86" s="1822"/>
      <c r="J86" s="1823"/>
      <c r="K86" s="1806"/>
    </row>
    <row r="87" spans="1:12">
      <c r="A87" s="1829" t="s">
        <v>867</v>
      </c>
      <c r="B87" s="1830">
        <f>1440</f>
        <v>1440</v>
      </c>
      <c r="C87" s="1831">
        <f>10277511620.86</f>
        <v>10277511620.860001</v>
      </c>
      <c r="D87" s="1830">
        <f>19</f>
        <v>19</v>
      </c>
      <c r="E87" s="1831">
        <f>+-14725305.76</f>
        <v>-14725305.76</v>
      </c>
      <c r="F87" s="1830">
        <f>0</f>
        <v>0</v>
      </c>
      <c r="G87" s="1820"/>
      <c r="H87" s="1822"/>
      <c r="I87" s="1822"/>
      <c r="J87" s="1823"/>
      <c r="K87" s="1806"/>
    </row>
    <row r="88" spans="1:12">
      <c r="A88" s="1825"/>
      <c r="B88" s="1820"/>
      <c r="C88" s="1820"/>
      <c r="D88" s="1820"/>
      <c r="E88" s="1820"/>
      <c r="F88" s="1820"/>
      <c r="G88" s="1820"/>
      <c r="H88" s="1820"/>
      <c r="I88" s="1822"/>
      <c r="J88" s="1822"/>
      <c r="K88" s="1823"/>
    </row>
    <row r="89" spans="1:12">
      <c r="A89" s="1825"/>
      <c r="B89" s="1820"/>
      <c r="C89" s="1820"/>
      <c r="D89" s="1820"/>
      <c r="E89" s="1820"/>
      <c r="F89" s="1820"/>
      <c r="G89" s="1820"/>
      <c r="H89" s="1820"/>
      <c r="I89" s="1822"/>
      <c r="J89" s="1822"/>
      <c r="K89" s="1823"/>
    </row>
    <row r="90" spans="1:12">
      <c r="A90" s="1833" t="s">
        <v>623</v>
      </c>
      <c r="B90" s="1834"/>
      <c r="C90" s="1834"/>
      <c r="D90" s="1834"/>
      <c r="E90" s="1834"/>
      <c r="F90" s="1820"/>
      <c r="G90" s="1820"/>
      <c r="H90" s="1820"/>
      <c r="I90" s="1820"/>
      <c r="J90" s="1822"/>
      <c r="K90" s="1822"/>
    </row>
    <row r="91" spans="1:12" ht="26.4">
      <c r="A91" s="1780" t="s">
        <v>743</v>
      </c>
      <c r="B91" s="1785">
        <f>6164795714.76</f>
        <v>6164795714.7600002</v>
      </c>
      <c r="C91" s="1785">
        <f>4775198518.68</f>
        <v>4775198518.6800003</v>
      </c>
      <c r="D91" s="1785">
        <f>4788845481.92999</f>
        <v>4788845481.9299898</v>
      </c>
      <c r="E91" s="1785">
        <f>63700288.43</f>
        <v>63700288.43</v>
      </c>
      <c r="F91" s="1785">
        <f>0</f>
        <v>0</v>
      </c>
      <c r="G91" s="1785">
        <f>1260769.94</f>
        <v>1260769.94</v>
      </c>
      <c r="H91" s="1785">
        <f>36657750.8</f>
        <v>36657750.799999997</v>
      </c>
      <c r="I91" s="1835">
        <f>IF($C$91=0,"",100*$C91/$C$91)</f>
        <v>100</v>
      </c>
      <c r="J91" s="1835">
        <f>IF(B91=0,"",100*C91/B91)</f>
        <v>77.459152575762232</v>
      </c>
      <c r="K91" s="1823"/>
    </row>
    <row r="92" spans="1:12">
      <c r="A92" s="1836" t="s">
        <v>625</v>
      </c>
      <c r="B92" s="1785">
        <f>5057036831.4</f>
        <v>5057036831.3999996</v>
      </c>
      <c r="C92" s="1785">
        <f>4052571467.3</f>
        <v>4052571467.3000002</v>
      </c>
      <c r="D92" s="1785">
        <f>4061668598.35</f>
        <v>4061668598.3499999</v>
      </c>
      <c r="E92" s="1785">
        <f>53943135.55</f>
        <v>53943135.549999997</v>
      </c>
      <c r="F92" s="1785">
        <f>0</f>
        <v>0</v>
      </c>
      <c r="G92" s="1785">
        <f>1260469.94</f>
        <v>1260469.94</v>
      </c>
      <c r="H92" s="1785">
        <f>36329198.65</f>
        <v>36329198.649999999</v>
      </c>
      <c r="I92" s="1835">
        <f>IF($C$91=0,"",100*$C92/$C$91)</f>
        <v>84.867078330813456</v>
      </c>
      <c r="J92" s="1835">
        <f>IF(B92=0,"",100*C92/B92)</f>
        <v>80.137274107574143</v>
      </c>
      <c r="K92" s="1823"/>
    </row>
    <row r="93" spans="1:12">
      <c r="A93" s="1837" t="s">
        <v>626</v>
      </c>
      <c r="B93" s="1785">
        <f>+B91-B92</f>
        <v>1107758883.3600006</v>
      </c>
      <c r="C93" s="1785">
        <f t="shared" ref="C93:H93" si="10">+C91-C92</f>
        <v>722627051.38000011</v>
      </c>
      <c r="D93" s="1785">
        <f t="shared" si="10"/>
        <v>727176883.57998991</v>
      </c>
      <c r="E93" s="1785">
        <f t="shared" si="10"/>
        <v>9757152.8800000027</v>
      </c>
      <c r="F93" s="1785">
        <f t="shared" si="10"/>
        <v>0</v>
      </c>
      <c r="G93" s="1785">
        <f t="shared" si="10"/>
        <v>300</v>
      </c>
      <c r="H93" s="1785">
        <f t="shared" si="10"/>
        <v>328552.14999999851</v>
      </c>
      <c r="I93" s="1835">
        <f>IF($C$91=0,"",100*$C93/$C$91)</f>
        <v>15.132921669186533</v>
      </c>
      <c r="J93" s="1835">
        <f>IF(B93=0,"",100*C93/B93)</f>
        <v>65.233243644877192</v>
      </c>
      <c r="K93" s="1806"/>
    </row>
    <row r="94" spans="1:12">
      <c r="A94" s="1806"/>
      <c r="B94" s="1806"/>
      <c r="C94" s="1806"/>
      <c r="D94" s="1806"/>
      <c r="E94" s="1806"/>
      <c r="F94" s="1806"/>
      <c r="G94" s="1806"/>
      <c r="H94" s="1806"/>
      <c r="I94" s="1806"/>
      <c r="J94" s="1806"/>
      <c r="K94" s="1806"/>
    </row>
    <row r="95" spans="1:12">
      <c r="A95" s="1838" t="s">
        <v>1</v>
      </c>
      <c r="B95" s="1839" t="s">
        <v>627</v>
      </c>
      <c r="C95" s="1839" t="s">
        <v>628</v>
      </c>
      <c r="D95" s="2274" t="s">
        <v>597</v>
      </c>
      <c r="E95" s="2275"/>
      <c r="F95" s="2275"/>
      <c r="G95" s="2275"/>
      <c r="H95" s="2276"/>
      <c r="I95" s="1779" t="s">
        <v>5</v>
      </c>
      <c r="J95" s="1779" t="s">
        <v>4</v>
      </c>
      <c r="K95" s="1806"/>
    </row>
    <row r="96" spans="1:12" ht="14.4">
      <c r="A96" s="1838"/>
      <c r="B96" s="2283" t="s">
        <v>163</v>
      </c>
      <c r="C96" s="2284"/>
      <c r="D96" s="2277"/>
      <c r="E96" s="2278"/>
      <c r="F96" s="2278"/>
      <c r="G96" s="2278"/>
      <c r="H96" s="2279"/>
      <c r="I96" s="2283" t="s">
        <v>169</v>
      </c>
      <c r="J96" s="2285"/>
      <c r="K96" s="1806"/>
    </row>
    <row r="97" spans="1:11">
      <c r="A97" s="1809">
        <v>1</v>
      </c>
      <c r="B97" s="1840">
        <v>2</v>
      </c>
      <c r="C97" s="1840">
        <v>3</v>
      </c>
      <c r="D97" s="2280"/>
      <c r="E97" s="2281"/>
      <c r="F97" s="2281"/>
      <c r="G97" s="2281"/>
      <c r="H97" s="2282"/>
      <c r="I97" s="1841">
        <v>4</v>
      </c>
      <c r="J97" s="1841">
        <v>5</v>
      </c>
      <c r="K97" s="1806"/>
    </row>
    <row r="98" spans="1:11" ht="26.4">
      <c r="A98" s="1842" t="s">
        <v>629</v>
      </c>
      <c r="B98" s="1843">
        <f>8823932744.02</f>
        <v>8823932744.0200005</v>
      </c>
      <c r="C98" s="1843">
        <f>12415268211.52</f>
        <v>12415268211.52</v>
      </c>
      <c r="D98" s="1843" t="s">
        <v>597</v>
      </c>
      <c r="E98" s="1843" t="s">
        <v>597</v>
      </c>
      <c r="F98" s="1843" t="s">
        <v>597</v>
      </c>
      <c r="G98" s="1843" t="s">
        <v>597</v>
      </c>
      <c r="H98" s="1843" t="s">
        <v>597</v>
      </c>
      <c r="I98" s="1775">
        <f t="shared" ref="I98:I108" si="11">IF($C$98=0,"",100*$C98/$C$98)</f>
        <v>100</v>
      </c>
      <c r="J98" s="1812">
        <f t="shared" ref="J98:J113" si="12">IF(B98=0,"",100*C98/B98)</f>
        <v>140.6999415304231</v>
      </c>
      <c r="K98" s="1806"/>
    </row>
    <row r="99" spans="1:11" ht="30.6">
      <c r="A99" s="1844" t="s">
        <v>744</v>
      </c>
      <c r="B99" s="1845">
        <f>3411266116.36</f>
        <v>3411266116.3600001</v>
      </c>
      <c r="C99" s="1845">
        <f>2447143656.65</f>
        <v>2447143656.6500001</v>
      </c>
      <c r="D99" s="1843" t="s">
        <v>597</v>
      </c>
      <c r="E99" s="1843" t="s">
        <v>597</v>
      </c>
      <c r="F99" s="1843" t="s">
        <v>597</v>
      </c>
      <c r="G99" s="1843" t="s">
        <v>597</v>
      </c>
      <c r="H99" s="1843" t="s">
        <v>597</v>
      </c>
      <c r="I99" s="1775">
        <f t="shared" si="11"/>
        <v>19.71075948548031</v>
      </c>
      <c r="J99" s="1812">
        <f t="shared" si="12"/>
        <v>71.737107958649403</v>
      </c>
      <c r="K99" s="1806"/>
    </row>
    <row r="100" spans="1:11">
      <c r="A100" s="1846" t="s">
        <v>631</v>
      </c>
      <c r="B100" s="1845">
        <f>48382602</f>
        <v>48382602</v>
      </c>
      <c r="C100" s="1845">
        <f>31800000</f>
        <v>31800000</v>
      </c>
      <c r="D100" s="1843" t="s">
        <v>597</v>
      </c>
      <c r="E100" s="1843" t="s">
        <v>597</v>
      </c>
      <c r="F100" s="1843" t="s">
        <v>597</v>
      </c>
      <c r="G100" s="1843" t="s">
        <v>597</v>
      </c>
      <c r="H100" s="1843" t="s">
        <v>597</v>
      </c>
      <c r="I100" s="1775">
        <f t="shared" si="11"/>
        <v>0.25613623047219475</v>
      </c>
      <c r="J100" s="1812">
        <f t="shared" si="12"/>
        <v>65.726105429385541</v>
      </c>
      <c r="K100" s="1806"/>
    </row>
    <row r="101" spans="1:11">
      <c r="A101" s="1844" t="s">
        <v>632</v>
      </c>
      <c r="B101" s="1845">
        <f>99554558.02</f>
        <v>99554558.019999996</v>
      </c>
      <c r="C101" s="1845">
        <f>124939443.99</f>
        <v>124939443.98999999</v>
      </c>
      <c r="D101" s="1843" t="s">
        <v>597</v>
      </c>
      <c r="E101" s="1843" t="s">
        <v>597</v>
      </c>
      <c r="F101" s="1843" t="s">
        <v>597</v>
      </c>
      <c r="G101" s="1843" t="s">
        <v>597</v>
      </c>
      <c r="H101" s="1843" t="s">
        <v>597</v>
      </c>
      <c r="I101" s="1775">
        <f t="shared" si="11"/>
        <v>1.0063370509713996</v>
      </c>
      <c r="J101" s="1812">
        <f t="shared" si="12"/>
        <v>125.49846684558663</v>
      </c>
      <c r="K101" s="1806"/>
    </row>
    <row r="102" spans="1:11" ht="40.799999999999997">
      <c r="A102" s="1844" t="s">
        <v>633</v>
      </c>
      <c r="B102" s="1845">
        <f>1411052576.91</f>
        <v>1411052576.9100001</v>
      </c>
      <c r="C102" s="1845">
        <f>3990326114.97</f>
        <v>3990326114.9699998</v>
      </c>
      <c r="D102" s="1843" t="s">
        <v>597</v>
      </c>
      <c r="E102" s="1843" t="s">
        <v>597</v>
      </c>
      <c r="F102" s="1843" t="s">
        <v>597</v>
      </c>
      <c r="G102" s="1843" t="s">
        <v>597</v>
      </c>
      <c r="H102" s="1843" t="s">
        <v>597</v>
      </c>
      <c r="I102" s="1775">
        <f t="shared" si="11"/>
        <v>32.14047451079162</v>
      </c>
      <c r="J102" s="1812">
        <f t="shared" si="12"/>
        <v>282.79074644463168</v>
      </c>
      <c r="K102" s="1806"/>
    </row>
    <row r="103" spans="1:11" ht="30.6">
      <c r="A103" s="1844" t="s">
        <v>745</v>
      </c>
      <c r="B103" s="1845">
        <f>992003481.58</f>
        <v>992003481.58000004</v>
      </c>
      <c r="C103" s="1845">
        <f>1137584790.32</f>
        <v>1137584790.3199999</v>
      </c>
      <c r="D103" s="1843" t="s">
        <v>597</v>
      </c>
      <c r="E103" s="1843" t="s">
        <v>597</v>
      </c>
      <c r="F103" s="1843" t="s">
        <v>597</v>
      </c>
      <c r="G103" s="1843" t="s">
        <v>597</v>
      </c>
      <c r="H103" s="1843" t="s">
        <v>597</v>
      </c>
      <c r="I103" s="1775">
        <f t="shared" si="11"/>
        <v>9.1627886803480152</v>
      </c>
      <c r="J103" s="1812">
        <f t="shared" si="12"/>
        <v>114.67548364932422</v>
      </c>
      <c r="K103" s="1806"/>
    </row>
    <row r="104" spans="1:11">
      <c r="A104" s="1844" t="s">
        <v>635</v>
      </c>
      <c r="B104" s="1845">
        <f>0</f>
        <v>0</v>
      </c>
      <c r="C104" s="1845">
        <f>0</f>
        <v>0</v>
      </c>
      <c r="D104" s="1843" t="s">
        <v>597</v>
      </c>
      <c r="E104" s="1843" t="s">
        <v>597</v>
      </c>
      <c r="F104" s="1843" t="s">
        <v>597</v>
      </c>
      <c r="G104" s="1843" t="s">
        <v>597</v>
      </c>
      <c r="H104" s="1843" t="s">
        <v>597</v>
      </c>
      <c r="I104" s="1775">
        <f t="shared" si="11"/>
        <v>0</v>
      </c>
      <c r="J104" s="1812" t="str">
        <f t="shared" si="12"/>
        <v/>
      </c>
      <c r="K104" s="1806"/>
    </row>
    <row r="105" spans="1:11" ht="30.6">
      <c r="A105" s="1844" t="s">
        <v>746</v>
      </c>
      <c r="B105" s="1845">
        <f>2708126027.73</f>
        <v>2708126027.73</v>
      </c>
      <c r="C105" s="1845">
        <f>4492716587.79</f>
        <v>4492716587.79</v>
      </c>
      <c r="D105" s="1843" t="s">
        <v>597</v>
      </c>
      <c r="E105" s="1843" t="s">
        <v>597</v>
      </c>
      <c r="F105" s="1843" t="s">
        <v>597</v>
      </c>
      <c r="G105" s="1843" t="s">
        <v>597</v>
      </c>
      <c r="H105" s="1843" t="s">
        <v>597</v>
      </c>
      <c r="I105" s="1775">
        <f t="shared" si="11"/>
        <v>36.187028030705406</v>
      </c>
      <c r="J105" s="1812">
        <f t="shared" si="12"/>
        <v>165.89761856673545</v>
      </c>
      <c r="K105" s="1806"/>
    </row>
    <row r="106" spans="1:11" ht="51">
      <c r="A106" s="1844" t="s">
        <v>747</v>
      </c>
      <c r="B106" s="1845">
        <f>0</f>
        <v>0</v>
      </c>
      <c r="C106" s="1845">
        <f>0</f>
        <v>0</v>
      </c>
      <c r="D106" s="1843" t="s">
        <v>597</v>
      </c>
      <c r="E106" s="1843" t="s">
        <v>597</v>
      </c>
      <c r="F106" s="1843" t="s">
        <v>597</v>
      </c>
      <c r="G106" s="1843" t="s">
        <v>597</v>
      </c>
      <c r="H106" s="1843" t="s">
        <v>597</v>
      </c>
      <c r="I106" s="1775"/>
      <c r="J106" s="1812"/>
      <c r="K106" s="1806"/>
    </row>
    <row r="107" spans="1:11">
      <c r="A107" s="1844" t="s">
        <v>638</v>
      </c>
      <c r="B107" s="1845">
        <f>201929983.42</f>
        <v>201929983.41999999</v>
      </c>
      <c r="C107" s="1845">
        <f>222557617.8</f>
        <v>222557617.80000001</v>
      </c>
      <c r="D107" s="1843" t="s">
        <v>597</v>
      </c>
      <c r="E107" s="1843" t="s">
        <v>597</v>
      </c>
      <c r="F107" s="1843" t="s">
        <v>597</v>
      </c>
      <c r="G107" s="1843" t="s">
        <v>597</v>
      </c>
      <c r="H107" s="1843" t="s">
        <v>597</v>
      </c>
      <c r="I107" s="1775"/>
      <c r="J107" s="1812"/>
      <c r="K107" s="1806"/>
    </row>
    <row r="108" spans="1:11" ht="20.399999999999999">
      <c r="A108" s="1846" t="s">
        <v>639</v>
      </c>
      <c r="B108" s="1845">
        <f>200861816.17</f>
        <v>200861816.16999999</v>
      </c>
      <c r="C108" s="1845">
        <f>215443051.65</f>
        <v>215443051.65000001</v>
      </c>
      <c r="D108" s="1843" t="s">
        <v>597</v>
      </c>
      <c r="E108" s="1843" t="s">
        <v>597</v>
      </c>
      <c r="F108" s="1843" t="s">
        <v>597</v>
      </c>
      <c r="G108" s="1843" t="s">
        <v>597</v>
      </c>
      <c r="H108" s="1843" t="s">
        <v>597</v>
      </c>
      <c r="I108" s="1775">
        <f t="shared" si="11"/>
        <v>1.7353072682722439</v>
      </c>
      <c r="J108" s="1812">
        <f t="shared" si="12"/>
        <v>107.25933667136572</v>
      </c>
      <c r="K108" s="1806"/>
    </row>
    <row r="109" spans="1:11" ht="26.4">
      <c r="A109" s="1842" t="s">
        <v>640</v>
      </c>
      <c r="B109" s="1843">
        <f>2876869751.16</f>
        <v>2876869751.1599998</v>
      </c>
      <c r="C109" s="1843">
        <f>2774392937.94</f>
        <v>2774392937.9400001</v>
      </c>
      <c r="D109" s="1843" t="s">
        <v>597</v>
      </c>
      <c r="E109" s="1843" t="s">
        <v>597</v>
      </c>
      <c r="F109" s="1843" t="s">
        <v>597</v>
      </c>
      <c r="G109" s="1843" t="s">
        <v>597</v>
      </c>
      <c r="H109" s="1843" t="s">
        <v>597</v>
      </c>
      <c r="I109" s="1775">
        <f t="shared" ref="I109:I114" si="13">IF($C$109=0,"",100*$C109/$C$109)</f>
        <v>100</v>
      </c>
      <c r="J109" s="1812">
        <f t="shared" si="12"/>
        <v>96.437905707108243</v>
      </c>
      <c r="K109" s="1806"/>
    </row>
    <row r="110" spans="1:11" ht="30.6">
      <c r="A110" s="1844" t="s">
        <v>748</v>
      </c>
      <c r="B110" s="1845">
        <f>2490070199.96</f>
        <v>2490070199.96</v>
      </c>
      <c r="C110" s="1845">
        <f>2473978048.62</f>
        <v>2473978048.6199999</v>
      </c>
      <c r="D110" s="1843" t="s">
        <v>597</v>
      </c>
      <c r="E110" s="1843" t="s">
        <v>597</v>
      </c>
      <c r="F110" s="1843" t="s">
        <v>597</v>
      </c>
      <c r="G110" s="1843" t="s">
        <v>597</v>
      </c>
      <c r="H110" s="1843" t="s">
        <v>597</v>
      </c>
      <c r="I110" s="1775">
        <f t="shared" si="13"/>
        <v>89.171869448923132</v>
      </c>
      <c r="J110" s="1812">
        <f t="shared" si="12"/>
        <v>99.353747081497602</v>
      </c>
      <c r="K110" s="1806"/>
    </row>
    <row r="111" spans="1:11">
      <c r="A111" s="1846" t="s">
        <v>642</v>
      </c>
      <c r="B111" s="1845">
        <f>65361592</f>
        <v>65361592</v>
      </c>
      <c r="C111" s="1845">
        <f>64627592</f>
        <v>64627592</v>
      </c>
      <c r="D111" s="1843" t="s">
        <v>597</v>
      </c>
      <c r="E111" s="1843" t="s">
        <v>597</v>
      </c>
      <c r="F111" s="1843" t="s">
        <v>597</v>
      </c>
      <c r="G111" s="1843" t="s">
        <v>597</v>
      </c>
      <c r="H111" s="1843" t="s">
        <v>597</v>
      </c>
      <c r="I111" s="1775">
        <f t="shared" si="13"/>
        <v>2.329431823308572</v>
      </c>
      <c r="J111" s="1812">
        <f t="shared" si="12"/>
        <v>98.877016337056176</v>
      </c>
      <c r="K111" s="1806"/>
    </row>
    <row r="112" spans="1:11">
      <c r="A112" s="1844" t="s">
        <v>643</v>
      </c>
      <c r="B112" s="1845">
        <f>74444986.2</f>
        <v>74444986.200000003</v>
      </c>
      <c r="C112" s="1845">
        <f>70351855.16</f>
        <v>70351855.159999996</v>
      </c>
      <c r="D112" s="1843" t="s">
        <v>597</v>
      </c>
      <c r="E112" s="1843" t="s">
        <v>597</v>
      </c>
      <c r="F112" s="1843" t="s">
        <v>597</v>
      </c>
      <c r="G112" s="1843" t="s">
        <v>597</v>
      </c>
      <c r="H112" s="1843" t="s">
        <v>597</v>
      </c>
      <c r="I112" s="1775">
        <f t="shared" si="13"/>
        <v>2.5357567126823999</v>
      </c>
      <c r="J112" s="1812">
        <f t="shared" si="12"/>
        <v>94.501804286720386</v>
      </c>
      <c r="K112" s="1806"/>
    </row>
    <row r="113" spans="1:11">
      <c r="A113" s="1844" t="s">
        <v>644</v>
      </c>
      <c r="B113" s="1845">
        <f>312354565</f>
        <v>312354565</v>
      </c>
      <c r="C113" s="1845">
        <f>230063034.16</f>
        <v>230063034.16</v>
      </c>
      <c r="D113" s="1843" t="s">
        <v>597</v>
      </c>
      <c r="E113" s="1843" t="s">
        <v>597</v>
      </c>
      <c r="F113" s="1843" t="s">
        <v>597</v>
      </c>
      <c r="G113" s="1843" t="s">
        <v>597</v>
      </c>
      <c r="H113" s="1843" t="s">
        <v>597</v>
      </c>
      <c r="I113" s="1775">
        <f t="shared" si="13"/>
        <v>8.2923738383944592</v>
      </c>
      <c r="J113" s="1812">
        <f t="shared" si="12"/>
        <v>73.654449122586058</v>
      </c>
      <c r="K113" s="1806"/>
    </row>
    <row r="114" spans="1:11" ht="20.399999999999999">
      <c r="A114" s="1846" t="s">
        <v>645</v>
      </c>
      <c r="B114" s="1845">
        <f>236518724.31</f>
        <v>236518724.31</v>
      </c>
      <c r="C114" s="1845">
        <f>219737237.89</f>
        <v>219737237.88999999</v>
      </c>
      <c r="D114" s="1843" t="s">
        <v>597</v>
      </c>
      <c r="E114" s="1843" t="s">
        <v>597</v>
      </c>
      <c r="F114" s="1843" t="s">
        <v>597</v>
      </c>
      <c r="G114" s="1843" t="s">
        <v>597</v>
      </c>
      <c r="H114" s="1843" t="s">
        <v>597</v>
      </c>
      <c r="I114" s="1775">
        <f t="shared" si="13"/>
        <v>7.9201916529226732</v>
      </c>
      <c r="J114" s="1812">
        <f>IF(B114=0,"",100*C114/B114)</f>
        <v>92.904795817347264</v>
      </c>
      <c r="K114" s="1806"/>
    </row>
    <row r="115" spans="1:11">
      <c r="A115" s="1806"/>
      <c r="B115" s="1806"/>
      <c r="C115" s="1806"/>
      <c r="D115" s="1806"/>
      <c r="E115" s="1806"/>
      <c r="F115" s="1806"/>
      <c r="G115" s="1806"/>
      <c r="H115" s="1806"/>
      <c r="I115" s="1806"/>
      <c r="J115" s="1806"/>
      <c r="K115" s="1806"/>
    </row>
    <row r="116" spans="1:11">
      <c r="A116" s="1838" t="s">
        <v>1</v>
      </c>
      <c r="B116" s="1839" t="s">
        <v>627</v>
      </c>
      <c r="C116" s="1779" t="s">
        <v>628</v>
      </c>
      <c r="D116" s="1806"/>
      <c r="E116" s="1806"/>
      <c r="F116" s="1806"/>
      <c r="G116" s="1806"/>
      <c r="H116" s="1806"/>
      <c r="I116" s="1806"/>
      <c r="J116" s="1806"/>
      <c r="K116" s="1806"/>
    </row>
    <row r="117" spans="1:11">
      <c r="A117" s="1838"/>
      <c r="B117" s="2283" t="s">
        <v>163</v>
      </c>
      <c r="C117" s="2284"/>
      <c r="D117" s="1806"/>
      <c r="E117" s="1806"/>
      <c r="F117" s="1806"/>
      <c r="G117" s="1806"/>
      <c r="H117" s="1806"/>
      <c r="I117" s="1806"/>
      <c r="J117" s="1806"/>
      <c r="K117" s="1806"/>
    </row>
    <row r="118" spans="1:11">
      <c r="A118" s="1809">
        <v>1</v>
      </c>
      <c r="B118" s="1840">
        <v>2</v>
      </c>
      <c r="C118" s="1841">
        <v>3</v>
      </c>
      <c r="D118" s="1806"/>
      <c r="E118" s="1806"/>
      <c r="F118" s="1806"/>
      <c r="G118" s="1806"/>
      <c r="H118" s="1806"/>
      <c r="I118" s="1806"/>
      <c r="J118" s="1806"/>
      <c r="K118" s="1806"/>
    </row>
    <row r="119" spans="1:11" ht="30.6">
      <c r="A119" s="1847" t="s">
        <v>646</v>
      </c>
      <c r="B119" s="1845">
        <f>6193359133.05</f>
        <v>6193359133.0500002</v>
      </c>
      <c r="C119" s="1787">
        <f>1407301202.35</f>
        <v>1407301202.3499999</v>
      </c>
      <c r="D119" s="1806"/>
      <c r="E119" s="1806"/>
      <c r="F119" s="1806"/>
      <c r="G119" s="1806"/>
      <c r="H119" s="1806"/>
      <c r="I119" s="1806"/>
      <c r="J119" s="1806"/>
      <c r="K119" s="1806"/>
    </row>
    <row r="120" spans="1:11" ht="30.6">
      <c r="A120" s="1848" t="s">
        <v>647</v>
      </c>
      <c r="B120" s="1845">
        <f>40855365.71</f>
        <v>40855365.710000001</v>
      </c>
      <c r="C120" s="1787">
        <f>10468343.68</f>
        <v>10468343.68</v>
      </c>
      <c r="D120" s="1806"/>
      <c r="E120" s="1806"/>
      <c r="F120" s="1806"/>
      <c r="G120" s="1806"/>
      <c r="H120" s="1806"/>
      <c r="I120" s="1806"/>
      <c r="J120" s="1806"/>
      <c r="K120" s="1806"/>
    </row>
    <row r="121" spans="1:11">
      <c r="A121" s="1848" t="s">
        <v>648</v>
      </c>
      <c r="B121" s="1845">
        <f>2133444013.27</f>
        <v>2133444013.27</v>
      </c>
      <c r="C121" s="1787">
        <f>646769186.39</f>
        <v>646769186.38999999</v>
      </c>
      <c r="D121" s="1806"/>
      <c r="E121" s="1806"/>
      <c r="F121" s="1806"/>
      <c r="G121" s="1806"/>
      <c r="H121" s="1806"/>
      <c r="I121" s="1806"/>
      <c r="J121" s="1806"/>
      <c r="K121" s="1806"/>
    </row>
    <row r="122" spans="1:11" ht="20.399999999999999">
      <c r="A122" s="1848" t="s">
        <v>649</v>
      </c>
      <c r="B122" s="1845">
        <f>0</f>
        <v>0</v>
      </c>
      <c r="C122" s="1787">
        <f>0</f>
        <v>0</v>
      </c>
      <c r="D122" s="1806"/>
      <c r="E122" s="1806"/>
      <c r="F122" s="1806"/>
      <c r="G122" s="1806"/>
      <c r="H122" s="1806"/>
      <c r="I122" s="1806"/>
      <c r="J122" s="1806"/>
      <c r="K122" s="1806"/>
    </row>
    <row r="123" spans="1:11" ht="51">
      <c r="A123" s="1848" t="s">
        <v>650</v>
      </c>
      <c r="B123" s="1845">
        <f>1189980163.88</f>
        <v>1189980163.8800001</v>
      </c>
      <c r="C123" s="1787">
        <f>159701582.69</f>
        <v>159701582.69</v>
      </c>
      <c r="D123" s="1806"/>
      <c r="E123" s="1806"/>
      <c r="F123" s="1806"/>
      <c r="G123" s="1806"/>
      <c r="H123" s="1806"/>
      <c r="I123" s="1806"/>
      <c r="J123" s="1806"/>
      <c r="K123" s="1806"/>
    </row>
    <row r="124" spans="1:11" ht="61.2">
      <c r="A124" s="1848" t="s">
        <v>651</v>
      </c>
      <c r="B124" s="1845">
        <f>1834675399.9</f>
        <v>1834675399.9000001</v>
      </c>
      <c r="C124" s="1787">
        <f>274581875.19</f>
        <v>274581875.19</v>
      </c>
      <c r="D124" s="1806"/>
      <c r="E124" s="1806"/>
      <c r="F124" s="1806"/>
      <c r="G124" s="1806"/>
      <c r="H124" s="1806"/>
      <c r="I124" s="1806"/>
      <c r="J124" s="1806"/>
      <c r="K124" s="1806"/>
    </row>
    <row r="125" spans="1:11" ht="112.2">
      <c r="A125" s="1848" t="s">
        <v>652</v>
      </c>
      <c r="B125" s="1845">
        <f>872191744.03</f>
        <v>872191744.02999997</v>
      </c>
      <c r="C125" s="1787">
        <f>298206986.33</f>
        <v>298206986.32999998</v>
      </c>
      <c r="D125" s="1806"/>
      <c r="E125" s="1806"/>
      <c r="F125" s="1806"/>
      <c r="G125" s="1806"/>
      <c r="H125" s="1806"/>
      <c r="I125" s="1806"/>
      <c r="J125" s="1806"/>
      <c r="K125" s="1806"/>
    </row>
    <row r="126" spans="1:11" ht="20.399999999999999">
      <c r="A126" s="1848" t="s">
        <v>653</v>
      </c>
      <c r="B126" s="1845">
        <f>34480904.72</f>
        <v>34480904.719999999</v>
      </c>
      <c r="C126" s="1787">
        <f>4515575.69</f>
        <v>4515575.6900000004</v>
      </c>
      <c r="D126" s="1806"/>
      <c r="E126" s="1806"/>
      <c r="F126" s="1806"/>
      <c r="G126" s="1806"/>
      <c r="H126" s="1806"/>
      <c r="I126" s="1806"/>
      <c r="J126" s="1806"/>
      <c r="K126" s="1806"/>
    </row>
    <row r="127" spans="1:11" ht="20.399999999999999">
      <c r="A127" s="1848" t="s">
        <v>639</v>
      </c>
      <c r="B127" s="1845">
        <f>87731541.54</f>
        <v>87731541.540000007</v>
      </c>
      <c r="C127" s="1787">
        <f>13057652.38</f>
        <v>13057652.380000001</v>
      </c>
      <c r="D127" s="1806"/>
      <c r="E127" s="1806"/>
      <c r="F127" s="1806"/>
      <c r="G127" s="1806"/>
      <c r="H127" s="1806"/>
      <c r="I127" s="1806"/>
      <c r="J127" s="1806"/>
      <c r="K127" s="1806"/>
    </row>
    <row r="129" spans="1:4">
      <c r="A129" s="2255" t="s">
        <v>884</v>
      </c>
      <c r="B129" s="2255"/>
      <c r="C129" s="2255"/>
      <c r="D129" s="2255"/>
    </row>
  </sheetData>
  <mergeCells count="26">
    <mergeCell ref="I96:J96"/>
    <mergeCell ref="A3:A4"/>
    <mergeCell ref="B4:H4"/>
    <mergeCell ref="I4:K4"/>
    <mergeCell ref="A60:A63"/>
    <mergeCell ref="I60:I62"/>
    <mergeCell ref="J60:J62"/>
    <mergeCell ref="E61:E62"/>
    <mergeCell ref="F61:G61"/>
    <mergeCell ref="B63:H63"/>
    <mergeCell ref="I63:J63"/>
    <mergeCell ref="B60:B62"/>
    <mergeCell ref="C60:C62"/>
    <mergeCell ref="D60:D62"/>
    <mergeCell ref="E60:G60"/>
    <mergeCell ref="H60:H62"/>
    <mergeCell ref="B117:C117"/>
    <mergeCell ref="A129:D129"/>
    <mergeCell ref="A79:A80"/>
    <mergeCell ref="B79:C79"/>
    <mergeCell ref="D79:E79"/>
    <mergeCell ref="A84:A85"/>
    <mergeCell ref="B84:C84"/>
    <mergeCell ref="D84:E84"/>
    <mergeCell ref="D95:H97"/>
    <mergeCell ref="B96:C96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4" manualBreakCount="4">
    <brk id="33" max="10" man="1"/>
    <brk id="59" max="10" man="1"/>
    <brk id="89" max="10" man="1"/>
    <brk id="115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94C1-99C2-42D6-B268-E8EC7F16FCC1}">
  <dimension ref="A1:Q65"/>
  <sheetViews>
    <sheetView view="pageBreakPreview" topLeftCell="A34" zoomScaleNormal="100" zoomScaleSheetLayoutView="100" workbookViewId="0">
      <selection activeCell="A43" sqref="A43"/>
    </sheetView>
  </sheetViews>
  <sheetFormatPr defaultColWidth="9.21875" defaultRowHeight="13.8"/>
  <cols>
    <col min="1" max="1" width="24.77734375" style="431" customWidth="1"/>
    <col min="2" max="2" width="12.77734375" style="431" customWidth="1"/>
    <col min="3" max="3" width="12" style="431" bestFit="1" customWidth="1"/>
    <col min="4" max="4" width="11.21875" style="431" customWidth="1"/>
    <col min="5" max="7" width="10.21875" style="431" bestFit="1" customWidth="1"/>
    <col min="8" max="8" width="8.77734375" style="431" bestFit="1" customWidth="1"/>
    <col min="9" max="9" width="10.44140625" style="431" bestFit="1" customWidth="1"/>
    <col min="10" max="10" width="12" style="431" bestFit="1" customWidth="1"/>
    <col min="11" max="11" width="12.21875" style="431" customWidth="1"/>
    <col min="12" max="12" width="10.21875" style="431" bestFit="1" customWidth="1"/>
    <col min="13" max="14" width="11.21875" style="431" bestFit="1" customWidth="1"/>
    <col min="15" max="17" width="8.77734375" style="431" bestFit="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432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432"/>
      <c r="O2" s="432"/>
      <c r="P2" s="432"/>
      <c r="Q2" s="432"/>
    </row>
    <row r="3" spans="1:17">
      <c r="A3" s="2326" t="s">
        <v>1</v>
      </c>
      <c r="B3" s="2329" t="s">
        <v>655</v>
      </c>
      <c r="C3" s="2322" t="s">
        <v>656</v>
      </c>
      <c r="D3" s="2323"/>
      <c r="E3" s="2323"/>
      <c r="F3" s="2323"/>
      <c r="G3" s="2323"/>
      <c r="H3" s="2323"/>
      <c r="I3" s="2323"/>
      <c r="J3" s="2323"/>
      <c r="K3" s="2323"/>
      <c r="L3" s="2323"/>
      <c r="M3" s="2323"/>
      <c r="N3" s="2324"/>
      <c r="O3" s="2344" t="s">
        <v>657</v>
      </c>
      <c r="P3" s="2345"/>
      <c r="Q3" s="2346"/>
    </row>
    <row r="4" spans="1:17">
      <c r="A4" s="2327"/>
      <c r="B4" s="2330"/>
      <c r="C4" s="2331" t="s">
        <v>658</v>
      </c>
      <c r="D4" s="2331" t="s">
        <v>659</v>
      </c>
      <c r="E4" s="2331" t="s">
        <v>660</v>
      </c>
      <c r="F4" s="2331" t="s">
        <v>661</v>
      </c>
      <c r="G4" s="2331" t="s">
        <v>662</v>
      </c>
      <c r="H4" s="2331" t="s">
        <v>663</v>
      </c>
      <c r="I4" s="2347" t="s">
        <v>664</v>
      </c>
      <c r="J4" s="2331" t="s">
        <v>665</v>
      </c>
      <c r="K4" s="2331" t="s">
        <v>666</v>
      </c>
      <c r="L4" s="2331" t="s">
        <v>667</v>
      </c>
      <c r="M4" s="2331" t="s">
        <v>668</v>
      </c>
      <c r="N4" s="233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27"/>
      <c r="B5" s="2330"/>
      <c r="C5" s="2325"/>
      <c r="D5" s="2325"/>
      <c r="E5" s="2325"/>
      <c r="F5" s="2325"/>
      <c r="G5" s="2325"/>
      <c r="H5" s="2325"/>
      <c r="I5" s="2347"/>
      <c r="J5" s="2325"/>
      <c r="K5" s="2325"/>
      <c r="L5" s="2325"/>
      <c r="M5" s="2325"/>
      <c r="N5" s="2330"/>
      <c r="O5" s="2338"/>
      <c r="P5" s="2338"/>
      <c r="Q5" s="2338"/>
    </row>
    <row r="6" spans="1:17" ht="27.75" customHeight="1">
      <c r="A6" s="2327"/>
      <c r="B6" s="2330"/>
      <c r="C6" s="2325"/>
      <c r="D6" s="2325"/>
      <c r="E6" s="2325"/>
      <c r="F6" s="2325"/>
      <c r="G6" s="2325"/>
      <c r="H6" s="2325"/>
      <c r="I6" s="2347"/>
      <c r="J6" s="2325"/>
      <c r="K6" s="2325"/>
      <c r="L6" s="2325"/>
      <c r="M6" s="2325"/>
      <c r="N6" s="2330"/>
      <c r="O6" s="2338"/>
      <c r="P6" s="2338"/>
      <c r="Q6" s="2338"/>
    </row>
    <row r="7" spans="1:17" ht="21" customHeight="1">
      <c r="A7" s="2328"/>
      <c r="B7" s="2331"/>
      <c r="C7" s="2325"/>
      <c r="D7" s="2325"/>
      <c r="E7" s="2325"/>
      <c r="F7" s="2325"/>
      <c r="G7" s="2325"/>
      <c r="H7" s="2325"/>
      <c r="I7" s="2348"/>
      <c r="J7" s="2325"/>
      <c r="K7" s="2325"/>
      <c r="L7" s="2325"/>
      <c r="M7" s="2325"/>
      <c r="N7" s="233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 ht="14.4">
      <c r="A9" s="2072"/>
      <c r="B9" s="2342" t="s">
        <v>163</v>
      </c>
      <c r="C9" s="2343"/>
      <c r="D9" s="2343"/>
      <c r="E9" s="2343"/>
      <c r="F9" s="2343"/>
      <c r="G9" s="2343"/>
      <c r="H9" s="2343"/>
      <c r="I9" s="2343"/>
      <c r="J9" s="2343"/>
      <c r="K9" s="2343"/>
      <c r="L9" s="2343"/>
      <c r="M9" s="2343"/>
      <c r="N9" s="2343"/>
      <c r="O9" s="2305"/>
      <c r="P9" s="2305"/>
      <c r="Q9" s="2285"/>
    </row>
    <row r="10" spans="1:17" ht="36">
      <c r="A10" s="1850" t="s">
        <v>673</v>
      </c>
      <c r="B10" s="1851">
        <f>15200424086.04</f>
        <v>15200424086.040001</v>
      </c>
      <c r="C10" s="1851">
        <f>15200424086.04</f>
        <v>15200424086.040001</v>
      </c>
      <c r="D10" s="1851">
        <f>1243386265.14</f>
        <v>1243386265.1400001</v>
      </c>
      <c r="E10" s="1851">
        <f>108135028.04</f>
        <v>108135028.04000001</v>
      </c>
      <c r="F10" s="1851">
        <f>152018648.51</f>
        <v>152018648.50999999</v>
      </c>
      <c r="G10" s="1851">
        <f>981318927.24</f>
        <v>981318927.24000001</v>
      </c>
      <c r="H10" s="1851">
        <f>1913661.35</f>
        <v>1913661.35</v>
      </c>
      <c r="I10" s="1851">
        <f>0</f>
        <v>0</v>
      </c>
      <c r="J10" s="1851">
        <f>13300366193.3</f>
        <v>13300366193.299999</v>
      </c>
      <c r="K10" s="1851">
        <f>600178043.12</f>
        <v>600178043.12</v>
      </c>
      <c r="L10" s="1851">
        <f>47395576.22</f>
        <v>47395576.219999999</v>
      </c>
      <c r="M10" s="1851">
        <f>6454817.85</f>
        <v>6454817.8499999996</v>
      </c>
      <c r="N10" s="1851">
        <f>2643190.41</f>
        <v>2643190.41</v>
      </c>
      <c r="O10" s="1851">
        <f>0</f>
        <v>0</v>
      </c>
      <c r="P10" s="1851">
        <f>0</f>
        <v>0</v>
      </c>
      <c r="Q10" s="1851">
        <f>0</f>
        <v>0</v>
      </c>
    </row>
    <row r="11" spans="1:17" ht="24">
      <c r="A11" s="2495" t="s">
        <v>749</v>
      </c>
      <c r="B11" s="1851">
        <f>244350000</f>
        <v>244350000</v>
      </c>
      <c r="C11" s="1851">
        <f>244350000</f>
        <v>244350000</v>
      </c>
      <c r="D11" s="1851">
        <f>0</f>
        <v>0</v>
      </c>
      <c r="E11" s="1851">
        <f>0</f>
        <v>0</v>
      </c>
      <c r="F11" s="1851">
        <f>0</f>
        <v>0</v>
      </c>
      <c r="G11" s="1851">
        <f>0</f>
        <v>0</v>
      </c>
      <c r="H11" s="1851">
        <f>0</f>
        <v>0</v>
      </c>
      <c r="I11" s="1851">
        <f>0</f>
        <v>0</v>
      </c>
      <c r="J11" s="1851">
        <f>232500000</f>
        <v>232500000</v>
      </c>
      <c r="K11" s="1851">
        <f>11850000</f>
        <v>11850000</v>
      </c>
      <c r="L11" s="1851">
        <f>0</f>
        <v>0</v>
      </c>
      <c r="M11" s="1851">
        <f>0</f>
        <v>0</v>
      </c>
      <c r="N11" s="1851">
        <f>0</f>
        <v>0</v>
      </c>
      <c r="O11" s="1851">
        <f>0</f>
        <v>0</v>
      </c>
      <c r="P11" s="1851">
        <f>0</f>
        <v>0</v>
      </c>
      <c r="Q11" s="1851">
        <f>0</f>
        <v>0</v>
      </c>
    </row>
    <row r="12" spans="1:17">
      <c r="A12" s="2496" t="s">
        <v>675</v>
      </c>
      <c r="B12" s="1851">
        <f>650000</f>
        <v>650000</v>
      </c>
      <c r="C12" s="1851">
        <f>650000</f>
        <v>650000</v>
      </c>
      <c r="D12" s="1851">
        <f>0</f>
        <v>0</v>
      </c>
      <c r="E12" s="1851">
        <f>0</f>
        <v>0</v>
      </c>
      <c r="F12" s="1851">
        <f>0</f>
        <v>0</v>
      </c>
      <c r="G12" s="1851">
        <f>0</f>
        <v>0</v>
      </c>
      <c r="H12" s="1851">
        <f>0</f>
        <v>0</v>
      </c>
      <c r="I12" s="1851">
        <f>0</f>
        <v>0</v>
      </c>
      <c r="J12" s="1851">
        <f>0</f>
        <v>0</v>
      </c>
      <c r="K12" s="1851">
        <f>650000</f>
        <v>650000</v>
      </c>
      <c r="L12" s="1851">
        <f>0</f>
        <v>0</v>
      </c>
      <c r="M12" s="1851">
        <f>0</f>
        <v>0</v>
      </c>
      <c r="N12" s="1851">
        <f>0</f>
        <v>0</v>
      </c>
      <c r="O12" s="1851">
        <f>0</f>
        <v>0</v>
      </c>
      <c r="P12" s="1851">
        <f>0</f>
        <v>0</v>
      </c>
      <c r="Q12" s="1851">
        <f>0</f>
        <v>0</v>
      </c>
    </row>
    <row r="13" spans="1:17">
      <c r="A13" s="2496" t="s">
        <v>676</v>
      </c>
      <c r="B13" s="1851">
        <f>243700000</f>
        <v>243700000</v>
      </c>
      <c r="C13" s="1851">
        <f>243700000</f>
        <v>243700000</v>
      </c>
      <c r="D13" s="1851">
        <f>0</f>
        <v>0</v>
      </c>
      <c r="E13" s="1851">
        <f>0</f>
        <v>0</v>
      </c>
      <c r="F13" s="1851">
        <f>0</f>
        <v>0</v>
      </c>
      <c r="G13" s="1851">
        <f>0</f>
        <v>0</v>
      </c>
      <c r="H13" s="1851">
        <f>0</f>
        <v>0</v>
      </c>
      <c r="I13" s="1851">
        <f>0</f>
        <v>0</v>
      </c>
      <c r="J13" s="1851">
        <f>232500000</f>
        <v>232500000</v>
      </c>
      <c r="K13" s="1851">
        <f>11200000</f>
        <v>11200000</v>
      </c>
      <c r="L13" s="1851">
        <f>0</f>
        <v>0</v>
      </c>
      <c r="M13" s="1851">
        <f>0</f>
        <v>0</v>
      </c>
      <c r="N13" s="1851">
        <f>0</f>
        <v>0</v>
      </c>
      <c r="O13" s="1851">
        <f>0</f>
        <v>0</v>
      </c>
      <c r="P13" s="1851">
        <f>0</f>
        <v>0</v>
      </c>
      <c r="Q13" s="1851">
        <f>0</f>
        <v>0</v>
      </c>
    </row>
    <row r="14" spans="1:17" ht="24">
      <c r="A14" s="2497" t="s">
        <v>750</v>
      </c>
      <c r="B14" s="1851">
        <f>14936534842.11</f>
        <v>14936534842.110001</v>
      </c>
      <c r="C14" s="1851">
        <f>14936534842.11</f>
        <v>14936534842.110001</v>
      </c>
      <c r="D14" s="1851">
        <f>1240114219.22</f>
        <v>1240114219.22</v>
      </c>
      <c r="E14" s="1851">
        <f>107651110.85</f>
        <v>107651110.84999999</v>
      </c>
      <c r="F14" s="1851">
        <f>152007805.51</f>
        <v>152007805.50999999</v>
      </c>
      <c r="G14" s="1851">
        <f>980455302.86</f>
        <v>980455302.86000001</v>
      </c>
      <c r="H14" s="1851">
        <f>0</f>
        <v>0</v>
      </c>
      <c r="I14" s="1851">
        <f>0</f>
        <v>0</v>
      </c>
      <c r="J14" s="1851">
        <f>13067811093.2</f>
        <v>13067811093.200001</v>
      </c>
      <c r="K14" s="1851">
        <f>588327799.58</f>
        <v>588327799.58000004</v>
      </c>
      <c r="L14" s="1851">
        <f>37146183.3</f>
        <v>37146183.299999997</v>
      </c>
      <c r="M14" s="1851">
        <f>509000</f>
        <v>509000</v>
      </c>
      <c r="N14" s="1851">
        <f>2626546.81</f>
        <v>2626546.81</v>
      </c>
      <c r="O14" s="1851">
        <f>0</f>
        <v>0</v>
      </c>
      <c r="P14" s="1851">
        <f>0</f>
        <v>0</v>
      </c>
      <c r="Q14" s="1851">
        <f>0</f>
        <v>0</v>
      </c>
    </row>
    <row r="15" spans="1:17">
      <c r="A15" s="2498" t="s">
        <v>678</v>
      </c>
      <c r="B15" s="1851">
        <f>32630621.87</f>
        <v>32630621.870000001</v>
      </c>
      <c r="C15" s="1851">
        <f>32630621.87</f>
        <v>32630621.870000001</v>
      </c>
      <c r="D15" s="1851">
        <f>10455035.5</f>
        <v>10455035.5</v>
      </c>
      <c r="E15" s="1851">
        <f>3439306.09</f>
        <v>3439306.09</v>
      </c>
      <c r="F15" s="1851">
        <f>0</f>
        <v>0</v>
      </c>
      <c r="G15" s="1851">
        <f>7015729.41</f>
        <v>7015729.4100000001</v>
      </c>
      <c r="H15" s="1851">
        <f>0</f>
        <v>0</v>
      </c>
      <c r="I15" s="1851">
        <f>0</f>
        <v>0</v>
      </c>
      <c r="J15" s="1851">
        <f>22095586.37</f>
        <v>22095586.370000001</v>
      </c>
      <c r="K15" s="1851">
        <f>0</f>
        <v>0</v>
      </c>
      <c r="L15" s="1851">
        <f>0</f>
        <v>0</v>
      </c>
      <c r="M15" s="1851">
        <f>0</f>
        <v>0</v>
      </c>
      <c r="N15" s="1851">
        <f>80000</f>
        <v>80000</v>
      </c>
      <c r="O15" s="1851">
        <f>0</f>
        <v>0</v>
      </c>
      <c r="P15" s="1851">
        <f>0</f>
        <v>0</v>
      </c>
      <c r="Q15" s="1851">
        <f>0</f>
        <v>0</v>
      </c>
    </row>
    <row r="16" spans="1:17">
      <c r="A16" s="2499" t="s">
        <v>679</v>
      </c>
      <c r="B16" s="1851">
        <f>14903904220.24</f>
        <v>14903904220.24</v>
      </c>
      <c r="C16" s="1851">
        <f>14903904220.24</f>
        <v>14903904220.24</v>
      </c>
      <c r="D16" s="1851">
        <f>1229659183.72</f>
        <v>1229659183.72</v>
      </c>
      <c r="E16" s="1851">
        <f>104211804.76</f>
        <v>104211804.76000001</v>
      </c>
      <c r="F16" s="1851">
        <f>152007805.51</f>
        <v>152007805.50999999</v>
      </c>
      <c r="G16" s="1851">
        <f>973439573.45</f>
        <v>973439573.45000005</v>
      </c>
      <c r="H16" s="1851">
        <f>0</f>
        <v>0</v>
      </c>
      <c r="I16" s="1851">
        <f>0</f>
        <v>0</v>
      </c>
      <c r="J16" s="1851">
        <f>13045715506.83</f>
        <v>13045715506.83</v>
      </c>
      <c r="K16" s="1851">
        <f>588327799.58</f>
        <v>588327799.58000004</v>
      </c>
      <c r="L16" s="1851">
        <f>37146183.3</f>
        <v>37146183.299999997</v>
      </c>
      <c r="M16" s="1851">
        <f>509000</f>
        <v>509000</v>
      </c>
      <c r="N16" s="1851">
        <f>2546546.81</f>
        <v>2546546.81</v>
      </c>
      <c r="O16" s="1851">
        <f>0</f>
        <v>0</v>
      </c>
      <c r="P16" s="1851">
        <f>0</f>
        <v>0</v>
      </c>
      <c r="Q16" s="1851">
        <f>0</f>
        <v>0</v>
      </c>
    </row>
    <row r="17" spans="1:17">
      <c r="A17" s="2500" t="s">
        <v>680</v>
      </c>
      <c r="B17" s="1851">
        <f>0</f>
        <v>0</v>
      </c>
      <c r="C17" s="1851">
        <f>0</f>
        <v>0</v>
      </c>
      <c r="D17" s="1851">
        <f>0</f>
        <v>0</v>
      </c>
      <c r="E17" s="1851">
        <f>0</f>
        <v>0</v>
      </c>
      <c r="F17" s="1851">
        <f>0</f>
        <v>0</v>
      </c>
      <c r="G17" s="1851">
        <f>0</f>
        <v>0</v>
      </c>
      <c r="H17" s="1851">
        <f>0</f>
        <v>0</v>
      </c>
      <c r="I17" s="1851">
        <f>0</f>
        <v>0</v>
      </c>
      <c r="J17" s="1851">
        <f>0</f>
        <v>0</v>
      </c>
      <c r="K17" s="1851">
        <f>0</f>
        <v>0</v>
      </c>
      <c r="L17" s="1851">
        <f>0</f>
        <v>0</v>
      </c>
      <c r="M17" s="1851">
        <f>0</f>
        <v>0</v>
      </c>
      <c r="N17" s="1851">
        <f>0</f>
        <v>0</v>
      </c>
      <c r="O17" s="1851">
        <f>0</f>
        <v>0</v>
      </c>
      <c r="P17" s="1851">
        <f>0</f>
        <v>0</v>
      </c>
      <c r="Q17" s="1851">
        <f>0</f>
        <v>0</v>
      </c>
    </row>
    <row r="18" spans="1:17" ht="24">
      <c r="A18" s="2501" t="s">
        <v>751</v>
      </c>
      <c r="B18" s="1851">
        <f>19539243.93</f>
        <v>19539243.93</v>
      </c>
      <c r="C18" s="1851">
        <f>19539243.93</f>
        <v>19539243.93</v>
      </c>
      <c r="D18" s="1851">
        <f>3272045.92</f>
        <v>3272045.92</v>
      </c>
      <c r="E18" s="1851">
        <f>483917.19</f>
        <v>483917.19</v>
      </c>
      <c r="F18" s="1851">
        <f>10843</f>
        <v>10843</v>
      </c>
      <c r="G18" s="1851">
        <f>863624.38</f>
        <v>863624.38</v>
      </c>
      <c r="H18" s="1851">
        <f>1913661.35</f>
        <v>1913661.35</v>
      </c>
      <c r="I18" s="1851">
        <f>0</f>
        <v>0</v>
      </c>
      <c r="J18" s="1851">
        <f>55100.1</f>
        <v>55100.1</v>
      </c>
      <c r="K18" s="1851">
        <f>243.54</f>
        <v>243.54</v>
      </c>
      <c r="L18" s="1851">
        <f>10249392.92</f>
        <v>10249392.92</v>
      </c>
      <c r="M18" s="1851">
        <f>5945817.85</f>
        <v>5945817.8499999996</v>
      </c>
      <c r="N18" s="1851">
        <f>16643.6</f>
        <v>16643.599999999999</v>
      </c>
      <c r="O18" s="1851">
        <f>0</f>
        <v>0</v>
      </c>
      <c r="P18" s="1851">
        <f>0</f>
        <v>0</v>
      </c>
      <c r="Q18" s="1851">
        <f>0</f>
        <v>0</v>
      </c>
    </row>
    <row r="19" spans="1:17" ht="22.8">
      <c r="A19" s="2496" t="s">
        <v>682</v>
      </c>
      <c r="B19" s="1851">
        <f>11860634.27</f>
        <v>11860634.27</v>
      </c>
      <c r="C19" s="1851">
        <f>11860634.27</f>
        <v>11860634.27</v>
      </c>
      <c r="D19" s="1851">
        <f>277440.08</f>
        <v>277440.08</v>
      </c>
      <c r="E19" s="1851">
        <f>0</f>
        <v>0</v>
      </c>
      <c r="F19" s="1851">
        <f>0</f>
        <v>0</v>
      </c>
      <c r="G19" s="1851">
        <f>277440.08</f>
        <v>277440.08</v>
      </c>
      <c r="H19" s="1851">
        <f>0</f>
        <v>0</v>
      </c>
      <c r="I19" s="1851">
        <f>0</f>
        <v>0</v>
      </c>
      <c r="J19" s="1851">
        <f>100</f>
        <v>100</v>
      </c>
      <c r="K19" s="1851">
        <f>243.54</f>
        <v>243.54</v>
      </c>
      <c r="L19" s="1851">
        <f>8853303.64</f>
        <v>8853303.6400000006</v>
      </c>
      <c r="M19" s="1851">
        <f>2729107.01</f>
        <v>2729107.01</v>
      </c>
      <c r="N19" s="1851">
        <f>440</f>
        <v>440</v>
      </c>
      <c r="O19" s="1851">
        <f>0</f>
        <v>0</v>
      </c>
      <c r="P19" s="1851">
        <f>0</f>
        <v>0</v>
      </c>
      <c r="Q19" s="1851">
        <f>0</f>
        <v>0</v>
      </c>
    </row>
    <row r="20" spans="1:17">
      <c r="A20" s="1852" t="s">
        <v>683</v>
      </c>
      <c r="B20" s="1851">
        <f>7678609.66</f>
        <v>7678609.6600000001</v>
      </c>
      <c r="C20" s="1851">
        <f>7678609.66</f>
        <v>7678609.6600000001</v>
      </c>
      <c r="D20" s="1851">
        <f>2994605.84</f>
        <v>2994605.84</v>
      </c>
      <c r="E20" s="1851">
        <f>483917.19</f>
        <v>483917.19</v>
      </c>
      <c r="F20" s="1851">
        <f>10843</f>
        <v>10843</v>
      </c>
      <c r="G20" s="1851">
        <f>586184.3</f>
        <v>586184.30000000005</v>
      </c>
      <c r="H20" s="1851">
        <f>1913661.35</f>
        <v>1913661.35</v>
      </c>
      <c r="I20" s="1851">
        <f>0</f>
        <v>0</v>
      </c>
      <c r="J20" s="1851">
        <f>55000.1</f>
        <v>55000.1</v>
      </c>
      <c r="K20" s="1851">
        <f>0</f>
        <v>0</v>
      </c>
      <c r="L20" s="1851">
        <f>1396089.28</f>
        <v>1396089.28</v>
      </c>
      <c r="M20" s="1851">
        <f>3216710.84</f>
        <v>3216710.84</v>
      </c>
      <c r="N20" s="1851">
        <f>16203.6</f>
        <v>16203.6</v>
      </c>
      <c r="O20" s="1851">
        <f>0</f>
        <v>0</v>
      </c>
      <c r="P20" s="1851">
        <f>0</f>
        <v>0</v>
      </c>
      <c r="Q20" s="1851">
        <f>0</f>
        <v>0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 ht="14.25" customHeight="1">
      <c r="A22" s="2105" t="s">
        <v>684</v>
      </c>
      <c r="B22" s="2105"/>
      <c r="C22" s="2105"/>
      <c r="D22" s="2105"/>
      <c r="E22" s="2105"/>
      <c r="F22" s="2105"/>
      <c r="G22" s="2105"/>
      <c r="H22" s="2105"/>
      <c r="I22" s="2105"/>
      <c r="J22" s="2105"/>
      <c r="K22" s="2105"/>
      <c r="L22" s="2105"/>
      <c r="M22" s="2105"/>
      <c r="N22" s="1855"/>
      <c r="O22" s="1855"/>
      <c r="P22" s="1855"/>
      <c r="Q22" s="1855"/>
    </row>
    <row r="23" spans="1:17">
      <c r="A23" s="1855"/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</row>
    <row r="24" spans="1:17">
      <c r="A24" s="2332" t="s">
        <v>1</v>
      </c>
      <c r="B24" s="2329" t="s">
        <v>685</v>
      </c>
      <c r="C24" s="2322" t="s">
        <v>686</v>
      </c>
      <c r="D24" s="2323"/>
      <c r="E24" s="2323"/>
      <c r="F24" s="2323"/>
      <c r="G24" s="2323"/>
      <c r="H24" s="2323"/>
      <c r="I24" s="2323"/>
      <c r="J24" s="2323"/>
      <c r="K24" s="2323"/>
      <c r="L24" s="2323"/>
      <c r="M24" s="2323"/>
      <c r="N24" s="2324"/>
      <c r="O24" s="2335" t="s">
        <v>687</v>
      </c>
      <c r="P24" s="2336"/>
      <c r="Q24" s="2337"/>
    </row>
    <row r="25" spans="1:17">
      <c r="A25" s="2333"/>
      <c r="B25" s="2330"/>
      <c r="C25" s="2330" t="s">
        <v>688</v>
      </c>
      <c r="D25" s="2325" t="s">
        <v>689</v>
      </c>
      <c r="E25" s="2325" t="s">
        <v>690</v>
      </c>
      <c r="F25" s="2325" t="s">
        <v>691</v>
      </c>
      <c r="G25" s="2325" t="s">
        <v>692</v>
      </c>
      <c r="H25" s="2325" t="s">
        <v>663</v>
      </c>
      <c r="I25" s="2325" t="s">
        <v>693</v>
      </c>
      <c r="J25" s="2325" t="s">
        <v>665</v>
      </c>
      <c r="K25" s="2325" t="s">
        <v>666</v>
      </c>
      <c r="L25" s="2325" t="s">
        <v>667</v>
      </c>
      <c r="M25" s="2325" t="s">
        <v>668</v>
      </c>
      <c r="N25" s="2325" t="s">
        <v>669</v>
      </c>
      <c r="O25" s="2338" t="s">
        <v>670</v>
      </c>
      <c r="P25" s="2338" t="s">
        <v>671</v>
      </c>
      <c r="Q25" s="2339" t="s">
        <v>672</v>
      </c>
    </row>
    <row r="26" spans="1:17">
      <c r="A26" s="2333"/>
      <c r="B26" s="2330"/>
      <c r="C26" s="2330"/>
      <c r="D26" s="2325"/>
      <c r="E26" s="2325"/>
      <c r="F26" s="2325"/>
      <c r="G26" s="2325"/>
      <c r="H26" s="2325"/>
      <c r="I26" s="2325"/>
      <c r="J26" s="2325"/>
      <c r="K26" s="2325"/>
      <c r="L26" s="2325"/>
      <c r="M26" s="2325"/>
      <c r="N26" s="2325"/>
      <c r="O26" s="2338"/>
      <c r="P26" s="2338"/>
      <c r="Q26" s="2340"/>
    </row>
    <row r="27" spans="1:17" ht="39.6" customHeight="1">
      <c r="A27" s="2334"/>
      <c r="B27" s="2331"/>
      <c r="C27" s="2331"/>
      <c r="D27" s="2325"/>
      <c r="E27" s="2325"/>
      <c r="F27" s="2325"/>
      <c r="G27" s="2325"/>
      <c r="H27" s="2325"/>
      <c r="I27" s="2325"/>
      <c r="J27" s="2325"/>
      <c r="K27" s="2325"/>
      <c r="L27" s="2325"/>
      <c r="M27" s="2325"/>
      <c r="N27" s="2325"/>
      <c r="O27" s="2338"/>
      <c r="P27" s="2338"/>
      <c r="Q27" s="2341"/>
    </row>
    <row r="28" spans="1:17">
      <c r="A28" s="1849">
        <v>1</v>
      </c>
      <c r="B28" s="1849">
        <v>2</v>
      </c>
      <c r="C28" s="1849">
        <v>3</v>
      </c>
      <c r="D28" s="1849">
        <v>4</v>
      </c>
      <c r="E28" s="1849">
        <v>5</v>
      </c>
      <c r="F28" s="1849">
        <v>6</v>
      </c>
      <c r="G28" s="1849">
        <v>7</v>
      </c>
      <c r="H28" s="1849">
        <v>8</v>
      </c>
      <c r="I28" s="1849">
        <v>9</v>
      </c>
      <c r="J28" s="1849">
        <v>10</v>
      </c>
      <c r="K28" s="1849">
        <v>11</v>
      </c>
      <c r="L28" s="1849">
        <v>12</v>
      </c>
      <c r="M28" s="1849">
        <v>13</v>
      </c>
      <c r="N28" s="1849">
        <v>14</v>
      </c>
      <c r="O28" s="1849">
        <v>15</v>
      </c>
      <c r="P28" s="1849">
        <v>16</v>
      </c>
      <c r="Q28" s="1849">
        <v>17</v>
      </c>
    </row>
    <row r="29" spans="1:17">
      <c r="A29" s="1849"/>
      <c r="B29" s="2322" t="s">
        <v>163</v>
      </c>
      <c r="C29" s="2323"/>
      <c r="D29" s="2323"/>
      <c r="E29" s="2323"/>
      <c r="F29" s="2323"/>
      <c r="G29" s="2323"/>
      <c r="H29" s="2323"/>
      <c r="I29" s="2323"/>
      <c r="J29" s="2323"/>
      <c r="K29" s="2323"/>
      <c r="L29" s="2323"/>
      <c r="M29" s="2323"/>
      <c r="N29" s="2323"/>
      <c r="O29" s="2323"/>
      <c r="P29" s="2323"/>
      <c r="Q29" s="2324"/>
    </row>
    <row r="30" spans="1:17" ht="24">
      <c r="A30" s="1856" t="s">
        <v>694</v>
      </c>
      <c r="B30" s="1857">
        <f>69544563.3</f>
        <v>69544563.299999997</v>
      </c>
      <c r="C30" s="1857">
        <f>69544563.3</f>
        <v>69544563.299999997</v>
      </c>
      <c r="D30" s="1857">
        <f>0</f>
        <v>0</v>
      </c>
      <c r="E30" s="1857">
        <f>0</f>
        <v>0</v>
      </c>
      <c r="F30" s="1857">
        <f>0</f>
        <v>0</v>
      </c>
      <c r="G30" s="1857">
        <f>0</f>
        <v>0</v>
      </c>
      <c r="H30" s="1857">
        <f>0</f>
        <v>0</v>
      </c>
      <c r="I30" s="1857">
        <f>0</f>
        <v>0</v>
      </c>
      <c r="J30" s="1857">
        <f>69543563.3</f>
        <v>69543563.299999997</v>
      </c>
      <c r="K30" s="1857">
        <f>0</f>
        <v>0</v>
      </c>
      <c r="L30" s="1857">
        <f>1000</f>
        <v>1000</v>
      </c>
      <c r="M30" s="1857">
        <f>0</f>
        <v>0</v>
      </c>
      <c r="N30" s="1857">
        <f>0</f>
        <v>0</v>
      </c>
      <c r="O30" s="1857">
        <f>0</f>
        <v>0</v>
      </c>
      <c r="P30" s="1857">
        <f>0</f>
        <v>0</v>
      </c>
      <c r="Q30" s="1857">
        <f>0</f>
        <v>0</v>
      </c>
    </row>
    <row r="31" spans="1:17">
      <c r="A31" s="1858" t="s">
        <v>695</v>
      </c>
      <c r="B31" s="1857">
        <f>0</f>
        <v>0</v>
      </c>
      <c r="C31" s="1857">
        <f>0</f>
        <v>0</v>
      </c>
      <c r="D31" s="1857">
        <f>0</f>
        <v>0</v>
      </c>
      <c r="E31" s="1857">
        <f>0</f>
        <v>0</v>
      </c>
      <c r="F31" s="1857">
        <f>0</f>
        <v>0</v>
      </c>
      <c r="G31" s="1857">
        <f>0</f>
        <v>0</v>
      </c>
      <c r="H31" s="1857">
        <f>0</f>
        <v>0</v>
      </c>
      <c r="I31" s="1857">
        <f>0</f>
        <v>0</v>
      </c>
      <c r="J31" s="1857">
        <f>0</f>
        <v>0</v>
      </c>
      <c r="K31" s="1857">
        <f>0</f>
        <v>0</v>
      </c>
      <c r="L31" s="1857">
        <f>0</f>
        <v>0</v>
      </c>
      <c r="M31" s="1857">
        <f>0</f>
        <v>0</v>
      </c>
      <c r="N31" s="1857">
        <f>0</f>
        <v>0</v>
      </c>
      <c r="O31" s="1857">
        <f>0</f>
        <v>0</v>
      </c>
      <c r="P31" s="1857">
        <f>0</f>
        <v>0</v>
      </c>
      <c r="Q31" s="1857">
        <f>0</f>
        <v>0</v>
      </c>
    </row>
    <row r="32" spans="1:17">
      <c r="A32" s="1858" t="s">
        <v>696</v>
      </c>
      <c r="B32" s="1857">
        <f>69544563.3</f>
        <v>69544563.299999997</v>
      </c>
      <c r="C32" s="1857">
        <f>69544563.3</f>
        <v>69544563.299999997</v>
      </c>
      <c r="D32" s="1857">
        <f>0</f>
        <v>0</v>
      </c>
      <c r="E32" s="1857">
        <f>0</f>
        <v>0</v>
      </c>
      <c r="F32" s="1857">
        <f>0</f>
        <v>0</v>
      </c>
      <c r="G32" s="1857">
        <f>0</f>
        <v>0</v>
      </c>
      <c r="H32" s="1857">
        <f>0</f>
        <v>0</v>
      </c>
      <c r="I32" s="1857">
        <f>0</f>
        <v>0</v>
      </c>
      <c r="J32" s="1857">
        <f>69543563.3</f>
        <v>69543563.299999997</v>
      </c>
      <c r="K32" s="1857">
        <f>0</f>
        <v>0</v>
      </c>
      <c r="L32" s="1857">
        <f>1000</f>
        <v>1000</v>
      </c>
      <c r="M32" s="1857">
        <f>0</f>
        <v>0</v>
      </c>
      <c r="N32" s="1857">
        <f>0</f>
        <v>0</v>
      </c>
      <c r="O32" s="1857">
        <f>0</f>
        <v>0</v>
      </c>
      <c r="P32" s="1857">
        <f>0</f>
        <v>0</v>
      </c>
      <c r="Q32" s="1857">
        <f>0</f>
        <v>0</v>
      </c>
    </row>
    <row r="33" spans="1:17">
      <c r="A33" s="1859" t="s">
        <v>697</v>
      </c>
      <c r="B33" s="1857">
        <f>103069516.77</f>
        <v>103069516.77</v>
      </c>
      <c r="C33" s="1857">
        <f>103069516.77</f>
        <v>103069516.77</v>
      </c>
      <c r="D33" s="1857">
        <f>7112110.86</f>
        <v>7112110.8600000003</v>
      </c>
      <c r="E33" s="1857">
        <f>9381.75</f>
        <v>9381.75</v>
      </c>
      <c r="F33" s="1857">
        <f>53765.05</f>
        <v>53765.05</v>
      </c>
      <c r="G33" s="1857">
        <f>6999464.06</f>
        <v>6999464.0599999996</v>
      </c>
      <c r="H33" s="1857">
        <f>49500</f>
        <v>49500</v>
      </c>
      <c r="I33" s="1857">
        <f>0</f>
        <v>0</v>
      </c>
      <c r="J33" s="1857">
        <f>42180.34</f>
        <v>42180.34</v>
      </c>
      <c r="K33" s="1857">
        <f>0</f>
        <v>0</v>
      </c>
      <c r="L33" s="1857">
        <f>60286984.54</f>
        <v>60286984.539999999</v>
      </c>
      <c r="M33" s="1857">
        <f>24247009.41</f>
        <v>24247009.41</v>
      </c>
      <c r="N33" s="1857">
        <f>11381231.62</f>
        <v>11381231.619999999</v>
      </c>
      <c r="O33" s="1857">
        <f>0</f>
        <v>0</v>
      </c>
      <c r="P33" s="1857">
        <f>0</f>
        <v>0</v>
      </c>
      <c r="Q33" s="1857">
        <f>0</f>
        <v>0</v>
      </c>
    </row>
    <row r="34" spans="1:17">
      <c r="A34" s="1858" t="s">
        <v>698</v>
      </c>
      <c r="B34" s="1857">
        <f>7130416.95</f>
        <v>7130416.9500000002</v>
      </c>
      <c r="C34" s="1857">
        <f>7130416.95</f>
        <v>7130416.9500000002</v>
      </c>
      <c r="D34" s="1857">
        <f>2417170.57</f>
        <v>2417170.5699999998</v>
      </c>
      <c r="E34" s="1857">
        <f>0</f>
        <v>0</v>
      </c>
      <c r="F34" s="1857">
        <f>0</f>
        <v>0</v>
      </c>
      <c r="G34" s="1857">
        <f>2367670.57</f>
        <v>2367670.5699999998</v>
      </c>
      <c r="H34" s="1857">
        <f>49500</f>
        <v>49500</v>
      </c>
      <c r="I34" s="1857">
        <f>0</f>
        <v>0</v>
      </c>
      <c r="J34" s="1857">
        <f>0</f>
        <v>0</v>
      </c>
      <c r="K34" s="1857">
        <f>0</f>
        <v>0</v>
      </c>
      <c r="L34" s="1857">
        <f>2552803.02</f>
        <v>2552803.02</v>
      </c>
      <c r="M34" s="1857">
        <f>890083.7</f>
        <v>890083.7</v>
      </c>
      <c r="N34" s="1857">
        <f>1270359.66</f>
        <v>1270359.6599999999</v>
      </c>
      <c r="O34" s="1857">
        <f>0</f>
        <v>0</v>
      </c>
      <c r="P34" s="1857">
        <f>0</f>
        <v>0</v>
      </c>
      <c r="Q34" s="1857">
        <f>0</f>
        <v>0</v>
      </c>
    </row>
    <row r="35" spans="1:17">
      <c r="A35" s="1858" t="s">
        <v>699</v>
      </c>
      <c r="B35" s="1857">
        <f>95939099.82</f>
        <v>95939099.819999993</v>
      </c>
      <c r="C35" s="1857">
        <f>95939099.82</f>
        <v>95939099.819999993</v>
      </c>
      <c r="D35" s="1857">
        <f>4694940.29</f>
        <v>4694940.29</v>
      </c>
      <c r="E35" s="1857">
        <f>9381.75</f>
        <v>9381.75</v>
      </c>
      <c r="F35" s="1857">
        <f>53765.05</f>
        <v>53765.05</v>
      </c>
      <c r="G35" s="1857">
        <f>4631793.49</f>
        <v>4631793.49</v>
      </c>
      <c r="H35" s="1857">
        <f>0</f>
        <v>0</v>
      </c>
      <c r="I35" s="1857">
        <f>0</f>
        <v>0</v>
      </c>
      <c r="J35" s="1857">
        <f>42180.34</f>
        <v>42180.34</v>
      </c>
      <c r="K35" s="1857">
        <f>0</f>
        <v>0</v>
      </c>
      <c r="L35" s="1857">
        <f>57734181.52</f>
        <v>57734181.520000003</v>
      </c>
      <c r="M35" s="1857">
        <f>23356925.71</f>
        <v>23356925.710000001</v>
      </c>
      <c r="N35" s="1857">
        <f>10110871.96</f>
        <v>10110871.960000001</v>
      </c>
      <c r="O35" s="1857">
        <f>0</f>
        <v>0</v>
      </c>
      <c r="P35" s="1857">
        <f>0</f>
        <v>0</v>
      </c>
      <c r="Q35" s="1857">
        <f>0</f>
        <v>0</v>
      </c>
    </row>
    <row r="36" spans="1:17" ht="24">
      <c r="A36" s="1856" t="s">
        <v>700</v>
      </c>
      <c r="B36" s="1857">
        <f>13079370531.54</f>
        <v>13079370531.540001</v>
      </c>
      <c r="C36" s="1857">
        <f>13079370531.54</f>
        <v>13079370531.540001</v>
      </c>
      <c r="D36" s="1857">
        <f>286150.01</f>
        <v>286150.01</v>
      </c>
      <c r="E36" s="1857">
        <f>3326.39</f>
        <v>3326.39</v>
      </c>
      <c r="F36" s="1857">
        <f>2280.38</f>
        <v>2280.38</v>
      </c>
      <c r="G36" s="1857">
        <f>280543.24</f>
        <v>280543.24</v>
      </c>
      <c r="H36" s="1857">
        <f>0</f>
        <v>0</v>
      </c>
      <c r="I36" s="1857">
        <f>0</f>
        <v>0</v>
      </c>
      <c r="J36" s="1857">
        <f>13079034108.05</f>
        <v>13079034108.049999</v>
      </c>
      <c r="K36" s="1857">
        <f>5845.47</f>
        <v>5845.47</v>
      </c>
      <c r="L36" s="1857">
        <f>40928.01</f>
        <v>40928.01</v>
      </c>
      <c r="M36" s="1857">
        <f>3500</f>
        <v>3500</v>
      </c>
      <c r="N36" s="1857">
        <f>0</f>
        <v>0</v>
      </c>
      <c r="O36" s="1857">
        <f>0</f>
        <v>0</v>
      </c>
      <c r="P36" s="1857">
        <f>0</f>
        <v>0</v>
      </c>
      <c r="Q36" s="1857">
        <f>0</f>
        <v>0</v>
      </c>
    </row>
    <row r="37" spans="1:17">
      <c r="A37" s="1858" t="s">
        <v>701</v>
      </c>
      <c r="B37" s="1857">
        <f>208578.04</f>
        <v>208578.04</v>
      </c>
      <c r="C37" s="1857">
        <f>208578.04</f>
        <v>208578.04</v>
      </c>
      <c r="D37" s="1857">
        <f>208578.04</f>
        <v>208578.04</v>
      </c>
      <c r="E37" s="1857">
        <f>0</f>
        <v>0</v>
      </c>
      <c r="F37" s="1857">
        <f>0</f>
        <v>0</v>
      </c>
      <c r="G37" s="1857">
        <f>208578.04</f>
        <v>208578.04</v>
      </c>
      <c r="H37" s="1857">
        <f>0</f>
        <v>0</v>
      </c>
      <c r="I37" s="1857">
        <f>0</f>
        <v>0</v>
      </c>
      <c r="J37" s="1857">
        <f>0</f>
        <v>0</v>
      </c>
      <c r="K37" s="1857">
        <f>0</f>
        <v>0</v>
      </c>
      <c r="L37" s="1857">
        <f>0</f>
        <v>0</v>
      </c>
      <c r="M37" s="1857">
        <f>0</f>
        <v>0</v>
      </c>
      <c r="N37" s="1857">
        <f>0</f>
        <v>0</v>
      </c>
      <c r="O37" s="1857">
        <f>0</f>
        <v>0</v>
      </c>
      <c r="P37" s="1857">
        <f>0</f>
        <v>0</v>
      </c>
      <c r="Q37" s="1857">
        <f>0</f>
        <v>0</v>
      </c>
    </row>
    <row r="38" spans="1:17">
      <c r="A38" s="1858" t="s">
        <v>702</v>
      </c>
      <c r="B38" s="1857">
        <f>12379380344.74</f>
        <v>12379380344.74</v>
      </c>
      <c r="C38" s="1857">
        <f>12379380344.74</f>
        <v>12379380344.74</v>
      </c>
      <c r="D38" s="1857">
        <f>13841.39</f>
        <v>13841.39</v>
      </c>
      <c r="E38" s="1857">
        <f>3326.39</f>
        <v>3326.39</v>
      </c>
      <c r="F38" s="1857">
        <f>0</f>
        <v>0</v>
      </c>
      <c r="G38" s="1857">
        <f>10515</f>
        <v>10515</v>
      </c>
      <c r="H38" s="1857">
        <f>0</f>
        <v>0</v>
      </c>
      <c r="I38" s="1857">
        <f>0</f>
        <v>0</v>
      </c>
      <c r="J38" s="1857">
        <f>12379353461.74</f>
        <v>12379353461.74</v>
      </c>
      <c r="K38" s="1857">
        <f>5845.47</f>
        <v>5845.47</v>
      </c>
      <c r="L38" s="1857">
        <f>7196.14</f>
        <v>7196.14</v>
      </c>
      <c r="M38" s="1857">
        <f>0</f>
        <v>0</v>
      </c>
      <c r="N38" s="1857">
        <f>0</f>
        <v>0</v>
      </c>
      <c r="O38" s="1857">
        <f>0</f>
        <v>0</v>
      </c>
      <c r="P38" s="1857">
        <f>0</f>
        <v>0</v>
      </c>
      <c r="Q38" s="1857">
        <f>0</f>
        <v>0</v>
      </c>
    </row>
    <row r="39" spans="1:17">
      <c r="A39" s="1858" t="s">
        <v>703</v>
      </c>
      <c r="B39" s="1857">
        <f>699781608.76</f>
        <v>699781608.75999999</v>
      </c>
      <c r="C39" s="1857">
        <f>699781608.76</f>
        <v>699781608.75999999</v>
      </c>
      <c r="D39" s="1857">
        <f>63730.58</f>
        <v>63730.58</v>
      </c>
      <c r="E39" s="1857">
        <f>0</f>
        <v>0</v>
      </c>
      <c r="F39" s="1857">
        <f>2280.38</f>
        <v>2280.38</v>
      </c>
      <c r="G39" s="1857">
        <f>61450.2</f>
        <v>61450.2</v>
      </c>
      <c r="H39" s="1857">
        <f>0</f>
        <v>0</v>
      </c>
      <c r="I39" s="1857">
        <f>0</f>
        <v>0</v>
      </c>
      <c r="J39" s="1857">
        <f>699680646.31</f>
        <v>699680646.30999994</v>
      </c>
      <c r="K39" s="1857">
        <f>0</f>
        <v>0</v>
      </c>
      <c r="L39" s="1857">
        <f>33731.87</f>
        <v>33731.870000000003</v>
      </c>
      <c r="M39" s="1857">
        <f>3500</f>
        <v>3500</v>
      </c>
      <c r="N39" s="1857">
        <f>0</f>
        <v>0</v>
      </c>
      <c r="O39" s="1857">
        <f>0</f>
        <v>0</v>
      </c>
      <c r="P39" s="1857">
        <f>0</f>
        <v>0</v>
      </c>
      <c r="Q39" s="1857">
        <f>0</f>
        <v>0</v>
      </c>
    </row>
    <row r="40" spans="1:17" ht="24">
      <c r="A40" s="1856" t="s">
        <v>704</v>
      </c>
      <c r="B40" s="1857">
        <f>3182990504.99</f>
        <v>3182990504.9899998</v>
      </c>
      <c r="C40" s="1857">
        <f>3175363275.03</f>
        <v>3175363275.0300002</v>
      </c>
      <c r="D40" s="1857">
        <f>38875323.44</f>
        <v>38875323.439999998</v>
      </c>
      <c r="E40" s="1857">
        <f>25762423.75</f>
        <v>25762423.75</v>
      </c>
      <c r="F40" s="1857">
        <f>4427206.08</f>
        <v>4427206.08</v>
      </c>
      <c r="G40" s="1857">
        <f>8415906.15</f>
        <v>8415906.1500000004</v>
      </c>
      <c r="H40" s="1857">
        <f>269787.46</f>
        <v>269787.46000000002</v>
      </c>
      <c r="I40" s="1857">
        <f>0</f>
        <v>0</v>
      </c>
      <c r="J40" s="1857">
        <f>4858233.62</f>
        <v>4858233.62</v>
      </c>
      <c r="K40" s="1857">
        <f>904629.51</f>
        <v>904629.51</v>
      </c>
      <c r="L40" s="1857">
        <f>625126506.03</f>
        <v>625126506.02999997</v>
      </c>
      <c r="M40" s="1857">
        <f>2479442494.39</f>
        <v>2479442494.3899999</v>
      </c>
      <c r="N40" s="1857">
        <f>26156088.04</f>
        <v>26156088.039999999</v>
      </c>
      <c r="O40" s="1857">
        <f>7627229.96</f>
        <v>7627229.96</v>
      </c>
      <c r="P40" s="1857">
        <f>5280562.11</f>
        <v>5280562.1100000003</v>
      </c>
      <c r="Q40" s="1857">
        <f>2346667.85</f>
        <v>2346667.85</v>
      </c>
    </row>
    <row r="41" spans="1:17" ht="22.8">
      <c r="A41" s="1860" t="s">
        <v>705</v>
      </c>
      <c r="B41" s="1857">
        <f>252540643.48</f>
        <v>252540643.47999999</v>
      </c>
      <c r="C41" s="1857">
        <f>252469670.53</f>
        <v>252469670.53</v>
      </c>
      <c r="D41" s="1857">
        <f>2019471.82</f>
        <v>2019471.82</v>
      </c>
      <c r="E41" s="1857">
        <f>253767.07</f>
        <v>253767.07</v>
      </c>
      <c r="F41" s="1857">
        <f>52842.54</f>
        <v>52842.54</v>
      </c>
      <c r="G41" s="1857">
        <f>1572528.5</f>
        <v>1572528.5</v>
      </c>
      <c r="H41" s="1857">
        <f>140333.71</f>
        <v>140333.71</v>
      </c>
      <c r="I41" s="1857">
        <f>0</f>
        <v>0</v>
      </c>
      <c r="J41" s="1857">
        <f>2160.2</f>
        <v>2160.1999999999998</v>
      </c>
      <c r="K41" s="1857">
        <f>69098</f>
        <v>69098</v>
      </c>
      <c r="L41" s="1857">
        <f>54588250.53</f>
        <v>54588250.530000001</v>
      </c>
      <c r="M41" s="1857">
        <f>191986488.23</f>
        <v>191986488.22999999</v>
      </c>
      <c r="N41" s="1857">
        <f>3804201.75</f>
        <v>3804201.75</v>
      </c>
      <c r="O41" s="1857">
        <f>70972.95</f>
        <v>70972.95</v>
      </c>
      <c r="P41" s="1857">
        <f>57979.32</f>
        <v>57979.32</v>
      </c>
      <c r="Q41" s="1857">
        <f>12993.63</f>
        <v>12993.63</v>
      </c>
    </row>
    <row r="42" spans="1:17">
      <c r="A42" s="1858" t="s">
        <v>706</v>
      </c>
      <c r="B42" s="1857">
        <f>2930449861.51</f>
        <v>2930449861.5100002</v>
      </c>
      <c r="C42" s="1857">
        <f>2922893604.5</f>
        <v>2922893604.5</v>
      </c>
      <c r="D42" s="1857">
        <f>36855851.62</f>
        <v>36855851.619999997</v>
      </c>
      <c r="E42" s="1857">
        <f>25508656.68</f>
        <v>25508656.68</v>
      </c>
      <c r="F42" s="1857">
        <f>4374363.54</f>
        <v>4374363.54</v>
      </c>
      <c r="G42" s="1857">
        <f>6843377.65</f>
        <v>6843377.6500000004</v>
      </c>
      <c r="H42" s="1857">
        <f>129453.75</f>
        <v>129453.75</v>
      </c>
      <c r="I42" s="1857">
        <f>0</f>
        <v>0</v>
      </c>
      <c r="J42" s="1857">
        <f>4856073.42</f>
        <v>4856073.42</v>
      </c>
      <c r="K42" s="1857">
        <f>835531.51</f>
        <v>835531.51</v>
      </c>
      <c r="L42" s="1857">
        <f>570538255.5</f>
        <v>570538255.5</v>
      </c>
      <c r="M42" s="1857">
        <f>2287456006.16</f>
        <v>2287456006.1599998</v>
      </c>
      <c r="N42" s="1857">
        <f>22351886.29</f>
        <v>22351886.289999999</v>
      </c>
      <c r="O42" s="1857">
        <f>7556257.01</f>
        <v>7556257.0099999998</v>
      </c>
      <c r="P42" s="1857">
        <f>5222582.79</f>
        <v>5222582.79</v>
      </c>
      <c r="Q42" s="1857">
        <f>2333674.22</f>
        <v>2333674.2200000002</v>
      </c>
    </row>
    <row r="43" spans="1:17" ht="24">
      <c r="A43" s="2494" t="s">
        <v>707</v>
      </c>
      <c r="B43" s="1857">
        <f>1242862492.35</f>
        <v>1242862492.3499999</v>
      </c>
      <c r="C43" s="1857">
        <f>1242860000.36</f>
        <v>1242860000.3599999</v>
      </c>
      <c r="D43" s="1857">
        <f>322101506.31</f>
        <v>322101506.31</v>
      </c>
      <c r="E43" s="1857">
        <f>242912659.17</f>
        <v>242912659.16999999</v>
      </c>
      <c r="F43" s="1857">
        <f>4856727.21</f>
        <v>4856727.21</v>
      </c>
      <c r="G43" s="1857">
        <f>70258637.97</f>
        <v>70258637.969999999</v>
      </c>
      <c r="H43" s="1857">
        <f>4073481.96</f>
        <v>4073481.96</v>
      </c>
      <c r="I43" s="1857">
        <f>0</f>
        <v>0</v>
      </c>
      <c r="J43" s="1857">
        <f>430370.08</f>
        <v>430370.08</v>
      </c>
      <c r="K43" s="1857">
        <f>4465252.83</f>
        <v>4465252.83</v>
      </c>
      <c r="L43" s="1857">
        <f>587154782.63</f>
        <v>587154782.63</v>
      </c>
      <c r="M43" s="1857">
        <f>321824943.11</f>
        <v>321824943.11000001</v>
      </c>
      <c r="N43" s="1857">
        <f>6883145.4</f>
        <v>6883145.4000000004</v>
      </c>
      <c r="O43" s="1857">
        <f>2491.99</f>
        <v>2491.9899999999998</v>
      </c>
      <c r="P43" s="1857">
        <f>2444</f>
        <v>2444</v>
      </c>
      <c r="Q43" s="1857">
        <f>47.99</f>
        <v>47.99</v>
      </c>
    </row>
    <row r="44" spans="1:17" ht="22.8">
      <c r="A44" s="1860" t="s">
        <v>708</v>
      </c>
      <c r="B44" s="1857">
        <f>213574535.65</f>
        <v>213574535.65000001</v>
      </c>
      <c r="C44" s="1857">
        <f>213573997.32</f>
        <v>213573997.31999999</v>
      </c>
      <c r="D44" s="1857">
        <f>11955369.16</f>
        <v>11955369.16</v>
      </c>
      <c r="E44" s="1857">
        <f>3217260.93</f>
        <v>3217260.93</v>
      </c>
      <c r="F44" s="1857">
        <f>194993.28</f>
        <v>194993.28</v>
      </c>
      <c r="G44" s="1857">
        <f>7133445.73</f>
        <v>7133445.7300000004</v>
      </c>
      <c r="H44" s="1857">
        <f>1409669.22</f>
        <v>1409669.22</v>
      </c>
      <c r="I44" s="1857">
        <f>0</f>
        <v>0</v>
      </c>
      <c r="J44" s="1857">
        <f>42836.92</f>
        <v>42836.92</v>
      </c>
      <c r="K44" s="1857">
        <f>60487.55</f>
        <v>60487.55</v>
      </c>
      <c r="L44" s="1857">
        <f>115076928.84</f>
        <v>115076928.84</v>
      </c>
      <c r="M44" s="1857">
        <f>84613301.31</f>
        <v>84613301.310000002</v>
      </c>
      <c r="N44" s="1857">
        <f>1825073.54</f>
        <v>1825073.54</v>
      </c>
      <c r="O44" s="1857">
        <f>538.33</f>
        <v>538.33000000000004</v>
      </c>
      <c r="P44" s="1857">
        <f>490.34</f>
        <v>490.34</v>
      </c>
      <c r="Q44" s="1857">
        <f>47.99</f>
        <v>47.99</v>
      </c>
    </row>
    <row r="45" spans="1:17" ht="34.200000000000003">
      <c r="A45" s="1860" t="s">
        <v>752</v>
      </c>
      <c r="B45" s="1857">
        <f>174472515.32</f>
        <v>174472515.31999999</v>
      </c>
      <c r="C45" s="1857">
        <f>174472515.32</f>
        <v>174472515.31999999</v>
      </c>
      <c r="D45" s="1857">
        <f>60710923.19</f>
        <v>60710923.189999998</v>
      </c>
      <c r="E45" s="1857">
        <f>55081555.43</f>
        <v>55081555.43</v>
      </c>
      <c r="F45" s="1857">
        <f>84380.15</f>
        <v>84380.15</v>
      </c>
      <c r="G45" s="1857">
        <f>5363673.82</f>
        <v>5363673.82</v>
      </c>
      <c r="H45" s="1857">
        <f>181313.79</f>
        <v>181313.79</v>
      </c>
      <c r="I45" s="1857">
        <f>0</f>
        <v>0</v>
      </c>
      <c r="J45" s="1857">
        <f>27811.67</f>
        <v>27811.67</v>
      </c>
      <c r="K45" s="1857">
        <f>937063.24</f>
        <v>937063.24</v>
      </c>
      <c r="L45" s="1857">
        <f>58230573.82</f>
        <v>58230573.82</v>
      </c>
      <c r="M45" s="1857">
        <f>54281646.93</f>
        <v>54281646.93</v>
      </c>
      <c r="N45" s="1857">
        <f>284496.47</f>
        <v>284496.46999999997</v>
      </c>
      <c r="O45" s="1857">
        <f>0</f>
        <v>0</v>
      </c>
      <c r="P45" s="1857">
        <f>0</f>
        <v>0</v>
      </c>
      <c r="Q45" s="1857">
        <f>0</f>
        <v>0</v>
      </c>
    </row>
    <row r="46" spans="1:17" ht="24.6" customHeight="1">
      <c r="A46" s="1860" t="s">
        <v>710</v>
      </c>
      <c r="B46" s="1857">
        <f>854815441.38</f>
        <v>854815441.38</v>
      </c>
      <c r="C46" s="1857">
        <f>854813487.72</f>
        <v>854813487.72000003</v>
      </c>
      <c r="D46" s="1857">
        <f>249435213.96</f>
        <v>249435213.96000001</v>
      </c>
      <c r="E46" s="1857">
        <f>184613842.81</f>
        <v>184613842.81</v>
      </c>
      <c r="F46" s="1857">
        <f>4577353.78</f>
        <v>4577353.78</v>
      </c>
      <c r="G46" s="1857">
        <f>57761518.42</f>
        <v>57761518.420000002</v>
      </c>
      <c r="H46" s="1857">
        <f>2482498.95</f>
        <v>2482498.9500000002</v>
      </c>
      <c r="I46" s="1857">
        <f>0</f>
        <v>0</v>
      </c>
      <c r="J46" s="1857">
        <f>359721.49</f>
        <v>359721.49</v>
      </c>
      <c r="K46" s="1857">
        <f>3467702.04</f>
        <v>3467702.04</v>
      </c>
      <c r="L46" s="1857">
        <f>413847279.97</f>
        <v>413847279.97000003</v>
      </c>
      <c r="M46" s="1857">
        <f>182929994.87</f>
        <v>182929994.87</v>
      </c>
      <c r="N46" s="1857">
        <f>4773575.39</f>
        <v>4773575.3899999997</v>
      </c>
      <c r="O46" s="1857">
        <f>1953.66</f>
        <v>1953.66</v>
      </c>
      <c r="P46" s="1857">
        <f>1953.66</f>
        <v>1953.66</v>
      </c>
      <c r="Q46" s="1857">
        <f>0</f>
        <v>0</v>
      </c>
    </row>
    <row r="47" spans="1:17" ht="27" customHeight="1">
      <c r="A47" s="1855"/>
      <c r="B47" s="1855"/>
      <c r="C47" s="1855"/>
      <c r="D47" s="1855"/>
      <c r="E47" s="1855"/>
      <c r="F47" s="1855"/>
      <c r="G47" s="1855"/>
      <c r="H47" s="1855"/>
      <c r="I47" s="1855"/>
      <c r="J47" s="1855"/>
      <c r="K47" s="1855"/>
      <c r="L47" s="1855"/>
      <c r="M47" s="1855"/>
      <c r="N47" s="1855"/>
      <c r="O47" s="1855"/>
      <c r="P47" s="1855"/>
      <c r="Q47" s="1855"/>
    </row>
    <row r="48" spans="1:17" ht="14.25" customHeight="1">
      <c r="A48" s="1855"/>
      <c r="B48" s="2105" t="s">
        <v>711</v>
      </c>
      <c r="C48" s="2105"/>
      <c r="D48" s="2105"/>
      <c r="E48" s="2105"/>
      <c r="F48" s="2105"/>
      <c r="G48" s="2105"/>
      <c r="H48" s="2105"/>
      <c r="I48" s="2105"/>
      <c r="J48" s="2105"/>
      <c r="K48" s="2105"/>
      <c r="L48" s="2105"/>
      <c r="M48" s="2105"/>
      <c r="N48" s="1855"/>
      <c r="O48" s="1855"/>
      <c r="P48" s="1855"/>
      <c r="Q48" s="1855"/>
    </row>
    <row r="49" spans="1:17">
      <c r="A49" s="1855"/>
      <c r="B49" s="1855"/>
      <c r="C49" s="1855"/>
      <c r="D49" s="1855"/>
      <c r="E49" s="1855"/>
      <c r="F49" s="1855"/>
      <c r="G49" s="1855"/>
      <c r="H49" s="1855"/>
      <c r="I49" s="1855"/>
      <c r="J49" s="1855"/>
      <c r="K49" s="1855"/>
      <c r="L49" s="1855"/>
      <c r="M49" s="1855"/>
      <c r="N49" s="1855"/>
      <c r="O49" s="1855"/>
      <c r="P49" s="1855"/>
      <c r="Q49" s="1855"/>
    </row>
    <row r="50" spans="1:17">
      <c r="A50" s="1855"/>
      <c r="B50" s="2306" t="s">
        <v>1</v>
      </c>
      <c r="C50" s="2307"/>
      <c r="D50" s="2307"/>
      <c r="E50" s="2308"/>
      <c r="F50" s="2315" t="s">
        <v>712</v>
      </c>
      <c r="G50" s="2304" t="s">
        <v>713</v>
      </c>
      <c r="H50" s="2318"/>
      <c r="I50" s="2318"/>
      <c r="J50" s="2318"/>
      <c r="K50" s="2318"/>
      <c r="L50" s="2319"/>
      <c r="M50" s="1855"/>
      <c r="N50" s="1855"/>
      <c r="O50" s="1855"/>
      <c r="P50" s="1855"/>
      <c r="Q50" s="1855"/>
    </row>
    <row r="51" spans="1:17">
      <c r="A51" s="1855"/>
      <c r="B51" s="2309"/>
      <c r="C51" s="2310"/>
      <c r="D51" s="2310"/>
      <c r="E51" s="2311"/>
      <c r="F51" s="2316"/>
      <c r="G51" s="2320" t="s">
        <v>714</v>
      </c>
      <c r="H51" s="2303" t="s">
        <v>660</v>
      </c>
      <c r="I51" s="2303" t="s">
        <v>661</v>
      </c>
      <c r="J51" s="2303" t="s">
        <v>692</v>
      </c>
      <c r="K51" s="2303" t="s">
        <v>715</v>
      </c>
      <c r="L51" s="2321" t="s">
        <v>716</v>
      </c>
      <c r="M51" s="1855"/>
      <c r="N51" s="1855"/>
      <c r="O51" s="1855"/>
      <c r="P51" s="1855"/>
      <c r="Q51" s="1855"/>
    </row>
    <row r="52" spans="1:17">
      <c r="A52" s="1855"/>
      <c r="B52" s="2309"/>
      <c r="C52" s="2310"/>
      <c r="D52" s="2310"/>
      <c r="E52" s="2311"/>
      <c r="F52" s="2316"/>
      <c r="G52" s="2320"/>
      <c r="H52" s="2303"/>
      <c r="I52" s="2303"/>
      <c r="J52" s="2303"/>
      <c r="K52" s="2303"/>
      <c r="L52" s="2321"/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/>
      <c r="H53" s="2303"/>
      <c r="I53" s="2303"/>
      <c r="J53" s="2303"/>
      <c r="K53" s="2303"/>
      <c r="L53" s="2321"/>
      <c r="M53" s="1855"/>
      <c r="N53" s="1855"/>
      <c r="O53" s="1855"/>
      <c r="P53" s="1855"/>
      <c r="Q53" s="1855"/>
    </row>
    <row r="54" spans="1:17">
      <c r="A54" s="1855"/>
      <c r="B54" s="2312"/>
      <c r="C54" s="2313"/>
      <c r="D54" s="2313"/>
      <c r="E54" s="2314"/>
      <c r="F54" s="2317"/>
      <c r="G54" s="2320"/>
      <c r="H54" s="2303"/>
      <c r="I54" s="2303"/>
      <c r="J54" s="2303"/>
      <c r="K54" s="2303"/>
      <c r="L54" s="2321"/>
      <c r="M54" s="1855"/>
      <c r="N54" s="1855"/>
      <c r="O54" s="1855"/>
      <c r="P54" s="1855"/>
      <c r="Q54" s="1855"/>
    </row>
    <row r="55" spans="1:17">
      <c r="A55" s="1855"/>
      <c r="B55" s="2303">
        <v>1</v>
      </c>
      <c r="C55" s="2303"/>
      <c r="D55" s="2303"/>
      <c r="E55" s="2303"/>
      <c r="F55" s="1861">
        <v>2</v>
      </c>
      <c r="G55" s="1861">
        <v>3</v>
      </c>
      <c r="H55" s="1861">
        <v>4</v>
      </c>
      <c r="I55" s="1861">
        <v>5</v>
      </c>
      <c r="J55" s="1861">
        <v>6</v>
      </c>
      <c r="K55" s="1861">
        <v>7</v>
      </c>
      <c r="L55" s="1862">
        <v>8</v>
      </c>
      <c r="M55" s="1855"/>
      <c r="N55" s="1855"/>
      <c r="O55" s="1855"/>
      <c r="P55" s="1855"/>
      <c r="Q55" s="1855"/>
    </row>
    <row r="56" spans="1:17" ht="14.4">
      <c r="A56" s="1855"/>
      <c r="B56" s="2303"/>
      <c r="C56" s="2303"/>
      <c r="D56" s="2303"/>
      <c r="E56" s="2303"/>
      <c r="F56" s="2304" t="s">
        <v>163</v>
      </c>
      <c r="G56" s="2305"/>
      <c r="H56" s="2305"/>
      <c r="I56" s="2305"/>
      <c r="J56" s="2305"/>
      <c r="K56" s="2305"/>
      <c r="L56" s="2285"/>
      <c r="M56" s="1855"/>
      <c r="N56" s="1855"/>
      <c r="O56" s="1855"/>
      <c r="P56" s="1855"/>
      <c r="Q56" s="1855"/>
    </row>
    <row r="57" spans="1:17" ht="36" customHeight="1">
      <c r="A57" s="1855"/>
      <c r="B57" s="2300" t="s">
        <v>717</v>
      </c>
      <c r="C57" s="2301"/>
      <c r="D57" s="2301"/>
      <c r="E57" s="2302"/>
      <c r="F57" s="1851">
        <f>172476611.54</f>
        <v>172476611.53999999</v>
      </c>
      <c r="G57" s="1851">
        <f>86213753.94</f>
        <v>86213753.939999998</v>
      </c>
      <c r="H57" s="1851">
        <f>2812045.34</f>
        <v>2812045.34</v>
      </c>
      <c r="I57" s="1851">
        <f>39409148.71</f>
        <v>39409148.710000001</v>
      </c>
      <c r="J57" s="1851">
        <f>42319331.17</f>
        <v>42319331.170000002</v>
      </c>
      <c r="K57" s="1851">
        <f>1673228.72</f>
        <v>1673228.72</v>
      </c>
      <c r="L57" s="1851">
        <f>86262857.6</f>
        <v>86262857.599999994</v>
      </c>
      <c r="M57" s="1855"/>
      <c r="N57" s="1855"/>
      <c r="O57" s="1855"/>
      <c r="P57" s="1855"/>
      <c r="Q57" s="1855"/>
    </row>
    <row r="58" spans="1:17" ht="35.25" customHeight="1">
      <c r="A58" s="1855"/>
      <c r="B58" s="2300" t="s">
        <v>718</v>
      </c>
      <c r="C58" s="2301"/>
      <c r="D58" s="2301"/>
      <c r="E58" s="2302"/>
      <c r="F58" s="1851">
        <f>10918947.62</f>
        <v>10918947.619999999</v>
      </c>
      <c r="G58" s="1851">
        <f>0</f>
        <v>0</v>
      </c>
      <c r="H58" s="1851">
        <f>0</f>
        <v>0</v>
      </c>
      <c r="I58" s="1851">
        <f>0</f>
        <v>0</v>
      </c>
      <c r="J58" s="1851">
        <f>0</f>
        <v>0</v>
      </c>
      <c r="K58" s="1851">
        <f>0</f>
        <v>0</v>
      </c>
      <c r="L58" s="1851">
        <f>10918947.62</f>
        <v>10918947.619999999</v>
      </c>
      <c r="M58" s="1855"/>
      <c r="N58" s="1855"/>
      <c r="O58" s="1855"/>
      <c r="P58" s="1855"/>
      <c r="Q58" s="1855"/>
    </row>
    <row r="59" spans="1:17" ht="33" customHeight="1">
      <c r="A59" s="1855"/>
      <c r="B59" s="2300" t="s">
        <v>719</v>
      </c>
      <c r="C59" s="2301"/>
      <c r="D59" s="2301"/>
      <c r="E59" s="2302"/>
      <c r="F59" s="1851">
        <f>14993810.06</f>
        <v>14993810.060000001</v>
      </c>
      <c r="G59" s="1851">
        <f>3912608.79</f>
        <v>3912608.79</v>
      </c>
      <c r="H59" s="1851">
        <f>0</f>
        <v>0</v>
      </c>
      <c r="I59" s="1851">
        <f>2941487</f>
        <v>2941487</v>
      </c>
      <c r="J59" s="1851">
        <f>861535.75</f>
        <v>861535.75</v>
      </c>
      <c r="K59" s="1851">
        <f>109586.04</f>
        <v>109586.04</v>
      </c>
      <c r="L59" s="1851">
        <f>11081201.27</f>
        <v>11081201.27</v>
      </c>
      <c r="M59" s="1855"/>
      <c r="N59" s="1855"/>
      <c r="O59" s="1855"/>
      <c r="P59" s="1855"/>
      <c r="Q59" s="1855"/>
    </row>
    <row r="60" spans="1:17">
      <c r="A60" s="1855"/>
      <c r="B60" s="2300" t="s">
        <v>720</v>
      </c>
      <c r="C60" s="2301"/>
      <c r="D60" s="2301"/>
      <c r="E60" s="2302"/>
      <c r="F60" s="1851">
        <f>0</f>
        <v>0</v>
      </c>
      <c r="G60" s="1851">
        <f>0</f>
        <v>0</v>
      </c>
      <c r="H60" s="1851">
        <f>0</f>
        <v>0</v>
      </c>
      <c r="I60" s="1851">
        <f>0</f>
        <v>0</v>
      </c>
      <c r="J60" s="1851">
        <f>0</f>
        <v>0</v>
      </c>
      <c r="K60" s="1851">
        <f>0</f>
        <v>0</v>
      </c>
      <c r="L60" s="1851">
        <f>0</f>
        <v>0</v>
      </c>
      <c r="M60" s="1855"/>
      <c r="N60" s="1855"/>
      <c r="O60" s="1855"/>
      <c r="P60" s="1855"/>
      <c r="Q60" s="1855"/>
    </row>
    <row r="61" spans="1:17" ht="26.25" customHeight="1">
      <c r="A61" s="1855"/>
      <c r="B61" s="2300" t="s">
        <v>721</v>
      </c>
      <c r="C61" s="2301"/>
      <c r="D61" s="2301"/>
      <c r="E61" s="2302"/>
      <c r="F61" s="1851">
        <f>0</f>
        <v>0</v>
      </c>
      <c r="G61" s="1851">
        <f>0</f>
        <v>0</v>
      </c>
      <c r="H61" s="1851">
        <f>0</f>
        <v>0</v>
      </c>
      <c r="I61" s="1851">
        <f>0</f>
        <v>0</v>
      </c>
      <c r="J61" s="1851">
        <f>0</f>
        <v>0</v>
      </c>
      <c r="K61" s="1851">
        <f>0</f>
        <v>0</v>
      </c>
      <c r="L61" s="1851">
        <f>0</f>
        <v>0</v>
      </c>
      <c r="M61" s="1855"/>
      <c r="N61" s="1855"/>
      <c r="O61" s="1855"/>
      <c r="P61" s="1855"/>
      <c r="Q61" s="1855"/>
    </row>
    <row r="62" spans="1:17" ht="33" customHeight="1">
      <c r="A62" s="1855"/>
      <c r="B62" s="2300" t="s">
        <v>722</v>
      </c>
      <c r="C62" s="2301"/>
      <c r="D62" s="2301"/>
      <c r="E62" s="2302"/>
      <c r="F62" s="1851">
        <f>30000</f>
        <v>30000</v>
      </c>
      <c r="G62" s="1851">
        <f>30000</f>
        <v>30000</v>
      </c>
      <c r="H62" s="1851">
        <f>0</f>
        <v>0</v>
      </c>
      <c r="I62" s="1851">
        <f>30000</f>
        <v>30000</v>
      </c>
      <c r="J62" s="1851">
        <f>0</f>
        <v>0</v>
      </c>
      <c r="K62" s="1851">
        <f>0</f>
        <v>0</v>
      </c>
      <c r="L62" s="1851">
        <f>0</f>
        <v>0</v>
      </c>
      <c r="M62" s="1855"/>
      <c r="N62" s="1855"/>
      <c r="O62" s="1855"/>
      <c r="P62" s="1855"/>
      <c r="Q62" s="1855"/>
    </row>
    <row r="63" spans="1:17" ht="32.25" customHeight="1">
      <c r="A63" s="1855"/>
      <c r="B63" s="2300" t="s">
        <v>723</v>
      </c>
      <c r="C63" s="2301"/>
      <c r="D63" s="2301"/>
      <c r="E63" s="2302"/>
      <c r="F63" s="1851">
        <f>120000</f>
        <v>120000</v>
      </c>
      <c r="G63" s="1851">
        <f>0</f>
        <v>0</v>
      </c>
      <c r="H63" s="1851">
        <f>0</f>
        <v>0</v>
      </c>
      <c r="I63" s="1851">
        <f>0</f>
        <v>0</v>
      </c>
      <c r="J63" s="1851">
        <f>0</f>
        <v>0</v>
      </c>
      <c r="K63" s="1851">
        <f>0</f>
        <v>0</v>
      </c>
      <c r="L63" s="1851">
        <f>120000</f>
        <v>120000</v>
      </c>
      <c r="M63" s="1855"/>
      <c r="N63" s="1855"/>
      <c r="O63" s="1855"/>
      <c r="P63" s="1855"/>
      <c r="Q63" s="1855"/>
    </row>
    <row r="65" spans="1:4">
      <c r="A65" s="2255" t="s">
        <v>884</v>
      </c>
      <c r="B65" s="2255"/>
      <c r="C65" s="2255"/>
      <c r="D65" s="2255"/>
    </row>
  </sheetData>
  <mergeCells count="64">
    <mergeCell ref="A1:M1"/>
    <mergeCell ref="C2:M2"/>
    <mergeCell ref="B9:Q9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A22:M22"/>
    <mergeCell ref="A24:A27"/>
    <mergeCell ref="B24:B27"/>
    <mergeCell ref="C24:N24"/>
    <mergeCell ref="O24:Q24"/>
    <mergeCell ref="C25:C27"/>
    <mergeCell ref="D25:D27"/>
    <mergeCell ref="O25:O27"/>
    <mergeCell ref="P25:P27"/>
    <mergeCell ref="Q25:Q27"/>
    <mergeCell ref="A3:A7"/>
    <mergeCell ref="B3:B7"/>
    <mergeCell ref="C3:N3"/>
    <mergeCell ref="L4:L7"/>
    <mergeCell ref="M4:M7"/>
    <mergeCell ref="N4:N7"/>
    <mergeCell ref="B29:Q29"/>
    <mergeCell ref="J25:J27"/>
    <mergeCell ref="K25:K27"/>
    <mergeCell ref="L25:L27"/>
    <mergeCell ref="M25:M27"/>
    <mergeCell ref="N25:N27"/>
    <mergeCell ref="E25:E27"/>
    <mergeCell ref="F25:F27"/>
    <mergeCell ref="G25:G27"/>
    <mergeCell ref="H25:H27"/>
    <mergeCell ref="I25:I27"/>
    <mergeCell ref="B48:M48"/>
    <mergeCell ref="B50:E54"/>
    <mergeCell ref="F50:F54"/>
    <mergeCell ref="G50:L50"/>
    <mergeCell ref="G51:G54"/>
    <mergeCell ref="H51:H54"/>
    <mergeCell ref="I51:I54"/>
    <mergeCell ref="J51:J54"/>
    <mergeCell ref="K51:K54"/>
    <mergeCell ref="L51:L54"/>
    <mergeCell ref="B55:E55"/>
    <mergeCell ref="B56:E56"/>
    <mergeCell ref="F56:L56"/>
    <mergeCell ref="B57:E57"/>
    <mergeCell ref="B58:E58"/>
    <mergeCell ref="A65:D65"/>
    <mergeCell ref="B59:E59"/>
    <mergeCell ref="B60:E60"/>
    <mergeCell ref="B61:E61"/>
    <mergeCell ref="B62:E62"/>
    <mergeCell ref="B63:E6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2" max="1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7A56-289B-4E46-8E4C-1754B5060732}">
  <dimension ref="A1:M129"/>
  <sheetViews>
    <sheetView view="pageBreakPreview" topLeftCell="A78" zoomScaleNormal="100" zoomScaleSheetLayoutView="100" workbookViewId="0">
      <selection activeCell="A43" sqref="A43"/>
    </sheetView>
  </sheetViews>
  <sheetFormatPr defaultColWidth="9.21875" defaultRowHeight="13.8"/>
  <cols>
    <col min="1" max="1" width="30.77734375" style="383" customWidth="1"/>
    <col min="2" max="4" width="14.5546875" style="383" customWidth="1"/>
    <col min="5" max="5" width="13.77734375" style="383" customWidth="1"/>
    <col min="6" max="6" width="13" style="383" customWidth="1"/>
    <col min="7" max="7" width="11.77734375" style="383" customWidth="1"/>
    <col min="8" max="8" width="14.88671875" style="383" customWidth="1"/>
    <col min="9" max="9" width="7.77734375" style="383" bestFit="1" customWidth="1"/>
    <col min="10" max="10" width="7.44140625" style="383" customWidth="1"/>
    <col min="11" max="11" width="6.21875" style="383" bestFit="1" customWidth="1"/>
    <col min="12" max="12" width="8.21875" style="383" customWidth="1"/>
    <col min="13" max="16384" width="9.21875" style="383"/>
  </cols>
  <sheetData>
    <row r="1" spans="1:12" ht="15.6">
      <c r="A1" s="444" t="s">
        <v>983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3" spans="1:12" ht="61.2">
      <c r="A3" s="2293" t="s">
        <v>584</v>
      </c>
      <c r="B3" s="1776" t="s">
        <v>885</v>
      </c>
      <c r="C3" s="1776" t="s">
        <v>886</v>
      </c>
      <c r="D3" s="1776" t="s">
        <v>887</v>
      </c>
      <c r="E3" s="1776" t="s">
        <v>888</v>
      </c>
      <c r="F3" s="1776" t="s">
        <v>889</v>
      </c>
      <c r="G3" s="1776" t="s">
        <v>890</v>
      </c>
      <c r="H3" s="1776" t="s">
        <v>891</v>
      </c>
      <c r="I3" s="1777" t="s">
        <v>585</v>
      </c>
      <c r="J3" s="1776" t="s">
        <v>586</v>
      </c>
      <c r="K3" s="1776" t="s">
        <v>587</v>
      </c>
    </row>
    <row r="4" spans="1:12">
      <c r="A4" s="2293"/>
      <c r="B4" s="2290" t="s">
        <v>163</v>
      </c>
      <c r="C4" s="2291"/>
      <c r="D4" s="2291"/>
      <c r="E4" s="2291"/>
      <c r="F4" s="2291"/>
      <c r="G4" s="2291"/>
      <c r="H4" s="2292"/>
      <c r="I4" s="2294" t="s">
        <v>169</v>
      </c>
      <c r="J4" s="2294"/>
      <c r="K4" s="2294"/>
    </row>
    <row r="5" spans="1:12">
      <c r="A5" s="1777">
        <v>1</v>
      </c>
      <c r="B5" s="1779">
        <v>2</v>
      </c>
      <c r="C5" s="1779">
        <v>3</v>
      </c>
      <c r="D5" s="1779">
        <v>4</v>
      </c>
      <c r="E5" s="1779">
        <v>5</v>
      </c>
      <c r="F5" s="1779">
        <v>6</v>
      </c>
      <c r="G5" s="1779">
        <v>7</v>
      </c>
      <c r="H5" s="1779">
        <v>8</v>
      </c>
      <c r="I5" s="1779">
        <v>9</v>
      </c>
      <c r="J5" s="1779">
        <v>10</v>
      </c>
      <c r="K5" s="1779">
        <v>11</v>
      </c>
    </row>
    <row r="6" spans="1:12">
      <c r="A6" s="1780" t="s">
        <v>588</v>
      </c>
      <c r="B6" s="1781">
        <f>80684719228.17</f>
        <v>80684719228.169998</v>
      </c>
      <c r="C6" s="1781">
        <f>79116441055.21</f>
        <v>79116441055.210007</v>
      </c>
      <c r="D6" s="1781">
        <f>2169026637.05</f>
        <v>2169026637.0500002</v>
      </c>
      <c r="E6" s="1781">
        <f>278272443.49</f>
        <v>278272443.49000001</v>
      </c>
      <c r="F6" s="1781">
        <f>39104584.49</f>
        <v>39104584.490000002</v>
      </c>
      <c r="G6" s="1781">
        <f>38839500.97</f>
        <v>38839500.969999999</v>
      </c>
      <c r="H6" s="1781">
        <f>2580764.19</f>
        <v>2580764.19</v>
      </c>
      <c r="I6" s="1782">
        <f t="shared" ref="I6:I57" si="0">IF($C$6=0,"",100*$C6/$C$6)</f>
        <v>100</v>
      </c>
      <c r="J6" s="1782">
        <f t="shared" ref="J6:J53" si="1">IF(B6=0,"",100*C6/B6)</f>
        <v>98.056288491845621</v>
      </c>
      <c r="K6" s="1782"/>
    </row>
    <row r="7" spans="1:12" ht="26.4">
      <c r="A7" s="1783" t="s">
        <v>589</v>
      </c>
      <c r="B7" s="1781">
        <f>B6-B26-B50</f>
        <v>52953286809.110001</v>
      </c>
      <c r="C7" s="1781">
        <f>C6-C26-C50</f>
        <v>52894148845.340012</v>
      </c>
      <c r="D7" s="1781">
        <f>D6</f>
        <v>2169026637.0500002</v>
      </c>
      <c r="E7" s="1781">
        <f>E6</f>
        <v>278272443.49000001</v>
      </c>
      <c r="F7" s="1781">
        <f>F6</f>
        <v>39104584.490000002</v>
      </c>
      <c r="G7" s="1781">
        <f>G6</f>
        <v>38839500.969999999</v>
      </c>
      <c r="H7" s="1781">
        <f>H6</f>
        <v>2580764.19</v>
      </c>
      <c r="I7" s="1782">
        <f t="shared" si="0"/>
        <v>66.856077118571051</v>
      </c>
      <c r="J7" s="1782">
        <f t="shared" si="1"/>
        <v>99.888320504101713</v>
      </c>
      <c r="K7" s="1782">
        <f t="shared" ref="K7:K25" si="2">IF($C$7=0,"",100*$C7/$C$7)</f>
        <v>100</v>
      </c>
    </row>
    <row r="8" spans="1:12">
      <c r="A8" s="1784" t="s">
        <v>786</v>
      </c>
      <c r="B8" s="1785">
        <f>29233230213.02</f>
        <v>29233230213.02</v>
      </c>
      <c r="C8" s="1785">
        <f>29233230249.92</f>
        <v>29233230249.919998</v>
      </c>
      <c r="D8" s="1785">
        <f>0</f>
        <v>0</v>
      </c>
      <c r="E8" s="1785">
        <f>0</f>
        <v>0</v>
      </c>
      <c r="F8" s="1785">
        <f>0</f>
        <v>0</v>
      </c>
      <c r="G8" s="1785">
        <f>0</f>
        <v>0</v>
      </c>
      <c r="H8" s="1785">
        <f>0</f>
        <v>0</v>
      </c>
      <c r="I8" s="1786">
        <f t="shared" si="0"/>
        <v>36.949627485796675</v>
      </c>
      <c r="J8" s="1786">
        <f t="shared" si="1"/>
        <v>100.00000012622621</v>
      </c>
      <c r="K8" s="1786">
        <f t="shared" si="2"/>
        <v>55.26741782989378</v>
      </c>
    </row>
    <row r="9" spans="1:12">
      <c r="A9" s="1784" t="s">
        <v>785</v>
      </c>
      <c r="B9" s="1785">
        <f>1191193820.88</f>
        <v>1191193820.8800001</v>
      </c>
      <c r="C9" s="1785">
        <f>1191193849.26</f>
        <v>1191193849.26</v>
      </c>
      <c r="D9" s="1785">
        <f>0</f>
        <v>0</v>
      </c>
      <c r="E9" s="1785">
        <f>0</f>
        <v>0</v>
      </c>
      <c r="F9" s="1785">
        <f>0</f>
        <v>0</v>
      </c>
      <c r="G9" s="1785">
        <f>0</f>
        <v>0</v>
      </c>
      <c r="H9" s="1785">
        <f>0</f>
        <v>0</v>
      </c>
      <c r="I9" s="1786">
        <f t="shared" si="0"/>
        <v>1.5056211242221405</v>
      </c>
      <c r="J9" s="1786">
        <f t="shared" si="1"/>
        <v>100.0000023824838</v>
      </c>
      <c r="K9" s="1786">
        <f t="shared" si="2"/>
        <v>2.252033306638499</v>
      </c>
    </row>
    <row r="10" spans="1:12">
      <c r="A10" s="1784" t="s">
        <v>847</v>
      </c>
      <c r="B10" s="1785">
        <f>9184784992.35</f>
        <v>9184784992.3500004</v>
      </c>
      <c r="C10" s="1785">
        <f>9299349002.38</f>
        <v>9299349002.3799992</v>
      </c>
      <c r="D10" s="1785">
        <f>1397845578.69</f>
        <v>1397845578.6900001</v>
      </c>
      <c r="E10" s="1785">
        <f>276750326.01</f>
        <v>276750326.00999999</v>
      </c>
      <c r="F10" s="1785">
        <f>28037692.82</f>
        <v>28037692.82</v>
      </c>
      <c r="G10" s="1785">
        <f>26090512.79</f>
        <v>26090512.789999999</v>
      </c>
      <c r="H10" s="1785">
        <f>2156234.87</f>
        <v>2156234.87</v>
      </c>
      <c r="I10" s="1786">
        <f t="shared" si="0"/>
        <v>11.754003186127411</v>
      </c>
      <c r="J10" s="1786">
        <f t="shared" si="1"/>
        <v>101.24732380916285</v>
      </c>
      <c r="K10" s="1786">
        <f t="shared" si="2"/>
        <v>17.581054247740813</v>
      </c>
    </row>
    <row r="11" spans="1:12">
      <c r="A11" s="1784" t="s">
        <v>848</v>
      </c>
      <c r="B11" s="1785">
        <f>876788728.89</f>
        <v>876788728.88999999</v>
      </c>
      <c r="C11" s="1787">
        <f>866576762.55</f>
        <v>866576762.54999995</v>
      </c>
      <c r="D11" s="1785">
        <f>112092716.97</f>
        <v>112092716.97</v>
      </c>
      <c r="E11" s="1785">
        <f>776305.63</f>
        <v>776305.63</v>
      </c>
      <c r="F11" s="1785">
        <f>889873.82</f>
        <v>889873.82</v>
      </c>
      <c r="G11" s="1785">
        <f>618469.63</f>
        <v>618469.63</v>
      </c>
      <c r="H11" s="1785">
        <f>1427</f>
        <v>1427</v>
      </c>
      <c r="I11" s="1786">
        <f t="shared" si="0"/>
        <v>1.0953181803833603</v>
      </c>
      <c r="J11" s="1786">
        <f t="shared" si="1"/>
        <v>98.835299085912268</v>
      </c>
      <c r="K11" s="1786">
        <f t="shared" si="2"/>
        <v>1.6383225393867844</v>
      </c>
    </row>
    <row r="12" spans="1:12">
      <c r="A12" s="1784" t="s">
        <v>849</v>
      </c>
      <c r="B12" s="1785">
        <f>171437225.55</f>
        <v>171437225.55000001</v>
      </c>
      <c r="C12" s="1787">
        <f>165522510.96</f>
        <v>165522510.96000001</v>
      </c>
      <c r="D12" s="1785">
        <f>270964.37</f>
        <v>270964.37</v>
      </c>
      <c r="E12" s="1785">
        <f>314979.41</f>
        <v>314979.40999999997</v>
      </c>
      <c r="F12" s="1785">
        <f>55850.26</f>
        <v>55850.26</v>
      </c>
      <c r="G12" s="1785">
        <f>3459.5</f>
        <v>3459.5</v>
      </c>
      <c r="H12" s="1785">
        <f>0</f>
        <v>0</v>
      </c>
      <c r="I12" s="1786">
        <f t="shared" si="0"/>
        <v>0.20921379772946694</v>
      </c>
      <c r="J12" s="1786">
        <f t="shared" si="1"/>
        <v>96.549923990530885</v>
      </c>
      <c r="K12" s="1786">
        <f t="shared" si="2"/>
        <v>0.31293160883253834</v>
      </c>
    </row>
    <row r="13" spans="1:12">
      <c r="A13" s="1784" t="s">
        <v>590</v>
      </c>
      <c r="B13" s="1785">
        <f>410472463.12</f>
        <v>410472463.12</v>
      </c>
      <c r="C13" s="1787">
        <f>410473716.21</f>
        <v>410473716.20999998</v>
      </c>
      <c r="D13" s="1785">
        <f>626525176.5</f>
        <v>626525176.5</v>
      </c>
      <c r="E13" s="1785">
        <f>430832.44</f>
        <v>430832.44</v>
      </c>
      <c r="F13" s="1785">
        <f>631403.21</f>
        <v>631403.21</v>
      </c>
      <c r="G13" s="1785">
        <f>927997.03</f>
        <v>927997.03</v>
      </c>
      <c r="H13" s="1785">
        <f>37348</f>
        <v>37348</v>
      </c>
      <c r="I13" s="1786">
        <f t="shared" si="0"/>
        <v>0.51882227099113087</v>
      </c>
      <c r="J13" s="1786">
        <f t="shared" si="1"/>
        <v>100.00030527991828</v>
      </c>
      <c r="K13" s="1786">
        <f t="shared" si="2"/>
        <v>0.77602858760466253</v>
      </c>
    </row>
    <row r="14" spans="1:12">
      <c r="A14" s="1784" t="s">
        <v>591</v>
      </c>
      <c r="B14" s="1785">
        <f>693587195.56</f>
        <v>693587195.55999994</v>
      </c>
      <c r="C14" s="1787">
        <f>762517972.39</f>
        <v>762517972.38999999</v>
      </c>
      <c r="D14" s="1785">
        <f>0</f>
        <v>0</v>
      </c>
      <c r="E14" s="1785">
        <f>0</f>
        <v>0</v>
      </c>
      <c r="F14" s="1785">
        <f>32561.5</f>
        <v>32561.5</v>
      </c>
      <c r="G14" s="1785">
        <f>207980.3</f>
        <v>207980.3</v>
      </c>
      <c r="H14" s="1785">
        <f>0</f>
        <v>0</v>
      </c>
      <c r="I14" s="1786">
        <f t="shared" si="0"/>
        <v>0.96379205411665358</v>
      </c>
      <c r="J14" s="1786">
        <f t="shared" si="1"/>
        <v>109.93830008270922</v>
      </c>
      <c r="K14" s="1786">
        <f t="shared" si="2"/>
        <v>1.4415922914641588</v>
      </c>
    </row>
    <row r="15" spans="1:12" ht="20.399999999999999">
      <c r="A15" s="1784" t="s">
        <v>850</v>
      </c>
      <c r="B15" s="1785">
        <f>32508501.47</f>
        <v>32508501.469999999</v>
      </c>
      <c r="C15" s="1787">
        <f>34715621.72</f>
        <v>34715621.719999999</v>
      </c>
      <c r="D15" s="1785">
        <f>0</f>
        <v>0</v>
      </c>
      <c r="E15" s="1785">
        <f>0</f>
        <v>0</v>
      </c>
      <c r="F15" s="1785">
        <f>6004</f>
        <v>6004</v>
      </c>
      <c r="G15" s="1785">
        <f>37775.95</f>
        <v>37775.949999999997</v>
      </c>
      <c r="H15" s="1785">
        <f>0</f>
        <v>0</v>
      </c>
      <c r="I15" s="1786">
        <f t="shared" si="0"/>
        <v>4.3879149841654683E-2</v>
      </c>
      <c r="J15" s="1786">
        <f t="shared" si="1"/>
        <v>106.78936324406344</v>
      </c>
      <c r="K15" s="1786">
        <f t="shared" si="2"/>
        <v>6.5632253241292973E-2</v>
      </c>
    </row>
    <row r="16" spans="1:12">
      <c r="A16" s="1784" t="s">
        <v>851</v>
      </c>
      <c r="B16" s="1785">
        <f>75840703.69</f>
        <v>75840703.689999998</v>
      </c>
      <c r="C16" s="1787">
        <f>79375882.81</f>
        <v>79375882.810000002</v>
      </c>
      <c r="D16" s="1785">
        <f>0</f>
        <v>0</v>
      </c>
      <c r="E16" s="1785">
        <f>0</f>
        <v>0</v>
      </c>
      <c r="F16" s="1785">
        <f>0</f>
        <v>0</v>
      </c>
      <c r="G16" s="1785">
        <f>0</f>
        <v>0</v>
      </c>
      <c r="H16" s="1785">
        <f>0</f>
        <v>0</v>
      </c>
      <c r="I16" s="1786">
        <f t="shared" si="0"/>
        <v>0.10032792394517462</v>
      </c>
      <c r="J16" s="1786">
        <f t="shared" si="1"/>
        <v>104.66132162281893</v>
      </c>
      <c r="K16" s="1786">
        <f t="shared" si="2"/>
        <v>0.15006552623068259</v>
      </c>
    </row>
    <row r="17" spans="1:11">
      <c r="A17" s="1784" t="s">
        <v>592</v>
      </c>
      <c r="B17" s="1785">
        <f>206592904.22</f>
        <v>206592904.22</v>
      </c>
      <c r="C17" s="1787">
        <f>202609463.7</f>
        <v>202609463.69999999</v>
      </c>
      <c r="D17" s="1785">
        <f>0</f>
        <v>0</v>
      </c>
      <c r="E17" s="1785">
        <f>0</f>
        <v>0</v>
      </c>
      <c r="F17" s="1785">
        <f>233420</f>
        <v>233420</v>
      </c>
      <c r="G17" s="1785">
        <f>1130624.29</f>
        <v>1130624.29</v>
      </c>
      <c r="H17" s="1785">
        <f>0</f>
        <v>0</v>
      </c>
      <c r="I17" s="1786">
        <f t="shared" si="0"/>
        <v>0.25609021462253662</v>
      </c>
      <c r="J17" s="1786">
        <f t="shared" si="1"/>
        <v>98.071840591505477</v>
      </c>
      <c r="K17" s="1786">
        <f t="shared" si="2"/>
        <v>0.38304702528141721</v>
      </c>
    </row>
    <row r="18" spans="1:11">
      <c r="A18" s="1784" t="s">
        <v>852</v>
      </c>
      <c r="B18" s="1785">
        <f>93939943.94</f>
        <v>93939943.939999998</v>
      </c>
      <c r="C18" s="1787">
        <f>105947846.84</f>
        <v>105947846.84</v>
      </c>
      <c r="D18" s="1785">
        <f>0</f>
        <v>0</v>
      </c>
      <c r="E18" s="1785">
        <f>0</f>
        <v>0</v>
      </c>
      <c r="F18" s="1785">
        <f>1585769.99</f>
        <v>1585769.99</v>
      </c>
      <c r="G18" s="1785">
        <f>4080842.61</f>
        <v>4080842.61</v>
      </c>
      <c r="H18" s="1785">
        <f>0</f>
        <v>0</v>
      </c>
      <c r="I18" s="1786">
        <f t="shared" si="0"/>
        <v>0.13391381794596419</v>
      </c>
      <c r="J18" s="1786">
        <f t="shared" si="1"/>
        <v>112.78253147316069</v>
      </c>
      <c r="K18" s="1786">
        <f t="shared" si="2"/>
        <v>0.20030163856079147</v>
      </c>
    </row>
    <row r="19" spans="1:11">
      <c r="A19" s="1784" t="s">
        <v>593</v>
      </c>
      <c r="B19" s="1785">
        <f>53623910.02</f>
        <v>53623910.020000003</v>
      </c>
      <c r="C19" s="1787">
        <f>53482283.8</f>
        <v>53482283.799999997</v>
      </c>
      <c r="D19" s="1785">
        <f>539024</f>
        <v>539024</v>
      </c>
      <c r="E19" s="1785">
        <f>0</f>
        <v>0</v>
      </c>
      <c r="F19" s="1785">
        <f>0</f>
        <v>0</v>
      </c>
      <c r="G19" s="1785">
        <f>0</f>
        <v>0</v>
      </c>
      <c r="H19" s="1785">
        <f>0</f>
        <v>0</v>
      </c>
      <c r="I19" s="1786">
        <f t="shared" si="0"/>
        <v>6.7599456050706747E-2</v>
      </c>
      <c r="J19" s="1786">
        <f t="shared" si="1"/>
        <v>99.735889792543702</v>
      </c>
      <c r="K19" s="1786">
        <f t="shared" si="2"/>
        <v>0.10111190928958828</v>
      </c>
    </row>
    <row r="20" spans="1:11">
      <c r="A20" s="1784" t="s">
        <v>853</v>
      </c>
      <c r="B20" s="1785">
        <f>25543446.36</f>
        <v>25543446.359999999</v>
      </c>
      <c r="C20" s="1787">
        <f>27462265.88</f>
        <v>27462265.879999999</v>
      </c>
      <c r="D20" s="1785">
        <f>27345.58</f>
        <v>27345.58</v>
      </c>
      <c r="E20" s="1785">
        <f>0</f>
        <v>0</v>
      </c>
      <c r="F20" s="1785">
        <f>0</f>
        <v>0</v>
      </c>
      <c r="G20" s="1785">
        <f>0</f>
        <v>0</v>
      </c>
      <c r="H20" s="1785">
        <f>0</f>
        <v>0</v>
      </c>
      <c r="I20" s="1786">
        <f t="shared" si="0"/>
        <v>3.4711199737657489E-2</v>
      </c>
      <c r="J20" s="1786">
        <f t="shared" si="1"/>
        <v>107.51198367266836</v>
      </c>
      <c r="K20" s="1786">
        <f t="shared" si="2"/>
        <v>5.19192887672668E-2</v>
      </c>
    </row>
    <row r="21" spans="1:11">
      <c r="A21" s="1784" t="s">
        <v>854</v>
      </c>
      <c r="B21" s="1785">
        <f>32659199</f>
        <v>32659199</v>
      </c>
      <c r="C21" s="1787">
        <f>34254790.06</f>
        <v>34254790.060000002</v>
      </c>
      <c r="D21" s="1785">
        <f>381850.62</f>
        <v>381850.62</v>
      </c>
      <c r="E21" s="1785">
        <f>0</f>
        <v>0</v>
      </c>
      <c r="F21" s="1785">
        <f>115.5</f>
        <v>115.5</v>
      </c>
      <c r="G21" s="1785">
        <f>0</f>
        <v>0</v>
      </c>
      <c r="H21" s="1785">
        <f>0</f>
        <v>0</v>
      </c>
      <c r="I21" s="1786">
        <f t="shared" si="0"/>
        <v>4.3296677154747019E-2</v>
      </c>
      <c r="J21" s="1786">
        <f t="shared" si="1"/>
        <v>104.88557928196586</v>
      </c>
      <c r="K21" s="1786">
        <f t="shared" si="2"/>
        <v>6.4761019522517296E-2</v>
      </c>
    </row>
    <row r="22" spans="1:11">
      <c r="A22" s="1784" t="s">
        <v>855</v>
      </c>
      <c r="B22" s="1785">
        <f>1037376</f>
        <v>1037376</v>
      </c>
      <c r="C22" s="1787">
        <f>1016651.97</f>
        <v>1016651.97</v>
      </c>
      <c r="D22" s="1785">
        <f>915528.33</f>
        <v>915528.33</v>
      </c>
      <c r="E22" s="1785">
        <f>0</f>
        <v>0</v>
      </c>
      <c r="F22" s="1785">
        <f>48</f>
        <v>48</v>
      </c>
      <c r="G22" s="1785">
        <f>4091.3</f>
        <v>4091.3</v>
      </c>
      <c r="H22" s="1785">
        <f>0</f>
        <v>0</v>
      </c>
      <c r="I22" s="1786">
        <f t="shared" si="0"/>
        <v>1.2850072076555459E-3</v>
      </c>
      <c r="J22" s="1786">
        <f t="shared" si="1"/>
        <v>98.002264367018327</v>
      </c>
      <c r="K22" s="1786">
        <f t="shared" si="2"/>
        <v>1.9220499661931271E-3</v>
      </c>
    </row>
    <row r="23" spans="1:11">
      <c r="A23" s="1784" t="s">
        <v>856</v>
      </c>
      <c r="B23" s="1785">
        <f>290175</f>
        <v>290175</v>
      </c>
      <c r="C23" s="1787">
        <f>295489.6</f>
        <v>295489.59999999998</v>
      </c>
      <c r="D23" s="1785">
        <f>0</f>
        <v>0</v>
      </c>
      <c r="E23" s="1785">
        <f>0</f>
        <v>0</v>
      </c>
      <c r="F23" s="1785">
        <f>0</f>
        <v>0</v>
      </c>
      <c r="G23" s="1785">
        <f>0</f>
        <v>0</v>
      </c>
      <c r="H23" s="1785">
        <f>0</f>
        <v>0</v>
      </c>
      <c r="I23" s="1786">
        <f t="shared" si="0"/>
        <v>3.7348697193519836E-4</v>
      </c>
      <c r="J23" s="1786">
        <f t="shared" si="1"/>
        <v>101.8315154648057</v>
      </c>
      <c r="K23" s="1786">
        <f t="shared" si="2"/>
        <v>5.5864326480419902E-4</v>
      </c>
    </row>
    <row r="24" spans="1:11">
      <c r="A24" s="1784" t="s">
        <v>594</v>
      </c>
      <c r="B24" s="1785">
        <f>1749907236.12</f>
        <v>1749907236.1199999</v>
      </c>
      <c r="C24" s="1787">
        <f>1562676458.7</f>
        <v>1562676458.7</v>
      </c>
      <c r="D24" s="1785">
        <f>0</f>
        <v>0</v>
      </c>
      <c r="E24" s="1785">
        <f>0</f>
        <v>0</v>
      </c>
      <c r="F24" s="1785">
        <f>20986.65</f>
        <v>20986.65</v>
      </c>
      <c r="G24" s="1785">
        <f>72204.6</f>
        <v>72204.600000000006</v>
      </c>
      <c r="H24" s="1785">
        <f>0</f>
        <v>0</v>
      </c>
      <c r="I24" s="1786">
        <f t="shared" si="0"/>
        <v>1.9751602041976508</v>
      </c>
      <c r="J24" s="1786">
        <f t="shared" si="1"/>
        <v>89.300531276438448</v>
      </c>
      <c r="K24" s="1786">
        <f t="shared" si="2"/>
        <v>2.9543465445850958</v>
      </c>
    </row>
    <row r="25" spans="1:11">
      <c r="A25" s="1784" t="s">
        <v>595</v>
      </c>
      <c r="B25" s="1785">
        <f>B7-B8-B9-B10-B11-B12-B13-B14-B15-B16-B17-B18-B19-B20-B21-B22-B23-B24</f>
        <v>8919848773.9199982</v>
      </c>
      <c r="C25" s="1785">
        <f t="shared" ref="C25:H25" si="3">C7-C8-C9-C10-C11-C12-C13-C14-C15-C16-C17-C18-C19-C20-C21-C22-C23-C24</f>
        <v>8863448026.5900211</v>
      </c>
      <c r="D25" s="1785">
        <f t="shared" si="3"/>
        <v>30428451.990000103</v>
      </c>
      <c r="E25" s="1785">
        <f t="shared" si="3"/>
        <v>1.909211277961731E-8</v>
      </c>
      <c r="F25" s="1785">
        <f t="shared" si="3"/>
        <v>7610858.7400000021</v>
      </c>
      <c r="G25" s="1785">
        <f t="shared" si="3"/>
        <v>5665542.9700000016</v>
      </c>
      <c r="H25" s="1785">
        <f t="shared" si="3"/>
        <v>385754.31999999983</v>
      </c>
      <c r="I25" s="1786">
        <f t="shared" si="0"/>
        <v>11.203041881528545</v>
      </c>
      <c r="J25" s="1786">
        <f t="shared" si="1"/>
        <v>99.367693906483225</v>
      </c>
      <c r="K25" s="1786">
        <f t="shared" si="2"/>
        <v>16.75695368972913</v>
      </c>
    </row>
    <row r="26" spans="1:11" ht="26.4">
      <c r="A26" s="1783" t="s">
        <v>596</v>
      </c>
      <c r="B26" s="1781">
        <f>B27+B46+B48</f>
        <v>19818528114.34</v>
      </c>
      <c r="C26" s="1781">
        <f>C27+C46+C48</f>
        <v>18292825559.530003</v>
      </c>
      <c r="D26" s="1785" t="s">
        <v>597</v>
      </c>
      <c r="E26" s="1785" t="s">
        <v>597</v>
      </c>
      <c r="F26" s="1785" t="s">
        <v>597</v>
      </c>
      <c r="G26" s="1785" t="s">
        <v>597</v>
      </c>
      <c r="H26" s="1785" t="s">
        <v>597</v>
      </c>
      <c r="I26" s="1782">
        <f t="shared" si="0"/>
        <v>23.121395901472209</v>
      </c>
      <c r="J26" s="1782">
        <f t="shared" si="1"/>
        <v>92.301635388825616</v>
      </c>
      <c r="K26" s="1788"/>
    </row>
    <row r="27" spans="1:11" ht="26.4">
      <c r="A27" s="1789" t="s">
        <v>598</v>
      </c>
      <c r="B27" s="1781">
        <f>B28+B30+B32+B34+B36+B38+B40+B42+B44</f>
        <v>16794738250.709999</v>
      </c>
      <c r="C27" s="1781">
        <f>C28+C30+C32+C34+C36+C38+C40+C42+C44</f>
        <v>15909592000.380003</v>
      </c>
      <c r="D27" s="1785" t="s">
        <v>597</v>
      </c>
      <c r="E27" s="1785" t="s">
        <v>597</v>
      </c>
      <c r="F27" s="1785" t="s">
        <v>597</v>
      </c>
      <c r="G27" s="1785" t="s">
        <v>597</v>
      </c>
      <c r="H27" s="1785" t="s">
        <v>597</v>
      </c>
      <c r="I27" s="1782">
        <f t="shared" si="0"/>
        <v>20.109084519206036</v>
      </c>
      <c r="J27" s="1782">
        <f t="shared" si="1"/>
        <v>94.729621640321923</v>
      </c>
      <c r="K27" s="1788"/>
    </row>
    <row r="28" spans="1:11">
      <c r="A28" s="1790" t="s">
        <v>599</v>
      </c>
      <c r="B28" s="1785">
        <f>6824484769.16</f>
        <v>6824484769.1599998</v>
      </c>
      <c r="C28" s="1785">
        <f>6770640133.36</f>
        <v>6770640133.3599997</v>
      </c>
      <c r="D28" s="1785" t="s">
        <v>597</v>
      </c>
      <c r="E28" s="1785" t="s">
        <v>597</v>
      </c>
      <c r="F28" s="1785" t="s">
        <v>597</v>
      </c>
      <c r="G28" s="1785" t="s">
        <v>597</v>
      </c>
      <c r="H28" s="1785" t="s">
        <v>597</v>
      </c>
      <c r="I28" s="1786">
        <f t="shared" si="0"/>
        <v>8.5578168621554003</v>
      </c>
      <c r="J28" s="1786">
        <f t="shared" si="1"/>
        <v>99.211008044983487</v>
      </c>
      <c r="K28" s="1788"/>
    </row>
    <row r="29" spans="1:11">
      <c r="A29" s="1791" t="s">
        <v>600</v>
      </c>
      <c r="B29" s="1785">
        <f>87249843.3</f>
        <v>87249843.299999997</v>
      </c>
      <c r="C29" s="1785">
        <f>70444883.44</f>
        <v>70444883.439999998</v>
      </c>
      <c r="D29" s="1785" t="s">
        <v>597</v>
      </c>
      <c r="E29" s="1785" t="s">
        <v>597</v>
      </c>
      <c r="F29" s="1785" t="s">
        <v>597</v>
      </c>
      <c r="G29" s="1785" t="s">
        <v>597</v>
      </c>
      <c r="H29" s="1785" t="s">
        <v>597</v>
      </c>
      <c r="I29" s="1786">
        <f t="shared" si="0"/>
        <v>8.9039499882004658E-2</v>
      </c>
      <c r="J29" s="1786">
        <f t="shared" si="1"/>
        <v>80.739266428000562</v>
      </c>
      <c r="K29" s="1788"/>
    </row>
    <row r="30" spans="1:11">
      <c r="A30" s="1790" t="s">
        <v>601</v>
      </c>
      <c r="B30" s="1785">
        <f>2599257091.61</f>
        <v>2599257091.6100001</v>
      </c>
      <c r="C30" s="1785">
        <f>2371469570.91</f>
        <v>2371469570.9099998</v>
      </c>
      <c r="D30" s="1785" t="s">
        <v>597</v>
      </c>
      <c r="E30" s="1785" t="s">
        <v>597</v>
      </c>
      <c r="F30" s="1785" t="s">
        <v>597</v>
      </c>
      <c r="G30" s="1785" t="s">
        <v>597</v>
      </c>
      <c r="H30" s="1785" t="s">
        <v>597</v>
      </c>
      <c r="I30" s="1786">
        <f t="shared" si="0"/>
        <v>2.9974421741937456</v>
      </c>
      <c r="J30" s="1786">
        <f t="shared" si="1"/>
        <v>91.236437463794445</v>
      </c>
      <c r="K30" s="1788"/>
    </row>
    <row r="31" spans="1:11">
      <c r="A31" s="1791" t="s">
        <v>600</v>
      </c>
      <c r="B31" s="1785">
        <f>856249062.15</f>
        <v>856249062.14999998</v>
      </c>
      <c r="C31" s="1785">
        <f>732256141.93</f>
        <v>732256141.92999995</v>
      </c>
      <c r="D31" s="1785" t="s">
        <v>597</v>
      </c>
      <c r="E31" s="1785" t="s">
        <v>597</v>
      </c>
      <c r="F31" s="1785" t="s">
        <v>597</v>
      </c>
      <c r="G31" s="1785" t="s">
        <v>597</v>
      </c>
      <c r="H31" s="1785" t="s">
        <v>597</v>
      </c>
      <c r="I31" s="1786">
        <f t="shared" si="0"/>
        <v>0.92554231732821246</v>
      </c>
      <c r="J31" s="1786">
        <f t="shared" si="1"/>
        <v>85.519059149838981</v>
      </c>
      <c r="K31" s="1788"/>
    </row>
    <row r="32" spans="1:11" ht="20.399999999999999">
      <c r="A32" s="1790" t="s">
        <v>602</v>
      </c>
      <c r="B32" s="1785">
        <f>21945516.47</f>
        <v>21945516.469999999</v>
      </c>
      <c r="C32" s="1785">
        <f>20514023.2</f>
        <v>20514023.199999999</v>
      </c>
      <c r="D32" s="1785" t="s">
        <v>597</v>
      </c>
      <c r="E32" s="1785" t="s">
        <v>597</v>
      </c>
      <c r="F32" s="1785" t="s">
        <v>597</v>
      </c>
      <c r="G32" s="1785" t="s">
        <v>597</v>
      </c>
      <c r="H32" s="1785" t="s">
        <v>597</v>
      </c>
      <c r="I32" s="1786">
        <f t="shared" si="0"/>
        <v>2.5928900398445188E-2</v>
      </c>
      <c r="J32" s="1786">
        <f t="shared" si="1"/>
        <v>93.477058186546301</v>
      </c>
      <c r="K32" s="1788"/>
    </row>
    <row r="33" spans="1:11">
      <c r="A33" s="1791" t="s">
        <v>600</v>
      </c>
      <c r="B33" s="1785">
        <f>11523746.03</f>
        <v>11523746.029999999</v>
      </c>
      <c r="C33" s="1785">
        <f>10209407.26</f>
        <v>10209407.26</v>
      </c>
      <c r="D33" s="1785" t="s">
        <v>597</v>
      </c>
      <c r="E33" s="1785" t="s">
        <v>597</v>
      </c>
      <c r="F33" s="1785" t="s">
        <v>597</v>
      </c>
      <c r="G33" s="1785" t="s">
        <v>597</v>
      </c>
      <c r="H33" s="1785" t="s">
        <v>597</v>
      </c>
      <c r="I33" s="1786">
        <f t="shared" si="0"/>
        <v>1.2904280227766497E-2</v>
      </c>
      <c r="J33" s="1786">
        <f t="shared" si="1"/>
        <v>88.594518079638732</v>
      </c>
      <c r="K33" s="1788"/>
    </row>
    <row r="34" spans="1:11" ht="20.399999999999999">
      <c r="A34" s="1790" t="s">
        <v>603</v>
      </c>
      <c r="B34" s="1785">
        <f>262783698.56</f>
        <v>262783698.56</v>
      </c>
      <c r="C34" s="1785">
        <f>240127082.61</f>
        <v>240127082.61000001</v>
      </c>
      <c r="D34" s="1785" t="s">
        <v>597</v>
      </c>
      <c r="E34" s="1785" t="s">
        <v>597</v>
      </c>
      <c r="F34" s="1785" t="s">
        <v>597</v>
      </c>
      <c r="G34" s="1785" t="s">
        <v>597</v>
      </c>
      <c r="H34" s="1785" t="s">
        <v>597</v>
      </c>
      <c r="I34" s="1786">
        <f t="shared" si="0"/>
        <v>0.30351097623619289</v>
      </c>
      <c r="J34" s="1786">
        <f t="shared" si="1"/>
        <v>91.378226246851099</v>
      </c>
      <c r="K34" s="1788"/>
    </row>
    <row r="35" spans="1:11">
      <c r="A35" s="1791" t="s">
        <v>600</v>
      </c>
      <c r="B35" s="1785">
        <f>103055805.16</f>
        <v>103055805.16</v>
      </c>
      <c r="C35" s="1785">
        <f>93288129.21</f>
        <v>93288129.209999993</v>
      </c>
      <c r="D35" s="1785" t="s">
        <v>597</v>
      </c>
      <c r="E35" s="1785" t="s">
        <v>597</v>
      </c>
      <c r="F35" s="1785" t="s">
        <v>597</v>
      </c>
      <c r="G35" s="1785" t="s">
        <v>597</v>
      </c>
      <c r="H35" s="1785" t="s">
        <v>597</v>
      </c>
      <c r="I35" s="1786">
        <f t="shared" si="0"/>
        <v>0.11791244394436363</v>
      </c>
      <c r="J35" s="1786">
        <f t="shared" si="1"/>
        <v>90.521954648905876</v>
      </c>
      <c r="K35" s="1788"/>
    </row>
    <row r="36" spans="1:11" ht="30.6">
      <c r="A36" s="1790" t="s">
        <v>604</v>
      </c>
      <c r="B36" s="1785">
        <f>357998876.94</f>
        <v>357998876.94</v>
      </c>
      <c r="C36" s="1785">
        <f>323829398.85</f>
        <v>323829398.85000002</v>
      </c>
      <c r="D36" s="1785" t="s">
        <v>597</v>
      </c>
      <c r="E36" s="1785" t="s">
        <v>597</v>
      </c>
      <c r="F36" s="1785" t="s">
        <v>597</v>
      </c>
      <c r="G36" s="1785" t="s">
        <v>597</v>
      </c>
      <c r="H36" s="1785" t="s">
        <v>597</v>
      </c>
      <c r="I36" s="1786">
        <f t="shared" si="0"/>
        <v>0.40930733805887631</v>
      </c>
      <c r="J36" s="1786">
        <f t="shared" si="1"/>
        <v>90.455423105775083</v>
      </c>
      <c r="K36" s="1788"/>
    </row>
    <row r="37" spans="1:11">
      <c r="A37" s="1791" t="s">
        <v>600</v>
      </c>
      <c r="B37" s="1785">
        <f>294942776.88</f>
        <v>294942776.88</v>
      </c>
      <c r="C37" s="1785">
        <f>266083838.58</f>
        <v>266083838.58000001</v>
      </c>
      <c r="D37" s="1785" t="s">
        <v>597</v>
      </c>
      <c r="E37" s="1785" t="s">
        <v>597</v>
      </c>
      <c r="F37" s="1785" t="s">
        <v>597</v>
      </c>
      <c r="G37" s="1785" t="s">
        <v>597</v>
      </c>
      <c r="H37" s="1785" t="s">
        <v>597</v>
      </c>
      <c r="I37" s="1786">
        <f t="shared" si="0"/>
        <v>0.33631927198838241</v>
      </c>
      <c r="J37" s="1786">
        <f t="shared" si="1"/>
        <v>90.215411068791326</v>
      </c>
      <c r="K37" s="1788"/>
    </row>
    <row r="38" spans="1:11">
      <c r="A38" s="1790" t="s">
        <v>605</v>
      </c>
      <c r="B38" s="1785">
        <f>229133309.89</f>
        <v>229133309.88999999</v>
      </c>
      <c r="C38" s="1785">
        <f>226903502.43</f>
        <v>226903502.43000001</v>
      </c>
      <c r="D38" s="1785" t="s">
        <v>597</v>
      </c>
      <c r="E38" s="1785" t="s">
        <v>597</v>
      </c>
      <c r="F38" s="1785" t="s">
        <v>597</v>
      </c>
      <c r="G38" s="1785" t="s">
        <v>597</v>
      </c>
      <c r="H38" s="1785" t="s">
        <v>597</v>
      </c>
      <c r="I38" s="1786">
        <f t="shared" si="0"/>
        <v>0.28679690264588548</v>
      </c>
      <c r="J38" s="1786">
        <f t="shared" si="1"/>
        <v>99.026851459933766</v>
      </c>
      <c r="K38" s="1788"/>
    </row>
    <row r="39" spans="1:11">
      <c r="A39" s="1791" t="s">
        <v>600</v>
      </c>
      <c r="B39" s="1785">
        <f>206678348.84</f>
        <v>206678348.84</v>
      </c>
      <c r="C39" s="1785">
        <f>207293221.45</f>
        <v>207293221.44999999</v>
      </c>
      <c r="D39" s="1785" t="s">
        <v>597</v>
      </c>
      <c r="E39" s="1785" t="s">
        <v>597</v>
      </c>
      <c r="F39" s="1785" t="s">
        <v>597</v>
      </c>
      <c r="G39" s="1785" t="s">
        <v>597</v>
      </c>
      <c r="H39" s="1785" t="s">
        <v>597</v>
      </c>
      <c r="I39" s="1786">
        <f t="shared" si="0"/>
        <v>0.26201029607151327</v>
      </c>
      <c r="J39" s="1786">
        <f t="shared" si="1"/>
        <v>100.2975021880381</v>
      </c>
      <c r="K39" s="1788"/>
    </row>
    <row r="40" spans="1:11" ht="40.799999999999997">
      <c r="A40" s="1790" t="s">
        <v>606</v>
      </c>
      <c r="B40" s="1785">
        <f>9196794.09</f>
        <v>9196794.0899999999</v>
      </c>
      <c r="C40" s="1785">
        <f>8030042.93</f>
        <v>8030042.9299999997</v>
      </c>
      <c r="D40" s="1785" t="s">
        <v>597</v>
      </c>
      <c r="E40" s="1785" t="s">
        <v>597</v>
      </c>
      <c r="F40" s="1785" t="s">
        <v>597</v>
      </c>
      <c r="G40" s="1785" t="s">
        <v>597</v>
      </c>
      <c r="H40" s="1785" t="s">
        <v>597</v>
      </c>
      <c r="I40" s="1786">
        <f t="shared" si="0"/>
        <v>1.014965135299296E-2</v>
      </c>
      <c r="J40" s="1786">
        <f>IF(B40=0,"",100*C40/B40)</f>
        <v>87.313501329026707</v>
      </c>
      <c r="K40" s="1788"/>
    </row>
    <row r="41" spans="1:11">
      <c r="A41" s="1791" t="s">
        <v>607</v>
      </c>
      <c r="B41" s="1785">
        <f>8167948.24</f>
        <v>8167948.2400000002</v>
      </c>
      <c r="C41" s="1785">
        <f>7103823.78</f>
        <v>7103823.7800000003</v>
      </c>
      <c r="D41" s="1785" t="s">
        <v>597</v>
      </c>
      <c r="E41" s="1785" t="s">
        <v>597</v>
      </c>
      <c r="F41" s="1785" t="s">
        <v>597</v>
      </c>
      <c r="G41" s="1785" t="s">
        <v>597</v>
      </c>
      <c r="H41" s="1785" t="s">
        <v>597</v>
      </c>
      <c r="I41" s="1786">
        <f t="shared" si="0"/>
        <v>8.9789475932603221E-3</v>
      </c>
      <c r="J41" s="1786">
        <f>IF(B41=0,"",100*C41/B41)</f>
        <v>86.971949028903239</v>
      </c>
      <c r="K41" s="1788"/>
    </row>
    <row r="42" spans="1:11" ht="20.399999999999999">
      <c r="A42" s="1790" t="s">
        <v>1050</v>
      </c>
      <c r="B42" s="1785">
        <f>5952355829.63</f>
        <v>5952355829.6300001</v>
      </c>
      <c r="C42" s="1785">
        <f>5418198200.21</f>
        <v>5418198200.21</v>
      </c>
      <c r="D42" s="1785" t="s">
        <v>597</v>
      </c>
      <c r="E42" s="1785" t="s">
        <v>597</v>
      </c>
      <c r="F42" s="1785" t="s">
        <v>597</v>
      </c>
      <c r="G42" s="1785" t="s">
        <v>597</v>
      </c>
      <c r="H42" s="1785" t="s">
        <v>597</v>
      </c>
      <c r="I42" s="1786">
        <f t="shared" si="0"/>
        <v>6.8483846441335832</v>
      </c>
      <c r="J42" s="1786">
        <f t="shared" si="1"/>
        <v>91.026113950361676</v>
      </c>
      <c r="K42" s="1788"/>
    </row>
    <row r="43" spans="1:11">
      <c r="A43" s="1791" t="s">
        <v>600</v>
      </c>
      <c r="B43" s="1785">
        <f>5913778707.74</f>
        <v>5913778707.7399998</v>
      </c>
      <c r="C43" s="1785">
        <f>5388244807.72</f>
        <v>5388244807.7200003</v>
      </c>
      <c r="D43" s="1785" t="s">
        <v>597</v>
      </c>
      <c r="E43" s="1785" t="s">
        <v>597</v>
      </c>
      <c r="F43" s="1785" t="s">
        <v>597</v>
      </c>
      <c r="G43" s="1785" t="s">
        <v>597</v>
      </c>
      <c r="H43" s="1785" t="s">
        <v>597</v>
      </c>
      <c r="I43" s="1786">
        <f t="shared" si="0"/>
        <v>6.810524760536067</v>
      </c>
      <c r="J43" s="1786">
        <f t="shared" si="1"/>
        <v>91.113399300312395</v>
      </c>
      <c r="K43" s="1788"/>
    </row>
    <row r="44" spans="1:11" ht="20.399999999999999">
      <c r="A44" s="1790" t="s">
        <v>608</v>
      </c>
      <c r="B44" s="1785">
        <f>537582364.36</f>
        <v>537582364.36000001</v>
      </c>
      <c r="C44" s="1785">
        <f>529880045.88</f>
        <v>529880045.88</v>
      </c>
      <c r="D44" s="1785" t="s">
        <v>597</v>
      </c>
      <c r="E44" s="1785" t="s">
        <v>597</v>
      </c>
      <c r="F44" s="1785" t="s">
        <v>597</v>
      </c>
      <c r="G44" s="1785" t="s">
        <v>597</v>
      </c>
      <c r="H44" s="1785" t="s">
        <v>597</v>
      </c>
      <c r="I44" s="1786">
        <f t="shared" si="0"/>
        <v>0.66974707003090872</v>
      </c>
      <c r="J44" s="1786">
        <f t="shared" si="1"/>
        <v>98.567230067308898</v>
      </c>
      <c r="K44" s="1788"/>
    </row>
    <row r="45" spans="1:11">
      <c r="A45" s="1791" t="s">
        <v>600</v>
      </c>
      <c r="B45" s="1785">
        <f>48311.46</f>
        <v>48311.46</v>
      </c>
      <c r="C45" s="1785">
        <f>48311.46</f>
        <v>48311.46</v>
      </c>
      <c r="D45" s="1785" t="s">
        <v>597</v>
      </c>
      <c r="E45" s="1785" t="s">
        <v>597</v>
      </c>
      <c r="F45" s="1785" t="s">
        <v>597</v>
      </c>
      <c r="G45" s="1785" t="s">
        <v>597</v>
      </c>
      <c r="H45" s="1785" t="s">
        <v>597</v>
      </c>
      <c r="I45" s="1786">
        <f t="shared" si="0"/>
        <v>6.1063742700820815E-5</v>
      </c>
      <c r="J45" s="1786">
        <f t="shared" si="1"/>
        <v>100</v>
      </c>
      <c r="K45" s="1788"/>
    </row>
    <row r="46" spans="1:11">
      <c r="A46" s="1789" t="s">
        <v>731</v>
      </c>
      <c r="B46" s="1781">
        <f>219126158.56</f>
        <v>219126158.56</v>
      </c>
      <c r="C46" s="1781">
        <f>168714591.97</f>
        <v>168714591.97</v>
      </c>
      <c r="D46" s="1785" t="s">
        <v>597</v>
      </c>
      <c r="E46" s="1785" t="s">
        <v>597</v>
      </c>
      <c r="F46" s="1785" t="s">
        <v>597</v>
      </c>
      <c r="G46" s="1785" t="s">
        <v>597</v>
      </c>
      <c r="H46" s="1785" t="s">
        <v>597</v>
      </c>
      <c r="I46" s="1782">
        <f t="shared" si="0"/>
        <v>0.21324845976358506</v>
      </c>
      <c r="J46" s="1782">
        <f t="shared" si="1"/>
        <v>76.994272650384389</v>
      </c>
      <c r="K46" s="1788"/>
    </row>
    <row r="47" spans="1:11">
      <c r="A47" s="1791" t="s">
        <v>732</v>
      </c>
      <c r="B47" s="1785">
        <f>159018927.15</f>
        <v>159018927.15000001</v>
      </c>
      <c r="C47" s="1785">
        <f>112930133.13</f>
        <v>112930133.13</v>
      </c>
      <c r="D47" s="1785" t="s">
        <v>597</v>
      </c>
      <c r="E47" s="1785" t="s">
        <v>597</v>
      </c>
      <c r="F47" s="1785" t="s">
        <v>597</v>
      </c>
      <c r="G47" s="1785" t="s">
        <v>597</v>
      </c>
      <c r="H47" s="1785" t="s">
        <v>597</v>
      </c>
      <c r="I47" s="1786">
        <f t="shared" si="0"/>
        <v>0.14273914703922755</v>
      </c>
      <c r="J47" s="1786">
        <f t="shared" si="1"/>
        <v>71.016787217709506</v>
      </c>
      <c r="K47" s="1788"/>
    </row>
    <row r="48" spans="1:11">
      <c r="A48" s="1789" t="s">
        <v>733</v>
      </c>
      <c r="B48" s="1785">
        <f>2804663705.07</f>
        <v>2804663705.0700002</v>
      </c>
      <c r="C48" s="1785">
        <f>2214518967.18</f>
        <v>2214518967.1799998</v>
      </c>
      <c r="D48" s="1785" t="s">
        <v>597</v>
      </c>
      <c r="E48" s="1785" t="s">
        <v>597</v>
      </c>
      <c r="F48" s="1785" t="s">
        <v>597</v>
      </c>
      <c r="G48" s="1785" t="s">
        <v>597</v>
      </c>
      <c r="H48" s="1785" t="s">
        <v>597</v>
      </c>
      <c r="I48" s="1786">
        <f t="shared" si="0"/>
        <v>2.7990629225025896</v>
      </c>
      <c r="J48" s="1786">
        <f t="shared" si="1"/>
        <v>78.958449213601128</v>
      </c>
      <c r="K48" s="1788"/>
    </row>
    <row r="49" spans="1:13">
      <c r="A49" s="1791" t="s">
        <v>734</v>
      </c>
      <c r="B49" s="1785">
        <f>2266195786.07</f>
        <v>2266195786.0700002</v>
      </c>
      <c r="C49" s="1785">
        <f>1752239829.87</f>
        <v>1752239829.8699999</v>
      </c>
      <c r="D49" s="1785" t="s">
        <v>597</v>
      </c>
      <c r="E49" s="1785" t="s">
        <v>597</v>
      </c>
      <c r="F49" s="1785" t="s">
        <v>597</v>
      </c>
      <c r="G49" s="1785" t="s">
        <v>597</v>
      </c>
      <c r="H49" s="1785" t="s">
        <v>597</v>
      </c>
      <c r="I49" s="1786">
        <f t="shared" si="0"/>
        <v>2.2147606824822041</v>
      </c>
      <c r="J49" s="1786">
        <f t="shared" si="1"/>
        <v>77.320761102848294</v>
      </c>
      <c r="K49" s="1788"/>
    </row>
    <row r="50" spans="1:13">
      <c r="A50" s="1783" t="s">
        <v>857</v>
      </c>
      <c r="B50" s="1781">
        <f>7912904304.72</f>
        <v>7912904304.7200003</v>
      </c>
      <c r="C50" s="1781">
        <f>7929466650.34</f>
        <v>7929466650.3400002</v>
      </c>
      <c r="D50" s="1785" t="s">
        <v>597</v>
      </c>
      <c r="E50" s="1785" t="s">
        <v>597</v>
      </c>
      <c r="F50" s="1785" t="s">
        <v>597</v>
      </c>
      <c r="G50" s="1785" t="s">
        <v>597</v>
      </c>
      <c r="H50" s="1785" t="s">
        <v>597</v>
      </c>
      <c r="I50" s="1782">
        <f t="shared" si="0"/>
        <v>10.022526979956748</v>
      </c>
      <c r="J50" s="1782">
        <f t="shared" si="1"/>
        <v>100.20930804900699</v>
      </c>
      <c r="K50" s="1788"/>
    </row>
    <row r="51" spans="1:13">
      <c r="A51" s="1784" t="s">
        <v>609</v>
      </c>
      <c r="B51" s="1785">
        <f>0</f>
        <v>0</v>
      </c>
      <c r="C51" s="1785">
        <f>0</f>
        <v>0</v>
      </c>
      <c r="D51" s="1785" t="s">
        <v>597</v>
      </c>
      <c r="E51" s="1785" t="s">
        <v>597</v>
      </c>
      <c r="F51" s="1785" t="s">
        <v>597</v>
      </c>
      <c r="G51" s="1785" t="s">
        <v>597</v>
      </c>
      <c r="H51" s="1785" t="s">
        <v>597</v>
      </c>
      <c r="I51" s="1786">
        <f t="shared" si="0"/>
        <v>0</v>
      </c>
      <c r="J51" s="1786" t="str">
        <f t="shared" si="1"/>
        <v/>
      </c>
      <c r="K51" s="1788"/>
    </row>
    <row r="52" spans="1:13" ht="20.399999999999999">
      <c r="A52" s="1784" t="s">
        <v>858</v>
      </c>
      <c r="B52" s="1785">
        <f>774672756.2</f>
        <v>774672756.20000005</v>
      </c>
      <c r="C52" s="1785">
        <f>793105252.53</f>
        <v>793105252.52999997</v>
      </c>
      <c r="D52" s="1785" t="s">
        <v>597</v>
      </c>
      <c r="E52" s="1785" t="s">
        <v>597</v>
      </c>
      <c r="F52" s="1785" t="s">
        <v>597</v>
      </c>
      <c r="G52" s="1785" t="s">
        <v>597</v>
      </c>
      <c r="H52" s="1785" t="s">
        <v>597</v>
      </c>
      <c r="I52" s="1786">
        <f t="shared" si="0"/>
        <v>1.0024531462133712</v>
      </c>
      <c r="J52" s="1786">
        <f t="shared" si="1"/>
        <v>102.37939132136475</v>
      </c>
      <c r="K52" s="1788"/>
    </row>
    <row r="53" spans="1:13">
      <c r="A53" s="1790" t="s">
        <v>600</v>
      </c>
      <c r="B53" s="1785">
        <f>86652409.69</f>
        <v>86652409.689999998</v>
      </c>
      <c r="C53" s="1785">
        <f>90669573.03</f>
        <v>90669573.030000001</v>
      </c>
      <c r="D53" s="1785" t="s">
        <v>597</v>
      </c>
      <c r="E53" s="1785" t="s">
        <v>597</v>
      </c>
      <c r="F53" s="1785" t="s">
        <v>597</v>
      </c>
      <c r="G53" s="1785" t="s">
        <v>597</v>
      </c>
      <c r="H53" s="1785" t="s">
        <v>597</v>
      </c>
      <c r="I53" s="1786">
        <f t="shared" si="0"/>
        <v>0.11460269423232504</v>
      </c>
      <c r="J53" s="1786">
        <f t="shared" si="1"/>
        <v>104.63595109976913</v>
      </c>
      <c r="K53" s="1788"/>
    </row>
    <row r="54" spans="1:13">
      <c r="A54" s="1792"/>
      <c r="B54" s="1793"/>
      <c r="C54" s="1794"/>
      <c r="D54" s="1795"/>
      <c r="E54" s="1795"/>
      <c r="F54" s="1795"/>
      <c r="G54" s="1795"/>
      <c r="H54" s="1795"/>
      <c r="I54" s="1796"/>
      <c r="J54" s="1796"/>
      <c r="K54" s="1797"/>
    </row>
    <row r="55" spans="1:13">
      <c r="A55" s="1780" t="s">
        <v>588</v>
      </c>
      <c r="B55" s="1785">
        <f t="shared" ref="B55:H55" si="4">+B6</f>
        <v>80684719228.169998</v>
      </c>
      <c r="C55" s="1785">
        <f t="shared" si="4"/>
        <v>79116441055.210007</v>
      </c>
      <c r="D55" s="1785">
        <f t="shared" si="4"/>
        <v>2169026637.0500002</v>
      </c>
      <c r="E55" s="1785">
        <f t="shared" si="4"/>
        <v>278272443.49000001</v>
      </c>
      <c r="F55" s="1785">
        <f t="shared" si="4"/>
        <v>39104584.490000002</v>
      </c>
      <c r="G55" s="1785">
        <f t="shared" si="4"/>
        <v>38839500.969999999</v>
      </c>
      <c r="H55" s="1785">
        <f t="shared" si="4"/>
        <v>2580764.19</v>
      </c>
      <c r="I55" s="1798">
        <f t="shared" si="0"/>
        <v>100</v>
      </c>
      <c r="J55" s="1799">
        <f>IF(B55=0,"",100*C55/B55)</f>
        <v>98.056288491845621</v>
      </c>
      <c r="K55" s="1800"/>
    </row>
    <row r="56" spans="1:13">
      <c r="A56" s="1801" t="s">
        <v>137</v>
      </c>
      <c r="B56" s="1785">
        <f>12519998692.25</f>
        <v>12519998692.25</v>
      </c>
      <c r="C56" s="1785">
        <f>11036092991.02</f>
        <v>11036092991.02</v>
      </c>
      <c r="D56" s="1785">
        <f>0</f>
        <v>0</v>
      </c>
      <c r="E56" s="1785">
        <f>0</f>
        <v>0</v>
      </c>
      <c r="F56" s="1785">
        <f>0</f>
        <v>0</v>
      </c>
      <c r="G56" s="1785">
        <f>0</f>
        <v>0</v>
      </c>
      <c r="H56" s="1785">
        <f>0</f>
        <v>0</v>
      </c>
      <c r="I56" s="1798">
        <f t="shared" si="0"/>
        <v>13.949177748426093</v>
      </c>
      <c r="J56" s="1799">
        <f>IF(B56=0,"",100*C56/B56)</f>
        <v>88.147716803288873</v>
      </c>
      <c r="K56" s="1800"/>
    </row>
    <row r="57" spans="1:13">
      <c r="A57" s="1801" t="s">
        <v>136</v>
      </c>
      <c r="B57" s="1785">
        <f>B55-B56</f>
        <v>68164720535.919998</v>
      </c>
      <c r="C57" s="1785">
        <f t="shared" ref="C57:H57" si="5">C55-C56</f>
        <v>68080348064.190002</v>
      </c>
      <c r="D57" s="1785">
        <f t="shared" si="5"/>
        <v>2169026637.0500002</v>
      </c>
      <c r="E57" s="1785">
        <f t="shared" si="5"/>
        <v>278272443.49000001</v>
      </c>
      <c r="F57" s="1785">
        <f t="shared" si="5"/>
        <v>39104584.490000002</v>
      </c>
      <c r="G57" s="1785">
        <f t="shared" si="5"/>
        <v>38839500.969999999</v>
      </c>
      <c r="H57" s="1785">
        <f t="shared" si="5"/>
        <v>2580764.19</v>
      </c>
      <c r="I57" s="1798">
        <f t="shared" si="0"/>
        <v>86.050822251573905</v>
      </c>
      <c r="J57" s="1799">
        <f>IF(B57=0,"",100*C57/B57)</f>
        <v>99.876222669048374</v>
      </c>
      <c r="K57" s="1800"/>
    </row>
    <row r="58" spans="1:13">
      <c r="A58" s="1802" t="s">
        <v>610</v>
      </c>
      <c r="B58" s="1802"/>
      <c r="C58" s="1802"/>
      <c r="D58" s="1802"/>
      <c r="E58" s="1803"/>
      <c r="F58" s="1803"/>
      <c r="G58" s="1803"/>
      <c r="H58" s="1803"/>
      <c r="I58" s="1796"/>
      <c r="J58" s="1796"/>
      <c r="K58" s="1796"/>
      <c r="L58" s="401"/>
    </row>
    <row r="59" spans="1:13">
      <c r="A59" s="1804"/>
      <c r="B59" s="1793"/>
      <c r="C59" s="1794"/>
      <c r="D59" s="1794"/>
      <c r="E59" s="1795"/>
      <c r="F59" s="1795"/>
      <c r="G59" s="1795"/>
      <c r="H59" s="1795"/>
      <c r="I59" s="1795"/>
      <c r="J59" s="1796"/>
      <c r="K59" s="1796"/>
      <c r="L59" s="407"/>
    </row>
    <row r="60" spans="1:13" ht="32.4" customHeight="1">
      <c r="A60" s="2293" t="s">
        <v>584</v>
      </c>
      <c r="B60" s="2295" t="s">
        <v>892</v>
      </c>
      <c r="C60" s="2295" t="s">
        <v>893</v>
      </c>
      <c r="D60" s="2295" t="s">
        <v>894</v>
      </c>
      <c r="E60" s="2295" t="s">
        <v>611</v>
      </c>
      <c r="F60" s="2295"/>
      <c r="G60" s="2295"/>
      <c r="H60" s="2296" t="s">
        <v>895</v>
      </c>
      <c r="I60" s="2295" t="s">
        <v>585</v>
      </c>
      <c r="J60" s="2299" t="s">
        <v>586</v>
      </c>
      <c r="K60" s="1806"/>
      <c r="M60" s="408"/>
    </row>
    <row r="61" spans="1:13">
      <c r="A61" s="2293"/>
      <c r="B61" s="2295"/>
      <c r="C61" s="2295"/>
      <c r="D61" s="2289"/>
      <c r="E61" s="2283" t="s">
        <v>896</v>
      </c>
      <c r="F61" s="2288" t="s">
        <v>612</v>
      </c>
      <c r="G61" s="2289"/>
      <c r="H61" s="2297"/>
      <c r="I61" s="2295"/>
      <c r="J61" s="2299"/>
      <c r="K61" s="1808"/>
      <c r="M61" s="408"/>
    </row>
    <row r="62" spans="1:13" ht="42.6" customHeight="1">
      <c r="A62" s="2293"/>
      <c r="B62" s="2295"/>
      <c r="C62" s="2295"/>
      <c r="D62" s="2289"/>
      <c r="E62" s="2289"/>
      <c r="F62" s="1809" t="s">
        <v>897</v>
      </c>
      <c r="G62" s="1809" t="s">
        <v>898</v>
      </c>
      <c r="H62" s="2298"/>
      <c r="I62" s="2295"/>
      <c r="J62" s="2299"/>
      <c r="K62" s="1808"/>
      <c r="M62" s="408"/>
    </row>
    <row r="63" spans="1:13">
      <c r="A63" s="2293"/>
      <c r="B63" s="2290" t="s">
        <v>163</v>
      </c>
      <c r="C63" s="2291"/>
      <c r="D63" s="2291"/>
      <c r="E63" s="2291"/>
      <c r="F63" s="2291"/>
      <c r="G63" s="2291"/>
      <c r="H63" s="2292"/>
      <c r="I63" s="2294" t="s">
        <v>169</v>
      </c>
      <c r="J63" s="2294"/>
      <c r="K63" s="1806"/>
      <c r="M63" s="457"/>
    </row>
    <row r="64" spans="1:13">
      <c r="A64" s="1777">
        <v>1</v>
      </c>
      <c r="B64" s="1779">
        <v>2</v>
      </c>
      <c r="C64" s="1779">
        <v>3</v>
      </c>
      <c r="D64" s="1779">
        <v>4</v>
      </c>
      <c r="E64" s="1777">
        <v>5</v>
      </c>
      <c r="F64" s="1777">
        <v>6</v>
      </c>
      <c r="G64" s="1779">
        <v>7</v>
      </c>
      <c r="H64" s="1779">
        <v>8</v>
      </c>
      <c r="I64" s="1777">
        <v>9</v>
      </c>
      <c r="J64" s="1779">
        <v>10</v>
      </c>
      <c r="K64" s="1806"/>
      <c r="M64" s="458"/>
    </row>
    <row r="65" spans="1:13" ht="26.4">
      <c r="A65" s="1780" t="s">
        <v>613</v>
      </c>
      <c r="B65" s="1810">
        <f>85784439944.21</f>
        <v>85784439944.210007</v>
      </c>
      <c r="C65" s="1810">
        <f>78402985510.22</f>
        <v>78402985510.220001</v>
      </c>
      <c r="D65" s="1810">
        <f>78465655284.11</f>
        <v>78465655284.110001</v>
      </c>
      <c r="E65" s="1810">
        <f>3319891994.66</f>
        <v>3319891994.6599998</v>
      </c>
      <c r="F65" s="1810">
        <f>101252.31</f>
        <v>101252.31</v>
      </c>
      <c r="G65" s="1810">
        <f>1166129.59</f>
        <v>1166129.5900000001</v>
      </c>
      <c r="H65" s="1811">
        <f>358063625.27</f>
        <v>358063625.26999998</v>
      </c>
      <c r="I65" s="1812">
        <f>IF($C$65=0,"",100*$C65/$C$65)</f>
        <v>100</v>
      </c>
      <c r="J65" s="1812">
        <f>IF(B65=0,"",100*C65/B65)</f>
        <v>91.395345777403747</v>
      </c>
      <c r="K65" s="1806"/>
      <c r="M65" s="455"/>
    </row>
    <row r="66" spans="1:13">
      <c r="A66" s="1783" t="s">
        <v>614</v>
      </c>
      <c r="B66" s="1813">
        <f>19809797712.59</f>
        <v>19809797712.59</v>
      </c>
      <c r="C66" s="1813">
        <f>16603729201.9</f>
        <v>16603729201.9</v>
      </c>
      <c r="D66" s="1813">
        <f>16633354955.52</f>
        <v>16633354955.52</v>
      </c>
      <c r="E66" s="1813">
        <f>261919886.31</f>
        <v>261919886.31</v>
      </c>
      <c r="F66" s="1813">
        <f>92325.57</f>
        <v>92325.57</v>
      </c>
      <c r="G66" s="1813">
        <f>6386.36</f>
        <v>6386.36</v>
      </c>
      <c r="H66" s="1814">
        <f>323898977.67</f>
        <v>323898977.67000002</v>
      </c>
      <c r="I66" s="1812">
        <f t="shared" ref="I66:I74" si="6">IF($C$65=0,"",100*$C66/$C$65)</f>
        <v>21.177419576370173</v>
      </c>
      <c r="J66" s="1812">
        <f t="shared" ref="J66:J74" si="7">IF(B66=0,"",100*C66/B66)</f>
        <v>83.815743314469074</v>
      </c>
      <c r="K66" s="1806"/>
      <c r="M66" s="458"/>
    </row>
    <row r="67" spans="1:13">
      <c r="A67" s="1784" t="s">
        <v>615</v>
      </c>
      <c r="B67" s="1785">
        <f>19031127337.81</f>
        <v>19031127337.810001</v>
      </c>
      <c r="C67" s="1785">
        <f>15879983788.84</f>
        <v>15879983788.84</v>
      </c>
      <c r="D67" s="1785">
        <f>15909609542.46</f>
        <v>15909609542.459999</v>
      </c>
      <c r="E67" s="1785">
        <f>261919886.31</f>
        <v>261919886.31</v>
      </c>
      <c r="F67" s="1785">
        <f>92325.57</f>
        <v>92325.57</v>
      </c>
      <c r="G67" s="1785">
        <f>6386.36</f>
        <v>6386.36</v>
      </c>
      <c r="H67" s="1815">
        <f>323898977.67</f>
        <v>323898977.67000002</v>
      </c>
      <c r="I67" s="1812">
        <f t="shared" si="6"/>
        <v>20.254310069314911</v>
      </c>
      <c r="J67" s="1812">
        <f t="shared" si="7"/>
        <v>83.442160345858852</v>
      </c>
      <c r="K67" s="1806"/>
      <c r="M67" s="455"/>
    </row>
    <row r="68" spans="1:13" ht="26.4">
      <c r="A68" s="1783" t="s">
        <v>616</v>
      </c>
      <c r="B68" s="1813">
        <f t="shared" ref="B68:H68" si="8">B65-B66</f>
        <v>65974642231.62001</v>
      </c>
      <c r="C68" s="1813">
        <f>C65-C66</f>
        <v>61799256308.32</v>
      </c>
      <c r="D68" s="1813">
        <f>D65-D66</f>
        <v>61832300328.589996</v>
      </c>
      <c r="E68" s="1813">
        <f t="shared" si="8"/>
        <v>3057972108.3499999</v>
      </c>
      <c r="F68" s="1813">
        <f t="shared" si="8"/>
        <v>8926.7399999999907</v>
      </c>
      <c r="G68" s="1813">
        <f t="shared" si="8"/>
        <v>1159743.23</v>
      </c>
      <c r="H68" s="1814">
        <f t="shared" si="8"/>
        <v>34164647.599999964</v>
      </c>
      <c r="I68" s="1812">
        <f t="shared" si="6"/>
        <v>78.82258042362983</v>
      </c>
      <c r="J68" s="1812">
        <f t="shared" si="7"/>
        <v>93.671226122543715</v>
      </c>
      <c r="K68" s="1806"/>
      <c r="M68" s="461"/>
    </row>
    <row r="69" spans="1:13" ht="20.399999999999999">
      <c r="A69" s="1784" t="s">
        <v>617</v>
      </c>
      <c r="B69" s="1785">
        <f>30626329528.13</f>
        <v>30626329528.130001</v>
      </c>
      <c r="C69" s="1785">
        <f>29458111883.42</f>
        <v>29458111883.419998</v>
      </c>
      <c r="D69" s="1785">
        <f>29469576451.17</f>
        <v>29469576451.169998</v>
      </c>
      <c r="E69" s="1785">
        <f>2384616347.65</f>
        <v>2384616347.6500001</v>
      </c>
      <c r="F69" s="1785">
        <f>1290.89</f>
        <v>1290.8900000000001</v>
      </c>
      <c r="G69" s="1785">
        <f>307543.61</f>
        <v>307543.61</v>
      </c>
      <c r="H69" s="1815">
        <f>497840.5</f>
        <v>497840.5</v>
      </c>
      <c r="I69" s="1812">
        <f t="shared" si="6"/>
        <v>37.572691513871078</v>
      </c>
      <c r="J69" s="1812">
        <f t="shared" si="7"/>
        <v>96.185577368528598</v>
      </c>
      <c r="K69" s="1806"/>
      <c r="M69" s="455"/>
    </row>
    <row r="70" spans="1:13">
      <c r="A70" s="1784" t="s">
        <v>571</v>
      </c>
      <c r="B70" s="1816">
        <f>6604156268.38</f>
        <v>6604156268.3800001</v>
      </c>
      <c r="C70" s="1816">
        <f>6406699738.77</f>
        <v>6406699738.7700005</v>
      </c>
      <c r="D70" s="1816">
        <f>6408036446.83</f>
        <v>6408036446.8299999</v>
      </c>
      <c r="E70" s="1816">
        <f>2271792.04</f>
        <v>2271792.04</v>
      </c>
      <c r="F70" s="1816">
        <f>0</f>
        <v>0</v>
      </c>
      <c r="G70" s="1816">
        <f>0</f>
        <v>0</v>
      </c>
      <c r="H70" s="1817">
        <f>372543.64</f>
        <v>372543.64</v>
      </c>
      <c r="I70" s="1812">
        <f t="shared" si="6"/>
        <v>8.1714997165954504</v>
      </c>
      <c r="J70" s="1812">
        <f t="shared" si="7"/>
        <v>97.01011724154074</v>
      </c>
      <c r="K70" s="1806"/>
      <c r="M70" s="461"/>
    </row>
    <row r="71" spans="1:13">
      <c r="A71" s="1784" t="s">
        <v>618</v>
      </c>
      <c r="B71" s="1785">
        <f>1112011707.99</f>
        <v>1112011707.99</v>
      </c>
      <c r="C71" s="1785">
        <f>1030015205.53</f>
        <v>1030015205.53</v>
      </c>
      <c r="D71" s="1785">
        <f>1030629628.3</f>
        <v>1030629628.3</v>
      </c>
      <c r="E71" s="1785">
        <f>16736442.15</f>
        <v>16736442.15</v>
      </c>
      <c r="F71" s="1785">
        <f>0</f>
        <v>0</v>
      </c>
      <c r="G71" s="1785">
        <f>30</f>
        <v>30</v>
      </c>
      <c r="H71" s="1815">
        <f>0</f>
        <v>0</v>
      </c>
      <c r="I71" s="1812">
        <f t="shared" si="6"/>
        <v>1.3137448769673896</v>
      </c>
      <c r="J71" s="1812">
        <f t="shared" si="7"/>
        <v>92.626291443620545</v>
      </c>
      <c r="K71" s="1806"/>
      <c r="M71" s="461"/>
    </row>
    <row r="72" spans="1:13" ht="20.399999999999999">
      <c r="A72" s="1784" t="s">
        <v>619</v>
      </c>
      <c r="B72" s="1816">
        <f>29958836.25</f>
        <v>29958836.25</v>
      </c>
      <c r="C72" s="1816">
        <f>446013.59</f>
        <v>446013.59</v>
      </c>
      <c r="D72" s="1816">
        <f>446013.59</f>
        <v>446013.59</v>
      </c>
      <c r="E72" s="1816">
        <f>0</f>
        <v>0</v>
      </c>
      <c r="F72" s="1816">
        <f>0</f>
        <v>0</v>
      </c>
      <c r="G72" s="1816">
        <f>0</f>
        <v>0</v>
      </c>
      <c r="H72" s="1817">
        <f>0</f>
        <v>0</v>
      </c>
      <c r="I72" s="1812">
        <f t="shared" si="6"/>
        <v>5.6887322223445329E-4</v>
      </c>
      <c r="J72" s="1812">
        <f t="shared" si="7"/>
        <v>1.4887547242426682</v>
      </c>
      <c r="K72" s="1806"/>
      <c r="M72" s="455"/>
    </row>
    <row r="73" spans="1:13">
      <c r="A73" s="1784" t="s">
        <v>620</v>
      </c>
      <c r="B73" s="1816">
        <f>7014214639.78</f>
        <v>7014214639.7799997</v>
      </c>
      <c r="C73" s="1816">
        <f>6862560896.18</f>
        <v>6862560896.1800003</v>
      </c>
      <c r="D73" s="1816">
        <f>6863910736.57</f>
        <v>6863910736.5699997</v>
      </c>
      <c r="E73" s="1816">
        <f>82422787.94</f>
        <v>82422787.939999998</v>
      </c>
      <c r="F73" s="1816">
        <f>3631.87</f>
        <v>3631.87</v>
      </c>
      <c r="G73" s="1816">
        <f>9767.74</f>
        <v>9767.74</v>
      </c>
      <c r="H73" s="1818">
        <f>0</f>
        <v>0</v>
      </c>
      <c r="I73" s="1812">
        <f t="shared" si="6"/>
        <v>8.7529331332484137</v>
      </c>
      <c r="J73" s="1812">
        <f t="shared" si="7"/>
        <v>97.837908427553387</v>
      </c>
      <c r="K73" s="1806"/>
      <c r="M73" s="458"/>
    </row>
    <row r="74" spans="1:13">
      <c r="A74" s="1784" t="s">
        <v>621</v>
      </c>
      <c r="B74" s="1785">
        <f t="shared" ref="B74:H74" si="9">B68-B69-B70-B71-B72-B73</f>
        <v>20587971251.090004</v>
      </c>
      <c r="C74" s="1785">
        <f>C68-C69-C70-C71-C72-C73</f>
        <v>18041422570.830002</v>
      </c>
      <c r="D74" s="1785">
        <f>D68-D69-D70-D71-D72-D73</f>
        <v>18059701052.129997</v>
      </c>
      <c r="E74" s="1785">
        <f t="shared" si="9"/>
        <v>571924738.56999993</v>
      </c>
      <c r="F74" s="1785">
        <f t="shared" si="9"/>
        <v>4003.9799999999905</v>
      </c>
      <c r="G74" s="1785">
        <f t="shared" si="9"/>
        <v>842401.88</v>
      </c>
      <c r="H74" s="1817">
        <f t="shared" si="9"/>
        <v>33294263.459999964</v>
      </c>
      <c r="I74" s="1812">
        <f t="shared" si="6"/>
        <v>23.011142309725262</v>
      </c>
      <c r="J74" s="1812">
        <f t="shared" si="7"/>
        <v>87.63089063413581</v>
      </c>
      <c r="K74" s="1806"/>
      <c r="M74" s="458"/>
    </row>
    <row r="75" spans="1:13">
      <c r="A75" s="1780" t="s">
        <v>622</v>
      </c>
      <c r="B75" s="1813">
        <f>B6-B65</f>
        <v>-5099720716.0400085</v>
      </c>
      <c r="C75" s="1813">
        <f>C6-C65</f>
        <v>713455544.99000549</v>
      </c>
      <c r="D75" s="1819"/>
      <c r="E75" s="1820"/>
      <c r="F75" s="1820"/>
      <c r="G75" s="1820"/>
      <c r="H75" s="1821"/>
      <c r="I75" s="1822"/>
      <c r="J75" s="1822"/>
      <c r="K75" s="1823"/>
      <c r="L75" s="416"/>
    </row>
    <row r="76" spans="1:13" ht="26.4">
      <c r="A76" s="1824" t="s">
        <v>859</v>
      </c>
      <c r="B76" s="1813">
        <f>+B57-B68</f>
        <v>2190078304.2999878</v>
      </c>
      <c r="C76" s="1813">
        <f>+C57-C68</f>
        <v>6281091755.8700027</v>
      </c>
      <c r="D76" s="1819"/>
      <c r="E76" s="1820"/>
      <c r="F76" s="1820"/>
      <c r="G76" s="1820"/>
      <c r="H76" s="1820"/>
      <c r="I76" s="1822"/>
      <c r="J76" s="1822"/>
      <c r="K76" s="1823"/>
      <c r="L76" s="416"/>
    </row>
    <row r="77" spans="1:13">
      <c r="A77" s="1825"/>
      <c r="B77" s="1820"/>
      <c r="C77" s="1820"/>
      <c r="D77" s="1820"/>
      <c r="E77" s="1820"/>
      <c r="F77" s="1820"/>
      <c r="G77" s="1820"/>
      <c r="H77" s="1820"/>
      <c r="I77" s="1822"/>
      <c r="J77" s="1822"/>
      <c r="K77" s="1823"/>
    </row>
    <row r="78" spans="1:13">
      <c r="A78" s="1825"/>
      <c r="B78" s="1820"/>
      <c r="C78" s="1820"/>
      <c r="D78" s="1820"/>
      <c r="E78" s="1820"/>
      <c r="F78" s="1820"/>
      <c r="G78" s="1820"/>
      <c r="H78" s="1820"/>
      <c r="I78" s="1822"/>
      <c r="J78" s="1822"/>
      <c r="K78" s="1823"/>
    </row>
    <row r="79" spans="1:13">
      <c r="A79" s="2286" t="s">
        <v>860</v>
      </c>
      <c r="B79" s="2287" t="s">
        <v>861</v>
      </c>
      <c r="C79" s="2287"/>
      <c r="D79" s="2287" t="s">
        <v>862</v>
      </c>
      <c r="E79" s="2287"/>
      <c r="F79" s="1827" t="s">
        <v>863</v>
      </c>
      <c r="G79" s="1820"/>
      <c r="H79" s="1822"/>
      <c r="I79" s="1822"/>
      <c r="J79" s="1823"/>
      <c r="K79" s="1806"/>
    </row>
    <row r="80" spans="1:13">
      <c r="A80" s="2286"/>
      <c r="B80" s="1828" t="s">
        <v>864</v>
      </c>
      <c r="C80" s="1828" t="s">
        <v>865</v>
      </c>
      <c r="D80" s="1828" t="s">
        <v>864</v>
      </c>
      <c r="E80" s="1828" t="s">
        <v>865</v>
      </c>
      <c r="F80" s="1828" t="s">
        <v>864</v>
      </c>
      <c r="G80" s="1820"/>
      <c r="H80" s="1822"/>
      <c r="I80" s="1822"/>
      <c r="J80" s="1823"/>
      <c r="K80" s="1806"/>
    </row>
    <row r="81" spans="1:12">
      <c r="A81" s="1829" t="s">
        <v>866</v>
      </c>
      <c r="B81" s="1830">
        <f>55</f>
        <v>55</v>
      </c>
      <c r="C81" s="1831">
        <f>155292221.38</f>
        <v>155292221.38</v>
      </c>
      <c r="D81" s="1830">
        <f>661</f>
        <v>661</v>
      </c>
      <c r="E81" s="1831">
        <f>+-5255012937.41999</f>
        <v>-5255012937.4199896</v>
      </c>
      <c r="F81" s="1830">
        <f>2</f>
        <v>2</v>
      </c>
      <c r="G81" s="1820"/>
      <c r="H81" s="1822"/>
      <c r="I81" s="1822"/>
      <c r="J81" s="1823"/>
      <c r="K81" s="1806"/>
    </row>
    <row r="82" spans="1:12">
      <c r="A82" s="1829" t="s">
        <v>867</v>
      </c>
      <c r="B82" s="1830">
        <f>405</f>
        <v>405</v>
      </c>
      <c r="C82" s="1831">
        <f>2232692836.79</f>
        <v>2232692836.79</v>
      </c>
      <c r="D82" s="1830">
        <f>313</f>
        <v>313</v>
      </c>
      <c r="E82" s="1831">
        <f>+-1519237291.8</f>
        <v>-1519237291.8</v>
      </c>
      <c r="F82" s="1830">
        <f>0</f>
        <v>0</v>
      </c>
      <c r="G82" s="1820"/>
      <c r="H82" s="1822"/>
      <c r="I82" s="1822"/>
      <c r="J82" s="1823"/>
      <c r="K82" s="1806"/>
      <c r="L82" s="469"/>
    </row>
    <row r="83" spans="1:12">
      <c r="A83" s="1832"/>
      <c r="B83" s="1832"/>
      <c r="C83" s="1832"/>
      <c r="D83" s="1832"/>
      <c r="E83" s="1832"/>
      <c r="F83" s="1832"/>
      <c r="G83" s="1820"/>
      <c r="H83" s="1822"/>
      <c r="I83" s="1822"/>
      <c r="J83" s="1823"/>
      <c r="K83" s="1806"/>
    </row>
    <row r="84" spans="1:12">
      <c r="A84" s="2286" t="s">
        <v>868</v>
      </c>
      <c r="B84" s="2287" t="s">
        <v>861</v>
      </c>
      <c r="C84" s="2287"/>
      <c r="D84" s="2287" t="s">
        <v>862</v>
      </c>
      <c r="E84" s="2287"/>
      <c r="F84" s="1827" t="s">
        <v>863</v>
      </c>
      <c r="G84" s="1820"/>
      <c r="H84" s="1822"/>
      <c r="I84" s="1822"/>
      <c r="J84" s="1823"/>
      <c r="K84" s="1806"/>
    </row>
    <row r="85" spans="1:12">
      <c r="A85" s="2286"/>
      <c r="B85" s="1828" t="s">
        <v>864</v>
      </c>
      <c r="C85" s="1828" t="s">
        <v>865</v>
      </c>
      <c r="D85" s="1828" t="s">
        <v>864</v>
      </c>
      <c r="E85" s="1828" t="s">
        <v>865</v>
      </c>
      <c r="F85" s="1828" t="s">
        <v>864</v>
      </c>
      <c r="G85" s="1820"/>
      <c r="H85" s="1822"/>
      <c r="I85" s="1822"/>
      <c r="J85" s="1823"/>
      <c r="K85" s="1806"/>
    </row>
    <row r="86" spans="1:12">
      <c r="A86" s="1829" t="s">
        <v>866</v>
      </c>
      <c r="B86" s="1830">
        <f>582</f>
        <v>582</v>
      </c>
      <c r="C86" s="1831">
        <f>2490183022.61</f>
        <v>2490183022.6100001</v>
      </c>
      <c r="D86" s="1830">
        <f>136</f>
        <v>136</v>
      </c>
      <c r="E86" s="1831">
        <f>+-300104718.31</f>
        <v>-300104718.31</v>
      </c>
      <c r="F86" s="1830">
        <f>0</f>
        <v>0</v>
      </c>
      <c r="G86" s="1820"/>
      <c r="H86" s="1822"/>
      <c r="I86" s="1822"/>
      <c r="J86" s="1823"/>
      <c r="K86" s="1806"/>
    </row>
    <row r="87" spans="1:12">
      <c r="A87" s="1829" t="s">
        <v>867</v>
      </c>
      <c r="B87" s="1830">
        <f>701</f>
        <v>701</v>
      </c>
      <c r="C87" s="1831">
        <f>6313155968.27</f>
        <v>6313155968.2700005</v>
      </c>
      <c r="D87" s="1830">
        <f>17</f>
        <v>17</v>
      </c>
      <c r="E87" s="1831">
        <f>+-32064212.4</f>
        <v>-32064212.399999999</v>
      </c>
      <c r="F87" s="1830">
        <f>0</f>
        <v>0</v>
      </c>
      <c r="G87" s="1820"/>
      <c r="H87" s="1822"/>
      <c r="I87" s="1822"/>
      <c r="J87" s="1823"/>
      <c r="K87" s="1806"/>
    </row>
    <row r="88" spans="1:12">
      <c r="A88" s="1825"/>
      <c r="B88" s="1820"/>
      <c r="C88" s="1820"/>
      <c r="D88" s="1820"/>
      <c r="E88" s="1820"/>
      <c r="F88" s="1820"/>
      <c r="G88" s="1820"/>
      <c r="H88" s="1820"/>
      <c r="I88" s="1822"/>
      <c r="J88" s="1822"/>
      <c r="K88" s="1823"/>
    </row>
    <row r="89" spans="1:12">
      <c r="A89" s="1825"/>
      <c r="B89" s="1820"/>
      <c r="C89" s="1820"/>
      <c r="D89" s="1820"/>
      <c r="E89" s="1820"/>
      <c r="F89" s="1820"/>
      <c r="G89" s="1820"/>
      <c r="H89" s="1820"/>
      <c r="I89" s="1822"/>
      <c r="J89" s="1822"/>
      <c r="K89" s="1823"/>
    </row>
    <row r="90" spans="1:12">
      <c r="A90" s="1833" t="s">
        <v>623</v>
      </c>
      <c r="B90" s="1834"/>
      <c r="C90" s="1834"/>
      <c r="D90" s="1834"/>
      <c r="E90" s="1834"/>
      <c r="F90" s="1820"/>
      <c r="G90" s="1820"/>
      <c r="H90" s="1820"/>
      <c r="I90" s="1820"/>
      <c r="J90" s="1822"/>
      <c r="K90" s="1822"/>
    </row>
    <row r="91" spans="1:12" ht="26.4">
      <c r="A91" s="1780" t="s">
        <v>743</v>
      </c>
      <c r="B91" s="1785">
        <f>3996218690.96</f>
        <v>3996218690.96</v>
      </c>
      <c r="C91" s="1785">
        <f>2988208485.78</f>
        <v>2988208485.7800002</v>
      </c>
      <c r="D91" s="1785">
        <f>2990265079.88</f>
        <v>2990265079.8800001</v>
      </c>
      <c r="E91" s="1785">
        <f>38292250.04</f>
        <v>38292250.039999999</v>
      </c>
      <c r="F91" s="1785">
        <f>0</f>
        <v>0</v>
      </c>
      <c r="G91" s="1785">
        <f>0</f>
        <v>0</v>
      </c>
      <c r="H91" s="1785">
        <f>35922791.74</f>
        <v>35922791.740000002</v>
      </c>
      <c r="I91" s="1835">
        <f>IF($C$91=0,"",100*$C91/$C$91)</f>
        <v>100</v>
      </c>
      <c r="J91" s="1835">
        <f>IF(B91=0,"",100*C91/B91)</f>
        <v>74.775899841010741</v>
      </c>
      <c r="K91" s="1823"/>
    </row>
    <row r="92" spans="1:12">
      <c r="A92" s="1836" t="s">
        <v>625</v>
      </c>
      <c r="B92" s="1785">
        <f>3235537628.66</f>
        <v>3235537628.6599998</v>
      </c>
      <c r="C92" s="1785">
        <f>2482219577.89</f>
        <v>2482219577.8899999</v>
      </c>
      <c r="D92" s="1785">
        <f>2483555097.73</f>
        <v>2483555097.73</v>
      </c>
      <c r="E92" s="1785">
        <f>30478378.32</f>
        <v>30478378.32</v>
      </c>
      <c r="F92" s="1785">
        <f>0</f>
        <v>0</v>
      </c>
      <c r="G92" s="1785">
        <f>0</f>
        <v>0</v>
      </c>
      <c r="H92" s="1785">
        <f>35030187.65</f>
        <v>35030187.649999999</v>
      </c>
      <c r="I92" s="1835">
        <f>IF($C$91=0,"",100*$C92/$C$91)</f>
        <v>83.067148416924326</v>
      </c>
      <c r="J92" s="1835">
        <f>IF(B92=0,"",100*C92/B92)</f>
        <v>76.717376299468754</v>
      </c>
      <c r="K92" s="1823"/>
    </row>
    <row r="93" spans="1:12">
      <c r="A93" s="1837" t="s">
        <v>626</v>
      </c>
      <c r="B93" s="1785">
        <f>+B91-B92</f>
        <v>760681062.30000019</v>
      </c>
      <c r="C93" s="1785">
        <f t="shared" ref="C93:H93" si="10">+C91-C92</f>
        <v>505988907.89000034</v>
      </c>
      <c r="D93" s="1785">
        <f t="shared" si="10"/>
        <v>506709982.1500001</v>
      </c>
      <c r="E93" s="1785">
        <f t="shared" si="10"/>
        <v>7813871.7199999988</v>
      </c>
      <c r="F93" s="1785">
        <f t="shared" si="10"/>
        <v>0</v>
      </c>
      <c r="G93" s="1785">
        <f t="shared" si="10"/>
        <v>0</v>
      </c>
      <c r="H93" s="1785">
        <f t="shared" si="10"/>
        <v>892604.09000000358</v>
      </c>
      <c r="I93" s="1835">
        <f>IF($C$91=0,"",100*$C93/$C$91)</f>
        <v>16.932851583075671</v>
      </c>
      <c r="J93" s="1835">
        <f>IF(B93=0,"",100*C93/B93)</f>
        <v>66.517878907105825</v>
      </c>
      <c r="K93" s="1806"/>
    </row>
    <row r="94" spans="1:12">
      <c r="A94" s="1806"/>
      <c r="B94" s="1806"/>
      <c r="C94" s="1806"/>
      <c r="D94" s="1806"/>
      <c r="E94" s="1806"/>
      <c r="F94" s="1806"/>
      <c r="G94" s="1806"/>
      <c r="H94" s="1806"/>
      <c r="I94" s="1806"/>
      <c r="J94" s="1806"/>
      <c r="K94" s="1806"/>
    </row>
    <row r="95" spans="1:12">
      <c r="A95" s="1838" t="s">
        <v>1</v>
      </c>
      <c r="B95" s="1839" t="s">
        <v>627</v>
      </c>
      <c r="C95" s="1839" t="s">
        <v>628</v>
      </c>
      <c r="D95" s="2274" t="s">
        <v>597</v>
      </c>
      <c r="E95" s="2275"/>
      <c r="F95" s="2275"/>
      <c r="G95" s="2275"/>
      <c r="H95" s="2276"/>
      <c r="I95" s="1779" t="s">
        <v>5</v>
      </c>
      <c r="J95" s="1779" t="s">
        <v>4</v>
      </c>
      <c r="K95" s="1806"/>
    </row>
    <row r="96" spans="1:12" ht="14.4">
      <c r="A96" s="1838"/>
      <c r="B96" s="2283" t="s">
        <v>163</v>
      </c>
      <c r="C96" s="2284"/>
      <c r="D96" s="2277"/>
      <c r="E96" s="2278"/>
      <c r="F96" s="2278"/>
      <c r="G96" s="2278"/>
      <c r="H96" s="2279"/>
      <c r="I96" s="2283" t="s">
        <v>169</v>
      </c>
      <c r="J96" s="2285"/>
      <c r="K96" s="1806"/>
    </row>
    <row r="97" spans="1:11">
      <c r="A97" s="1809">
        <v>1</v>
      </c>
      <c r="B97" s="1840">
        <v>2</v>
      </c>
      <c r="C97" s="1840">
        <v>3</v>
      </c>
      <c r="D97" s="2280"/>
      <c r="E97" s="2281"/>
      <c r="F97" s="2281"/>
      <c r="G97" s="2281"/>
      <c r="H97" s="2282"/>
      <c r="I97" s="1841">
        <v>4</v>
      </c>
      <c r="J97" s="1841">
        <v>5</v>
      </c>
      <c r="K97" s="1806"/>
    </row>
    <row r="98" spans="1:11" ht="26.4">
      <c r="A98" s="1842" t="s">
        <v>629</v>
      </c>
      <c r="B98" s="1843">
        <f>7832224327.49</f>
        <v>7832224327.4899998</v>
      </c>
      <c r="C98" s="1843">
        <f>11804846415.18</f>
        <v>11804846415.18</v>
      </c>
      <c r="D98" s="1843" t="s">
        <v>597</v>
      </c>
      <c r="E98" s="1843" t="s">
        <v>597</v>
      </c>
      <c r="F98" s="1843" t="s">
        <v>597</v>
      </c>
      <c r="G98" s="1843" t="s">
        <v>597</v>
      </c>
      <c r="H98" s="1843" t="s">
        <v>597</v>
      </c>
      <c r="I98" s="1775">
        <f t="shared" ref="I98:I108" si="11">IF($C$98=0,"",100*$C98/$C$98)</f>
        <v>100</v>
      </c>
      <c r="J98" s="1812">
        <f t="shared" ref="J98:J113" si="12">IF(B98=0,"",100*C98/B98)</f>
        <v>150.72150543169019</v>
      </c>
      <c r="K98" s="1806"/>
    </row>
    <row r="99" spans="1:11" ht="30.6">
      <c r="A99" s="1844" t="s">
        <v>744</v>
      </c>
      <c r="B99" s="1845">
        <f>3603803227.37</f>
        <v>3603803227.3699999</v>
      </c>
      <c r="C99" s="1845">
        <f>2824590731.75</f>
        <v>2824590731.75</v>
      </c>
      <c r="D99" s="1843" t="s">
        <v>597</v>
      </c>
      <c r="E99" s="1843" t="s">
        <v>597</v>
      </c>
      <c r="F99" s="1843" t="s">
        <v>597</v>
      </c>
      <c r="G99" s="1843" t="s">
        <v>597</v>
      </c>
      <c r="H99" s="1843" t="s">
        <v>597</v>
      </c>
      <c r="I99" s="1775">
        <f t="shared" si="11"/>
        <v>23.927382300525515</v>
      </c>
      <c r="J99" s="1812">
        <f t="shared" si="12"/>
        <v>78.378051007278302</v>
      </c>
      <c r="K99" s="1806"/>
    </row>
    <row r="100" spans="1:11">
      <c r="A100" s="1846" t="s">
        <v>631</v>
      </c>
      <c r="B100" s="1845">
        <f>163052884.27</f>
        <v>163052884.27000001</v>
      </c>
      <c r="C100" s="1845">
        <f>133475000</f>
        <v>133475000</v>
      </c>
      <c r="D100" s="1843" t="s">
        <v>597</v>
      </c>
      <c r="E100" s="1843" t="s">
        <v>597</v>
      </c>
      <c r="F100" s="1843" t="s">
        <v>597</v>
      </c>
      <c r="G100" s="1843" t="s">
        <v>597</v>
      </c>
      <c r="H100" s="1843" t="s">
        <v>597</v>
      </c>
      <c r="I100" s="1775">
        <f t="shared" si="11"/>
        <v>1.1306796827814958</v>
      </c>
      <c r="J100" s="1812">
        <f t="shared" si="12"/>
        <v>81.859944150989776</v>
      </c>
      <c r="K100" s="1806"/>
    </row>
    <row r="101" spans="1:11">
      <c r="A101" s="1844" t="s">
        <v>632</v>
      </c>
      <c r="B101" s="1845">
        <f>42204319</f>
        <v>42204319</v>
      </c>
      <c r="C101" s="1845">
        <f>38166730.83</f>
        <v>38166730.829999998</v>
      </c>
      <c r="D101" s="1843" t="s">
        <v>597</v>
      </c>
      <c r="E101" s="1843" t="s">
        <v>597</v>
      </c>
      <c r="F101" s="1843" t="s">
        <v>597</v>
      </c>
      <c r="G101" s="1843" t="s">
        <v>597</v>
      </c>
      <c r="H101" s="1843" t="s">
        <v>597</v>
      </c>
      <c r="I101" s="1775">
        <f t="shared" si="11"/>
        <v>0.32331408209530726</v>
      </c>
      <c r="J101" s="1812">
        <f t="shared" si="12"/>
        <v>90.433234641222384</v>
      </c>
      <c r="K101" s="1806"/>
    </row>
    <row r="102" spans="1:11" ht="40.799999999999997">
      <c r="A102" s="1844" t="s">
        <v>633</v>
      </c>
      <c r="B102" s="1845">
        <f>778937391.55</f>
        <v>778937391.54999995</v>
      </c>
      <c r="C102" s="1845">
        <f>1760672675.79</f>
        <v>1760672675.79</v>
      </c>
      <c r="D102" s="1843" t="s">
        <v>597</v>
      </c>
      <c r="E102" s="1843" t="s">
        <v>597</v>
      </c>
      <c r="F102" s="1843" t="s">
        <v>597</v>
      </c>
      <c r="G102" s="1843" t="s">
        <v>597</v>
      </c>
      <c r="H102" s="1843" t="s">
        <v>597</v>
      </c>
      <c r="I102" s="1775">
        <f t="shared" si="11"/>
        <v>14.914829163096345</v>
      </c>
      <c r="J102" s="1812">
        <f t="shared" si="12"/>
        <v>226.03519806469356</v>
      </c>
      <c r="K102" s="1806"/>
    </row>
    <row r="103" spans="1:11" ht="30.6">
      <c r="A103" s="1844" t="s">
        <v>745</v>
      </c>
      <c r="B103" s="1845">
        <f>785419428.05</f>
        <v>785419428.04999995</v>
      </c>
      <c r="C103" s="1845">
        <f>906364596.56</f>
        <v>906364596.55999994</v>
      </c>
      <c r="D103" s="1843" t="s">
        <v>597</v>
      </c>
      <c r="E103" s="1843" t="s">
        <v>597</v>
      </c>
      <c r="F103" s="1843" t="s">
        <v>597</v>
      </c>
      <c r="G103" s="1843" t="s">
        <v>597</v>
      </c>
      <c r="H103" s="1843" t="s">
        <v>597</v>
      </c>
      <c r="I103" s="1775">
        <f t="shared" si="11"/>
        <v>7.6779024875282946</v>
      </c>
      <c r="J103" s="1812">
        <f t="shared" si="12"/>
        <v>115.39880020669678</v>
      </c>
      <c r="K103" s="1806"/>
    </row>
    <row r="104" spans="1:11">
      <c r="A104" s="1844" t="s">
        <v>635</v>
      </c>
      <c r="B104" s="1845">
        <f>0</f>
        <v>0</v>
      </c>
      <c r="C104" s="1845">
        <f>0</f>
        <v>0</v>
      </c>
      <c r="D104" s="1843" t="s">
        <v>597</v>
      </c>
      <c r="E104" s="1843" t="s">
        <v>597</v>
      </c>
      <c r="F104" s="1843" t="s">
        <v>597</v>
      </c>
      <c r="G104" s="1843" t="s">
        <v>597</v>
      </c>
      <c r="H104" s="1843" t="s">
        <v>597</v>
      </c>
      <c r="I104" s="1775">
        <f t="shared" si="11"/>
        <v>0</v>
      </c>
      <c r="J104" s="1812" t="str">
        <f t="shared" si="12"/>
        <v/>
      </c>
      <c r="K104" s="1806"/>
    </row>
    <row r="105" spans="1:11" ht="30.6">
      <c r="A105" s="1844" t="s">
        <v>746</v>
      </c>
      <c r="B105" s="1845">
        <f>2419982097.64</f>
        <v>2419982097.6399999</v>
      </c>
      <c r="C105" s="1845">
        <f>6064441479.18</f>
        <v>6064441479.1800003</v>
      </c>
      <c r="D105" s="1843" t="s">
        <v>597</v>
      </c>
      <c r="E105" s="1843" t="s">
        <v>597</v>
      </c>
      <c r="F105" s="1843" t="s">
        <v>597</v>
      </c>
      <c r="G105" s="1843" t="s">
        <v>597</v>
      </c>
      <c r="H105" s="1843" t="s">
        <v>597</v>
      </c>
      <c r="I105" s="1775">
        <f t="shared" si="11"/>
        <v>51.372472507407281</v>
      </c>
      <c r="J105" s="1812">
        <f t="shared" si="12"/>
        <v>250.59860918368477</v>
      </c>
      <c r="K105" s="1806"/>
    </row>
    <row r="106" spans="1:11" ht="51">
      <c r="A106" s="1844" t="s">
        <v>747</v>
      </c>
      <c r="B106" s="1845">
        <f>0</f>
        <v>0</v>
      </c>
      <c r="C106" s="1845">
        <f>0</f>
        <v>0</v>
      </c>
      <c r="D106" s="1843" t="s">
        <v>597</v>
      </c>
      <c r="E106" s="1843" t="s">
        <v>597</v>
      </c>
      <c r="F106" s="1843" t="s">
        <v>597</v>
      </c>
      <c r="G106" s="1843" t="s">
        <v>597</v>
      </c>
      <c r="H106" s="1843" t="s">
        <v>597</v>
      </c>
      <c r="I106" s="1775"/>
      <c r="J106" s="1812"/>
      <c r="K106" s="1806"/>
    </row>
    <row r="107" spans="1:11">
      <c r="A107" s="1844" t="s">
        <v>638</v>
      </c>
      <c r="B107" s="1845">
        <f>201877863.88</f>
        <v>201877863.88</v>
      </c>
      <c r="C107" s="1845">
        <f>210610201.07</f>
        <v>210610201.06999999</v>
      </c>
      <c r="D107" s="1843" t="s">
        <v>597</v>
      </c>
      <c r="E107" s="1843" t="s">
        <v>597</v>
      </c>
      <c r="F107" s="1843" t="s">
        <v>597</v>
      </c>
      <c r="G107" s="1843" t="s">
        <v>597</v>
      </c>
      <c r="H107" s="1843" t="s">
        <v>597</v>
      </c>
      <c r="I107" s="1775"/>
      <c r="J107" s="1812"/>
      <c r="K107" s="1806"/>
    </row>
    <row r="108" spans="1:11" ht="20.399999999999999">
      <c r="A108" s="1846" t="s">
        <v>639</v>
      </c>
      <c r="B108" s="1845">
        <f>198507863.88</f>
        <v>198507863.88</v>
      </c>
      <c r="C108" s="1845">
        <f>207721226.11</f>
        <v>207721226.11000001</v>
      </c>
      <c r="D108" s="1843" t="s">
        <v>597</v>
      </c>
      <c r="E108" s="1843" t="s">
        <v>597</v>
      </c>
      <c r="F108" s="1843" t="s">
        <v>597</v>
      </c>
      <c r="G108" s="1843" t="s">
        <v>597</v>
      </c>
      <c r="H108" s="1843" t="s">
        <v>597</v>
      </c>
      <c r="I108" s="1775">
        <f t="shared" si="11"/>
        <v>1.7596266719987874</v>
      </c>
      <c r="J108" s="1812">
        <f t="shared" si="12"/>
        <v>104.64130843479812</v>
      </c>
      <c r="K108" s="1806"/>
    </row>
    <row r="109" spans="1:11" ht="26.4">
      <c r="A109" s="1842" t="s">
        <v>640</v>
      </c>
      <c r="B109" s="1843">
        <f>2729842974.12</f>
        <v>2729842974.1199999</v>
      </c>
      <c r="C109" s="1843">
        <f>2616502057.74</f>
        <v>2616502057.7399998</v>
      </c>
      <c r="D109" s="1843" t="s">
        <v>597</v>
      </c>
      <c r="E109" s="1843" t="s">
        <v>597</v>
      </c>
      <c r="F109" s="1843" t="s">
        <v>597</v>
      </c>
      <c r="G109" s="1843" t="s">
        <v>597</v>
      </c>
      <c r="H109" s="1843" t="s">
        <v>597</v>
      </c>
      <c r="I109" s="1775">
        <f t="shared" ref="I109:I114" si="13">IF($C$109=0,"",100*$C109/$C$109)</f>
        <v>100</v>
      </c>
      <c r="J109" s="1812">
        <f t="shared" si="12"/>
        <v>95.848079268495766</v>
      </c>
      <c r="K109" s="1806"/>
    </row>
    <row r="110" spans="1:11" ht="30.6">
      <c r="A110" s="1844" t="s">
        <v>748</v>
      </c>
      <c r="B110" s="1845">
        <f>2342242928.4</f>
        <v>2342242928.4000001</v>
      </c>
      <c r="C110" s="1845">
        <f>2274312872.2</f>
        <v>2274312872.1999998</v>
      </c>
      <c r="D110" s="1843" t="s">
        <v>597</v>
      </c>
      <c r="E110" s="1843" t="s">
        <v>597</v>
      </c>
      <c r="F110" s="1843" t="s">
        <v>597</v>
      </c>
      <c r="G110" s="1843" t="s">
        <v>597</v>
      </c>
      <c r="H110" s="1843" t="s">
        <v>597</v>
      </c>
      <c r="I110" s="1775">
        <f t="shared" si="13"/>
        <v>86.921883568646393</v>
      </c>
      <c r="J110" s="1812">
        <f t="shared" si="12"/>
        <v>97.099786047965409</v>
      </c>
      <c r="K110" s="1806"/>
    </row>
    <row r="111" spans="1:11">
      <c r="A111" s="1846" t="s">
        <v>642</v>
      </c>
      <c r="B111" s="1845">
        <f>70940843.28</f>
        <v>70940843.280000001</v>
      </c>
      <c r="C111" s="1845">
        <f>70940840.28</f>
        <v>70940840.280000001</v>
      </c>
      <c r="D111" s="1843" t="s">
        <v>597</v>
      </c>
      <c r="E111" s="1843" t="s">
        <v>597</v>
      </c>
      <c r="F111" s="1843" t="s">
        <v>597</v>
      </c>
      <c r="G111" s="1843" t="s">
        <v>597</v>
      </c>
      <c r="H111" s="1843" t="s">
        <v>597</v>
      </c>
      <c r="I111" s="1775">
        <f t="shared" si="13"/>
        <v>2.7112854763536878</v>
      </c>
      <c r="J111" s="1812">
        <f t="shared" si="12"/>
        <v>99.999995771124418</v>
      </c>
      <c r="K111" s="1806"/>
    </row>
    <row r="112" spans="1:11">
      <c r="A112" s="1844" t="s">
        <v>643</v>
      </c>
      <c r="B112" s="1845">
        <f>40867259.31</f>
        <v>40867259.310000002</v>
      </c>
      <c r="C112" s="1845">
        <f>36570846.9</f>
        <v>36570846.899999999</v>
      </c>
      <c r="D112" s="1843" t="s">
        <v>597</v>
      </c>
      <c r="E112" s="1843" t="s">
        <v>597</v>
      </c>
      <c r="F112" s="1843" t="s">
        <v>597</v>
      </c>
      <c r="G112" s="1843" t="s">
        <v>597</v>
      </c>
      <c r="H112" s="1843" t="s">
        <v>597</v>
      </c>
      <c r="I112" s="1775">
        <f t="shared" si="13"/>
        <v>1.3976999097638021</v>
      </c>
      <c r="J112" s="1812">
        <f t="shared" si="12"/>
        <v>89.486908389404292</v>
      </c>
      <c r="K112" s="1806"/>
    </row>
    <row r="113" spans="1:11">
      <c r="A113" s="1844" t="s">
        <v>644</v>
      </c>
      <c r="B113" s="1845">
        <f>346732786.41</f>
        <v>346732786.41000003</v>
      </c>
      <c r="C113" s="1845">
        <f>305618338.64</f>
        <v>305618338.63999999</v>
      </c>
      <c r="D113" s="1843" t="s">
        <v>597</v>
      </c>
      <c r="E113" s="1843" t="s">
        <v>597</v>
      </c>
      <c r="F113" s="1843" t="s">
        <v>597</v>
      </c>
      <c r="G113" s="1843" t="s">
        <v>597</v>
      </c>
      <c r="H113" s="1843" t="s">
        <v>597</v>
      </c>
      <c r="I113" s="1775">
        <f t="shared" si="13"/>
        <v>11.6804165215898</v>
      </c>
      <c r="J113" s="1812">
        <f t="shared" si="12"/>
        <v>88.142324758010176</v>
      </c>
      <c r="K113" s="1806"/>
    </row>
    <row r="114" spans="1:11" ht="20.399999999999999">
      <c r="A114" s="1846" t="s">
        <v>645</v>
      </c>
      <c r="B114" s="1845">
        <f>321269894.17</f>
        <v>321269894.17000002</v>
      </c>
      <c r="C114" s="1845">
        <f>296531611.16</f>
        <v>296531611.16000003</v>
      </c>
      <c r="D114" s="1843" t="s">
        <v>597</v>
      </c>
      <c r="E114" s="1843" t="s">
        <v>597</v>
      </c>
      <c r="F114" s="1843" t="s">
        <v>597</v>
      </c>
      <c r="G114" s="1843" t="s">
        <v>597</v>
      </c>
      <c r="H114" s="1843" t="s">
        <v>597</v>
      </c>
      <c r="I114" s="1775">
        <f t="shared" si="13"/>
        <v>11.333131204036921</v>
      </c>
      <c r="J114" s="1812">
        <f>IF(B114=0,"",100*C114/B114)</f>
        <v>92.299844006886715</v>
      </c>
      <c r="K114" s="1806"/>
    </row>
    <row r="115" spans="1:11">
      <c r="A115" s="1806"/>
      <c r="B115" s="1806"/>
      <c r="C115" s="1806"/>
      <c r="D115" s="1806"/>
      <c r="E115" s="1806"/>
      <c r="F115" s="1806"/>
      <c r="G115" s="1806"/>
      <c r="H115" s="1806"/>
      <c r="I115" s="1806"/>
      <c r="J115" s="1806"/>
      <c r="K115" s="1806"/>
    </row>
    <row r="116" spans="1:11">
      <c r="A116" s="1838" t="s">
        <v>1</v>
      </c>
      <c r="B116" s="1839" t="s">
        <v>627</v>
      </c>
      <c r="C116" s="1779" t="s">
        <v>628</v>
      </c>
      <c r="D116" s="1806"/>
      <c r="E116" s="1806"/>
      <c r="F116" s="1806"/>
      <c r="G116" s="1806"/>
      <c r="H116" s="1806"/>
      <c r="I116" s="1806"/>
      <c r="J116" s="1806"/>
      <c r="K116" s="1806"/>
    </row>
    <row r="117" spans="1:11">
      <c r="A117" s="1838"/>
      <c r="B117" s="2283" t="s">
        <v>163</v>
      </c>
      <c r="C117" s="2284"/>
      <c r="D117" s="1806"/>
      <c r="E117" s="1806"/>
      <c r="F117" s="1806"/>
      <c r="G117" s="1806"/>
      <c r="H117" s="1806"/>
      <c r="I117" s="1806"/>
      <c r="J117" s="1806"/>
      <c r="K117" s="1806"/>
    </row>
    <row r="118" spans="1:11">
      <c r="A118" s="1809">
        <v>1</v>
      </c>
      <c r="B118" s="1840">
        <v>2</v>
      </c>
      <c r="C118" s="1841">
        <v>3</v>
      </c>
      <c r="D118" s="1806"/>
      <c r="E118" s="1806"/>
      <c r="F118" s="1806"/>
      <c r="G118" s="1806"/>
      <c r="H118" s="1806"/>
      <c r="I118" s="1806"/>
      <c r="J118" s="1806"/>
      <c r="K118" s="1806"/>
    </row>
    <row r="119" spans="1:11" ht="30.6">
      <c r="A119" s="1847" t="s">
        <v>646</v>
      </c>
      <c r="B119" s="1845">
        <f>5257240332.42</f>
        <v>5257240332.4200001</v>
      </c>
      <c r="C119" s="1787">
        <f>1515696312.41</f>
        <v>1515696312.4100001</v>
      </c>
      <c r="D119" s="1806"/>
      <c r="E119" s="1806"/>
      <c r="F119" s="1806"/>
      <c r="G119" s="1806"/>
      <c r="H119" s="1806"/>
      <c r="I119" s="1806"/>
      <c r="J119" s="1806"/>
      <c r="K119" s="1806"/>
    </row>
    <row r="120" spans="1:11" ht="30.6">
      <c r="A120" s="1848" t="s">
        <v>647</v>
      </c>
      <c r="B120" s="1845">
        <f>139768593.06</f>
        <v>139768593.06</v>
      </c>
      <c r="C120" s="1787">
        <f>59375415.71</f>
        <v>59375415.710000001</v>
      </c>
      <c r="D120" s="1806"/>
      <c r="E120" s="1806"/>
      <c r="F120" s="1806"/>
      <c r="G120" s="1806"/>
      <c r="H120" s="1806"/>
      <c r="I120" s="1806"/>
      <c r="J120" s="1806"/>
      <c r="K120" s="1806"/>
    </row>
    <row r="121" spans="1:11">
      <c r="A121" s="1848" t="s">
        <v>648</v>
      </c>
      <c r="B121" s="1845">
        <f>2011829461.22</f>
        <v>2011829461.22</v>
      </c>
      <c r="C121" s="1787">
        <f>701252255.04</f>
        <v>701252255.03999996</v>
      </c>
      <c r="D121" s="1806"/>
      <c r="E121" s="1806"/>
      <c r="F121" s="1806"/>
      <c r="G121" s="1806"/>
      <c r="H121" s="1806"/>
      <c r="I121" s="1806"/>
      <c r="J121" s="1806"/>
      <c r="K121" s="1806"/>
    </row>
    <row r="122" spans="1:11" ht="20.399999999999999">
      <c r="A122" s="1848" t="s">
        <v>649</v>
      </c>
      <c r="B122" s="1845">
        <f>0</f>
        <v>0</v>
      </c>
      <c r="C122" s="1787">
        <f>0</f>
        <v>0</v>
      </c>
      <c r="D122" s="1806"/>
      <c r="E122" s="1806"/>
      <c r="F122" s="1806"/>
      <c r="G122" s="1806"/>
      <c r="H122" s="1806"/>
      <c r="I122" s="1806"/>
      <c r="J122" s="1806"/>
      <c r="K122" s="1806"/>
    </row>
    <row r="123" spans="1:11" ht="51">
      <c r="A123" s="1848" t="s">
        <v>650</v>
      </c>
      <c r="B123" s="1845">
        <f>633992039.11</f>
        <v>633992039.11000001</v>
      </c>
      <c r="C123" s="1787">
        <f>98654039.35</f>
        <v>98654039.349999994</v>
      </c>
      <c r="D123" s="1806"/>
      <c r="E123" s="1806"/>
      <c r="F123" s="1806"/>
      <c r="G123" s="1806"/>
      <c r="H123" s="1806"/>
      <c r="I123" s="1806"/>
      <c r="J123" s="1806"/>
      <c r="K123" s="1806"/>
    </row>
    <row r="124" spans="1:11" ht="61.2">
      <c r="A124" s="1848" t="s">
        <v>651</v>
      </c>
      <c r="B124" s="1845">
        <f>1674577565.54</f>
        <v>1674577565.54</v>
      </c>
      <c r="C124" s="1787">
        <f>339197011.93</f>
        <v>339197011.93000001</v>
      </c>
      <c r="D124" s="1806"/>
      <c r="E124" s="1806"/>
      <c r="F124" s="1806"/>
      <c r="G124" s="1806"/>
      <c r="H124" s="1806"/>
      <c r="I124" s="1806"/>
      <c r="J124" s="1806"/>
      <c r="K124" s="1806"/>
    </row>
    <row r="125" spans="1:11" ht="112.2">
      <c r="A125" s="1848" t="s">
        <v>652</v>
      </c>
      <c r="B125" s="1845">
        <f>689885757.95</f>
        <v>689885757.95000005</v>
      </c>
      <c r="C125" s="1787">
        <f>272733655.83</f>
        <v>272733655.82999998</v>
      </c>
      <c r="D125" s="1806"/>
      <c r="E125" s="1806"/>
      <c r="F125" s="1806"/>
      <c r="G125" s="1806"/>
      <c r="H125" s="1806"/>
      <c r="I125" s="1806"/>
      <c r="J125" s="1806"/>
      <c r="K125" s="1806"/>
    </row>
    <row r="126" spans="1:11" ht="20.399999999999999">
      <c r="A126" s="1848" t="s">
        <v>653</v>
      </c>
      <c r="B126" s="1845">
        <f>13634084.71</f>
        <v>13634084.710000001</v>
      </c>
      <c r="C126" s="1787">
        <f>2395917.78</f>
        <v>2395917.7799999998</v>
      </c>
      <c r="D126" s="1806"/>
      <c r="E126" s="1806"/>
      <c r="F126" s="1806"/>
      <c r="G126" s="1806"/>
      <c r="H126" s="1806"/>
      <c r="I126" s="1806"/>
      <c r="J126" s="1806"/>
      <c r="K126" s="1806"/>
    </row>
    <row r="127" spans="1:11" ht="20.399999999999999">
      <c r="A127" s="1848" t="s">
        <v>639</v>
      </c>
      <c r="B127" s="1845">
        <f>93552830.83</f>
        <v>93552830.829999998</v>
      </c>
      <c r="C127" s="1787">
        <f>42088016.77</f>
        <v>42088016.770000003</v>
      </c>
      <c r="D127" s="1806"/>
      <c r="E127" s="1806"/>
      <c r="F127" s="1806"/>
      <c r="G127" s="1806"/>
      <c r="H127" s="1806"/>
      <c r="I127" s="1806"/>
      <c r="J127" s="1806"/>
      <c r="K127" s="1806"/>
    </row>
    <row r="129" spans="1:4">
      <c r="A129" s="2255" t="s">
        <v>884</v>
      </c>
      <c r="B129" s="2255"/>
      <c r="C129" s="2255"/>
      <c r="D129" s="2255"/>
    </row>
  </sheetData>
  <mergeCells count="26">
    <mergeCell ref="I96:J96"/>
    <mergeCell ref="A3:A4"/>
    <mergeCell ref="B4:H4"/>
    <mergeCell ref="I4:K4"/>
    <mergeCell ref="A60:A63"/>
    <mergeCell ref="I60:I62"/>
    <mergeCell ref="J60:J62"/>
    <mergeCell ref="E61:E62"/>
    <mergeCell ref="F61:G61"/>
    <mergeCell ref="B63:H63"/>
    <mergeCell ref="I63:J63"/>
    <mergeCell ref="B60:B62"/>
    <mergeCell ref="C60:C62"/>
    <mergeCell ref="D60:D62"/>
    <mergeCell ref="E60:G60"/>
    <mergeCell ref="H60:H62"/>
    <mergeCell ref="B117:C117"/>
    <mergeCell ref="A129:D129"/>
    <mergeCell ref="A79:A80"/>
    <mergeCell ref="B79:C79"/>
    <mergeCell ref="D79:E79"/>
    <mergeCell ref="A84:A85"/>
    <mergeCell ref="B84:C84"/>
    <mergeCell ref="D84:E84"/>
    <mergeCell ref="D95:H97"/>
    <mergeCell ref="B96:C9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3" manualBreakCount="3">
    <brk id="59" max="10" man="1"/>
    <brk id="89" max="10" man="1"/>
    <brk id="115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09EF-BE3C-48B1-85FC-6DF5BF69236F}">
  <dimension ref="A1:Q66"/>
  <sheetViews>
    <sheetView view="pageBreakPreview" topLeftCell="A34" zoomScaleNormal="100" zoomScaleSheetLayoutView="100" workbookViewId="0">
      <selection activeCell="A49" sqref="A49"/>
    </sheetView>
  </sheetViews>
  <sheetFormatPr defaultColWidth="9.21875" defaultRowHeight="13.8"/>
  <cols>
    <col min="1" max="1" width="28.77734375" style="431" customWidth="1"/>
    <col min="2" max="2" width="12.77734375" style="431" customWidth="1"/>
    <col min="3" max="3" width="12.44140625" style="431" customWidth="1"/>
    <col min="4" max="4" width="11.77734375" style="431" customWidth="1"/>
    <col min="5" max="7" width="10.21875" style="431" bestFit="1" customWidth="1"/>
    <col min="8" max="8" width="8.77734375" style="431" bestFit="1" customWidth="1"/>
    <col min="9" max="9" width="10" style="431" customWidth="1"/>
    <col min="10" max="10" width="12" style="431" bestFit="1" customWidth="1"/>
    <col min="11" max="12" width="10.21875" style="431" bestFit="1" customWidth="1"/>
    <col min="13" max="14" width="11.21875" style="431" bestFit="1" customWidth="1"/>
    <col min="15" max="17" width="8.77734375" style="431" bestFit="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432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432"/>
      <c r="O2" s="432"/>
      <c r="P2" s="432"/>
      <c r="Q2" s="432"/>
    </row>
    <row r="3" spans="1:17">
      <c r="A3" s="2326" t="s">
        <v>1</v>
      </c>
      <c r="B3" s="2329" t="s">
        <v>655</v>
      </c>
      <c r="C3" s="2322" t="s">
        <v>656</v>
      </c>
      <c r="D3" s="2323"/>
      <c r="E3" s="2323"/>
      <c r="F3" s="2323"/>
      <c r="G3" s="2323"/>
      <c r="H3" s="2323"/>
      <c r="I3" s="2323"/>
      <c r="J3" s="2323"/>
      <c r="K3" s="2323"/>
      <c r="L3" s="2323"/>
      <c r="M3" s="2323"/>
      <c r="N3" s="2324"/>
      <c r="O3" s="2344" t="s">
        <v>657</v>
      </c>
      <c r="P3" s="2345"/>
      <c r="Q3" s="2346"/>
    </row>
    <row r="4" spans="1:17">
      <c r="A4" s="2327"/>
      <c r="B4" s="2330"/>
      <c r="C4" s="2331" t="s">
        <v>658</v>
      </c>
      <c r="D4" s="2331" t="s">
        <v>659</v>
      </c>
      <c r="E4" s="2331" t="s">
        <v>660</v>
      </c>
      <c r="F4" s="2331" t="s">
        <v>661</v>
      </c>
      <c r="G4" s="2331" t="s">
        <v>662</v>
      </c>
      <c r="H4" s="2331" t="s">
        <v>663</v>
      </c>
      <c r="I4" s="2347" t="s">
        <v>664</v>
      </c>
      <c r="J4" s="2331" t="s">
        <v>665</v>
      </c>
      <c r="K4" s="2331" t="s">
        <v>666</v>
      </c>
      <c r="L4" s="2331" t="s">
        <v>667</v>
      </c>
      <c r="M4" s="2331" t="s">
        <v>668</v>
      </c>
      <c r="N4" s="233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27"/>
      <c r="B5" s="2330"/>
      <c r="C5" s="2325"/>
      <c r="D5" s="2325"/>
      <c r="E5" s="2325"/>
      <c r="F5" s="2325"/>
      <c r="G5" s="2325"/>
      <c r="H5" s="2325"/>
      <c r="I5" s="2347"/>
      <c r="J5" s="2325"/>
      <c r="K5" s="2325"/>
      <c r="L5" s="2325"/>
      <c r="M5" s="2325"/>
      <c r="N5" s="2330"/>
      <c r="O5" s="2338"/>
      <c r="P5" s="2338"/>
      <c r="Q5" s="2338"/>
    </row>
    <row r="6" spans="1:17" ht="24" customHeight="1">
      <c r="A6" s="2327"/>
      <c r="B6" s="2330"/>
      <c r="C6" s="2325"/>
      <c r="D6" s="2325"/>
      <c r="E6" s="2325"/>
      <c r="F6" s="2325"/>
      <c r="G6" s="2325"/>
      <c r="H6" s="2325"/>
      <c r="I6" s="2347"/>
      <c r="J6" s="2325"/>
      <c r="K6" s="2325"/>
      <c r="L6" s="2325"/>
      <c r="M6" s="2325"/>
      <c r="N6" s="2330"/>
      <c r="O6" s="2338"/>
      <c r="P6" s="2338"/>
      <c r="Q6" s="2338"/>
    </row>
    <row r="7" spans="1:17" ht="24" customHeight="1">
      <c r="A7" s="2328"/>
      <c r="B7" s="2331"/>
      <c r="C7" s="2325"/>
      <c r="D7" s="2325"/>
      <c r="E7" s="2325"/>
      <c r="F7" s="2325"/>
      <c r="G7" s="2325"/>
      <c r="H7" s="2325"/>
      <c r="I7" s="2348"/>
      <c r="J7" s="2325"/>
      <c r="K7" s="2325"/>
      <c r="L7" s="2325"/>
      <c r="M7" s="2325"/>
      <c r="N7" s="233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 ht="14.4">
      <c r="A9" s="2072"/>
      <c r="B9" s="2342" t="s">
        <v>163</v>
      </c>
      <c r="C9" s="2343"/>
      <c r="D9" s="2343"/>
      <c r="E9" s="2343"/>
      <c r="F9" s="2343"/>
      <c r="G9" s="2343"/>
      <c r="H9" s="2343"/>
      <c r="I9" s="2343"/>
      <c r="J9" s="2343"/>
      <c r="K9" s="2343"/>
      <c r="L9" s="2343"/>
      <c r="M9" s="2343"/>
      <c r="N9" s="2343"/>
      <c r="O9" s="2305"/>
      <c r="P9" s="2305"/>
      <c r="Q9" s="2285"/>
    </row>
    <row r="10" spans="1:17" ht="24">
      <c r="A10" s="1850" t="s">
        <v>673</v>
      </c>
      <c r="B10" s="1851">
        <f>17684375253.96</f>
        <v>17684375253.959999</v>
      </c>
      <c r="C10" s="1851">
        <f>17684375253.96</f>
        <v>17684375253.959999</v>
      </c>
      <c r="D10" s="1851">
        <f>891575132.12</f>
        <v>891575132.12</v>
      </c>
      <c r="E10" s="1851">
        <f>204324689.34</f>
        <v>204324689.34</v>
      </c>
      <c r="F10" s="1851">
        <f>193420727.24</f>
        <v>193420727.24000001</v>
      </c>
      <c r="G10" s="1851">
        <f>493523441.78</f>
        <v>493523441.77999997</v>
      </c>
      <c r="H10" s="1851">
        <f>306273.76</f>
        <v>306273.76</v>
      </c>
      <c r="I10" s="1851">
        <f>0</f>
        <v>0</v>
      </c>
      <c r="J10" s="1851">
        <f>15800696582.77</f>
        <v>15800696582.77</v>
      </c>
      <c r="K10" s="1851">
        <f>924214971.92</f>
        <v>924214971.91999996</v>
      </c>
      <c r="L10" s="1851">
        <f>53833091.54</f>
        <v>53833091.539999999</v>
      </c>
      <c r="M10" s="1851">
        <f>12574158.66</f>
        <v>12574158.66</v>
      </c>
      <c r="N10" s="1851">
        <f>1481316.95</f>
        <v>1481316.95</v>
      </c>
      <c r="O10" s="1851">
        <f>0</f>
        <v>0</v>
      </c>
      <c r="P10" s="1851">
        <f>0</f>
        <v>0</v>
      </c>
      <c r="Q10" s="1851">
        <f>0</f>
        <v>0</v>
      </c>
    </row>
    <row r="11" spans="1:17" ht="24">
      <c r="A11" s="2495" t="s">
        <v>749</v>
      </c>
      <c r="B11" s="1851">
        <f>453569000</f>
        <v>453569000</v>
      </c>
      <c r="C11" s="1851">
        <f>453569000</f>
        <v>453569000</v>
      </c>
      <c r="D11" s="1851">
        <f>0</f>
        <v>0</v>
      </c>
      <c r="E11" s="1851">
        <f>0</f>
        <v>0</v>
      </c>
      <c r="F11" s="1851">
        <f>0</f>
        <v>0</v>
      </c>
      <c r="G11" s="1851">
        <f>0</f>
        <v>0</v>
      </c>
      <c r="H11" s="1851">
        <f>0</f>
        <v>0</v>
      </c>
      <c r="I11" s="1851">
        <f>0</f>
        <v>0</v>
      </c>
      <c r="J11" s="1851">
        <f>451569000</f>
        <v>451569000</v>
      </c>
      <c r="K11" s="1851">
        <f>2000000</f>
        <v>2000000</v>
      </c>
      <c r="L11" s="1851">
        <f>0</f>
        <v>0</v>
      </c>
      <c r="M11" s="1851">
        <f>0</f>
        <v>0</v>
      </c>
      <c r="N11" s="1851">
        <f>0</f>
        <v>0</v>
      </c>
      <c r="O11" s="1851">
        <f>0</f>
        <v>0</v>
      </c>
      <c r="P11" s="1851">
        <f>0</f>
        <v>0</v>
      </c>
      <c r="Q11" s="1851">
        <f>0</f>
        <v>0</v>
      </c>
    </row>
    <row r="12" spans="1:17">
      <c r="A12" s="2496" t="s">
        <v>675</v>
      </c>
      <c r="B12" s="1851">
        <f>0</f>
        <v>0</v>
      </c>
      <c r="C12" s="1851">
        <f>0</f>
        <v>0</v>
      </c>
      <c r="D12" s="1851">
        <f>0</f>
        <v>0</v>
      </c>
      <c r="E12" s="1851">
        <f>0</f>
        <v>0</v>
      </c>
      <c r="F12" s="1851">
        <f>0</f>
        <v>0</v>
      </c>
      <c r="G12" s="1851">
        <f>0</f>
        <v>0</v>
      </c>
      <c r="H12" s="1851">
        <f>0</f>
        <v>0</v>
      </c>
      <c r="I12" s="1851">
        <f>0</f>
        <v>0</v>
      </c>
      <c r="J12" s="1851">
        <f>0</f>
        <v>0</v>
      </c>
      <c r="K12" s="1851">
        <f>0</f>
        <v>0</v>
      </c>
      <c r="L12" s="1851">
        <f>0</f>
        <v>0</v>
      </c>
      <c r="M12" s="1851">
        <f>0</f>
        <v>0</v>
      </c>
      <c r="N12" s="1851">
        <f>0</f>
        <v>0</v>
      </c>
      <c r="O12" s="1851">
        <f>0</f>
        <v>0</v>
      </c>
      <c r="P12" s="1851">
        <f>0</f>
        <v>0</v>
      </c>
      <c r="Q12" s="1851">
        <f>0</f>
        <v>0</v>
      </c>
    </row>
    <row r="13" spans="1:17">
      <c r="A13" s="2496" t="s">
        <v>676</v>
      </c>
      <c r="B13" s="1851">
        <f>453569000</f>
        <v>453569000</v>
      </c>
      <c r="C13" s="1851">
        <f>453569000</f>
        <v>453569000</v>
      </c>
      <c r="D13" s="1851">
        <f>0</f>
        <v>0</v>
      </c>
      <c r="E13" s="1851">
        <f>0</f>
        <v>0</v>
      </c>
      <c r="F13" s="1851">
        <f>0</f>
        <v>0</v>
      </c>
      <c r="G13" s="1851">
        <f>0</f>
        <v>0</v>
      </c>
      <c r="H13" s="1851">
        <f>0</f>
        <v>0</v>
      </c>
      <c r="I13" s="1851">
        <f>0</f>
        <v>0</v>
      </c>
      <c r="J13" s="1851">
        <f>451569000</f>
        <v>451569000</v>
      </c>
      <c r="K13" s="1851">
        <f>2000000</f>
        <v>2000000</v>
      </c>
      <c r="L13" s="1851">
        <f>0</f>
        <v>0</v>
      </c>
      <c r="M13" s="1851">
        <f>0</f>
        <v>0</v>
      </c>
      <c r="N13" s="1851">
        <f>0</f>
        <v>0</v>
      </c>
      <c r="O13" s="1851">
        <f>0</f>
        <v>0</v>
      </c>
      <c r="P13" s="1851">
        <f>0</f>
        <v>0</v>
      </c>
      <c r="Q13" s="1851">
        <f>0</f>
        <v>0</v>
      </c>
    </row>
    <row r="14" spans="1:17" ht="24">
      <c r="A14" s="2497" t="s">
        <v>750</v>
      </c>
      <c r="B14" s="1851">
        <f>17212782024.45</f>
        <v>17212782024.450001</v>
      </c>
      <c r="C14" s="1851">
        <f>17212782024.45</f>
        <v>17212782024.450001</v>
      </c>
      <c r="D14" s="1851">
        <f>883625804.48</f>
        <v>883625804.48000002</v>
      </c>
      <c r="E14" s="1851">
        <f>204320941.68</f>
        <v>204320941.68000001</v>
      </c>
      <c r="F14" s="1851">
        <f>193419219.66</f>
        <v>193419219.66</v>
      </c>
      <c r="G14" s="1851">
        <f>485885643.14</f>
        <v>485885643.13999999</v>
      </c>
      <c r="H14" s="1851">
        <f>0</f>
        <v>0</v>
      </c>
      <c r="I14" s="1851">
        <f>0</f>
        <v>0</v>
      </c>
      <c r="J14" s="1851">
        <f>15349127520.87</f>
        <v>15349127520.870001</v>
      </c>
      <c r="K14" s="1851">
        <f>922156779.49</f>
        <v>922156779.49000001</v>
      </c>
      <c r="L14" s="1851">
        <f>47996827.84</f>
        <v>47996827.840000004</v>
      </c>
      <c r="M14" s="1851">
        <f>9329387.17</f>
        <v>9329387.1699999999</v>
      </c>
      <c r="N14" s="1851">
        <f>545704.6</f>
        <v>545704.6</v>
      </c>
      <c r="O14" s="1851">
        <f>0</f>
        <v>0</v>
      </c>
      <c r="P14" s="1851">
        <f>0</f>
        <v>0</v>
      </c>
      <c r="Q14" s="1851">
        <f>0</f>
        <v>0</v>
      </c>
    </row>
    <row r="15" spans="1:17">
      <c r="A15" s="2498" t="s">
        <v>678</v>
      </c>
      <c r="B15" s="1851">
        <f>46409186.7</f>
        <v>46409186.700000003</v>
      </c>
      <c r="C15" s="1851">
        <f>46409186.7</f>
        <v>46409186.700000003</v>
      </c>
      <c r="D15" s="1851">
        <f>877061.46</f>
        <v>877061.46</v>
      </c>
      <c r="E15" s="1851">
        <f>0</f>
        <v>0</v>
      </c>
      <c r="F15" s="1851">
        <f>0</f>
        <v>0</v>
      </c>
      <c r="G15" s="1851">
        <f>877061.46</f>
        <v>877061.46</v>
      </c>
      <c r="H15" s="1851">
        <f>0</f>
        <v>0</v>
      </c>
      <c r="I15" s="1851">
        <f>0</f>
        <v>0</v>
      </c>
      <c r="J15" s="1851">
        <f>42535321.96</f>
        <v>42535321.960000001</v>
      </c>
      <c r="K15" s="1851">
        <f>1400000</f>
        <v>1400000</v>
      </c>
      <c r="L15" s="1851">
        <f>221.4</f>
        <v>221.4</v>
      </c>
      <c r="M15" s="1851">
        <f>1596581.88</f>
        <v>1596581.88</v>
      </c>
      <c r="N15" s="1851">
        <f>0</f>
        <v>0</v>
      </c>
      <c r="O15" s="1851">
        <f>0</f>
        <v>0</v>
      </c>
      <c r="P15" s="1851">
        <f>0</f>
        <v>0</v>
      </c>
      <c r="Q15" s="1851">
        <f>0</f>
        <v>0</v>
      </c>
    </row>
    <row r="16" spans="1:17">
      <c r="A16" s="2499" t="s">
        <v>679</v>
      </c>
      <c r="B16" s="1851">
        <f>17166372837.75</f>
        <v>17166372837.75</v>
      </c>
      <c r="C16" s="1851">
        <f>17166372837.75</f>
        <v>17166372837.75</v>
      </c>
      <c r="D16" s="1851">
        <f>882748743.02</f>
        <v>882748743.01999998</v>
      </c>
      <c r="E16" s="1851">
        <f>204320941.68</f>
        <v>204320941.68000001</v>
      </c>
      <c r="F16" s="1851">
        <f>193419219.66</f>
        <v>193419219.66</v>
      </c>
      <c r="G16" s="1851">
        <f>485008581.68</f>
        <v>485008581.68000001</v>
      </c>
      <c r="H16" s="1851">
        <f>0</f>
        <v>0</v>
      </c>
      <c r="I16" s="1851">
        <f>0</f>
        <v>0</v>
      </c>
      <c r="J16" s="1851">
        <f>15306592198.91</f>
        <v>15306592198.91</v>
      </c>
      <c r="K16" s="1851">
        <f>920756779.49</f>
        <v>920756779.49000001</v>
      </c>
      <c r="L16" s="1851">
        <f>47996606.44</f>
        <v>47996606.439999998</v>
      </c>
      <c r="M16" s="1851">
        <f>7732805.29</f>
        <v>7732805.29</v>
      </c>
      <c r="N16" s="1851">
        <f>545704.6</f>
        <v>545704.6</v>
      </c>
      <c r="O16" s="1851">
        <f>0</f>
        <v>0</v>
      </c>
      <c r="P16" s="1851">
        <f>0</f>
        <v>0</v>
      </c>
      <c r="Q16" s="1851">
        <f>0</f>
        <v>0</v>
      </c>
    </row>
    <row r="17" spans="1:17">
      <c r="A17" s="2500" t="s">
        <v>680</v>
      </c>
      <c r="B17" s="1851">
        <f>1500000</f>
        <v>1500000</v>
      </c>
      <c r="C17" s="1851">
        <f>1500000</f>
        <v>1500000</v>
      </c>
      <c r="D17" s="1851">
        <f>1500000</f>
        <v>1500000</v>
      </c>
      <c r="E17" s="1851">
        <f>0</f>
        <v>0</v>
      </c>
      <c r="F17" s="1851">
        <f>0</f>
        <v>0</v>
      </c>
      <c r="G17" s="1851">
        <f>1500000</f>
        <v>1500000</v>
      </c>
      <c r="H17" s="1851">
        <f>0</f>
        <v>0</v>
      </c>
      <c r="I17" s="1851">
        <f>0</f>
        <v>0</v>
      </c>
      <c r="J17" s="1851">
        <f>0</f>
        <v>0</v>
      </c>
      <c r="K17" s="1851">
        <f>0</f>
        <v>0</v>
      </c>
      <c r="L17" s="1851">
        <f>0</f>
        <v>0</v>
      </c>
      <c r="M17" s="1851">
        <f>0</f>
        <v>0</v>
      </c>
      <c r="N17" s="1851">
        <f>0</f>
        <v>0</v>
      </c>
      <c r="O17" s="1851">
        <f>0</f>
        <v>0</v>
      </c>
      <c r="P17" s="1851">
        <f>0</f>
        <v>0</v>
      </c>
      <c r="Q17" s="1851">
        <f>0</f>
        <v>0</v>
      </c>
    </row>
    <row r="18" spans="1:17" ht="24">
      <c r="A18" s="2501" t="s">
        <v>751</v>
      </c>
      <c r="B18" s="1851">
        <f>16524229.51</f>
        <v>16524229.51</v>
      </c>
      <c r="C18" s="1851">
        <f>16524229.51</f>
        <v>16524229.51</v>
      </c>
      <c r="D18" s="1851">
        <f>6449327.64</f>
        <v>6449327.6399999997</v>
      </c>
      <c r="E18" s="1851">
        <f>3747.66</f>
        <v>3747.66</v>
      </c>
      <c r="F18" s="1851">
        <f>1507.58</f>
        <v>1507.58</v>
      </c>
      <c r="G18" s="1851">
        <f>6137798.64</f>
        <v>6137798.6399999997</v>
      </c>
      <c r="H18" s="1851">
        <f>306273.76</f>
        <v>306273.76</v>
      </c>
      <c r="I18" s="1851">
        <f>0</f>
        <v>0</v>
      </c>
      <c r="J18" s="1851">
        <f>61.9</f>
        <v>61.9</v>
      </c>
      <c r="K18" s="1851">
        <f>58192.43</f>
        <v>58192.43</v>
      </c>
      <c r="L18" s="1851">
        <f>5836263.7</f>
        <v>5836263.7000000002</v>
      </c>
      <c r="M18" s="1851">
        <f>3244771.49</f>
        <v>3244771.49</v>
      </c>
      <c r="N18" s="1851">
        <f>935612.35</f>
        <v>935612.35</v>
      </c>
      <c r="O18" s="1851">
        <f>0</f>
        <v>0</v>
      </c>
      <c r="P18" s="1851">
        <f>0</f>
        <v>0</v>
      </c>
      <c r="Q18" s="1851">
        <f>0</f>
        <v>0</v>
      </c>
    </row>
    <row r="19" spans="1:17">
      <c r="A19" s="2496" t="s">
        <v>682</v>
      </c>
      <c r="B19" s="1851">
        <f>8597117.71</f>
        <v>8597117.7100000009</v>
      </c>
      <c r="C19" s="1851">
        <f>8597117.71</f>
        <v>8597117.7100000009</v>
      </c>
      <c r="D19" s="1851">
        <f>293419.18</f>
        <v>293419.18</v>
      </c>
      <c r="E19" s="1851">
        <f>146</f>
        <v>146</v>
      </c>
      <c r="F19" s="1851">
        <f>1324.79</f>
        <v>1324.79</v>
      </c>
      <c r="G19" s="1851">
        <f>291948.39</f>
        <v>291948.39</v>
      </c>
      <c r="H19" s="1851">
        <f>0</f>
        <v>0</v>
      </c>
      <c r="I19" s="1851">
        <f>0</f>
        <v>0</v>
      </c>
      <c r="J19" s="1851">
        <f>0</f>
        <v>0</v>
      </c>
      <c r="K19" s="1851">
        <f>494.18</f>
        <v>494.18</v>
      </c>
      <c r="L19" s="1851">
        <f>4757841.21</f>
        <v>4757841.21</v>
      </c>
      <c r="M19" s="1851">
        <f>2609750.79</f>
        <v>2609750.79</v>
      </c>
      <c r="N19" s="1851">
        <f>935612.35</f>
        <v>935612.35</v>
      </c>
      <c r="O19" s="1851">
        <f>0</f>
        <v>0</v>
      </c>
      <c r="P19" s="1851">
        <f>0</f>
        <v>0</v>
      </c>
      <c r="Q19" s="1851">
        <f>0</f>
        <v>0</v>
      </c>
    </row>
    <row r="20" spans="1:17">
      <c r="A20" s="1852" t="s">
        <v>683</v>
      </c>
      <c r="B20" s="1851">
        <f>7927111.8</f>
        <v>7927111.7999999998</v>
      </c>
      <c r="C20" s="1851">
        <f>7927111.8</f>
        <v>7927111.7999999998</v>
      </c>
      <c r="D20" s="1851">
        <f>6155908.46</f>
        <v>6155908.46</v>
      </c>
      <c r="E20" s="1851">
        <f>3601.66</f>
        <v>3601.66</v>
      </c>
      <c r="F20" s="1851">
        <f>182.79</f>
        <v>182.79</v>
      </c>
      <c r="G20" s="1851">
        <f>5845850.25</f>
        <v>5845850.25</v>
      </c>
      <c r="H20" s="1851">
        <f>306273.76</f>
        <v>306273.76</v>
      </c>
      <c r="I20" s="1851">
        <f>0</f>
        <v>0</v>
      </c>
      <c r="J20" s="1851">
        <f>61.9</f>
        <v>61.9</v>
      </c>
      <c r="K20" s="1851">
        <f>57698.25</f>
        <v>57698.25</v>
      </c>
      <c r="L20" s="1851">
        <f>1078422.49</f>
        <v>1078422.49</v>
      </c>
      <c r="M20" s="1851">
        <f>635020.7</f>
        <v>635020.69999999995</v>
      </c>
      <c r="N20" s="1851">
        <f>0</f>
        <v>0</v>
      </c>
      <c r="O20" s="1851">
        <f>0</f>
        <v>0</v>
      </c>
      <c r="P20" s="1851">
        <f>0</f>
        <v>0</v>
      </c>
      <c r="Q20" s="1851">
        <f>0</f>
        <v>0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>
      <c r="A22" s="1855"/>
      <c r="B22" s="1855"/>
      <c r="C22" s="1855"/>
      <c r="D22" s="1855"/>
      <c r="E22" s="1855"/>
      <c r="F22" s="1855"/>
      <c r="G22" s="1855"/>
      <c r="H22" s="1855"/>
      <c r="I22" s="1855"/>
      <c r="J22" s="1855"/>
      <c r="K22" s="1855"/>
      <c r="L22" s="1855"/>
      <c r="M22" s="1855"/>
      <c r="N22" s="1855"/>
      <c r="O22" s="1855"/>
      <c r="P22" s="1855"/>
      <c r="Q22" s="1855"/>
    </row>
    <row r="23" spans="1:17" ht="14.25" customHeight="1">
      <c r="A23" s="2105" t="s">
        <v>684</v>
      </c>
      <c r="B23" s="2105"/>
      <c r="C23" s="2105"/>
      <c r="D23" s="2105"/>
      <c r="E23" s="2105"/>
      <c r="F23" s="2105"/>
      <c r="G23" s="2105"/>
      <c r="H23" s="2105"/>
      <c r="I23" s="2105"/>
      <c r="J23" s="2105"/>
      <c r="K23" s="2105"/>
      <c r="L23" s="2105"/>
      <c r="M23" s="2105"/>
      <c r="N23" s="1855"/>
      <c r="O23" s="1855"/>
      <c r="P23" s="1855"/>
      <c r="Q23" s="1855"/>
    </row>
    <row r="24" spans="1:17">
      <c r="A24" s="1855"/>
      <c r="B24" s="1855"/>
      <c r="C24" s="1855"/>
      <c r="D24" s="1855"/>
      <c r="E24" s="1855"/>
      <c r="F24" s="1855"/>
      <c r="G24" s="1855"/>
      <c r="H24" s="1855"/>
      <c r="I24" s="1855"/>
      <c r="J24" s="1855"/>
      <c r="K24" s="1855"/>
      <c r="L24" s="1855"/>
      <c r="M24" s="1855"/>
      <c r="N24" s="1855"/>
      <c r="O24" s="1855"/>
      <c r="P24" s="1855"/>
      <c r="Q24" s="1855"/>
    </row>
    <row r="25" spans="1:17">
      <c r="A25" s="2332" t="s">
        <v>1</v>
      </c>
      <c r="B25" s="2329" t="s">
        <v>685</v>
      </c>
      <c r="C25" s="2322" t="s">
        <v>686</v>
      </c>
      <c r="D25" s="2323"/>
      <c r="E25" s="2323"/>
      <c r="F25" s="2323"/>
      <c r="G25" s="2323"/>
      <c r="H25" s="2323"/>
      <c r="I25" s="2323"/>
      <c r="J25" s="2323"/>
      <c r="K25" s="2323"/>
      <c r="L25" s="2323"/>
      <c r="M25" s="2323"/>
      <c r="N25" s="2324"/>
      <c r="O25" s="2335" t="s">
        <v>687</v>
      </c>
      <c r="P25" s="2336"/>
      <c r="Q25" s="2337"/>
    </row>
    <row r="26" spans="1:17">
      <c r="A26" s="2333"/>
      <c r="B26" s="2330"/>
      <c r="C26" s="2330" t="s">
        <v>688</v>
      </c>
      <c r="D26" s="2325" t="s">
        <v>689</v>
      </c>
      <c r="E26" s="2325" t="s">
        <v>690</v>
      </c>
      <c r="F26" s="2325" t="s">
        <v>691</v>
      </c>
      <c r="G26" s="2325" t="s">
        <v>692</v>
      </c>
      <c r="H26" s="2325" t="s">
        <v>663</v>
      </c>
      <c r="I26" s="2325" t="s">
        <v>693</v>
      </c>
      <c r="J26" s="2325" t="s">
        <v>665</v>
      </c>
      <c r="K26" s="2325" t="s">
        <v>666</v>
      </c>
      <c r="L26" s="2325" t="s">
        <v>667</v>
      </c>
      <c r="M26" s="2325" t="s">
        <v>668</v>
      </c>
      <c r="N26" s="2325" t="s">
        <v>669</v>
      </c>
      <c r="O26" s="2338" t="s">
        <v>670</v>
      </c>
      <c r="P26" s="2338" t="s">
        <v>671</v>
      </c>
      <c r="Q26" s="2339" t="s">
        <v>672</v>
      </c>
    </row>
    <row r="27" spans="1:17">
      <c r="A27" s="2333"/>
      <c r="B27" s="2330"/>
      <c r="C27" s="2330"/>
      <c r="D27" s="2325"/>
      <c r="E27" s="2325"/>
      <c r="F27" s="2325"/>
      <c r="G27" s="2325"/>
      <c r="H27" s="2325"/>
      <c r="I27" s="2325"/>
      <c r="J27" s="2325"/>
      <c r="K27" s="2325"/>
      <c r="L27" s="2325"/>
      <c r="M27" s="2325"/>
      <c r="N27" s="2325"/>
      <c r="O27" s="2338"/>
      <c r="P27" s="2338"/>
      <c r="Q27" s="2340"/>
    </row>
    <row r="28" spans="1:17">
      <c r="A28" s="2334"/>
      <c r="B28" s="2331"/>
      <c r="C28" s="2331"/>
      <c r="D28" s="2325"/>
      <c r="E28" s="2325"/>
      <c r="F28" s="2325"/>
      <c r="G28" s="2325"/>
      <c r="H28" s="2325"/>
      <c r="I28" s="2325"/>
      <c r="J28" s="2325"/>
      <c r="K28" s="2325"/>
      <c r="L28" s="2325"/>
      <c r="M28" s="2325"/>
      <c r="N28" s="2325"/>
      <c r="O28" s="2338"/>
      <c r="P28" s="2338"/>
      <c r="Q28" s="2341"/>
    </row>
    <row r="29" spans="1:17">
      <c r="A29" s="1849">
        <v>1</v>
      </c>
      <c r="B29" s="1849">
        <v>2</v>
      </c>
      <c r="C29" s="1849">
        <v>3</v>
      </c>
      <c r="D29" s="1849">
        <v>4</v>
      </c>
      <c r="E29" s="1849">
        <v>5</v>
      </c>
      <c r="F29" s="1849">
        <v>6</v>
      </c>
      <c r="G29" s="1849">
        <v>7</v>
      </c>
      <c r="H29" s="1849">
        <v>8</v>
      </c>
      <c r="I29" s="1849">
        <v>9</v>
      </c>
      <c r="J29" s="1849">
        <v>10</v>
      </c>
      <c r="K29" s="1849">
        <v>11</v>
      </c>
      <c r="L29" s="1849">
        <v>12</v>
      </c>
      <c r="M29" s="1849">
        <v>13</v>
      </c>
      <c r="N29" s="1849">
        <v>14</v>
      </c>
      <c r="O29" s="1849">
        <v>15</v>
      </c>
      <c r="P29" s="1849">
        <v>16</v>
      </c>
      <c r="Q29" s="1849">
        <v>17</v>
      </c>
    </row>
    <row r="30" spans="1:17">
      <c r="A30" s="1849"/>
      <c r="B30" s="2322" t="s">
        <v>163</v>
      </c>
      <c r="C30" s="2323"/>
      <c r="D30" s="2323"/>
      <c r="E30" s="2323"/>
      <c r="F30" s="2323"/>
      <c r="G30" s="2323"/>
      <c r="H30" s="2323"/>
      <c r="I30" s="2323"/>
      <c r="J30" s="2323"/>
      <c r="K30" s="2323"/>
      <c r="L30" s="2323"/>
      <c r="M30" s="2323"/>
      <c r="N30" s="2323"/>
      <c r="O30" s="2323"/>
      <c r="P30" s="2323"/>
      <c r="Q30" s="2324"/>
    </row>
    <row r="31" spans="1:17" ht="24">
      <c r="A31" s="1856" t="s">
        <v>694</v>
      </c>
      <c r="B31" s="1857">
        <f>5925</f>
        <v>5925</v>
      </c>
      <c r="C31" s="1857">
        <f>5925</f>
        <v>5925</v>
      </c>
      <c r="D31" s="1857">
        <f>0</f>
        <v>0</v>
      </c>
      <c r="E31" s="1857">
        <f>0</f>
        <v>0</v>
      </c>
      <c r="F31" s="1857">
        <f>0</f>
        <v>0</v>
      </c>
      <c r="G31" s="1857">
        <f>0</f>
        <v>0</v>
      </c>
      <c r="H31" s="1857">
        <f>0</f>
        <v>0</v>
      </c>
      <c r="I31" s="1857">
        <f>0</f>
        <v>0</v>
      </c>
      <c r="J31" s="1857">
        <f>5925</f>
        <v>5925</v>
      </c>
      <c r="K31" s="1857">
        <f>0</f>
        <v>0</v>
      </c>
      <c r="L31" s="1857">
        <f>0</f>
        <v>0</v>
      </c>
      <c r="M31" s="1857">
        <f>0</f>
        <v>0</v>
      </c>
      <c r="N31" s="1857">
        <f>0</f>
        <v>0</v>
      </c>
      <c r="O31" s="1857">
        <f>0</f>
        <v>0</v>
      </c>
      <c r="P31" s="1857">
        <f>0</f>
        <v>0</v>
      </c>
      <c r="Q31" s="1857">
        <f>0</f>
        <v>0</v>
      </c>
    </row>
    <row r="32" spans="1:17">
      <c r="A32" s="1858" t="s">
        <v>695</v>
      </c>
      <c r="B32" s="1857">
        <f>0</f>
        <v>0</v>
      </c>
      <c r="C32" s="1857">
        <f>0</f>
        <v>0</v>
      </c>
      <c r="D32" s="1857">
        <f>0</f>
        <v>0</v>
      </c>
      <c r="E32" s="1857">
        <f>0</f>
        <v>0</v>
      </c>
      <c r="F32" s="1857">
        <f>0</f>
        <v>0</v>
      </c>
      <c r="G32" s="1857">
        <f>0</f>
        <v>0</v>
      </c>
      <c r="H32" s="1857">
        <f>0</f>
        <v>0</v>
      </c>
      <c r="I32" s="1857">
        <f>0</f>
        <v>0</v>
      </c>
      <c r="J32" s="1857">
        <f>0</f>
        <v>0</v>
      </c>
      <c r="K32" s="1857">
        <f>0</f>
        <v>0</v>
      </c>
      <c r="L32" s="1857">
        <f>0</f>
        <v>0</v>
      </c>
      <c r="M32" s="1857">
        <f>0</f>
        <v>0</v>
      </c>
      <c r="N32" s="1857">
        <f>0</f>
        <v>0</v>
      </c>
      <c r="O32" s="1857">
        <f>0</f>
        <v>0</v>
      </c>
      <c r="P32" s="1857">
        <f>0</f>
        <v>0</v>
      </c>
      <c r="Q32" s="1857">
        <f>0</f>
        <v>0</v>
      </c>
    </row>
    <row r="33" spans="1:17">
      <c r="A33" s="1858" t="s">
        <v>696</v>
      </c>
      <c r="B33" s="1857">
        <f>5925</f>
        <v>5925</v>
      </c>
      <c r="C33" s="1857">
        <f>5925</f>
        <v>5925</v>
      </c>
      <c r="D33" s="1857">
        <f>0</f>
        <v>0</v>
      </c>
      <c r="E33" s="1857">
        <f>0</f>
        <v>0</v>
      </c>
      <c r="F33" s="1857">
        <f>0</f>
        <v>0</v>
      </c>
      <c r="G33" s="1857">
        <f>0</f>
        <v>0</v>
      </c>
      <c r="H33" s="1857">
        <f>0</f>
        <v>0</v>
      </c>
      <c r="I33" s="1857">
        <f>0</f>
        <v>0</v>
      </c>
      <c r="J33" s="1857">
        <f>5925</f>
        <v>5925</v>
      </c>
      <c r="K33" s="1857">
        <f>0</f>
        <v>0</v>
      </c>
      <c r="L33" s="1857">
        <f>0</f>
        <v>0</v>
      </c>
      <c r="M33" s="1857">
        <f>0</f>
        <v>0</v>
      </c>
      <c r="N33" s="1857">
        <f>0</f>
        <v>0</v>
      </c>
      <c r="O33" s="1857">
        <f>0</f>
        <v>0</v>
      </c>
      <c r="P33" s="1857">
        <f>0</f>
        <v>0</v>
      </c>
      <c r="Q33" s="1857">
        <f>0</f>
        <v>0</v>
      </c>
    </row>
    <row r="34" spans="1:17">
      <c r="A34" s="1859" t="s">
        <v>697</v>
      </c>
      <c r="B34" s="1857">
        <f>167379614.78</f>
        <v>167379614.78</v>
      </c>
      <c r="C34" s="1857">
        <f>167369399.22</f>
        <v>167369399.22</v>
      </c>
      <c r="D34" s="1857">
        <f>12739658.9</f>
        <v>12739658.9</v>
      </c>
      <c r="E34" s="1857">
        <f>5068.8</f>
        <v>5068.8</v>
      </c>
      <c r="F34" s="1857">
        <f>700000</f>
        <v>700000</v>
      </c>
      <c r="G34" s="1857">
        <f>12034590.1</f>
        <v>12034590.1</v>
      </c>
      <c r="H34" s="1857">
        <f>0</f>
        <v>0</v>
      </c>
      <c r="I34" s="1857">
        <f>0</f>
        <v>0</v>
      </c>
      <c r="J34" s="1857">
        <f>2244.88</f>
        <v>2244.88</v>
      </c>
      <c r="K34" s="1857">
        <f>52360</f>
        <v>52360</v>
      </c>
      <c r="L34" s="1857">
        <f>57819250.33</f>
        <v>57819250.329999998</v>
      </c>
      <c r="M34" s="1857">
        <f>91592029.45</f>
        <v>91592029.450000003</v>
      </c>
      <c r="N34" s="1857">
        <f>5163855.66</f>
        <v>5163855.66</v>
      </c>
      <c r="O34" s="1857">
        <f>10215.56</f>
        <v>10215.56</v>
      </c>
      <c r="P34" s="1857">
        <f>10215.56</f>
        <v>10215.56</v>
      </c>
      <c r="Q34" s="1857">
        <f>0</f>
        <v>0</v>
      </c>
    </row>
    <row r="35" spans="1:17">
      <c r="A35" s="1858" t="s">
        <v>698</v>
      </c>
      <c r="B35" s="1857">
        <f>2224787.62</f>
        <v>2224787.62</v>
      </c>
      <c r="C35" s="1857">
        <f>2224787.62</f>
        <v>2224787.62</v>
      </c>
      <c r="D35" s="1857">
        <f>0</f>
        <v>0</v>
      </c>
      <c r="E35" s="1857">
        <f>0</f>
        <v>0</v>
      </c>
      <c r="F35" s="1857">
        <f>0</f>
        <v>0</v>
      </c>
      <c r="G35" s="1857">
        <f>0</f>
        <v>0</v>
      </c>
      <c r="H35" s="1857">
        <f>0</f>
        <v>0</v>
      </c>
      <c r="I35" s="1857">
        <f>0</f>
        <v>0</v>
      </c>
      <c r="J35" s="1857">
        <f>0</f>
        <v>0</v>
      </c>
      <c r="K35" s="1857">
        <f>0</f>
        <v>0</v>
      </c>
      <c r="L35" s="1857">
        <f>120000</f>
        <v>120000</v>
      </c>
      <c r="M35" s="1857">
        <f>551069.07</f>
        <v>551069.06999999995</v>
      </c>
      <c r="N35" s="1857">
        <f>1553718.55</f>
        <v>1553718.55</v>
      </c>
      <c r="O35" s="1857">
        <f>0</f>
        <v>0</v>
      </c>
      <c r="P35" s="1857">
        <f>0</f>
        <v>0</v>
      </c>
      <c r="Q35" s="1857">
        <f>0</f>
        <v>0</v>
      </c>
    </row>
    <row r="36" spans="1:17">
      <c r="A36" s="1858" t="s">
        <v>699</v>
      </c>
      <c r="B36" s="1857">
        <f>165154827.16</f>
        <v>165154827.16</v>
      </c>
      <c r="C36" s="1857">
        <f>165144611.6</f>
        <v>165144611.59999999</v>
      </c>
      <c r="D36" s="1857">
        <f>12739658.9</f>
        <v>12739658.9</v>
      </c>
      <c r="E36" s="1857">
        <f>5068.8</f>
        <v>5068.8</v>
      </c>
      <c r="F36" s="1857">
        <f>700000</f>
        <v>700000</v>
      </c>
      <c r="G36" s="1857">
        <f>12034590.1</f>
        <v>12034590.1</v>
      </c>
      <c r="H36" s="1857">
        <f>0</f>
        <v>0</v>
      </c>
      <c r="I36" s="1857">
        <f>0</f>
        <v>0</v>
      </c>
      <c r="J36" s="1857">
        <f>2244.88</f>
        <v>2244.88</v>
      </c>
      <c r="K36" s="1857">
        <f>52360</f>
        <v>52360</v>
      </c>
      <c r="L36" s="1857">
        <f>57699250.33</f>
        <v>57699250.329999998</v>
      </c>
      <c r="M36" s="1857">
        <f>91040960.38</f>
        <v>91040960.379999995</v>
      </c>
      <c r="N36" s="1857">
        <f>3610137.11</f>
        <v>3610137.11</v>
      </c>
      <c r="O36" s="1857">
        <f>10215.56</f>
        <v>10215.56</v>
      </c>
      <c r="P36" s="1857">
        <f>10215.56</f>
        <v>10215.56</v>
      </c>
      <c r="Q36" s="1857">
        <f>0</f>
        <v>0</v>
      </c>
    </row>
    <row r="37" spans="1:17" ht="24">
      <c r="A37" s="1856" t="s">
        <v>700</v>
      </c>
      <c r="B37" s="1857">
        <f>9113183150.02</f>
        <v>9113183150.0200005</v>
      </c>
      <c r="C37" s="1857">
        <f>9113183150.02</f>
        <v>9113183150.0200005</v>
      </c>
      <c r="D37" s="1857">
        <f>785004.59</f>
        <v>785004.59</v>
      </c>
      <c r="E37" s="1857">
        <f>421908.69</f>
        <v>421908.69</v>
      </c>
      <c r="F37" s="1857">
        <f>500</f>
        <v>500</v>
      </c>
      <c r="G37" s="1857">
        <f>362595.9</f>
        <v>362595.9</v>
      </c>
      <c r="H37" s="1857">
        <f>0</f>
        <v>0</v>
      </c>
      <c r="I37" s="1857">
        <f>0</f>
        <v>0</v>
      </c>
      <c r="J37" s="1857">
        <f>9097274664.2</f>
        <v>9097274664.2000008</v>
      </c>
      <c r="K37" s="1857">
        <f>77589.58</f>
        <v>77589.58</v>
      </c>
      <c r="L37" s="1857">
        <f>14915911.96</f>
        <v>14915911.960000001</v>
      </c>
      <c r="M37" s="1857">
        <f>129979.69</f>
        <v>129979.69</v>
      </c>
      <c r="N37" s="1857">
        <f>0</f>
        <v>0</v>
      </c>
      <c r="O37" s="1857">
        <f>0</f>
        <v>0</v>
      </c>
      <c r="P37" s="1857">
        <f>0</f>
        <v>0</v>
      </c>
      <c r="Q37" s="1857">
        <f>0</f>
        <v>0</v>
      </c>
    </row>
    <row r="38" spans="1:17">
      <c r="A38" s="1858" t="s">
        <v>701</v>
      </c>
      <c r="B38" s="1857">
        <f>362595.9</f>
        <v>362595.9</v>
      </c>
      <c r="C38" s="1857">
        <f>362595.9</f>
        <v>362595.9</v>
      </c>
      <c r="D38" s="1857">
        <f>362595.9</f>
        <v>362595.9</v>
      </c>
      <c r="E38" s="1857">
        <f>0</f>
        <v>0</v>
      </c>
      <c r="F38" s="1857">
        <f>0</f>
        <v>0</v>
      </c>
      <c r="G38" s="1857">
        <f>362595.9</f>
        <v>362595.9</v>
      </c>
      <c r="H38" s="1857">
        <f>0</f>
        <v>0</v>
      </c>
      <c r="I38" s="1857">
        <f>0</f>
        <v>0</v>
      </c>
      <c r="J38" s="1857">
        <f>0</f>
        <v>0</v>
      </c>
      <c r="K38" s="1857">
        <f>0</f>
        <v>0</v>
      </c>
      <c r="L38" s="1857">
        <f>0</f>
        <v>0</v>
      </c>
      <c r="M38" s="1857">
        <f>0</f>
        <v>0</v>
      </c>
      <c r="N38" s="1857">
        <f>0</f>
        <v>0</v>
      </c>
      <c r="O38" s="1857">
        <f>0</f>
        <v>0</v>
      </c>
      <c r="P38" s="1857">
        <f>0</f>
        <v>0</v>
      </c>
      <c r="Q38" s="1857">
        <f>0</f>
        <v>0</v>
      </c>
    </row>
    <row r="39" spans="1:17">
      <c r="A39" s="1858" t="s">
        <v>702</v>
      </c>
      <c r="B39" s="1857">
        <f>8703346566.2</f>
        <v>8703346566.2000008</v>
      </c>
      <c r="C39" s="1857">
        <f>8703346566.2</f>
        <v>8703346566.2000008</v>
      </c>
      <c r="D39" s="1857">
        <f>108643</f>
        <v>108643</v>
      </c>
      <c r="E39" s="1857">
        <f>108143</f>
        <v>108143</v>
      </c>
      <c r="F39" s="1857">
        <f>500</f>
        <v>500</v>
      </c>
      <c r="G39" s="1857">
        <f>0</f>
        <v>0</v>
      </c>
      <c r="H39" s="1857">
        <f>0</f>
        <v>0</v>
      </c>
      <c r="I39" s="1857">
        <f>0</f>
        <v>0</v>
      </c>
      <c r="J39" s="1857">
        <f>8688258213.62</f>
        <v>8688258213.6200008</v>
      </c>
      <c r="K39" s="1857">
        <f>77589.58</f>
        <v>77589.58</v>
      </c>
      <c r="L39" s="1857">
        <f>14902120</f>
        <v>14902120</v>
      </c>
      <c r="M39" s="1857">
        <f>0</f>
        <v>0</v>
      </c>
      <c r="N39" s="1857">
        <f>0</f>
        <v>0</v>
      </c>
      <c r="O39" s="1857">
        <f>0</f>
        <v>0</v>
      </c>
      <c r="P39" s="1857">
        <f>0</f>
        <v>0</v>
      </c>
      <c r="Q39" s="1857">
        <f>0</f>
        <v>0</v>
      </c>
    </row>
    <row r="40" spans="1:17">
      <c r="A40" s="1858" t="s">
        <v>703</v>
      </c>
      <c r="B40" s="1857">
        <f>409473987.92</f>
        <v>409473987.92000002</v>
      </c>
      <c r="C40" s="1857">
        <f>409473987.92</f>
        <v>409473987.92000002</v>
      </c>
      <c r="D40" s="1857">
        <f>313765.69</f>
        <v>313765.69</v>
      </c>
      <c r="E40" s="1857">
        <f>313765.69</f>
        <v>313765.69</v>
      </c>
      <c r="F40" s="1857">
        <f>0</f>
        <v>0</v>
      </c>
      <c r="G40" s="1857">
        <f>0</f>
        <v>0</v>
      </c>
      <c r="H40" s="1857">
        <f>0</f>
        <v>0</v>
      </c>
      <c r="I40" s="1857">
        <f>0</f>
        <v>0</v>
      </c>
      <c r="J40" s="1857">
        <f>409016450.58</f>
        <v>409016450.57999998</v>
      </c>
      <c r="K40" s="1857">
        <f>0</f>
        <v>0</v>
      </c>
      <c r="L40" s="1857">
        <f>13791.96</f>
        <v>13791.96</v>
      </c>
      <c r="M40" s="1857">
        <f>129979.69</f>
        <v>129979.69</v>
      </c>
      <c r="N40" s="1857">
        <f>0</f>
        <v>0</v>
      </c>
      <c r="O40" s="1857">
        <f>0</f>
        <v>0</v>
      </c>
      <c r="P40" s="1857">
        <f>0</f>
        <v>0</v>
      </c>
      <c r="Q40" s="1857">
        <f>0</f>
        <v>0</v>
      </c>
    </row>
    <row r="41" spans="1:17" ht="24">
      <c r="A41" s="1856" t="s">
        <v>704</v>
      </c>
      <c r="B41" s="1857">
        <f>3949172717.82</f>
        <v>3949172717.8200002</v>
      </c>
      <c r="C41" s="1857">
        <f>3939713132.85</f>
        <v>3939713132.8499999</v>
      </c>
      <c r="D41" s="1857">
        <f>42154139.16</f>
        <v>42154139.159999996</v>
      </c>
      <c r="E41" s="1857">
        <f>21536942.14</f>
        <v>21536942.140000001</v>
      </c>
      <c r="F41" s="1857">
        <f>187760.62</f>
        <v>187760.62</v>
      </c>
      <c r="G41" s="1857">
        <f>20060377.16</f>
        <v>20060377.16</v>
      </c>
      <c r="H41" s="1857">
        <f>369059.24</f>
        <v>369059.24</v>
      </c>
      <c r="I41" s="1857">
        <f>0</f>
        <v>0</v>
      </c>
      <c r="J41" s="1857">
        <f>1078602.24</f>
        <v>1078602.24</v>
      </c>
      <c r="K41" s="1857">
        <f>1669290.05</f>
        <v>1669290.05</v>
      </c>
      <c r="L41" s="1857">
        <f>868859639.72</f>
        <v>868859639.72000003</v>
      </c>
      <c r="M41" s="1857">
        <f>3007704153.08</f>
        <v>3007704153.0799999</v>
      </c>
      <c r="N41" s="1857">
        <f>18247308.6</f>
        <v>18247308.600000001</v>
      </c>
      <c r="O41" s="1857">
        <f>9459584.97</f>
        <v>9459584.9700000007</v>
      </c>
      <c r="P41" s="1857">
        <f>7365749.98</f>
        <v>7365749.9800000004</v>
      </c>
      <c r="Q41" s="1857">
        <f>2093834.99</f>
        <v>2093834.99</v>
      </c>
    </row>
    <row r="42" spans="1:17">
      <c r="A42" s="1860" t="s">
        <v>705</v>
      </c>
      <c r="B42" s="1857">
        <f>493116659.16</f>
        <v>493116659.16000003</v>
      </c>
      <c r="C42" s="1857">
        <f>493097786.18</f>
        <v>493097786.18000001</v>
      </c>
      <c r="D42" s="1857">
        <f>2548616.97</f>
        <v>2548616.9700000002</v>
      </c>
      <c r="E42" s="1857">
        <f>61091.15</f>
        <v>61091.15</v>
      </c>
      <c r="F42" s="1857">
        <f>37274.01</f>
        <v>37274.01</v>
      </c>
      <c r="G42" s="1857">
        <f>2289673.78</f>
        <v>2289673.7799999998</v>
      </c>
      <c r="H42" s="1857">
        <f>160578.03</f>
        <v>160578.03</v>
      </c>
      <c r="I42" s="1857">
        <f>0</f>
        <v>0</v>
      </c>
      <c r="J42" s="1857">
        <f>2355.76</f>
        <v>2355.7600000000002</v>
      </c>
      <c r="K42" s="1857">
        <f>69776.65</f>
        <v>69776.649999999994</v>
      </c>
      <c r="L42" s="1857">
        <f>76561367.56</f>
        <v>76561367.560000002</v>
      </c>
      <c r="M42" s="1857">
        <f>408878261.5</f>
        <v>408878261.5</v>
      </c>
      <c r="N42" s="1857">
        <f>5037407.74</f>
        <v>5037407.74</v>
      </c>
      <c r="O42" s="1857">
        <f>18872.98</f>
        <v>18872.98</v>
      </c>
      <c r="P42" s="1857">
        <f>18872.98</f>
        <v>18872.98</v>
      </c>
      <c r="Q42" s="1857">
        <f>0</f>
        <v>0</v>
      </c>
    </row>
    <row r="43" spans="1:17">
      <c r="A43" s="1858" t="s">
        <v>706</v>
      </c>
      <c r="B43" s="1857">
        <f>3456056058.66</f>
        <v>3456056058.6599998</v>
      </c>
      <c r="C43" s="1857">
        <f>3446615346.67</f>
        <v>3446615346.6700001</v>
      </c>
      <c r="D43" s="1857">
        <f>39605522.19</f>
        <v>39605522.189999998</v>
      </c>
      <c r="E43" s="1857">
        <f>21475850.99</f>
        <v>21475850.989999998</v>
      </c>
      <c r="F43" s="1857">
        <f>150486.61</f>
        <v>150486.60999999999</v>
      </c>
      <c r="G43" s="1857">
        <f>17770703.38</f>
        <v>17770703.379999999</v>
      </c>
      <c r="H43" s="1857">
        <f>208481.21</f>
        <v>208481.21</v>
      </c>
      <c r="I43" s="1857">
        <f>0</f>
        <v>0</v>
      </c>
      <c r="J43" s="1857">
        <f>1076246.48</f>
        <v>1076246.48</v>
      </c>
      <c r="K43" s="1857">
        <f>1599513.4</f>
        <v>1599513.4</v>
      </c>
      <c r="L43" s="1857">
        <f>792298272.16</f>
        <v>792298272.15999997</v>
      </c>
      <c r="M43" s="1857">
        <f>2598825891.58</f>
        <v>2598825891.5799999</v>
      </c>
      <c r="N43" s="1857">
        <f>13209900.86</f>
        <v>13209900.859999999</v>
      </c>
      <c r="O43" s="1857">
        <f>9440711.99</f>
        <v>9440711.9900000002</v>
      </c>
      <c r="P43" s="1857">
        <f>7346877</f>
        <v>7346877</v>
      </c>
      <c r="Q43" s="1857">
        <f>2093834.99</f>
        <v>2093834.99</v>
      </c>
    </row>
    <row r="44" spans="1:17" ht="24">
      <c r="A44" s="2494" t="s">
        <v>707</v>
      </c>
      <c r="B44" s="1857">
        <f>1146956621.71</f>
        <v>1146956621.71</v>
      </c>
      <c r="C44" s="1857">
        <f>1146693010.36</f>
        <v>1146693010.3599999</v>
      </c>
      <c r="D44" s="1857">
        <f>167151455.28</f>
        <v>167151455.28</v>
      </c>
      <c r="E44" s="1857">
        <f>104193340.62</f>
        <v>104193340.62</v>
      </c>
      <c r="F44" s="1857">
        <f>1476454.02</f>
        <v>1476454.02</v>
      </c>
      <c r="G44" s="1857">
        <f>56135463.44</f>
        <v>56135463.439999998</v>
      </c>
      <c r="H44" s="1857">
        <f>5346197.2</f>
        <v>5346197.2</v>
      </c>
      <c r="I44" s="1857">
        <f>0</f>
        <v>0</v>
      </c>
      <c r="J44" s="1857">
        <f>263885.4</f>
        <v>263885.40000000002</v>
      </c>
      <c r="K44" s="1857">
        <f>480660.24</f>
        <v>480660.24</v>
      </c>
      <c r="L44" s="1857">
        <f>558933273.46</f>
        <v>558933273.46000004</v>
      </c>
      <c r="M44" s="1857">
        <f>391194151.04</f>
        <v>391194151.04000002</v>
      </c>
      <c r="N44" s="1857">
        <f>28669584.94</f>
        <v>28669584.940000001</v>
      </c>
      <c r="O44" s="1857">
        <f>263611.35</f>
        <v>263611.34999999998</v>
      </c>
      <c r="P44" s="1857">
        <f>157197.34</f>
        <v>157197.34</v>
      </c>
      <c r="Q44" s="1857">
        <f>106414.01</f>
        <v>106414.01</v>
      </c>
    </row>
    <row r="45" spans="1:17">
      <c r="A45" s="1860" t="s">
        <v>708</v>
      </c>
      <c r="B45" s="1857">
        <f>248890970.36</f>
        <v>248890970.36000001</v>
      </c>
      <c r="C45" s="1857">
        <f>248771831.79</f>
        <v>248771831.78999999</v>
      </c>
      <c r="D45" s="1857">
        <f>16914497.22</f>
        <v>16914497.219999999</v>
      </c>
      <c r="E45" s="1857">
        <f>1097046.39</f>
        <v>1097046.3899999999</v>
      </c>
      <c r="F45" s="1857">
        <f>122853.26</f>
        <v>122853.26</v>
      </c>
      <c r="G45" s="1857">
        <f>14094773.88</f>
        <v>14094773.880000001</v>
      </c>
      <c r="H45" s="1857">
        <f>1599823.69</f>
        <v>1599823.69</v>
      </c>
      <c r="I45" s="1857">
        <f>0</f>
        <v>0</v>
      </c>
      <c r="J45" s="1857">
        <f>36536.9</f>
        <v>36536.9</v>
      </c>
      <c r="K45" s="1857">
        <f>218784.42</f>
        <v>218784.42</v>
      </c>
      <c r="L45" s="1857">
        <f>99203726.93</f>
        <v>99203726.930000007</v>
      </c>
      <c r="M45" s="1857">
        <f>126369030.54</f>
        <v>126369030.54000001</v>
      </c>
      <c r="N45" s="1857">
        <f>6029255.78</f>
        <v>6029255.7800000003</v>
      </c>
      <c r="O45" s="1857">
        <f>119138.57</f>
        <v>119138.57</v>
      </c>
      <c r="P45" s="1857">
        <f>12735.56</f>
        <v>12735.56</v>
      </c>
      <c r="Q45" s="1857">
        <f>106403.01</f>
        <v>106403.01</v>
      </c>
    </row>
    <row r="46" spans="1:17" ht="22.8">
      <c r="A46" s="1860" t="s">
        <v>752</v>
      </c>
      <c r="B46" s="1857">
        <f>167636012.34</f>
        <v>167636012.34</v>
      </c>
      <c r="C46" s="1857">
        <f>167491550.56</f>
        <v>167491550.56</v>
      </c>
      <c r="D46" s="1857">
        <f>29109232.15</f>
        <v>29109232.149999999</v>
      </c>
      <c r="E46" s="1857">
        <f>25798300.4</f>
        <v>25798300.399999999</v>
      </c>
      <c r="F46" s="1857">
        <f>39837.87</f>
        <v>39837.870000000003</v>
      </c>
      <c r="G46" s="1857">
        <f>2705852.19</f>
        <v>2705852.19</v>
      </c>
      <c r="H46" s="1857">
        <f>565241.69</f>
        <v>565241.68999999994</v>
      </c>
      <c r="I46" s="1857">
        <f>0</f>
        <v>0</v>
      </c>
      <c r="J46" s="1857">
        <f>17711.29</f>
        <v>17711.29</v>
      </c>
      <c r="K46" s="1857">
        <f>5703.85</f>
        <v>5703.85</v>
      </c>
      <c r="L46" s="1857">
        <f>88895813.21</f>
        <v>88895813.209999993</v>
      </c>
      <c r="M46" s="1857">
        <f>48248895.9</f>
        <v>48248895.899999999</v>
      </c>
      <c r="N46" s="1857">
        <f>1214194.16</f>
        <v>1214194.1599999999</v>
      </c>
      <c r="O46" s="1857">
        <f>144461.78</f>
        <v>144461.78</v>
      </c>
      <c r="P46" s="1857">
        <f>144461.78</f>
        <v>144461.78</v>
      </c>
      <c r="Q46" s="1857">
        <f>0</f>
        <v>0</v>
      </c>
    </row>
    <row r="47" spans="1:17" ht="26.55" customHeight="1">
      <c r="A47" s="1860" t="s">
        <v>710</v>
      </c>
      <c r="B47" s="1857">
        <f>730429639.01</f>
        <v>730429639.00999999</v>
      </c>
      <c r="C47" s="1857">
        <f>730429628.01</f>
        <v>730429628.00999999</v>
      </c>
      <c r="D47" s="1857">
        <f>121127725.91</f>
        <v>121127725.91</v>
      </c>
      <c r="E47" s="1857">
        <f>77297993.83</f>
        <v>77297993.829999998</v>
      </c>
      <c r="F47" s="1857">
        <f>1313762.89</f>
        <v>1313762.8899999999</v>
      </c>
      <c r="G47" s="1857">
        <f>39334837.37</f>
        <v>39334837.369999997</v>
      </c>
      <c r="H47" s="1857">
        <f>3181131.82</f>
        <v>3181131.82</v>
      </c>
      <c r="I47" s="1857">
        <f>0</f>
        <v>0</v>
      </c>
      <c r="J47" s="1857">
        <f>209637.21</f>
        <v>209637.21</v>
      </c>
      <c r="K47" s="1857">
        <f>256171.97</f>
        <v>256171.97</v>
      </c>
      <c r="L47" s="1857">
        <f>370833733.32</f>
        <v>370833733.31999999</v>
      </c>
      <c r="M47" s="1857">
        <f>216576224.6</f>
        <v>216576224.59999999</v>
      </c>
      <c r="N47" s="1857">
        <f>21426135</f>
        <v>21426135</v>
      </c>
      <c r="O47" s="1857">
        <f>11</f>
        <v>11</v>
      </c>
      <c r="P47" s="1857">
        <f>0</f>
        <v>0</v>
      </c>
      <c r="Q47" s="1857">
        <f>11</f>
        <v>11</v>
      </c>
    </row>
    <row r="48" spans="1:17" ht="24" customHeight="1">
      <c r="A48" s="1855"/>
      <c r="B48" s="1855"/>
      <c r="C48" s="1855"/>
      <c r="D48" s="1855"/>
      <c r="E48" s="1855"/>
      <c r="F48" s="1855"/>
      <c r="G48" s="1855"/>
      <c r="H48" s="1855"/>
      <c r="I48" s="1855"/>
      <c r="J48" s="1855"/>
      <c r="K48" s="1855"/>
      <c r="L48" s="1855"/>
      <c r="M48" s="1855"/>
      <c r="N48" s="1855"/>
      <c r="O48" s="1855"/>
      <c r="P48" s="1855"/>
      <c r="Q48" s="1855"/>
    </row>
    <row r="49" spans="1:17" ht="14.25" customHeight="1">
      <c r="A49" s="1855"/>
      <c r="B49" s="2105" t="s">
        <v>711</v>
      </c>
      <c r="C49" s="2105"/>
      <c r="D49" s="2105"/>
      <c r="E49" s="2105"/>
      <c r="F49" s="2105"/>
      <c r="G49" s="2105"/>
      <c r="H49" s="2105"/>
      <c r="I49" s="2105"/>
      <c r="J49" s="2105"/>
      <c r="K49" s="2105"/>
      <c r="L49" s="2105"/>
      <c r="M49" s="2105"/>
      <c r="N49" s="1855"/>
      <c r="O49" s="1855"/>
      <c r="P49" s="1855"/>
      <c r="Q49" s="1855"/>
    </row>
    <row r="50" spans="1:17">
      <c r="A50" s="1855"/>
      <c r="B50" s="1855"/>
      <c r="C50" s="1855"/>
      <c r="D50" s="1855"/>
      <c r="E50" s="1855"/>
      <c r="F50" s="1855"/>
      <c r="G50" s="1855"/>
      <c r="H50" s="1855"/>
      <c r="I50" s="1855"/>
      <c r="J50" s="1855"/>
      <c r="K50" s="1855"/>
      <c r="L50" s="1855"/>
      <c r="M50" s="1855"/>
      <c r="N50" s="1855"/>
      <c r="O50" s="1855"/>
      <c r="P50" s="1855"/>
      <c r="Q50" s="1855"/>
    </row>
    <row r="51" spans="1:17">
      <c r="A51" s="1855"/>
      <c r="B51" s="2306" t="s">
        <v>1</v>
      </c>
      <c r="C51" s="2307"/>
      <c r="D51" s="2307"/>
      <c r="E51" s="2308"/>
      <c r="F51" s="2315" t="s">
        <v>712</v>
      </c>
      <c r="G51" s="2304" t="s">
        <v>713</v>
      </c>
      <c r="H51" s="2318"/>
      <c r="I51" s="2318"/>
      <c r="J51" s="2318"/>
      <c r="K51" s="2318"/>
      <c r="L51" s="2319"/>
      <c r="M51" s="1855"/>
      <c r="N51" s="1855"/>
      <c r="O51" s="1855"/>
      <c r="P51" s="1855"/>
      <c r="Q51" s="1855"/>
    </row>
    <row r="52" spans="1:17">
      <c r="A52" s="1855"/>
      <c r="B52" s="2309"/>
      <c r="C52" s="2310"/>
      <c r="D52" s="2310"/>
      <c r="E52" s="2311"/>
      <c r="F52" s="2316"/>
      <c r="G52" s="2320" t="s">
        <v>714</v>
      </c>
      <c r="H52" s="2303" t="s">
        <v>660</v>
      </c>
      <c r="I52" s="2303" t="s">
        <v>661</v>
      </c>
      <c r="J52" s="2303" t="s">
        <v>692</v>
      </c>
      <c r="K52" s="2303" t="s">
        <v>715</v>
      </c>
      <c r="L52" s="2321" t="s">
        <v>716</v>
      </c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/>
      <c r="H53" s="2303"/>
      <c r="I53" s="2303"/>
      <c r="J53" s="2303"/>
      <c r="K53" s="2303"/>
      <c r="L53" s="2321"/>
      <c r="M53" s="1855"/>
      <c r="N53" s="1855"/>
      <c r="O53" s="1855"/>
      <c r="P53" s="1855"/>
      <c r="Q53" s="1855"/>
    </row>
    <row r="54" spans="1:17">
      <c r="A54" s="1855"/>
      <c r="B54" s="2309"/>
      <c r="C54" s="2310"/>
      <c r="D54" s="2310"/>
      <c r="E54" s="2311"/>
      <c r="F54" s="2316"/>
      <c r="G54" s="2320"/>
      <c r="H54" s="2303"/>
      <c r="I54" s="2303"/>
      <c r="J54" s="2303"/>
      <c r="K54" s="2303"/>
      <c r="L54" s="2321"/>
      <c r="M54" s="1855"/>
      <c r="N54" s="1855"/>
      <c r="O54" s="1855"/>
      <c r="P54" s="1855"/>
      <c r="Q54" s="1855"/>
    </row>
    <row r="55" spans="1:17">
      <c r="A55" s="1855"/>
      <c r="B55" s="2312"/>
      <c r="C55" s="2313"/>
      <c r="D55" s="2313"/>
      <c r="E55" s="2314"/>
      <c r="F55" s="2317"/>
      <c r="G55" s="2320"/>
      <c r="H55" s="2303"/>
      <c r="I55" s="2303"/>
      <c r="J55" s="2303"/>
      <c r="K55" s="2303"/>
      <c r="L55" s="2321"/>
      <c r="M55" s="1855"/>
      <c r="N55" s="1855"/>
      <c r="O55" s="1855"/>
      <c r="P55" s="1855"/>
      <c r="Q55" s="1855"/>
    </row>
    <row r="56" spans="1:17">
      <c r="A56" s="1855"/>
      <c r="B56" s="2303">
        <v>1</v>
      </c>
      <c r="C56" s="2303"/>
      <c r="D56" s="2303"/>
      <c r="E56" s="2303"/>
      <c r="F56" s="1861">
        <v>2</v>
      </c>
      <c r="G56" s="1861">
        <v>3</v>
      </c>
      <c r="H56" s="1861">
        <v>4</v>
      </c>
      <c r="I56" s="1861">
        <v>5</v>
      </c>
      <c r="J56" s="1861">
        <v>6</v>
      </c>
      <c r="K56" s="1861">
        <v>7</v>
      </c>
      <c r="L56" s="1862">
        <v>8</v>
      </c>
      <c r="M56" s="1855"/>
      <c r="N56" s="1855"/>
      <c r="O56" s="1855"/>
      <c r="P56" s="1855"/>
      <c r="Q56" s="1855"/>
    </row>
    <row r="57" spans="1:17" ht="14.4">
      <c r="A57" s="1855"/>
      <c r="B57" s="2303"/>
      <c r="C57" s="2303"/>
      <c r="D57" s="2303"/>
      <c r="E57" s="2303"/>
      <c r="F57" s="2304" t="s">
        <v>163</v>
      </c>
      <c r="G57" s="2305"/>
      <c r="H57" s="2305"/>
      <c r="I57" s="2305"/>
      <c r="J57" s="2305"/>
      <c r="K57" s="2305"/>
      <c r="L57" s="2285"/>
      <c r="M57" s="1855"/>
      <c r="N57" s="1855"/>
      <c r="O57" s="1855"/>
      <c r="P57" s="1855"/>
      <c r="Q57" s="1855"/>
    </row>
    <row r="58" spans="1:17" ht="34.5" customHeight="1">
      <c r="A58" s="1855"/>
      <c r="B58" s="2300" t="s">
        <v>717</v>
      </c>
      <c r="C58" s="2301"/>
      <c r="D58" s="2301"/>
      <c r="E58" s="2302"/>
      <c r="F58" s="1851">
        <f>537973438.57</f>
        <v>537973438.57000005</v>
      </c>
      <c r="G58" s="1851">
        <f>225508113.84</f>
        <v>225508113.84</v>
      </c>
      <c r="H58" s="1851">
        <f>8688125.34</f>
        <v>8688125.3399999999</v>
      </c>
      <c r="I58" s="1851">
        <f>75592567.94</f>
        <v>75592567.939999998</v>
      </c>
      <c r="J58" s="1851">
        <f>132661711.85</f>
        <v>132661711.84999999</v>
      </c>
      <c r="K58" s="1851">
        <f>8565708.71</f>
        <v>8565708.7100000009</v>
      </c>
      <c r="L58" s="1851">
        <f>312465324.73</f>
        <v>312465324.73000002</v>
      </c>
      <c r="M58" s="1855"/>
      <c r="N58" s="1855"/>
      <c r="O58" s="1855"/>
      <c r="P58" s="1855"/>
      <c r="Q58" s="1855"/>
    </row>
    <row r="59" spans="1:17" ht="33.75" customHeight="1">
      <c r="A59" s="1855"/>
      <c r="B59" s="2300" t="s">
        <v>718</v>
      </c>
      <c r="C59" s="2301"/>
      <c r="D59" s="2301"/>
      <c r="E59" s="2302"/>
      <c r="F59" s="1851">
        <f>2271294.34</f>
        <v>2271294.34</v>
      </c>
      <c r="G59" s="1851">
        <f>689459</f>
        <v>689459</v>
      </c>
      <c r="H59" s="1851">
        <f>489459</f>
        <v>489459</v>
      </c>
      <c r="I59" s="1851">
        <f>0</f>
        <v>0</v>
      </c>
      <c r="J59" s="1851">
        <f>0</f>
        <v>0</v>
      </c>
      <c r="K59" s="1851">
        <f>200000</f>
        <v>200000</v>
      </c>
      <c r="L59" s="1851">
        <f>1581835.34</f>
        <v>1581835.34</v>
      </c>
      <c r="M59" s="1855"/>
      <c r="N59" s="1855"/>
      <c r="O59" s="1855"/>
      <c r="P59" s="1855"/>
      <c r="Q59" s="1855"/>
    </row>
    <row r="60" spans="1:17" ht="26.25" customHeight="1">
      <c r="A60" s="1855"/>
      <c r="B60" s="2300" t="s">
        <v>719</v>
      </c>
      <c r="C60" s="2301"/>
      <c r="D60" s="2301"/>
      <c r="E60" s="2302"/>
      <c r="F60" s="1851">
        <f>42275419.43</f>
        <v>42275419.43</v>
      </c>
      <c r="G60" s="1851">
        <f>7213847.28</f>
        <v>7213847.2800000003</v>
      </c>
      <c r="H60" s="1851">
        <f>0</f>
        <v>0</v>
      </c>
      <c r="I60" s="1851">
        <f>2255788.71</f>
        <v>2255788.71</v>
      </c>
      <c r="J60" s="1851">
        <f>4958058.57</f>
        <v>4958058.57</v>
      </c>
      <c r="K60" s="1851">
        <f>0</f>
        <v>0</v>
      </c>
      <c r="L60" s="1851">
        <f>35061572.15</f>
        <v>35061572.149999999</v>
      </c>
      <c r="M60" s="1855"/>
      <c r="N60" s="1855"/>
      <c r="O60" s="1855"/>
      <c r="P60" s="1855"/>
      <c r="Q60" s="1855"/>
    </row>
    <row r="61" spans="1:17" ht="18.75" customHeight="1">
      <c r="A61" s="1855"/>
      <c r="B61" s="2300" t="s">
        <v>720</v>
      </c>
      <c r="C61" s="2301"/>
      <c r="D61" s="2301"/>
      <c r="E61" s="2302"/>
      <c r="F61" s="1851">
        <f>4766967.04</f>
        <v>4766967.04</v>
      </c>
      <c r="G61" s="1851">
        <f>0</f>
        <v>0</v>
      </c>
      <c r="H61" s="1851">
        <f>0</f>
        <v>0</v>
      </c>
      <c r="I61" s="1851">
        <f>0</f>
        <v>0</v>
      </c>
      <c r="J61" s="1851">
        <f>0</f>
        <v>0</v>
      </c>
      <c r="K61" s="1851">
        <f>0</f>
        <v>0</v>
      </c>
      <c r="L61" s="1851">
        <f>4766967.04</f>
        <v>4766967.04</v>
      </c>
      <c r="M61" s="1855"/>
      <c r="N61" s="1855"/>
      <c r="O61" s="1855"/>
      <c r="P61" s="1855"/>
      <c r="Q61" s="1855"/>
    </row>
    <row r="62" spans="1:17" ht="25.5" customHeight="1">
      <c r="A62" s="1855"/>
      <c r="B62" s="2300" t="s">
        <v>721</v>
      </c>
      <c r="C62" s="2301"/>
      <c r="D62" s="2301"/>
      <c r="E62" s="2302"/>
      <c r="F62" s="1851">
        <f>29136.13</f>
        <v>29136.13</v>
      </c>
      <c r="G62" s="1851">
        <f>0</f>
        <v>0</v>
      </c>
      <c r="H62" s="1851">
        <f>0</f>
        <v>0</v>
      </c>
      <c r="I62" s="1851">
        <f>0</f>
        <v>0</v>
      </c>
      <c r="J62" s="1851">
        <f>0</f>
        <v>0</v>
      </c>
      <c r="K62" s="1851">
        <f>0</f>
        <v>0</v>
      </c>
      <c r="L62" s="1851">
        <f>29136.13</f>
        <v>29136.13</v>
      </c>
      <c r="M62" s="1855"/>
      <c r="N62" s="1855"/>
      <c r="O62" s="1855"/>
      <c r="P62" s="1855"/>
      <c r="Q62" s="1855"/>
    </row>
    <row r="63" spans="1:17" ht="30" customHeight="1">
      <c r="A63" s="1855"/>
      <c r="B63" s="2300" t="s">
        <v>722</v>
      </c>
      <c r="C63" s="2301"/>
      <c r="D63" s="2301"/>
      <c r="E63" s="2302"/>
      <c r="F63" s="1851">
        <f>446013.59</f>
        <v>446013.59</v>
      </c>
      <c r="G63" s="1851">
        <f>0</f>
        <v>0</v>
      </c>
      <c r="H63" s="1851">
        <f>0</f>
        <v>0</v>
      </c>
      <c r="I63" s="1851">
        <f>0</f>
        <v>0</v>
      </c>
      <c r="J63" s="1851">
        <f>0</f>
        <v>0</v>
      </c>
      <c r="K63" s="1851">
        <f>0</f>
        <v>0</v>
      </c>
      <c r="L63" s="1851">
        <f>446013.59</f>
        <v>446013.59</v>
      </c>
      <c r="M63" s="1855"/>
      <c r="N63" s="1855"/>
      <c r="O63" s="1855"/>
      <c r="P63" s="1855"/>
      <c r="Q63" s="1855"/>
    </row>
    <row r="64" spans="1:17" ht="35.25" customHeight="1">
      <c r="A64" s="1855"/>
      <c r="B64" s="2300" t="s">
        <v>723</v>
      </c>
      <c r="C64" s="2301"/>
      <c r="D64" s="2301"/>
      <c r="E64" s="2302"/>
      <c r="F64" s="1851">
        <f>0</f>
        <v>0</v>
      </c>
      <c r="G64" s="1851">
        <f>0</f>
        <v>0</v>
      </c>
      <c r="H64" s="1851">
        <f>0</f>
        <v>0</v>
      </c>
      <c r="I64" s="1851">
        <f>0</f>
        <v>0</v>
      </c>
      <c r="J64" s="1851">
        <f>0</f>
        <v>0</v>
      </c>
      <c r="K64" s="1851">
        <f>0</f>
        <v>0</v>
      </c>
      <c r="L64" s="1851">
        <f>0</f>
        <v>0</v>
      </c>
      <c r="M64" s="1855"/>
      <c r="N64" s="1855"/>
      <c r="O64" s="1855"/>
      <c r="P64" s="1855"/>
      <c r="Q64" s="1855"/>
    </row>
    <row r="66" spans="1:4">
      <c r="A66" s="2255" t="s">
        <v>884</v>
      </c>
      <c r="B66" s="2255"/>
      <c r="C66" s="2255"/>
      <c r="D66" s="2255"/>
    </row>
  </sheetData>
  <mergeCells count="64">
    <mergeCell ref="A1:M1"/>
    <mergeCell ref="C2:M2"/>
    <mergeCell ref="B9:Q9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A23:M23"/>
    <mergeCell ref="A25:A28"/>
    <mergeCell ref="B25:B28"/>
    <mergeCell ref="C25:N25"/>
    <mergeCell ref="O25:Q25"/>
    <mergeCell ref="C26:C28"/>
    <mergeCell ref="D26:D28"/>
    <mergeCell ref="O26:O28"/>
    <mergeCell ref="P26:P28"/>
    <mergeCell ref="Q26:Q28"/>
    <mergeCell ref="A3:A7"/>
    <mergeCell ref="B3:B7"/>
    <mergeCell ref="C3:N3"/>
    <mergeCell ref="L4:L7"/>
    <mergeCell ref="M4:M7"/>
    <mergeCell ref="N4:N7"/>
    <mergeCell ref="B30:Q30"/>
    <mergeCell ref="J26:J28"/>
    <mergeCell ref="K26:K28"/>
    <mergeCell ref="L26:L28"/>
    <mergeCell ref="M26:M28"/>
    <mergeCell ref="N26:N28"/>
    <mergeCell ref="E26:E28"/>
    <mergeCell ref="F26:F28"/>
    <mergeCell ref="G26:G28"/>
    <mergeCell ref="H26:H28"/>
    <mergeCell ref="I26:I28"/>
    <mergeCell ref="B49:M49"/>
    <mergeCell ref="B51:E55"/>
    <mergeCell ref="F51:F55"/>
    <mergeCell ref="G51:L51"/>
    <mergeCell ref="G52:G55"/>
    <mergeCell ref="H52:H55"/>
    <mergeCell ref="I52:I55"/>
    <mergeCell ref="J52:J55"/>
    <mergeCell ref="K52:K55"/>
    <mergeCell ref="L52:L55"/>
    <mergeCell ref="B56:E56"/>
    <mergeCell ref="B57:E57"/>
    <mergeCell ref="F57:L57"/>
    <mergeCell ref="B58:E58"/>
    <mergeCell ref="B59:E59"/>
    <mergeCell ref="A66:D66"/>
    <mergeCell ref="B60:E60"/>
    <mergeCell ref="B61:E61"/>
    <mergeCell ref="B62:E62"/>
    <mergeCell ref="B63:E63"/>
    <mergeCell ref="B64:E64"/>
  </mergeCells>
  <pageMargins left="0.70866141732283472" right="0.31496062992125984" top="0.74803149606299213" bottom="0.74803149606299213" header="0.31496062992125984" footer="0.31496062992125984"/>
  <pageSetup paperSize="9" scale="66" orientation="landscape" r:id="rId1"/>
  <rowBreaks count="1" manualBreakCount="1">
    <brk id="43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1134-9FE4-47A0-A2EE-5019C285CD05}">
  <dimension ref="A1:G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6" style="441" customWidth="1"/>
    <col min="3" max="3" width="11.21875" style="441" customWidth="1"/>
    <col min="4" max="4" width="10.44140625" style="441" customWidth="1"/>
    <col min="5" max="5" width="10.21875" style="441" customWidth="1"/>
    <col min="6" max="6" width="10" style="441" customWidth="1"/>
    <col min="7" max="7" width="12" style="441" customWidth="1"/>
    <col min="8" max="16384" width="9.21875" style="441"/>
  </cols>
  <sheetData>
    <row r="1" spans="1:7" ht="14.4">
      <c r="A1" s="280" t="s">
        <v>984</v>
      </c>
      <c r="B1" s="443"/>
      <c r="C1" s="443"/>
      <c r="D1" s="443"/>
      <c r="E1" s="443"/>
      <c r="F1" s="443"/>
      <c r="G1" s="443"/>
    </row>
    <row r="3" spans="1:7">
      <c r="A3" s="2138" t="s">
        <v>87</v>
      </c>
      <c r="B3" s="2140" t="s">
        <v>1</v>
      </c>
      <c r="C3" s="2142" t="s">
        <v>157</v>
      </c>
      <c r="D3" s="378" t="s">
        <v>158</v>
      </c>
      <c r="E3" s="378" t="s">
        <v>159</v>
      </c>
      <c r="F3" s="378" t="s">
        <v>160</v>
      </c>
      <c r="G3" s="376" t="s">
        <v>161</v>
      </c>
    </row>
    <row r="4" spans="1:7">
      <c r="A4" s="2139"/>
      <c r="B4" s="2141"/>
      <c r="C4" s="2143"/>
      <c r="D4" s="2144" t="s">
        <v>162</v>
      </c>
      <c r="E4" s="2145"/>
      <c r="F4" s="2145"/>
      <c r="G4" s="2146"/>
    </row>
    <row r="5" spans="1:7" ht="14.4">
      <c r="A5" s="2139"/>
      <c r="B5" s="2141"/>
      <c r="C5" s="297"/>
      <c r="D5" s="2147" t="s">
        <v>163</v>
      </c>
      <c r="E5" s="2148"/>
      <c r="F5" s="2148"/>
      <c r="G5" s="2149"/>
    </row>
    <row r="6" spans="1:7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9" t="s">
        <v>16</v>
      </c>
    </row>
    <row r="7" spans="1:7">
      <c r="A7" s="299"/>
      <c r="B7" s="300" t="s">
        <v>129</v>
      </c>
      <c r="C7" s="303">
        <v>25238257</v>
      </c>
      <c r="D7" s="309">
        <v>8714.7000000000007</v>
      </c>
      <c r="E7" s="309">
        <v>8616.7000000000007</v>
      </c>
      <c r="F7" s="309">
        <v>98</v>
      </c>
      <c r="G7" s="306">
        <v>1735.9</v>
      </c>
    </row>
    <row r="8" spans="1:7">
      <c r="A8" s="366" t="s">
        <v>96</v>
      </c>
      <c r="B8" s="301" t="s">
        <v>97</v>
      </c>
      <c r="C8" s="304">
        <v>1931595</v>
      </c>
      <c r="D8" s="310">
        <v>9461.5</v>
      </c>
      <c r="E8" s="310">
        <v>9330.7000000000007</v>
      </c>
      <c r="F8" s="310">
        <v>130.80000000000001</v>
      </c>
      <c r="G8" s="307">
        <v>2558.6999999999998</v>
      </c>
    </row>
    <row r="9" spans="1:7">
      <c r="A9" s="366" t="s">
        <v>98</v>
      </c>
      <c r="B9" s="301" t="s">
        <v>99</v>
      </c>
      <c r="C9" s="304">
        <v>1279549</v>
      </c>
      <c r="D9" s="310">
        <v>8916.2000000000007</v>
      </c>
      <c r="E9" s="310">
        <v>8798.2000000000007</v>
      </c>
      <c r="F9" s="310">
        <v>118</v>
      </c>
      <c r="G9" s="307">
        <v>1696</v>
      </c>
    </row>
    <row r="10" spans="1:7">
      <c r="A10" s="366" t="s">
        <v>100</v>
      </c>
      <c r="B10" s="301" t="s">
        <v>101</v>
      </c>
      <c r="C10" s="304">
        <v>1500297</v>
      </c>
      <c r="D10" s="310">
        <v>8272.1</v>
      </c>
      <c r="E10" s="310">
        <v>8262.2999999999993</v>
      </c>
      <c r="F10" s="310">
        <v>9.8000000000000007</v>
      </c>
      <c r="G10" s="307">
        <v>1440.1</v>
      </c>
    </row>
    <row r="11" spans="1:7">
      <c r="A11" s="366" t="s">
        <v>102</v>
      </c>
      <c r="B11" s="301" t="s">
        <v>103</v>
      </c>
      <c r="C11" s="304">
        <v>716250</v>
      </c>
      <c r="D11" s="310">
        <v>8850.1</v>
      </c>
      <c r="E11" s="310">
        <v>8760.6</v>
      </c>
      <c r="F11" s="310">
        <v>89.5</v>
      </c>
      <c r="G11" s="307">
        <v>1567.5</v>
      </c>
    </row>
    <row r="12" spans="1:7">
      <c r="A12" s="366" t="s">
        <v>104</v>
      </c>
      <c r="B12" s="301" t="s">
        <v>105</v>
      </c>
      <c r="C12" s="304">
        <v>1589088</v>
      </c>
      <c r="D12" s="310">
        <v>8892.5</v>
      </c>
      <c r="E12" s="310">
        <v>8760.1</v>
      </c>
      <c r="F12" s="310">
        <v>132.4</v>
      </c>
      <c r="G12" s="307">
        <v>1649.7</v>
      </c>
    </row>
    <row r="13" spans="1:7">
      <c r="A13" s="366" t="s">
        <v>106</v>
      </c>
      <c r="B13" s="301" t="s">
        <v>107</v>
      </c>
      <c r="C13" s="304">
        <v>2437972</v>
      </c>
      <c r="D13" s="310">
        <v>8128.5</v>
      </c>
      <c r="E13" s="310">
        <v>8057.7</v>
      </c>
      <c r="F13" s="310">
        <v>70.8</v>
      </c>
      <c r="G13" s="307">
        <v>1736.3</v>
      </c>
    </row>
    <row r="14" spans="1:7">
      <c r="A14" s="366" t="s">
        <v>108</v>
      </c>
      <c r="B14" s="301" t="s">
        <v>109</v>
      </c>
      <c r="C14" s="304">
        <v>3218209</v>
      </c>
      <c r="D14" s="310">
        <v>8940</v>
      </c>
      <c r="E14" s="310">
        <v>8810.6</v>
      </c>
      <c r="F14" s="310">
        <v>129.4</v>
      </c>
      <c r="G14" s="307">
        <v>1831</v>
      </c>
    </row>
    <row r="15" spans="1:7">
      <c r="A15" s="366" t="s">
        <v>110</v>
      </c>
      <c r="B15" s="301" t="s">
        <v>111</v>
      </c>
      <c r="C15" s="304">
        <v>804804</v>
      </c>
      <c r="D15" s="310">
        <v>8203.2999999999993</v>
      </c>
      <c r="E15" s="310">
        <v>8152.4</v>
      </c>
      <c r="F15" s="310">
        <v>50.9</v>
      </c>
      <c r="G15" s="307">
        <v>1430.7</v>
      </c>
    </row>
    <row r="16" spans="1:7">
      <c r="A16" s="366" t="s">
        <v>112</v>
      </c>
      <c r="B16" s="301" t="s">
        <v>113</v>
      </c>
      <c r="C16" s="304">
        <v>1722570</v>
      </c>
      <c r="D16" s="310">
        <v>8414.9</v>
      </c>
      <c r="E16" s="310">
        <v>8530.7999999999993</v>
      </c>
      <c r="F16" s="310">
        <v>-115.9</v>
      </c>
      <c r="G16" s="307">
        <v>1750</v>
      </c>
    </row>
    <row r="17" spans="1:7">
      <c r="A17" s="366" t="s">
        <v>114</v>
      </c>
      <c r="B17" s="301" t="s">
        <v>115</v>
      </c>
      <c r="C17" s="304">
        <v>714849</v>
      </c>
      <c r="D17" s="310">
        <v>9254.6</v>
      </c>
      <c r="E17" s="310">
        <v>9107.1</v>
      </c>
      <c r="F17" s="310">
        <v>147.5</v>
      </c>
      <c r="G17" s="307">
        <v>1354.6</v>
      </c>
    </row>
    <row r="18" spans="1:7">
      <c r="A18" s="366" t="s">
        <v>116</v>
      </c>
      <c r="B18" s="301" t="s">
        <v>117</v>
      </c>
      <c r="C18" s="304">
        <v>1514547</v>
      </c>
      <c r="D18" s="310">
        <v>9218.1</v>
      </c>
      <c r="E18" s="310">
        <v>9083.7999999999993</v>
      </c>
      <c r="F18" s="310">
        <v>134.30000000000001</v>
      </c>
      <c r="G18" s="307">
        <v>2037.9</v>
      </c>
    </row>
    <row r="19" spans="1:7">
      <c r="A19" s="366" t="s">
        <v>118</v>
      </c>
      <c r="B19" s="301" t="s">
        <v>119</v>
      </c>
      <c r="C19" s="304">
        <v>1941847</v>
      </c>
      <c r="D19" s="310">
        <v>8476.6</v>
      </c>
      <c r="E19" s="310">
        <v>8371.1</v>
      </c>
      <c r="F19" s="310">
        <v>105.5</v>
      </c>
      <c r="G19" s="307">
        <v>1253.5</v>
      </c>
    </row>
    <row r="20" spans="1:7">
      <c r="A20" s="366" t="s">
        <v>120</v>
      </c>
      <c r="B20" s="301" t="s">
        <v>121</v>
      </c>
      <c r="C20" s="304">
        <v>977454</v>
      </c>
      <c r="D20" s="310">
        <v>8321.1</v>
      </c>
      <c r="E20" s="310">
        <v>8250.9</v>
      </c>
      <c r="F20" s="310">
        <v>70.2</v>
      </c>
      <c r="G20" s="307">
        <v>1978.5</v>
      </c>
    </row>
    <row r="21" spans="1:7">
      <c r="A21" s="366" t="s">
        <v>122</v>
      </c>
      <c r="B21" s="301" t="s">
        <v>123</v>
      </c>
      <c r="C21" s="304">
        <v>1070728</v>
      </c>
      <c r="D21" s="310">
        <v>8594.1</v>
      </c>
      <c r="E21" s="310">
        <v>8606.6</v>
      </c>
      <c r="F21" s="310">
        <v>-12.5</v>
      </c>
      <c r="G21" s="307">
        <v>1907.9</v>
      </c>
    </row>
    <row r="22" spans="1:7">
      <c r="A22" s="366" t="s">
        <v>124</v>
      </c>
      <c r="B22" s="301" t="s">
        <v>125</v>
      </c>
      <c r="C22" s="304">
        <v>2726248</v>
      </c>
      <c r="D22" s="310">
        <v>8520.7999999999993</v>
      </c>
      <c r="E22" s="310">
        <v>8285</v>
      </c>
      <c r="F22" s="310">
        <v>235.8</v>
      </c>
      <c r="G22" s="307">
        <v>1659.9</v>
      </c>
    </row>
    <row r="23" spans="1:7">
      <c r="A23" s="367" t="s">
        <v>126</v>
      </c>
      <c r="B23" s="302" t="s">
        <v>127</v>
      </c>
      <c r="C23" s="305">
        <v>1092250</v>
      </c>
      <c r="D23" s="311">
        <v>9239</v>
      </c>
      <c r="E23" s="311">
        <v>9111.1</v>
      </c>
      <c r="F23" s="311">
        <v>127.8</v>
      </c>
      <c r="G23" s="308">
        <v>1383.5</v>
      </c>
    </row>
    <row r="25" spans="1:7" ht="14.4">
      <c r="A25" s="802" t="s">
        <v>128</v>
      </c>
      <c r="B25" s="724" t="s">
        <v>909</v>
      </c>
      <c r="C25" s="295"/>
      <c r="D25" s="295"/>
      <c r="E25" s="295"/>
      <c r="F25" s="295"/>
      <c r="G25" s="295"/>
    </row>
    <row r="26" spans="1:7" ht="14.4">
      <c r="A26" s="802"/>
      <c r="B26" s="724" t="s">
        <v>910</v>
      </c>
      <c r="C26" s="295"/>
      <c r="D26" s="295"/>
      <c r="E26" s="295"/>
      <c r="F26" s="295"/>
      <c r="G26" s="295"/>
    </row>
  </sheetData>
  <mergeCells count="5">
    <mergeCell ref="A3:A5"/>
    <mergeCell ref="B3:B5"/>
    <mergeCell ref="C3:C4"/>
    <mergeCell ref="D4:G4"/>
    <mergeCell ref="D5:G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E246B-018D-4BE6-9916-C2B90F894A1C}">
  <dimension ref="A1:K25"/>
  <sheetViews>
    <sheetView view="pageBreakPreview" topLeftCell="A13" zoomScaleNormal="100" zoomScaleSheetLayoutView="100" workbookViewId="0">
      <selection activeCell="F8" sqref="F8"/>
    </sheetView>
  </sheetViews>
  <sheetFormatPr defaultRowHeight="14.4"/>
  <cols>
    <col min="1" max="1" width="5.44140625" customWidth="1"/>
    <col min="2" max="2" width="16.21875" customWidth="1"/>
    <col min="3" max="4" width="13.77734375" customWidth="1"/>
    <col min="5" max="5" width="7.77734375" customWidth="1"/>
    <col min="6" max="7" width="13.77734375" customWidth="1"/>
    <col min="8" max="8" width="7.21875" bestFit="1" customWidth="1"/>
    <col min="9" max="11" width="13.77734375" customWidth="1"/>
  </cols>
  <sheetData>
    <row r="1" spans="1:11">
      <c r="A1" s="246" t="s">
        <v>985</v>
      </c>
      <c r="B1" s="235"/>
      <c r="C1" s="235"/>
      <c r="D1" s="235"/>
      <c r="E1" s="235"/>
      <c r="F1" s="235"/>
      <c r="G1" s="235"/>
      <c r="H1" s="235"/>
      <c r="I1" s="798" t="s">
        <v>742</v>
      </c>
      <c r="J1" s="235"/>
      <c r="K1" s="235"/>
    </row>
    <row r="3" spans="1:11">
      <c r="A3" s="2138" t="s">
        <v>87</v>
      </c>
      <c r="B3" s="2140" t="s">
        <v>1</v>
      </c>
      <c r="C3" s="2349" t="s">
        <v>164</v>
      </c>
      <c r="D3" s="2350"/>
      <c r="E3" s="2351" t="s">
        <v>836</v>
      </c>
      <c r="F3" s="2350" t="s">
        <v>152</v>
      </c>
      <c r="G3" s="2350"/>
      <c r="H3" s="2351" t="s">
        <v>837</v>
      </c>
      <c r="I3" s="2351" t="s">
        <v>838</v>
      </c>
      <c r="J3" s="2351" t="s">
        <v>161</v>
      </c>
      <c r="K3" s="2353" t="s">
        <v>545</v>
      </c>
    </row>
    <row r="4" spans="1:11" ht="49.95" customHeight="1">
      <c r="A4" s="2139"/>
      <c r="B4" s="2141"/>
      <c r="C4" s="254" t="s">
        <v>3</v>
      </c>
      <c r="D4" s="241" t="s">
        <v>2</v>
      </c>
      <c r="E4" s="2352"/>
      <c r="F4" s="241" t="s">
        <v>3</v>
      </c>
      <c r="G4" s="241" t="s">
        <v>2</v>
      </c>
      <c r="H4" s="2352"/>
      <c r="I4" s="2352"/>
      <c r="J4" s="2352"/>
      <c r="K4" s="2354"/>
    </row>
    <row r="5" spans="1:11">
      <c r="A5" s="2139"/>
      <c r="B5" s="2141"/>
      <c r="C5" s="2355" t="s">
        <v>93</v>
      </c>
      <c r="D5" s="2356"/>
      <c r="E5" s="242" t="s">
        <v>169</v>
      </c>
      <c r="F5" s="2356" t="s">
        <v>93</v>
      </c>
      <c r="G5" s="2356"/>
      <c r="H5" s="242" t="s">
        <v>169</v>
      </c>
      <c r="I5" s="2356" t="s">
        <v>93</v>
      </c>
      <c r="J5" s="2356"/>
      <c r="K5" s="243" t="s">
        <v>169</v>
      </c>
    </row>
    <row r="6" spans="1:11">
      <c r="A6" s="237" t="s">
        <v>10</v>
      </c>
      <c r="B6" s="238" t="s">
        <v>11</v>
      </c>
      <c r="C6" s="255" t="s">
        <v>12</v>
      </c>
      <c r="D6" s="244" t="s">
        <v>13</v>
      </c>
      <c r="E6" s="244" t="s">
        <v>14</v>
      </c>
      <c r="F6" s="244" t="s">
        <v>15</v>
      </c>
      <c r="G6" s="244" t="s">
        <v>16</v>
      </c>
      <c r="H6" s="244" t="s">
        <v>17</v>
      </c>
      <c r="I6" s="244" t="s">
        <v>94</v>
      </c>
      <c r="J6" s="244" t="s">
        <v>150</v>
      </c>
      <c r="K6" s="245" t="s">
        <v>170</v>
      </c>
    </row>
    <row r="7" spans="1:11">
      <c r="A7" s="247"/>
      <c r="B7" s="256" t="s">
        <v>129</v>
      </c>
      <c r="C7" s="629">
        <v>224722716783.26001</v>
      </c>
      <c r="D7" s="630">
        <v>219943781818.39999</v>
      </c>
      <c r="E7" s="248">
        <v>97.9</v>
      </c>
      <c r="F7" s="630">
        <v>238683811386.59</v>
      </c>
      <c r="G7" s="630">
        <v>217469238499.01999</v>
      </c>
      <c r="H7" s="248">
        <v>91.1</v>
      </c>
      <c r="I7" s="630">
        <v>2474543319.3800049</v>
      </c>
      <c r="J7" s="630">
        <v>43811023689.629997</v>
      </c>
      <c r="K7" s="249">
        <v>19.899999999999999</v>
      </c>
    </row>
    <row r="8" spans="1:11">
      <c r="A8" s="236" t="s">
        <v>96</v>
      </c>
      <c r="B8" s="239" t="s">
        <v>97</v>
      </c>
      <c r="C8" s="631">
        <v>19073739304.540001</v>
      </c>
      <c r="D8" s="632">
        <v>18275836062.639999</v>
      </c>
      <c r="E8" s="250">
        <v>95.8</v>
      </c>
      <c r="F8" s="632">
        <v>20437123897.77</v>
      </c>
      <c r="G8" s="632">
        <v>18023114827.939999</v>
      </c>
      <c r="H8" s="250">
        <v>88.2</v>
      </c>
      <c r="I8" s="632">
        <v>252721234.70000076</v>
      </c>
      <c r="J8" s="632">
        <v>4942375036.7200003</v>
      </c>
      <c r="K8" s="251">
        <v>27</v>
      </c>
    </row>
    <row r="9" spans="1:11">
      <c r="A9" s="236" t="s">
        <v>98</v>
      </c>
      <c r="B9" s="239" t="s">
        <v>99</v>
      </c>
      <c r="C9" s="631">
        <v>11628493153.98</v>
      </c>
      <c r="D9" s="632">
        <v>11408699998.49</v>
      </c>
      <c r="E9" s="250">
        <v>98.1</v>
      </c>
      <c r="F9" s="632">
        <v>12271144250.35</v>
      </c>
      <c r="G9" s="632">
        <v>11257720073.889999</v>
      </c>
      <c r="H9" s="250">
        <v>91.7</v>
      </c>
      <c r="I9" s="632">
        <v>150979924.60000038</v>
      </c>
      <c r="J9" s="632">
        <v>2170061616.5</v>
      </c>
      <c r="K9" s="251">
        <v>19</v>
      </c>
    </row>
    <row r="10" spans="1:11">
      <c r="A10" s="236" t="s">
        <v>100</v>
      </c>
      <c r="B10" s="239" t="s">
        <v>101</v>
      </c>
      <c r="C10" s="631">
        <v>12905608019.4</v>
      </c>
      <c r="D10" s="632">
        <v>12410623544.629999</v>
      </c>
      <c r="E10" s="250">
        <v>96.2</v>
      </c>
      <c r="F10" s="632">
        <v>13698279947.690001</v>
      </c>
      <c r="G10" s="632">
        <v>12395942956.370001</v>
      </c>
      <c r="H10" s="250">
        <v>90.5</v>
      </c>
      <c r="I10" s="632">
        <v>14680588.259998322</v>
      </c>
      <c r="J10" s="632">
        <v>2160595496.4699998</v>
      </c>
      <c r="K10" s="251">
        <v>17.399999999999999</v>
      </c>
    </row>
    <row r="11" spans="1:11">
      <c r="A11" s="236" t="s">
        <v>102</v>
      </c>
      <c r="B11" s="239" t="s">
        <v>103</v>
      </c>
      <c r="C11" s="631">
        <v>6639476870.6199999</v>
      </c>
      <c r="D11" s="632">
        <v>6338894206.8199997</v>
      </c>
      <c r="E11" s="250">
        <v>95.5</v>
      </c>
      <c r="F11" s="632">
        <v>6990864800.3199997</v>
      </c>
      <c r="G11" s="632">
        <v>6274780363.2399998</v>
      </c>
      <c r="H11" s="250">
        <v>89.8</v>
      </c>
      <c r="I11" s="632">
        <v>64113843.579999924</v>
      </c>
      <c r="J11" s="632">
        <v>1122730482.01</v>
      </c>
      <c r="K11" s="251">
        <v>17.7</v>
      </c>
    </row>
    <row r="12" spans="1:11">
      <c r="A12" s="236" t="s">
        <v>104</v>
      </c>
      <c r="B12" s="239" t="s">
        <v>105</v>
      </c>
      <c r="C12" s="631">
        <v>14242257639.58</v>
      </c>
      <c r="D12" s="632">
        <v>14131030987.26</v>
      </c>
      <c r="E12" s="250">
        <v>99.2</v>
      </c>
      <c r="F12" s="632">
        <v>15022796613.83</v>
      </c>
      <c r="G12" s="632">
        <v>13920618436.18</v>
      </c>
      <c r="H12" s="250">
        <v>92.7</v>
      </c>
      <c r="I12" s="632">
        <v>210412551.07999992</v>
      </c>
      <c r="J12" s="632">
        <v>2621522789.1599998</v>
      </c>
      <c r="K12" s="251">
        <v>18.600000000000001</v>
      </c>
    </row>
    <row r="13" spans="1:11">
      <c r="A13" s="236" t="s">
        <v>106</v>
      </c>
      <c r="B13" s="239" t="s">
        <v>107</v>
      </c>
      <c r="C13" s="631">
        <v>19862799397.77</v>
      </c>
      <c r="D13" s="632">
        <v>19817007756.900002</v>
      </c>
      <c r="E13" s="250">
        <v>99.8</v>
      </c>
      <c r="F13" s="632">
        <v>21103896013.310001</v>
      </c>
      <c r="G13" s="632">
        <v>19644515876.580002</v>
      </c>
      <c r="H13" s="250">
        <v>93.1</v>
      </c>
      <c r="I13" s="632">
        <v>172491880.31999969</v>
      </c>
      <c r="J13" s="632">
        <v>4232989386.54</v>
      </c>
      <c r="K13" s="251">
        <v>21.4</v>
      </c>
    </row>
    <row r="14" spans="1:11">
      <c r="A14" s="236" t="s">
        <v>108</v>
      </c>
      <c r="B14" s="239" t="s">
        <v>109</v>
      </c>
      <c r="C14" s="631">
        <v>29044633213.029999</v>
      </c>
      <c r="D14" s="632">
        <v>28770760388.360001</v>
      </c>
      <c r="E14" s="250">
        <v>99.1</v>
      </c>
      <c r="F14" s="632">
        <v>30584787086.889999</v>
      </c>
      <c r="G14" s="632">
        <v>28354208071.84</v>
      </c>
      <c r="H14" s="250">
        <v>92.7</v>
      </c>
      <c r="I14" s="632">
        <v>416552316.52000046</v>
      </c>
      <c r="J14" s="632">
        <v>5892698794.5900002</v>
      </c>
      <c r="K14" s="251">
        <v>20.5</v>
      </c>
    </row>
    <row r="15" spans="1:11">
      <c r="A15" s="236" t="s">
        <v>110</v>
      </c>
      <c r="B15" s="239" t="s">
        <v>111</v>
      </c>
      <c r="C15" s="631">
        <v>6738163926.8199997</v>
      </c>
      <c r="D15" s="632">
        <v>6602050622</v>
      </c>
      <c r="E15" s="250">
        <v>98</v>
      </c>
      <c r="F15" s="632">
        <v>7286466118.8599997</v>
      </c>
      <c r="G15" s="632">
        <v>6561091066</v>
      </c>
      <c r="H15" s="250">
        <v>90</v>
      </c>
      <c r="I15" s="632">
        <v>40959556</v>
      </c>
      <c r="J15" s="632">
        <v>1151448771.4400001</v>
      </c>
      <c r="K15" s="251">
        <v>17.399999999999999</v>
      </c>
    </row>
    <row r="16" spans="1:11">
      <c r="A16" s="236" t="s">
        <v>112</v>
      </c>
      <c r="B16" s="239" t="s">
        <v>113</v>
      </c>
      <c r="C16" s="631">
        <v>14967433128.139999</v>
      </c>
      <c r="D16" s="632">
        <v>14495249736.52</v>
      </c>
      <c r="E16" s="250">
        <v>96.8</v>
      </c>
      <c r="F16" s="632">
        <v>16234214010.67</v>
      </c>
      <c r="G16" s="632">
        <v>14694850033.870001</v>
      </c>
      <c r="H16" s="250">
        <v>90.5</v>
      </c>
      <c r="I16" s="632">
        <v>-199600297.35000038</v>
      </c>
      <c r="J16" s="632">
        <v>3014432954.79</v>
      </c>
      <c r="K16" s="251">
        <v>20.8</v>
      </c>
    </row>
    <row r="17" spans="1:11">
      <c r="A17" s="236" t="s">
        <v>114</v>
      </c>
      <c r="B17" s="239" t="s">
        <v>115</v>
      </c>
      <c r="C17" s="631">
        <v>6746040900.25</v>
      </c>
      <c r="D17" s="632">
        <v>6615645170.3400002</v>
      </c>
      <c r="E17" s="250">
        <v>98.1</v>
      </c>
      <c r="F17" s="632">
        <v>7131789477.54</v>
      </c>
      <c r="G17" s="632">
        <v>6510228402.9799995</v>
      </c>
      <c r="H17" s="250">
        <v>91.3</v>
      </c>
      <c r="I17" s="632">
        <v>105416767.36000061</v>
      </c>
      <c r="J17" s="632">
        <v>968338518.72000003</v>
      </c>
      <c r="K17" s="251">
        <v>14.6</v>
      </c>
    </row>
    <row r="18" spans="1:11">
      <c r="A18" s="236" t="s">
        <v>116</v>
      </c>
      <c r="B18" s="239" t="s">
        <v>117</v>
      </c>
      <c r="C18" s="631">
        <v>14211433806.870001</v>
      </c>
      <c r="D18" s="632">
        <v>13961260744.41</v>
      </c>
      <c r="E18" s="250">
        <v>98.2</v>
      </c>
      <c r="F18" s="632">
        <v>15223476868.08</v>
      </c>
      <c r="G18" s="632">
        <v>13757916221.540001</v>
      </c>
      <c r="H18" s="250">
        <v>90.4</v>
      </c>
      <c r="I18" s="632">
        <v>203344522.86999893</v>
      </c>
      <c r="J18" s="632">
        <v>3086562786.48</v>
      </c>
      <c r="K18" s="251">
        <v>22.1</v>
      </c>
    </row>
    <row r="19" spans="1:11">
      <c r="A19" s="236" t="s">
        <v>118</v>
      </c>
      <c r="B19" s="239" t="s">
        <v>119</v>
      </c>
      <c r="C19" s="631">
        <v>16879132765.98</v>
      </c>
      <c r="D19" s="632">
        <v>16460206576.83</v>
      </c>
      <c r="E19" s="250">
        <v>97.5</v>
      </c>
      <c r="F19" s="632">
        <v>17760387937.310001</v>
      </c>
      <c r="G19" s="632">
        <v>16255407721.290001</v>
      </c>
      <c r="H19" s="250">
        <v>91.5</v>
      </c>
      <c r="I19" s="632">
        <v>204798855.53999901</v>
      </c>
      <c r="J19" s="632">
        <v>2434123058.4899998</v>
      </c>
      <c r="K19" s="251">
        <v>14.8</v>
      </c>
    </row>
    <row r="20" spans="1:11">
      <c r="A20" s="236" t="s">
        <v>120</v>
      </c>
      <c r="B20" s="239" t="s">
        <v>121</v>
      </c>
      <c r="C20" s="631">
        <v>8358508987.79</v>
      </c>
      <c r="D20" s="632">
        <v>8133502556.1300001</v>
      </c>
      <c r="E20" s="250">
        <v>97.3</v>
      </c>
      <c r="F20" s="632">
        <v>8945613256.3799992</v>
      </c>
      <c r="G20" s="632">
        <v>8064853249.29</v>
      </c>
      <c r="H20" s="250">
        <v>90.2</v>
      </c>
      <c r="I20" s="632">
        <v>68649306.840000153</v>
      </c>
      <c r="J20" s="632">
        <v>1933868621.6900001</v>
      </c>
      <c r="K20" s="251">
        <v>23.8</v>
      </c>
    </row>
    <row r="21" spans="1:11">
      <c r="A21" s="236" t="s">
        <v>122</v>
      </c>
      <c r="B21" s="239" t="s">
        <v>123</v>
      </c>
      <c r="C21" s="631">
        <v>9610150601.4200001</v>
      </c>
      <c r="D21" s="632">
        <v>9201957963.7299995</v>
      </c>
      <c r="E21" s="250">
        <v>95.8</v>
      </c>
      <c r="F21" s="632">
        <v>10262904019.58</v>
      </c>
      <c r="G21" s="632">
        <v>9215309475.4500008</v>
      </c>
      <c r="H21" s="250">
        <v>89.8</v>
      </c>
      <c r="I21" s="632">
        <v>-13351511.720001221</v>
      </c>
      <c r="J21" s="632">
        <v>2042860087.9200001</v>
      </c>
      <c r="K21" s="251">
        <v>22.2</v>
      </c>
    </row>
    <row r="22" spans="1:11">
      <c r="A22" s="236" t="s">
        <v>124</v>
      </c>
      <c r="B22" s="239" t="s">
        <v>125</v>
      </c>
      <c r="C22" s="631">
        <v>23418909966.529999</v>
      </c>
      <c r="D22" s="632">
        <v>23229807567.919998</v>
      </c>
      <c r="E22" s="250">
        <v>99.2</v>
      </c>
      <c r="F22" s="632">
        <v>24652479428.369999</v>
      </c>
      <c r="G22" s="632">
        <v>22587073259.799999</v>
      </c>
      <c r="H22" s="250">
        <v>91.6</v>
      </c>
      <c r="I22" s="632">
        <v>642734308.11999893</v>
      </c>
      <c r="J22" s="632">
        <v>4525253098.0100002</v>
      </c>
      <c r="K22" s="251">
        <v>19.5</v>
      </c>
    </row>
    <row r="23" spans="1:11">
      <c r="A23" s="237" t="s">
        <v>126</v>
      </c>
      <c r="B23" s="240" t="s">
        <v>127</v>
      </c>
      <c r="C23" s="633">
        <v>10395935100.540001</v>
      </c>
      <c r="D23" s="634">
        <v>10091247935.42</v>
      </c>
      <c r="E23" s="252">
        <v>97.1</v>
      </c>
      <c r="F23" s="634">
        <v>11077587659.639999</v>
      </c>
      <c r="G23" s="634">
        <v>9951608462.7600002</v>
      </c>
      <c r="H23" s="252">
        <v>89.8</v>
      </c>
      <c r="I23" s="634">
        <v>139639472.65999985</v>
      </c>
      <c r="J23" s="634">
        <v>1511162190.0999999</v>
      </c>
      <c r="K23" s="253">
        <v>15</v>
      </c>
    </row>
    <row r="25" spans="1:11">
      <c r="A25" s="295" t="s">
        <v>128</v>
      </c>
      <c r="B25" s="365" t="s">
        <v>909</v>
      </c>
    </row>
  </sheetData>
  <mergeCells count="12">
    <mergeCell ref="I3:I4"/>
    <mergeCell ref="J3:J4"/>
    <mergeCell ref="K3:K4"/>
    <mergeCell ref="C5:D5"/>
    <mergeCell ref="F5:G5"/>
    <mergeCell ref="I5:J5"/>
    <mergeCell ref="H3:H4"/>
    <mergeCell ref="A3:A5"/>
    <mergeCell ref="B3:B5"/>
    <mergeCell ref="C3:D3"/>
    <mergeCell ref="E3:E4"/>
    <mergeCell ref="F3:G3"/>
  </mergeCells>
  <pageMargins left="0.70866141732283472" right="0.31496062992125984" top="0.74803149606299213" bottom="0.74803149606299213" header="0.31496062992125984" footer="0.31496062992125984"/>
  <pageSetup paperSize="9" scale="8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7467-78A5-42E8-90D9-B8146AB57F28}">
  <dimension ref="A1:I48"/>
  <sheetViews>
    <sheetView view="pageBreakPreview" topLeftCell="A13" zoomScaleNormal="100" zoomScaleSheetLayoutView="100" workbookViewId="0">
      <selection activeCell="F8" sqref="F8"/>
    </sheetView>
  </sheetViews>
  <sheetFormatPr defaultColWidth="9.21875" defaultRowHeight="13.2"/>
  <cols>
    <col min="1" max="1" width="33.21875" style="529" customWidth="1"/>
    <col min="2" max="3" width="13.21875" style="529" bestFit="1" customWidth="1"/>
    <col min="4" max="4" width="16.5546875" style="529" customWidth="1"/>
    <col min="5" max="5" width="8.44140625" style="529" customWidth="1"/>
    <col min="6" max="6" width="7" style="529" bestFit="1" customWidth="1"/>
    <col min="7" max="7" width="7.44140625" style="529" bestFit="1" customWidth="1"/>
    <col min="8" max="8" width="2.77734375" style="529" customWidth="1"/>
    <col min="9" max="9" width="12.21875" style="529" bestFit="1" customWidth="1"/>
    <col min="10" max="16384" width="9.21875" style="529"/>
  </cols>
  <sheetData>
    <row r="1" spans="1:9" ht="13.8">
      <c r="A1" s="2357" t="s">
        <v>986</v>
      </c>
      <c r="B1" s="2357"/>
      <c r="C1" s="2357"/>
      <c r="D1" s="2357"/>
      <c r="E1" s="2357"/>
      <c r="F1" s="2358"/>
      <c r="G1" s="2359"/>
    </row>
    <row r="2" spans="1:9" ht="13.5" customHeight="1"/>
    <row r="3" spans="1:9" ht="24" customHeight="1">
      <c r="A3" s="2360" t="s">
        <v>1</v>
      </c>
      <c r="B3" s="2362" t="s">
        <v>843</v>
      </c>
      <c r="C3" s="2362" t="s">
        <v>923</v>
      </c>
      <c r="D3" s="2362" t="s">
        <v>924</v>
      </c>
      <c r="E3" s="2362" t="s">
        <v>792</v>
      </c>
      <c r="F3" s="2362" t="s">
        <v>5</v>
      </c>
      <c r="G3" s="2364" t="s">
        <v>782</v>
      </c>
    </row>
    <row r="4" spans="1:9">
      <c r="A4" s="2361"/>
      <c r="B4" s="2363"/>
      <c r="C4" s="2363"/>
      <c r="D4" s="2363"/>
      <c r="E4" s="2363"/>
      <c r="F4" s="2363"/>
      <c r="G4" s="2365"/>
    </row>
    <row r="5" spans="1:9">
      <c r="A5" s="2361"/>
      <c r="B5" s="2363"/>
      <c r="C5" s="2363"/>
      <c r="D5" s="2363"/>
      <c r="E5" s="2363"/>
      <c r="F5" s="2363"/>
      <c r="G5" s="2365"/>
    </row>
    <row r="6" spans="1:9">
      <c r="A6" s="2361"/>
      <c r="B6" s="2366" t="s">
        <v>163</v>
      </c>
      <c r="C6" s="2366"/>
      <c r="D6" s="2366"/>
      <c r="E6" s="2367" t="s">
        <v>134</v>
      </c>
      <c r="F6" s="2367"/>
      <c r="G6" s="2368"/>
    </row>
    <row r="7" spans="1:9">
      <c r="A7" s="742" t="s">
        <v>10</v>
      </c>
      <c r="B7" s="734" t="s">
        <v>11</v>
      </c>
      <c r="C7" s="734" t="s">
        <v>12</v>
      </c>
      <c r="D7" s="734" t="s">
        <v>13</v>
      </c>
      <c r="E7" s="734" t="s">
        <v>14</v>
      </c>
      <c r="F7" s="734" t="s">
        <v>15</v>
      </c>
      <c r="G7" s="743" t="s">
        <v>16</v>
      </c>
    </row>
    <row r="8" spans="1:9" ht="26.4">
      <c r="A8" s="530" t="s">
        <v>783</v>
      </c>
      <c r="B8" s="531">
        <v>201841692803.57999</v>
      </c>
      <c r="C8" s="744">
        <v>224722716783.26001</v>
      </c>
      <c r="D8" s="532">
        <v>219943781818.39999</v>
      </c>
      <c r="E8" s="525">
        <f>D8/C8*100</f>
        <v>97.87340815683126</v>
      </c>
      <c r="F8" s="526">
        <f>D8/$D$8*100</f>
        <v>100</v>
      </c>
      <c r="G8" s="527">
        <f>D8/B8*100</f>
        <v>108.96845877746173</v>
      </c>
    </row>
    <row r="9" spans="1:9" ht="26.4">
      <c r="A9" s="505" t="s">
        <v>784</v>
      </c>
      <c r="B9" s="1996">
        <v>92275055375.97998</v>
      </c>
      <c r="C9" s="506">
        <v>142692710547.68002</v>
      </c>
      <c r="D9" s="534">
        <v>142583742160.79001</v>
      </c>
      <c r="E9" s="535">
        <f t="shared" ref="E9:E31" si="0">D9/C9*100</f>
        <v>99.923634230177711</v>
      </c>
      <c r="F9" s="536">
        <f t="shared" ref="F9:F31" si="1">D9/$D$8*100</f>
        <v>64.827357692028997</v>
      </c>
      <c r="G9" s="537">
        <f t="shared" ref="G9:G31" si="2">D9/B9*100</f>
        <v>154.52035393511758</v>
      </c>
      <c r="I9" s="546"/>
    </row>
    <row r="10" spans="1:9">
      <c r="A10" s="509" t="s">
        <v>786</v>
      </c>
      <c r="B10" s="538">
        <v>33469074405</v>
      </c>
      <c r="C10" s="510">
        <v>79593251778.880005</v>
      </c>
      <c r="D10" s="539">
        <v>79593251436.990005</v>
      </c>
      <c r="E10" s="540">
        <f t="shared" si="0"/>
        <v>99.999999570453539</v>
      </c>
      <c r="F10" s="541">
        <f t="shared" si="1"/>
        <v>36.187998032473324</v>
      </c>
      <c r="G10" s="542">
        <f t="shared" si="2"/>
        <v>237.81133136176433</v>
      </c>
    </row>
    <row r="11" spans="1:9">
      <c r="A11" s="509" t="s">
        <v>785</v>
      </c>
      <c r="B11" s="538">
        <v>2860617984</v>
      </c>
      <c r="C11" s="510">
        <v>3261171422.3699999</v>
      </c>
      <c r="D11" s="539">
        <v>3261171418.52</v>
      </c>
      <c r="E11" s="540">
        <f t="shared" si="0"/>
        <v>99.999999881944262</v>
      </c>
      <c r="F11" s="541">
        <f t="shared" si="1"/>
        <v>1.4827295373199669</v>
      </c>
      <c r="G11" s="542">
        <f t="shared" si="2"/>
        <v>114.0023392413938</v>
      </c>
    </row>
    <row r="12" spans="1:9">
      <c r="A12" s="509" t="s">
        <v>847</v>
      </c>
      <c r="B12" s="538">
        <v>21758144591.990002</v>
      </c>
      <c r="C12" s="510">
        <v>23414581697.93</v>
      </c>
      <c r="D12" s="539">
        <v>23764267937.459999</v>
      </c>
      <c r="E12" s="540">
        <f t="shared" si="0"/>
        <v>101.49345499330835</v>
      </c>
      <c r="F12" s="541">
        <f t="shared" si="1"/>
        <v>10.804700974488716</v>
      </c>
      <c r="G12" s="542">
        <f t="shared" si="2"/>
        <v>109.22010301470524</v>
      </c>
    </row>
    <row r="13" spans="1:9">
      <c r="A13" s="509" t="s">
        <v>848</v>
      </c>
      <c r="B13" s="745">
        <v>2196020785.54</v>
      </c>
      <c r="C13" s="510">
        <v>2267704126.8600001</v>
      </c>
      <c r="D13" s="543">
        <v>2237868820.4699998</v>
      </c>
      <c r="E13" s="540">
        <f t="shared" si="0"/>
        <v>98.684338664968948</v>
      </c>
      <c r="F13" s="541">
        <f t="shared" si="1"/>
        <v>1.0174731024302068</v>
      </c>
      <c r="G13" s="542">
        <f t="shared" si="2"/>
        <v>101.9056301837193</v>
      </c>
    </row>
    <row r="14" spans="1:9">
      <c r="A14" s="509" t="s">
        <v>849</v>
      </c>
      <c r="B14" s="745">
        <v>498817862.58999997</v>
      </c>
      <c r="C14" s="510">
        <v>442651675.54000002</v>
      </c>
      <c r="D14" s="543">
        <v>424551119.19999999</v>
      </c>
      <c r="E14" s="540">
        <f t="shared" si="0"/>
        <v>95.910880419029525</v>
      </c>
      <c r="F14" s="541">
        <f t="shared" si="1"/>
        <v>0.19302710705890164</v>
      </c>
      <c r="G14" s="542">
        <f t="shared" si="2"/>
        <v>85.111450699783177</v>
      </c>
      <c r="I14" s="546"/>
    </row>
    <row r="15" spans="1:9">
      <c r="A15" s="509" t="s">
        <v>590</v>
      </c>
      <c r="B15" s="745">
        <v>1099323888.6099999</v>
      </c>
      <c r="C15" s="510">
        <v>1128593356.6500001</v>
      </c>
      <c r="D15" s="543">
        <v>1121006951.02</v>
      </c>
      <c r="E15" s="540">
        <f t="shared" si="0"/>
        <v>99.327799903720958</v>
      </c>
      <c r="F15" s="541">
        <f t="shared" si="1"/>
        <v>0.50967885600220186</v>
      </c>
      <c r="G15" s="542">
        <f t="shared" si="2"/>
        <v>101.97239982089505</v>
      </c>
      <c r="I15" s="546"/>
    </row>
    <row r="16" spans="1:9">
      <c r="A16" s="509" t="s">
        <v>591</v>
      </c>
      <c r="B16" s="745">
        <v>2030838823.1099999</v>
      </c>
      <c r="C16" s="510">
        <v>1931408493.55</v>
      </c>
      <c r="D16" s="543">
        <v>2130525016.99</v>
      </c>
      <c r="E16" s="540">
        <f t="shared" si="0"/>
        <v>110.30939462599217</v>
      </c>
      <c r="F16" s="541">
        <f t="shared" si="1"/>
        <v>0.96866799296426631</v>
      </c>
      <c r="G16" s="542">
        <f t="shared" si="2"/>
        <v>104.90862163681417</v>
      </c>
    </row>
    <row r="17" spans="1:7" ht="26.4">
      <c r="A17" s="509" t="s">
        <v>850</v>
      </c>
      <c r="B17" s="745">
        <v>102227141.31999999</v>
      </c>
      <c r="C17" s="510">
        <v>93584580.980000004</v>
      </c>
      <c r="D17" s="543">
        <v>99076536.870000005</v>
      </c>
      <c r="E17" s="540">
        <f t="shared" si="0"/>
        <v>105.86844096804117</v>
      </c>
      <c r="F17" s="541">
        <f t="shared" si="1"/>
        <v>4.504630049137015E-2</v>
      </c>
      <c r="G17" s="542">
        <f t="shared" si="2"/>
        <v>96.918035260188191</v>
      </c>
    </row>
    <row r="18" spans="1:7">
      <c r="A18" s="509" t="s">
        <v>851</v>
      </c>
      <c r="B18" s="745">
        <v>192243189.06</v>
      </c>
      <c r="C18" s="510">
        <v>199052854.09</v>
      </c>
      <c r="D18" s="543">
        <v>205963065.22</v>
      </c>
      <c r="E18" s="540">
        <f t="shared" si="0"/>
        <v>103.47154586734817</v>
      </c>
      <c r="F18" s="541">
        <f t="shared" si="1"/>
        <v>9.364350449791603E-2</v>
      </c>
      <c r="G18" s="542">
        <f t="shared" si="2"/>
        <v>107.13672938276007</v>
      </c>
    </row>
    <row r="19" spans="1:7">
      <c r="A19" s="509" t="s">
        <v>592</v>
      </c>
      <c r="B19" s="745">
        <v>424769074.33999997</v>
      </c>
      <c r="C19" s="510">
        <v>507951818.12</v>
      </c>
      <c r="D19" s="543">
        <v>513418551.82999998</v>
      </c>
      <c r="E19" s="540">
        <f t="shared" si="0"/>
        <v>101.07623075949076</v>
      </c>
      <c r="F19" s="541">
        <f t="shared" si="1"/>
        <v>0.23343171949908181</v>
      </c>
      <c r="G19" s="542">
        <f t="shared" si="2"/>
        <v>120.87004041613487</v>
      </c>
    </row>
    <row r="20" spans="1:7">
      <c r="A20" s="509" t="s">
        <v>852</v>
      </c>
      <c r="B20" s="745">
        <v>266511367.86000001</v>
      </c>
      <c r="C20" s="510">
        <v>266405899.69</v>
      </c>
      <c r="D20" s="543">
        <v>299614241.33999997</v>
      </c>
      <c r="E20" s="540">
        <f t="shared" si="0"/>
        <v>112.46531765574352</v>
      </c>
      <c r="F20" s="541">
        <f t="shared" si="1"/>
        <v>0.13622310158665052</v>
      </c>
      <c r="G20" s="542">
        <f t="shared" si="2"/>
        <v>112.42081106926332</v>
      </c>
    </row>
    <row r="21" spans="1:7">
      <c r="A21" s="509" t="s">
        <v>593</v>
      </c>
      <c r="B21" s="745">
        <v>111707718.3</v>
      </c>
      <c r="C21" s="510">
        <v>116175490.52</v>
      </c>
      <c r="D21" s="543">
        <v>113691666.81999999</v>
      </c>
      <c r="E21" s="540">
        <f t="shared" si="0"/>
        <v>97.862007133447477</v>
      </c>
      <c r="F21" s="541">
        <f t="shared" si="1"/>
        <v>5.1691239406745894E-2</v>
      </c>
      <c r="G21" s="542">
        <f t="shared" si="2"/>
        <v>101.77601740523599</v>
      </c>
    </row>
    <row r="22" spans="1:7">
      <c r="A22" s="509" t="s">
        <v>853</v>
      </c>
      <c r="B22" s="745">
        <v>69556131.219999999</v>
      </c>
      <c r="C22" s="510">
        <v>74307510.150000006</v>
      </c>
      <c r="D22" s="543">
        <v>76734757.299999997</v>
      </c>
      <c r="E22" s="540">
        <f t="shared" si="0"/>
        <v>103.26648967930731</v>
      </c>
      <c r="F22" s="541">
        <f t="shared" si="1"/>
        <v>3.4888350407358756E-2</v>
      </c>
      <c r="G22" s="542">
        <f t="shared" si="2"/>
        <v>110.32062300488599</v>
      </c>
    </row>
    <row r="23" spans="1:7">
      <c r="A23" s="509" t="s">
        <v>854</v>
      </c>
      <c r="B23" s="745">
        <v>100991519.08</v>
      </c>
      <c r="C23" s="510">
        <v>105334332</v>
      </c>
      <c r="D23" s="539">
        <v>107993073.93000001</v>
      </c>
      <c r="E23" s="540">
        <f t="shared" si="0"/>
        <v>102.52409815443649</v>
      </c>
      <c r="F23" s="541">
        <f t="shared" si="1"/>
        <v>4.9100307831919598E-2</v>
      </c>
      <c r="G23" s="542">
        <f t="shared" si="2"/>
        <v>106.93281466976823</v>
      </c>
    </row>
    <row r="24" spans="1:7">
      <c r="A24" s="509" t="s">
        <v>855</v>
      </c>
      <c r="B24" s="745">
        <v>3096909.8400000003</v>
      </c>
      <c r="C24" s="510">
        <v>2985357</v>
      </c>
      <c r="D24" s="539">
        <v>2781885.37</v>
      </c>
      <c r="E24" s="540">
        <f t="shared" si="0"/>
        <v>93.184345121873207</v>
      </c>
      <c r="F24" s="541">
        <f t="shared" si="1"/>
        <v>1.2648165576678622E-3</v>
      </c>
      <c r="G24" s="542">
        <f t="shared" si="2"/>
        <v>89.827780391566066</v>
      </c>
    </row>
    <row r="25" spans="1:7">
      <c r="A25" s="509" t="s">
        <v>856</v>
      </c>
      <c r="B25" s="745">
        <v>1161317.46</v>
      </c>
      <c r="C25" s="510">
        <v>1064775</v>
      </c>
      <c r="D25" s="539">
        <v>1271523.6499999999</v>
      </c>
      <c r="E25" s="540">
        <f t="shared" si="0"/>
        <v>119.41712098800214</v>
      </c>
      <c r="F25" s="541">
        <f t="shared" si="1"/>
        <v>5.7811302483188785E-4</v>
      </c>
      <c r="G25" s="542">
        <f t="shared" si="2"/>
        <v>109.48975571244748</v>
      </c>
    </row>
    <row r="26" spans="1:7">
      <c r="A26" s="509" t="s">
        <v>594</v>
      </c>
      <c r="B26" s="538">
        <v>4366123042.5699997</v>
      </c>
      <c r="C26" s="510">
        <v>4698467845.8599997</v>
      </c>
      <c r="D26" s="539">
        <v>4261824940.96</v>
      </c>
      <c r="E26" s="540">
        <f t="shared" si="0"/>
        <v>90.706695901202295</v>
      </c>
      <c r="F26" s="541">
        <f t="shared" si="1"/>
        <v>1.9376883064049715</v>
      </c>
      <c r="G26" s="542">
        <f t="shared" si="2"/>
        <v>97.611196464389892</v>
      </c>
    </row>
    <row r="27" spans="1:7">
      <c r="A27" s="509" t="s">
        <v>595</v>
      </c>
      <c r="B27" s="538">
        <v>22723829624.089981</v>
      </c>
      <c r="C27" s="510">
        <v>24588017532.490013</v>
      </c>
      <c r="D27" s="539">
        <v>24368729216.850002</v>
      </c>
      <c r="E27" s="540">
        <f t="shared" si="0"/>
        <v>99.108149669446718</v>
      </c>
      <c r="F27" s="541">
        <f t="shared" si="1"/>
        <v>11.079526329582903</v>
      </c>
      <c r="G27" s="542">
        <f t="shared" si="2"/>
        <v>107.23865483930679</v>
      </c>
    </row>
    <row r="28" spans="1:7" ht="26.4">
      <c r="A28" s="505" t="s">
        <v>788</v>
      </c>
      <c r="B28" s="533">
        <v>54608311749.599991</v>
      </c>
      <c r="C28" s="506">
        <v>57347522880.039993</v>
      </c>
      <c r="D28" s="534">
        <v>52647183124.840004</v>
      </c>
      <c r="E28" s="535">
        <f t="shared" si="0"/>
        <v>91.803761489345931</v>
      </c>
      <c r="F28" s="536">
        <f t="shared" si="1"/>
        <v>23.936654489422651</v>
      </c>
      <c r="G28" s="537">
        <f t="shared" si="2"/>
        <v>96.408736029503146</v>
      </c>
    </row>
    <row r="29" spans="1:7">
      <c r="A29" s="509" t="s">
        <v>789</v>
      </c>
      <c r="B29" s="538">
        <v>50327290518.239998</v>
      </c>
      <c r="C29" s="510">
        <v>48100922441.519997</v>
      </c>
      <c r="D29" s="539">
        <v>45293817848.210007</v>
      </c>
      <c r="E29" s="540">
        <f t="shared" si="0"/>
        <v>94.164135632278573</v>
      </c>
      <c r="F29" s="541">
        <f t="shared" si="1"/>
        <v>20.593361391597583</v>
      </c>
      <c r="G29" s="542">
        <f t="shared" si="2"/>
        <v>89.998522435445395</v>
      </c>
    </row>
    <row r="30" spans="1:7" ht="66">
      <c r="A30" s="516" t="s">
        <v>790</v>
      </c>
      <c r="B30" s="538">
        <v>4281021231.3599997</v>
      </c>
      <c r="C30" s="510">
        <v>9246600438.5200005</v>
      </c>
      <c r="D30" s="539">
        <v>7353365276.6300001</v>
      </c>
      <c r="E30" s="540">
        <f t="shared" si="0"/>
        <v>79.525067894108886</v>
      </c>
      <c r="F30" s="541">
        <f t="shared" si="1"/>
        <v>3.3432930978250708</v>
      </c>
      <c r="G30" s="542">
        <f t="shared" si="2"/>
        <v>171.76661546931817</v>
      </c>
    </row>
    <row r="31" spans="1:7">
      <c r="A31" s="517" t="s">
        <v>791</v>
      </c>
      <c r="B31" s="544">
        <v>54958325678</v>
      </c>
      <c r="C31" s="518">
        <v>24682483355.540001</v>
      </c>
      <c r="D31" s="545">
        <v>24712856532.77</v>
      </c>
      <c r="E31" s="521">
        <f t="shared" si="0"/>
        <v>100.12305559692875</v>
      </c>
      <c r="F31" s="522">
        <f t="shared" si="1"/>
        <v>11.235987818548358</v>
      </c>
      <c r="G31" s="523">
        <f t="shared" si="2"/>
        <v>44.966538241288958</v>
      </c>
    </row>
    <row r="33" spans="1:6">
      <c r="A33" s="524" t="s">
        <v>925</v>
      </c>
    </row>
    <row r="35" spans="1:6">
      <c r="C35" s="546"/>
      <c r="D35" s="546"/>
    </row>
    <row r="48" spans="1:6">
      <c r="E48" s="546"/>
      <c r="F48" s="546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4D79-5EC9-43ED-AC31-3DA9E12B6A97}">
  <dimension ref="A1:G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6.21875" style="441" customWidth="1"/>
    <col min="2" max="2" width="15.44140625" style="441" customWidth="1"/>
    <col min="3" max="3" width="10.21875" style="441" customWidth="1"/>
    <col min="4" max="6" width="9.21875" style="441"/>
    <col min="7" max="7" width="10.5546875" style="441" customWidth="1"/>
    <col min="8" max="16384" width="9.21875" style="441"/>
  </cols>
  <sheetData>
    <row r="1" spans="1:7" ht="30" customHeight="1">
      <c r="A1" s="2137" t="s">
        <v>841</v>
      </c>
      <c r="B1" s="2137"/>
      <c r="C1" s="2137"/>
      <c r="D1" s="2137"/>
      <c r="E1" s="2137"/>
      <c r="F1" s="2137"/>
      <c r="G1" s="2137"/>
    </row>
    <row r="3" spans="1:7" ht="24" customHeight="1">
      <c r="A3" s="2138" t="s">
        <v>87</v>
      </c>
      <c r="B3" s="2140" t="s">
        <v>1</v>
      </c>
      <c r="C3" s="2142" t="s">
        <v>157</v>
      </c>
      <c r="D3" s="378" t="s">
        <v>158</v>
      </c>
      <c r="E3" s="378" t="s">
        <v>159</v>
      </c>
      <c r="F3" s="378" t="s">
        <v>160</v>
      </c>
      <c r="G3" s="376" t="s">
        <v>161</v>
      </c>
    </row>
    <row r="4" spans="1:7">
      <c r="A4" s="2139"/>
      <c r="B4" s="2141"/>
      <c r="C4" s="2143"/>
      <c r="D4" s="2144" t="s">
        <v>162</v>
      </c>
      <c r="E4" s="2145"/>
      <c r="F4" s="2145"/>
      <c r="G4" s="2146"/>
    </row>
    <row r="5" spans="1:7" ht="14.4">
      <c r="A5" s="2139"/>
      <c r="B5" s="2141"/>
      <c r="C5" s="297"/>
      <c r="D5" s="2147" t="s">
        <v>163</v>
      </c>
      <c r="E5" s="2148"/>
      <c r="F5" s="2148"/>
      <c r="G5" s="2149"/>
    </row>
    <row r="6" spans="1:7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9" t="s">
        <v>16</v>
      </c>
    </row>
    <row r="7" spans="1:7">
      <c r="A7" s="299"/>
      <c r="B7" s="300" t="s">
        <v>129</v>
      </c>
      <c r="C7" s="303">
        <v>37489087</v>
      </c>
      <c r="D7" s="309">
        <v>12489.3</v>
      </c>
      <c r="E7" s="309">
        <v>12440.8</v>
      </c>
      <c r="F7" s="309">
        <v>48.5</v>
      </c>
      <c r="G7" s="306">
        <v>3081.9</v>
      </c>
    </row>
    <row r="8" spans="1:7">
      <c r="A8" s="366" t="s">
        <v>96</v>
      </c>
      <c r="B8" s="301" t="s">
        <v>97</v>
      </c>
      <c r="C8" s="304">
        <v>2868242</v>
      </c>
      <c r="D8" s="310">
        <v>13054</v>
      </c>
      <c r="E8" s="310">
        <v>13086.7</v>
      </c>
      <c r="F8" s="310">
        <v>-32.700000000000003</v>
      </c>
      <c r="G8" s="307">
        <v>4008.1</v>
      </c>
    </row>
    <row r="9" spans="1:7">
      <c r="A9" s="366" t="s">
        <v>98</v>
      </c>
      <c r="B9" s="301" t="s">
        <v>99</v>
      </c>
      <c r="C9" s="304">
        <v>1984479</v>
      </c>
      <c r="D9" s="310">
        <v>12338.3</v>
      </c>
      <c r="E9" s="310">
        <v>12287.4</v>
      </c>
      <c r="F9" s="310">
        <v>50.9</v>
      </c>
      <c r="G9" s="307">
        <v>2911.4</v>
      </c>
    </row>
    <row r="10" spans="1:7">
      <c r="A10" s="366" t="s">
        <v>100</v>
      </c>
      <c r="B10" s="301" t="s">
        <v>101</v>
      </c>
      <c r="C10" s="304">
        <v>1996440</v>
      </c>
      <c r="D10" s="310">
        <v>11827.1</v>
      </c>
      <c r="E10" s="310">
        <v>11767.9</v>
      </c>
      <c r="F10" s="310">
        <v>59.3</v>
      </c>
      <c r="G10" s="307">
        <v>3035.3</v>
      </c>
    </row>
    <row r="11" spans="1:7">
      <c r="A11" s="366" t="s">
        <v>102</v>
      </c>
      <c r="B11" s="301" t="s">
        <v>103</v>
      </c>
      <c r="C11" s="304">
        <v>969819</v>
      </c>
      <c r="D11" s="310">
        <v>12318</v>
      </c>
      <c r="E11" s="310">
        <v>12453.1</v>
      </c>
      <c r="F11" s="310">
        <v>-135.1</v>
      </c>
      <c r="G11" s="307">
        <v>3104.5</v>
      </c>
    </row>
    <row r="12" spans="1:7">
      <c r="A12" s="366" t="s">
        <v>104</v>
      </c>
      <c r="B12" s="301" t="s">
        <v>105</v>
      </c>
      <c r="C12" s="304">
        <v>2345924</v>
      </c>
      <c r="D12" s="310">
        <v>12071.8</v>
      </c>
      <c r="E12" s="310">
        <v>12155.6</v>
      </c>
      <c r="F12" s="310">
        <v>-83.8</v>
      </c>
      <c r="G12" s="307">
        <v>4032.2</v>
      </c>
    </row>
    <row r="13" spans="1:7">
      <c r="A13" s="366" t="s">
        <v>106</v>
      </c>
      <c r="B13" s="301" t="s">
        <v>107</v>
      </c>
      <c r="C13" s="304">
        <v>3429084</v>
      </c>
      <c r="D13" s="310">
        <v>11604.1</v>
      </c>
      <c r="E13" s="310">
        <v>11811.1</v>
      </c>
      <c r="F13" s="310">
        <v>-207</v>
      </c>
      <c r="G13" s="307">
        <v>3985.5</v>
      </c>
    </row>
    <row r="14" spans="1:7">
      <c r="A14" s="366" t="s">
        <v>108</v>
      </c>
      <c r="B14" s="301" t="s">
        <v>109</v>
      </c>
      <c r="C14" s="304">
        <v>5508322</v>
      </c>
      <c r="D14" s="310">
        <v>13806</v>
      </c>
      <c r="E14" s="310">
        <v>13767.8</v>
      </c>
      <c r="F14" s="310">
        <v>38.299999999999997</v>
      </c>
      <c r="G14" s="307">
        <v>3178.3</v>
      </c>
    </row>
    <row r="15" spans="1:7">
      <c r="A15" s="366" t="s">
        <v>110</v>
      </c>
      <c r="B15" s="301" t="s">
        <v>111</v>
      </c>
      <c r="C15" s="304">
        <v>930296</v>
      </c>
      <c r="D15" s="310">
        <v>11950.8</v>
      </c>
      <c r="E15" s="310">
        <v>11945.9</v>
      </c>
      <c r="F15" s="310">
        <v>4.9000000000000004</v>
      </c>
      <c r="G15" s="307">
        <v>2298.4</v>
      </c>
    </row>
    <row r="16" spans="1:7">
      <c r="A16" s="366" t="s">
        <v>112</v>
      </c>
      <c r="B16" s="301" t="s">
        <v>113</v>
      </c>
      <c r="C16" s="304">
        <v>2062997</v>
      </c>
      <c r="D16" s="310">
        <v>12345.2</v>
      </c>
      <c r="E16" s="310">
        <v>12278.4</v>
      </c>
      <c r="F16" s="310">
        <v>66.8</v>
      </c>
      <c r="G16" s="307">
        <v>2682.8</v>
      </c>
    </row>
    <row r="17" spans="1:7">
      <c r="A17" s="366" t="s">
        <v>114</v>
      </c>
      <c r="B17" s="301" t="s">
        <v>115</v>
      </c>
      <c r="C17" s="304">
        <v>1132641</v>
      </c>
      <c r="D17" s="310">
        <v>13153.7</v>
      </c>
      <c r="E17" s="310">
        <v>12967.8</v>
      </c>
      <c r="F17" s="310">
        <v>185.9</v>
      </c>
      <c r="G17" s="307">
        <v>2488.1999999999998</v>
      </c>
    </row>
    <row r="18" spans="1:7">
      <c r="A18" s="366" t="s">
        <v>116</v>
      </c>
      <c r="B18" s="301" t="s">
        <v>117</v>
      </c>
      <c r="C18" s="304">
        <v>2359493</v>
      </c>
      <c r="D18" s="310">
        <v>12930.1</v>
      </c>
      <c r="E18" s="310">
        <v>12756.7</v>
      </c>
      <c r="F18" s="310">
        <v>173.3</v>
      </c>
      <c r="G18" s="307">
        <v>2761</v>
      </c>
    </row>
    <row r="19" spans="1:7">
      <c r="A19" s="366" t="s">
        <v>118</v>
      </c>
      <c r="B19" s="301" t="s">
        <v>119</v>
      </c>
      <c r="C19" s="304">
        <v>4291441</v>
      </c>
      <c r="D19" s="310">
        <v>11743.4</v>
      </c>
      <c r="E19" s="310">
        <v>11707.8</v>
      </c>
      <c r="F19" s="310">
        <v>35.6</v>
      </c>
      <c r="G19" s="307">
        <v>2605.4</v>
      </c>
    </row>
    <row r="20" spans="1:7">
      <c r="A20" s="366" t="s">
        <v>120</v>
      </c>
      <c r="B20" s="301" t="s">
        <v>121</v>
      </c>
      <c r="C20" s="304">
        <v>1157991</v>
      </c>
      <c r="D20" s="310">
        <v>12254.5</v>
      </c>
      <c r="E20" s="310">
        <v>12094.4</v>
      </c>
      <c r="F20" s="310">
        <v>160.1</v>
      </c>
      <c r="G20" s="307">
        <v>2995.9</v>
      </c>
    </row>
    <row r="21" spans="1:7">
      <c r="A21" s="366" t="s">
        <v>122</v>
      </c>
      <c r="B21" s="301" t="s">
        <v>123</v>
      </c>
      <c r="C21" s="304">
        <v>1349172</v>
      </c>
      <c r="D21" s="310">
        <v>12498.8</v>
      </c>
      <c r="E21" s="310">
        <v>12289.2</v>
      </c>
      <c r="F21" s="310">
        <v>209.5</v>
      </c>
      <c r="G21" s="307">
        <v>2355</v>
      </c>
    </row>
    <row r="22" spans="1:7">
      <c r="A22" s="366" t="s">
        <v>124</v>
      </c>
      <c r="B22" s="301" t="s">
        <v>125</v>
      </c>
      <c r="C22" s="304">
        <v>3479986</v>
      </c>
      <c r="D22" s="310">
        <v>12080.6</v>
      </c>
      <c r="E22" s="310">
        <v>11880.7</v>
      </c>
      <c r="F22" s="310">
        <v>199.9</v>
      </c>
      <c r="G22" s="307">
        <v>2412.6</v>
      </c>
    </row>
    <row r="23" spans="1:7">
      <c r="A23" s="367" t="s">
        <v>126</v>
      </c>
      <c r="B23" s="302" t="s">
        <v>127</v>
      </c>
      <c r="C23" s="305">
        <v>1622760</v>
      </c>
      <c r="D23" s="311">
        <v>12993.2</v>
      </c>
      <c r="E23" s="311">
        <v>12721.2</v>
      </c>
      <c r="F23" s="311">
        <v>272</v>
      </c>
      <c r="G23" s="308">
        <v>3285.2</v>
      </c>
    </row>
    <row r="25" spans="1:7" ht="14.4">
      <c r="A25" s="800" t="s">
        <v>128</v>
      </c>
      <c r="B25" s="801" t="s">
        <v>909</v>
      </c>
      <c r="C25" s="295"/>
      <c r="D25" s="295"/>
      <c r="E25" s="295"/>
      <c r="F25" s="295"/>
      <c r="G25" s="295"/>
    </row>
    <row r="26" spans="1:7" ht="14.4">
      <c r="A26" s="800"/>
      <c r="B26" s="801" t="s">
        <v>910</v>
      </c>
      <c r="C26" s="295"/>
      <c r="D26" s="295"/>
      <c r="E26" s="295"/>
      <c r="F26" s="295"/>
      <c r="G26" s="295"/>
    </row>
  </sheetData>
  <mergeCells count="6">
    <mergeCell ref="A1:G1"/>
    <mergeCell ref="A3:A5"/>
    <mergeCell ref="B3:B5"/>
    <mergeCell ref="C3:C4"/>
    <mergeCell ref="D4:G4"/>
    <mergeCell ref="D5:G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7E01-73BF-4A1A-AC63-0375C8D82E2F}">
  <sheetPr codeName="Arkusz4"/>
  <dimension ref="A1:H42"/>
  <sheetViews>
    <sheetView view="pageBreakPreview" topLeftCell="A10" zoomScaleNormal="100" zoomScaleSheetLayoutView="100" workbookViewId="0">
      <selection activeCell="F8" sqref="F8"/>
    </sheetView>
  </sheetViews>
  <sheetFormatPr defaultColWidth="8.77734375" defaultRowHeight="13.2"/>
  <cols>
    <col min="1" max="1" width="6.21875" style="17" customWidth="1"/>
    <col min="2" max="2" width="26.77734375" style="1" customWidth="1"/>
    <col min="3" max="5" width="13.44140625" style="2" bestFit="1" customWidth="1"/>
    <col min="6" max="8" width="7.21875" style="2" customWidth="1"/>
    <col min="9" max="9" width="3.88671875" style="2" customWidth="1"/>
    <col min="10" max="16384" width="8.77734375" style="2"/>
  </cols>
  <sheetData>
    <row r="1" spans="1:8" ht="13.8">
      <c r="A1" s="442" t="s">
        <v>987</v>
      </c>
    </row>
    <row r="3" spans="1:8">
      <c r="A3" s="2167" t="s">
        <v>0</v>
      </c>
      <c r="B3" s="2170" t="s">
        <v>1</v>
      </c>
      <c r="C3" s="3" t="s">
        <v>2</v>
      </c>
      <c r="D3" s="4" t="s">
        <v>3</v>
      </c>
      <c r="E3" s="4" t="s">
        <v>2</v>
      </c>
      <c r="F3" s="5" t="s">
        <v>4</v>
      </c>
      <c r="G3" s="2173" t="s">
        <v>5</v>
      </c>
      <c r="H3" s="6" t="s">
        <v>6</v>
      </c>
    </row>
    <row r="4" spans="1:8">
      <c r="A4" s="2168"/>
      <c r="B4" s="2171"/>
      <c r="C4" s="7">
        <v>2024</v>
      </c>
      <c r="D4" s="8">
        <v>2025</v>
      </c>
      <c r="E4" s="8">
        <v>2025</v>
      </c>
      <c r="F4" s="9" t="s">
        <v>7</v>
      </c>
      <c r="G4" s="2174"/>
      <c r="H4" s="10" t="s">
        <v>8</v>
      </c>
    </row>
    <row r="5" spans="1:8">
      <c r="A5" s="2169"/>
      <c r="B5" s="2172"/>
      <c r="C5" s="2175" t="s">
        <v>93</v>
      </c>
      <c r="D5" s="2175"/>
      <c r="E5" s="2176"/>
      <c r="F5" s="2177" t="s">
        <v>9</v>
      </c>
      <c r="G5" s="2175"/>
      <c r="H5" s="2178"/>
    </row>
    <row r="6" spans="1:8">
      <c r="A6" s="11" t="s">
        <v>10</v>
      </c>
      <c r="B6" s="12" t="s">
        <v>11</v>
      </c>
      <c r="C6" s="13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5" t="s">
        <v>17</v>
      </c>
    </row>
    <row r="7" spans="1:8">
      <c r="A7" s="644"/>
      <c r="B7" s="649" t="s">
        <v>18</v>
      </c>
      <c r="C7" s="648">
        <v>201841692803.57999</v>
      </c>
      <c r="D7" s="645">
        <v>224722716783.26001</v>
      </c>
      <c r="E7" s="645">
        <v>219943781818.39999</v>
      </c>
      <c r="F7" s="646">
        <v>97.9</v>
      </c>
      <c r="G7" s="646">
        <v>100</v>
      </c>
      <c r="H7" s="647">
        <v>109</v>
      </c>
    </row>
    <row r="8" spans="1:8">
      <c r="A8" s="639" t="s">
        <v>19</v>
      </c>
      <c r="B8" s="650" t="s">
        <v>20</v>
      </c>
      <c r="C8" s="652">
        <v>5596628700.5</v>
      </c>
      <c r="D8" s="653">
        <v>6900055056.0600004</v>
      </c>
      <c r="E8" s="653">
        <v>6510566474.0799999</v>
      </c>
      <c r="F8" s="638">
        <v>94.4</v>
      </c>
      <c r="G8" s="638">
        <v>3</v>
      </c>
      <c r="H8" s="640">
        <v>116.3</v>
      </c>
    </row>
    <row r="9" spans="1:8">
      <c r="A9" s="639" t="s">
        <v>21</v>
      </c>
      <c r="B9" s="650" t="s">
        <v>22</v>
      </c>
      <c r="C9" s="652">
        <v>35942336.439999998</v>
      </c>
      <c r="D9" s="653">
        <v>38151502.880000003</v>
      </c>
      <c r="E9" s="653">
        <v>38766761.130000003</v>
      </c>
      <c r="F9" s="638">
        <v>101.6</v>
      </c>
      <c r="G9" s="638">
        <v>0</v>
      </c>
      <c r="H9" s="640">
        <v>107.9</v>
      </c>
    </row>
    <row r="10" spans="1:8">
      <c r="A10" s="639" t="s">
        <v>23</v>
      </c>
      <c r="B10" s="650" t="s">
        <v>24</v>
      </c>
      <c r="C10" s="652">
        <v>708552.39</v>
      </c>
      <c r="D10" s="653">
        <v>511207.02</v>
      </c>
      <c r="E10" s="653">
        <v>502865.01</v>
      </c>
      <c r="F10" s="638">
        <v>98.4</v>
      </c>
      <c r="G10" s="638">
        <v>0</v>
      </c>
      <c r="H10" s="640">
        <v>71</v>
      </c>
    </row>
    <row r="11" spans="1:8">
      <c r="A11" s="639" t="s">
        <v>25</v>
      </c>
      <c r="B11" s="650" t="s">
        <v>26</v>
      </c>
      <c r="C11" s="652">
        <v>6919538.5899999999</v>
      </c>
      <c r="D11" s="653">
        <v>7554350.1699999999</v>
      </c>
      <c r="E11" s="653">
        <v>7606294.4000000004</v>
      </c>
      <c r="F11" s="638">
        <v>100.7</v>
      </c>
      <c r="G11" s="638">
        <v>0</v>
      </c>
      <c r="H11" s="640">
        <v>109.9</v>
      </c>
    </row>
    <row r="12" spans="1:8">
      <c r="A12" s="639" t="s">
        <v>27</v>
      </c>
      <c r="B12" s="650" t="s">
        <v>28</v>
      </c>
      <c r="C12" s="652">
        <v>2951464.05</v>
      </c>
      <c r="D12" s="653">
        <v>1181518.1299999999</v>
      </c>
      <c r="E12" s="653">
        <v>1242160.98</v>
      </c>
      <c r="F12" s="638">
        <v>105.1</v>
      </c>
      <c r="G12" s="638">
        <v>0</v>
      </c>
      <c r="H12" s="640">
        <v>42.1</v>
      </c>
    </row>
    <row r="13" spans="1:8" ht="26.4">
      <c r="A13" s="639" t="s">
        <v>29</v>
      </c>
      <c r="B13" s="650" t="s">
        <v>30</v>
      </c>
      <c r="C13" s="652">
        <v>816237639.50999999</v>
      </c>
      <c r="D13" s="653">
        <v>994204228.82000005</v>
      </c>
      <c r="E13" s="653">
        <v>945573296.09000003</v>
      </c>
      <c r="F13" s="638">
        <v>95.1</v>
      </c>
      <c r="G13" s="638">
        <v>0.4</v>
      </c>
      <c r="H13" s="640">
        <v>115.8</v>
      </c>
    </row>
    <row r="14" spans="1:8">
      <c r="A14" s="639" t="s">
        <v>31</v>
      </c>
      <c r="B14" s="650" t="s">
        <v>32</v>
      </c>
      <c r="C14" s="652">
        <v>30365674</v>
      </c>
      <c r="D14" s="653">
        <v>14365763.01</v>
      </c>
      <c r="E14" s="653">
        <v>13469635.130000001</v>
      </c>
      <c r="F14" s="638">
        <v>93.8</v>
      </c>
      <c r="G14" s="638">
        <v>0</v>
      </c>
      <c r="H14" s="640">
        <v>44.4</v>
      </c>
    </row>
    <row r="15" spans="1:8">
      <c r="A15" s="639" t="s">
        <v>33</v>
      </c>
      <c r="B15" s="650" t="s">
        <v>34</v>
      </c>
      <c r="C15" s="652">
        <v>1867999.93</v>
      </c>
      <c r="D15" s="653">
        <v>1544548</v>
      </c>
      <c r="E15" s="653">
        <v>1126844.04</v>
      </c>
      <c r="F15" s="638">
        <v>73</v>
      </c>
      <c r="G15" s="638">
        <v>0</v>
      </c>
      <c r="H15" s="640">
        <v>60.3</v>
      </c>
    </row>
    <row r="16" spans="1:8">
      <c r="A16" s="639" t="s">
        <v>35</v>
      </c>
      <c r="B16" s="650" t="s">
        <v>36</v>
      </c>
      <c r="C16" s="652">
        <v>12071602597.1</v>
      </c>
      <c r="D16" s="653">
        <v>10075681367.799999</v>
      </c>
      <c r="E16" s="653">
        <v>9381222998.8999996</v>
      </c>
      <c r="F16" s="638">
        <v>93.1</v>
      </c>
      <c r="G16" s="638">
        <v>4.3</v>
      </c>
      <c r="H16" s="640">
        <v>77.7</v>
      </c>
    </row>
    <row r="17" spans="1:8">
      <c r="A17" s="639" t="s">
        <v>37</v>
      </c>
      <c r="B17" s="650" t="s">
        <v>38</v>
      </c>
      <c r="C17" s="652">
        <v>246448926.55000001</v>
      </c>
      <c r="D17" s="653">
        <v>367354181.72000003</v>
      </c>
      <c r="E17" s="653">
        <v>267518838.90000001</v>
      </c>
      <c r="F17" s="638">
        <v>72.8</v>
      </c>
      <c r="G17" s="638">
        <v>0.1</v>
      </c>
      <c r="H17" s="640">
        <v>108.5</v>
      </c>
    </row>
    <row r="18" spans="1:8">
      <c r="A18" s="639" t="s">
        <v>39</v>
      </c>
      <c r="B18" s="650" t="s">
        <v>40</v>
      </c>
      <c r="C18" s="652">
        <v>6034862737.75</v>
      </c>
      <c r="D18" s="653">
        <v>6544220668.4499998</v>
      </c>
      <c r="E18" s="653">
        <v>6346299645.8900003</v>
      </c>
      <c r="F18" s="638">
        <v>97</v>
      </c>
      <c r="G18" s="638">
        <v>2.9</v>
      </c>
      <c r="H18" s="640">
        <v>105.2</v>
      </c>
    </row>
    <row r="19" spans="1:8">
      <c r="A19" s="639" t="s">
        <v>41</v>
      </c>
      <c r="B19" s="650" t="s">
        <v>42</v>
      </c>
      <c r="C19" s="652">
        <v>179296244.16999999</v>
      </c>
      <c r="D19" s="653">
        <v>181789383.12</v>
      </c>
      <c r="E19" s="653">
        <v>170351870.49000001</v>
      </c>
      <c r="F19" s="638">
        <v>93.7</v>
      </c>
      <c r="G19" s="638">
        <v>0.1</v>
      </c>
      <c r="H19" s="640">
        <v>95</v>
      </c>
    </row>
    <row r="20" spans="1:8">
      <c r="A20" s="639" t="s">
        <v>43</v>
      </c>
      <c r="B20" s="650" t="s">
        <v>44</v>
      </c>
      <c r="C20" s="652">
        <v>110969219.73</v>
      </c>
      <c r="D20" s="653">
        <v>170700552.47999999</v>
      </c>
      <c r="E20" s="653">
        <v>138599864.77000001</v>
      </c>
      <c r="F20" s="638">
        <v>81.2</v>
      </c>
      <c r="G20" s="638">
        <v>0.1</v>
      </c>
      <c r="H20" s="640">
        <v>124.9</v>
      </c>
    </row>
    <row r="21" spans="1:8">
      <c r="A21" s="639" t="s">
        <v>45</v>
      </c>
      <c r="B21" s="650" t="s">
        <v>46</v>
      </c>
      <c r="C21" s="652">
        <v>1110410.8999999999</v>
      </c>
      <c r="D21" s="653">
        <v>1851453</v>
      </c>
      <c r="E21" s="653">
        <v>995015.93</v>
      </c>
      <c r="F21" s="638">
        <v>53.7</v>
      </c>
      <c r="G21" s="638">
        <v>0</v>
      </c>
      <c r="H21" s="640">
        <v>89.6</v>
      </c>
    </row>
    <row r="22" spans="1:8">
      <c r="A22" s="639" t="s">
        <v>47</v>
      </c>
      <c r="B22" s="650" t="s">
        <v>48</v>
      </c>
      <c r="C22" s="652">
        <v>1988976296.2</v>
      </c>
      <c r="D22" s="653">
        <v>2086662323.1700001</v>
      </c>
      <c r="E22" s="653">
        <v>2047931981.9300001</v>
      </c>
      <c r="F22" s="638">
        <v>98.1</v>
      </c>
      <c r="G22" s="638">
        <v>0.9</v>
      </c>
      <c r="H22" s="640">
        <v>103</v>
      </c>
    </row>
    <row r="23" spans="1:8" ht="39.6">
      <c r="A23" s="639" t="s">
        <v>49</v>
      </c>
      <c r="B23" s="650" t="s">
        <v>50</v>
      </c>
      <c r="C23" s="652">
        <v>554212482.48000002</v>
      </c>
      <c r="D23" s="653">
        <v>335849434.72000003</v>
      </c>
      <c r="E23" s="653">
        <v>333578372.25999999</v>
      </c>
      <c r="F23" s="638">
        <v>99.3</v>
      </c>
      <c r="G23" s="638">
        <v>0.2</v>
      </c>
      <c r="H23" s="640">
        <v>60.2</v>
      </c>
    </row>
    <row r="24" spans="1:8">
      <c r="A24" s="639" t="s">
        <v>51</v>
      </c>
      <c r="B24" s="650" t="s">
        <v>52</v>
      </c>
      <c r="C24" s="652">
        <v>3227342.91</v>
      </c>
      <c r="D24" s="653">
        <v>1851158734.53</v>
      </c>
      <c r="E24" s="653">
        <v>1532144475.53</v>
      </c>
      <c r="F24" s="638">
        <v>82.8</v>
      </c>
      <c r="G24" s="638">
        <v>0.7</v>
      </c>
      <c r="H24" s="640">
        <v>47473.9</v>
      </c>
    </row>
    <row r="25" spans="1:8">
      <c r="A25" s="639" t="s">
        <v>53</v>
      </c>
      <c r="B25" s="650" t="s">
        <v>54</v>
      </c>
      <c r="C25" s="652">
        <v>0</v>
      </c>
      <c r="D25" s="653">
        <v>0</v>
      </c>
      <c r="E25" s="653">
        <v>0</v>
      </c>
      <c r="F25" s="2055" t="s">
        <v>936</v>
      </c>
      <c r="G25" s="2055" t="s">
        <v>936</v>
      </c>
      <c r="H25" s="2056" t="s">
        <v>936</v>
      </c>
    </row>
    <row r="26" spans="1:8" ht="26.4">
      <c r="A26" s="639" t="s">
        <v>55</v>
      </c>
      <c r="B26" s="650" t="s">
        <v>56</v>
      </c>
      <c r="C26" s="652">
        <v>787081436.35000002</v>
      </c>
      <c r="D26" s="653">
        <v>999770109.32000005</v>
      </c>
      <c r="E26" s="653">
        <v>879112105.37</v>
      </c>
      <c r="F26" s="638">
        <v>87.9</v>
      </c>
      <c r="G26" s="638">
        <v>0.4</v>
      </c>
      <c r="H26" s="640">
        <v>111.7</v>
      </c>
    </row>
    <row r="27" spans="1:8">
      <c r="A27" s="639" t="s">
        <v>57</v>
      </c>
      <c r="B27" s="650" t="s">
        <v>58</v>
      </c>
      <c r="C27" s="652">
        <v>115840.97</v>
      </c>
      <c r="D27" s="653">
        <v>103093.19</v>
      </c>
      <c r="E27" s="653">
        <v>104728.1</v>
      </c>
      <c r="F27" s="638">
        <v>101.6</v>
      </c>
      <c r="G27" s="638">
        <v>0</v>
      </c>
      <c r="H27" s="640">
        <v>90.4</v>
      </c>
    </row>
    <row r="28" spans="1:8" ht="52.8">
      <c r="A28" s="639" t="s">
        <v>59</v>
      </c>
      <c r="B28" s="650" t="s">
        <v>60</v>
      </c>
      <c r="C28" s="652">
        <v>66626224919.970001</v>
      </c>
      <c r="D28" s="653">
        <v>114767894263.28999</v>
      </c>
      <c r="E28" s="653">
        <v>115346871251.47</v>
      </c>
      <c r="F28" s="638">
        <v>100.5</v>
      </c>
      <c r="G28" s="638">
        <v>52.4</v>
      </c>
      <c r="H28" s="640">
        <v>173.1</v>
      </c>
    </row>
    <row r="29" spans="1:8">
      <c r="A29" s="639" t="s">
        <v>61</v>
      </c>
      <c r="B29" s="650" t="s">
        <v>62</v>
      </c>
      <c r="C29" s="652">
        <v>1029341.66</v>
      </c>
      <c r="D29" s="653">
        <v>524850.21</v>
      </c>
      <c r="E29" s="653">
        <v>553961.98</v>
      </c>
      <c r="F29" s="638">
        <v>105.5</v>
      </c>
      <c r="G29" s="638">
        <v>0</v>
      </c>
      <c r="H29" s="640">
        <v>53.8</v>
      </c>
    </row>
    <row r="30" spans="1:8">
      <c r="A30" s="639" t="s">
        <v>63</v>
      </c>
      <c r="B30" s="650" t="s">
        <v>64</v>
      </c>
      <c r="C30" s="652">
        <v>60672462203.580002</v>
      </c>
      <c r="D30" s="653">
        <v>31345341100.68</v>
      </c>
      <c r="E30" s="653">
        <v>31028076087.419998</v>
      </c>
      <c r="F30" s="638">
        <v>99</v>
      </c>
      <c r="G30" s="638">
        <v>14.1</v>
      </c>
      <c r="H30" s="640">
        <v>51.1</v>
      </c>
    </row>
    <row r="31" spans="1:8">
      <c r="A31" s="639" t="s">
        <v>65</v>
      </c>
      <c r="B31" s="650" t="s">
        <v>66</v>
      </c>
      <c r="C31" s="652">
        <v>8623161148.8999996</v>
      </c>
      <c r="D31" s="653">
        <v>6406513701.6599998</v>
      </c>
      <c r="E31" s="653">
        <v>5754073485.6800003</v>
      </c>
      <c r="F31" s="638">
        <v>89.8</v>
      </c>
      <c r="G31" s="638">
        <v>2.6</v>
      </c>
      <c r="H31" s="640">
        <v>66.7</v>
      </c>
    </row>
    <row r="32" spans="1:8">
      <c r="A32" s="639" t="s">
        <v>67</v>
      </c>
      <c r="B32" s="650" t="s">
        <v>68</v>
      </c>
      <c r="C32" s="652">
        <v>173195995.84</v>
      </c>
      <c r="D32" s="653">
        <v>178439028.93000001</v>
      </c>
      <c r="E32" s="653">
        <v>165834742.62</v>
      </c>
      <c r="F32" s="638">
        <v>92.9</v>
      </c>
      <c r="G32" s="638">
        <v>0.1</v>
      </c>
      <c r="H32" s="640">
        <v>95.7</v>
      </c>
    </row>
    <row r="33" spans="1:8">
      <c r="A33" s="639" t="s">
        <v>69</v>
      </c>
      <c r="B33" s="650" t="s">
        <v>70</v>
      </c>
      <c r="C33" s="652">
        <v>5937375886.0699997</v>
      </c>
      <c r="D33" s="653">
        <v>5381536288.1400003</v>
      </c>
      <c r="E33" s="653">
        <v>5263616787.8800001</v>
      </c>
      <c r="F33" s="638">
        <v>97.8</v>
      </c>
      <c r="G33" s="638">
        <v>2.4</v>
      </c>
      <c r="H33" s="640">
        <v>88.7</v>
      </c>
    </row>
    <row r="34" spans="1:8" ht="26.4">
      <c r="A34" s="639" t="s">
        <v>71</v>
      </c>
      <c r="B34" s="650" t="s">
        <v>72</v>
      </c>
      <c r="C34" s="652">
        <v>422419665.13999999</v>
      </c>
      <c r="D34" s="653">
        <v>544237606.97000003</v>
      </c>
      <c r="E34" s="653">
        <v>487392501.10000002</v>
      </c>
      <c r="F34" s="638">
        <v>89.6</v>
      </c>
      <c r="G34" s="638">
        <v>0.2</v>
      </c>
      <c r="H34" s="640">
        <v>115.4</v>
      </c>
    </row>
    <row r="35" spans="1:8">
      <c r="A35" s="639" t="s">
        <v>73</v>
      </c>
      <c r="B35" s="650" t="s">
        <v>74</v>
      </c>
      <c r="C35" s="652">
        <v>141253529.78</v>
      </c>
      <c r="D35" s="653">
        <v>167595413.16999999</v>
      </c>
      <c r="E35" s="653">
        <v>133653825.18000001</v>
      </c>
      <c r="F35" s="638">
        <v>79.7</v>
      </c>
      <c r="G35" s="638">
        <v>0.1</v>
      </c>
      <c r="H35" s="640">
        <v>94.6</v>
      </c>
    </row>
    <row r="36" spans="1:8">
      <c r="A36" s="639" t="s">
        <v>75</v>
      </c>
      <c r="B36" s="650" t="s">
        <v>76</v>
      </c>
      <c r="C36" s="652">
        <v>14605664950.23</v>
      </c>
      <c r="D36" s="653">
        <v>15894738234.48</v>
      </c>
      <c r="E36" s="653">
        <v>15652984848.34</v>
      </c>
      <c r="F36" s="638">
        <v>98.5</v>
      </c>
      <c r="G36" s="638">
        <v>7.1</v>
      </c>
      <c r="H36" s="640">
        <v>107.2</v>
      </c>
    </row>
    <row r="37" spans="1:8" ht="26.4">
      <c r="A37" s="639" t="s">
        <v>77</v>
      </c>
      <c r="B37" s="650" t="s">
        <v>78</v>
      </c>
      <c r="C37" s="652">
        <v>11631636009.690001</v>
      </c>
      <c r="D37" s="653">
        <v>14100335244.25</v>
      </c>
      <c r="E37" s="653">
        <v>12736510015.99</v>
      </c>
      <c r="F37" s="638">
        <v>90.3</v>
      </c>
      <c r="G37" s="638">
        <v>5.8</v>
      </c>
      <c r="H37" s="640">
        <v>109.5</v>
      </c>
    </row>
    <row r="38" spans="1:8" ht="26.4">
      <c r="A38" s="639" t="s">
        <v>79</v>
      </c>
      <c r="B38" s="650" t="s">
        <v>80</v>
      </c>
      <c r="C38" s="652">
        <v>2128895814.72</v>
      </c>
      <c r="D38" s="653">
        <v>2777004215.1799998</v>
      </c>
      <c r="E38" s="653">
        <v>2412316865.71</v>
      </c>
      <c r="F38" s="638">
        <v>86.9</v>
      </c>
      <c r="G38" s="638">
        <v>1.1000000000000001</v>
      </c>
      <c r="H38" s="640">
        <v>113.3</v>
      </c>
    </row>
    <row r="39" spans="1:8" ht="39.6">
      <c r="A39" s="639" t="s">
        <v>81</v>
      </c>
      <c r="B39" s="650" t="s">
        <v>82</v>
      </c>
      <c r="C39" s="652">
        <v>6376760.6699999999</v>
      </c>
      <c r="D39" s="653">
        <v>4225755.2</v>
      </c>
      <c r="E39" s="653">
        <v>4259592.7300000004</v>
      </c>
      <c r="F39" s="638">
        <v>100.8</v>
      </c>
      <c r="G39" s="638">
        <v>0</v>
      </c>
      <c r="H39" s="640">
        <v>66.8</v>
      </c>
    </row>
    <row r="40" spans="1:8">
      <c r="A40" s="641" t="s">
        <v>83</v>
      </c>
      <c r="B40" s="651" t="s">
        <v>84</v>
      </c>
      <c r="C40" s="654">
        <v>2402471136.8099999</v>
      </c>
      <c r="D40" s="655">
        <v>2581621605.5100002</v>
      </c>
      <c r="E40" s="655">
        <v>2340923623.3699999</v>
      </c>
      <c r="F40" s="642">
        <v>90.7</v>
      </c>
      <c r="G40" s="642">
        <v>1.1000000000000001</v>
      </c>
      <c r="H40" s="643">
        <v>97.4</v>
      </c>
    </row>
    <row r="42" spans="1:8">
      <c r="A42" s="16" t="s">
        <v>908</v>
      </c>
    </row>
  </sheetData>
  <mergeCells count="5">
    <mergeCell ref="A3:A5"/>
    <mergeCell ref="B3:B5"/>
    <mergeCell ref="G3:G4"/>
    <mergeCell ref="C5:E5"/>
    <mergeCell ref="F5:H5"/>
  </mergeCells>
  <pageMargins left="0.70866141732283472" right="0.51181102362204722" top="0.74803149606299213" bottom="0.74803149606299213" header="0.31496062992125984" footer="0.31496062992125984"/>
  <pageSetup paperSize="9" scale="8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D640-8640-48A2-BFB0-608BD4738A55}">
  <dimension ref="A1:G28"/>
  <sheetViews>
    <sheetView view="pageBreakPreview" zoomScaleNormal="100" zoomScaleSheetLayoutView="100" workbookViewId="0">
      <selection activeCell="F8" sqref="F8"/>
    </sheetView>
  </sheetViews>
  <sheetFormatPr defaultColWidth="8.77734375" defaultRowHeight="13.2"/>
  <cols>
    <col min="1" max="1" width="5.21875" style="716" customWidth="1"/>
    <col min="2" max="2" width="25.21875" style="717" customWidth="1"/>
    <col min="3" max="5" width="14" style="718" customWidth="1"/>
    <col min="6" max="7" width="6.21875" style="718" customWidth="1"/>
    <col min="8" max="8" width="26.5546875" style="718" customWidth="1"/>
    <col min="9" max="16384" width="8.77734375" style="718"/>
  </cols>
  <sheetData>
    <row r="1" spans="1:7" ht="45.75" customHeight="1">
      <c r="A1" s="2374" t="s">
        <v>839</v>
      </c>
      <c r="B1" s="2375"/>
      <c r="C1" s="2375"/>
      <c r="D1" s="2375"/>
      <c r="E1" s="2375"/>
      <c r="F1" s="2375"/>
      <c r="G1" s="2375"/>
    </row>
    <row r="3" spans="1:7">
      <c r="A3" s="2376" t="s">
        <v>87</v>
      </c>
      <c r="B3" s="2377" t="s">
        <v>1</v>
      </c>
      <c r="C3" s="2379" t="s">
        <v>819</v>
      </c>
      <c r="D3" s="2381" t="s">
        <v>88</v>
      </c>
      <c r="E3" s="2381"/>
      <c r="F3" s="2376" t="s">
        <v>575</v>
      </c>
      <c r="G3" s="2382"/>
    </row>
    <row r="4" spans="1:7">
      <c r="A4" s="2372"/>
      <c r="B4" s="2378"/>
      <c r="C4" s="2380"/>
      <c r="D4" s="2369" t="s">
        <v>136</v>
      </c>
      <c r="E4" s="2370" t="s">
        <v>137</v>
      </c>
      <c r="F4" s="2372"/>
      <c r="G4" s="2373"/>
    </row>
    <row r="5" spans="1:7" ht="19.5" customHeight="1">
      <c r="A5" s="2372"/>
      <c r="B5" s="2378"/>
      <c r="C5" s="2380"/>
      <c r="D5" s="2369"/>
      <c r="E5" s="2370"/>
      <c r="F5" s="2372"/>
      <c r="G5" s="2373"/>
    </row>
    <row r="6" spans="1:7" ht="26.25" customHeight="1">
      <c r="A6" s="2372"/>
      <c r="B6" s="2378"/>
      <c r="C6" s="2380"/>
      <c r="D6" s="2369"/>
      <c r="E6" s="2370"/>
      <c r="F6" s="725" t="str">
        <f>+D8&amp;" : "&amp;$C$8</f>
        <v>[4] : [3]</v>
      </c>
      <c r="G6" s="726" t="str">
        <f>+E8&amp;" : "&amp;$C$8</f>
        <v>[5] : [3]</v>
      </c>
    </row>
    <row r="7" spans="1:7">
      <c r="A7" s="2372"/>
      <c r="B7" s="2378"/>
      <c r="C7" s="2371" t="s">
        <v>93</v>
      </c>
      <c r="D7" s="2370"/>
      <c r="E7" s="2370"/>
      <c r="F7" s="2372" t="s">
        <v>169</v>
      </c>
      <c r="G7" s="2373"/>
    </row>
    <row r="8" spans="1:7">
      <c r="A8" s="721" t="str">
        <f>+"["&amp;COLUMN()&amp;"]"</f>
        <v>[1]</v>
      </c>
      <c r="B8" s="727" t="str">
        <f t="shared" ref="B8:G8" si="0">+"["&amp;COLUMN()&amp;"]"</f>
        <v>[2]</v>
      </c>
      <c r="C8" s="728" t="str">
        <f t="shared" si="0"/>
        <v>[3]</v>
      </c>
      <c r="D8" s="729" t="str">
        <f t="shared" si="0"/>
        <v>[4]</v>
      </c>
      <c r="E8" s="729" t="str">
        <f t="shared" si="0"/>
        <v>[5]</v>
      </c>
      <c r="F8" s="721" t="str">
        <f t="shared" si="0"/>
        <v>[6]</v>
      </c>
      <c r="G8" s="727" t="str">
        <f t="shared" si="0"/>
        <v>[7]</v>
      </c>
    </row>
    <row r="9" spans="1:7">
      <c r="A9" s="1029"/>
      <c r="B9" s="819" t="s">
        <v>562</v>
      </c>
      <c r="C9" s="1617">
        <v>60259737948.170006</v>
      </c>
      <c r="D9" s="847">
        <v>56372873565.489998</v>
      </c>
      <c r="E9" s="847">
        <v>3886864382.6799998</v>
      </c>
      <c r="F9" s="1009">
        <v>93.5</v>
      </c>
      <c r="G9" s="812">
        <v>6.5</v>
      </c>
    </row>
    <row r="10" spans="1:7">
      <c r="A10" s="809" t="s">
        <v>96</v>
      </c>
      <c r="B10" s="845" t="s">
        <v>97</v>
      </c>
      <c r="C10" s="1615">
        <v>4372034154.8100004</v>
      </c>
      <c r="D10" s="1022">
        <v>3956570513.9099998</v>
      </c>
      <c r="E10" s="1022">
        <v>415463640.89999998</v>
      </c>
      <c r="F10" s="813">
        <v>90.5</v>
      </c>
      <c r="G10" s="1613">
        <v>9.5</v>
      </c>
    </row>
    <row r="11" spans="1:7">
      <c r="A11" s="809" t="s">
        <v>98</v>
      </c>
      <c r="B11" s="845" t="s">
        <v>99</v>
      </c>
      <c r="C11" s="1615">
        <v>2969106740.23</v>
      </c>
      <c r="D11" s="1022">
        <v>2793631350.8000002</v>
      </c>
      <c r="E11" s="1022">
        <v>175475389.43000001</v>
      </c>
      <c r="F11" s="813">
        <v>94.1</v>
      </c>
      <c r="G11" s="1613">
        <v>5.9</v>
      </c>
    </row>
    <row r="12" spans="1:7">
      <c r="A12" s="809" t="s">
        <v>100</v>
      </c>
      <c r="B12" s="845" t="s">
        <v>101</v>
      </c>
      <c r="C12" s="1615">
        <v>3494609572.2199998</v>
      </c>
      <c r="D12" s="1022">
        <v>3274540061.25</v>
      </c>
      <c r="E12" s="1022">
        <v>220069510.97</v>
      </c>
      <c r="F12" s="813">
        <v>93.7</v>
      </c>
      <c r="G12" s="1613">
        <v>6.3</v>
      </c>
    </row>
    <row r="13" spans="1:7">
      <c r="A13" s="809" t="s">
        <v>102</v>
      </c>
      <c r="B13" s="845" t="s">
        <v>103</v>
      </c>
      <c r="C13" s="1615">
        <v>1555041874.04</v>
      </c>
      <c r="D13" s="1022">
        <v>1450972685.4200001</v>
      </c>
      <c r="E13" s="1022">
        <v>104069188.62</v>
      </c>
      <c r="F13" s="813">
        <v>93.3</v>
      </c>
      <c r="G13" s="1613">
        <v>6.7</v>
      </c>
    </row>
    <row r="14" spans="1:7">
      <c r="A14" s="809" t="s">
        <v>104</v>
      </c>
      <c r="B14" s="845" t="s">
        <v>105</v>
      </c>
      <c r="C14" s="1615">
        <v>3641451915.6799998</v>
      </c>
      <c r="D14" s="1022">
        <v>3411039671.4200001</v>
      </c>
      <c r="E14" s="1022">
        <v>230412244.25999999</v>
      </c>
      <c r="F14" s="813">
        <v>93.7</v>
      </c>
      <c r="G14" s="1613">
        <v>6.3</v>
      </c>
    </row>
    <row r="15" spans="1:7">
      <c r="A15" s="809" t="s">
        <v>106</v>
      </c>
      <c r="B15" s="845" t="s">
        <v>107</v>
      </c>
      <c r="C15" s="1615">
        <v>6009717066.6700001</v>
      </c>
      <c r="D15" s="1022">
        <v>5626256898.8800001</v>
      </c>
      <c r="E15" s="1022">
        <v>383460167.79000002</v>
      </c>
      <c r="F15" s="813">
        <v>93.6</v>
      </c>
      <c r="G15" s="1613">
        <v>6.4</v>
      </c>
    </row>
    <row r="16" spans="1:7">
      <c r="A16" s="809" t="s">
        <v>108</v>
      </c>
      <c r="B16" s="845" t="s">
        <v>109</v>
      </c>
      <c r="C16" s="1615">
        <v>8637501935.4899998</v>
      </c>
      <c r="D16" s="1022">
        <v>8060353493.4799995</v>
      </c>
      <c r="E16" s="1022">
        <v>577148442.00999999</v>
      </c>
      <c r="F16" s="813">
        <v>93.3</v>
      </c>
      <c r="G16" s="1613">
        <v>6.7</v>
      </c>
    </row>
    <row r="17" spans="1:7">
      <c r="A17" s="809" t="s">
        <v>110</v>
      </c>
      <c r="B17" s="845" t="s">
        <v>111</v>
      </c>
      <c r="C17" s="1615">
        <v>1747495485.6500001</v>
      </c>
      <c r="D17" s="1022">
        <v>1680735818.1800001</v>
      </c>
      <c r="E17" s="1022">
        <v>66759667.469999999</v>
      </c>
      <c r="F17" s="813">
        <v>96.2</v>
      </c>
      <c r="G17" s="1613">
        <v>3.8</v>
      </c>
    </row>
    <row r="18" spans="1:7">
      <c r="A18" s="809" t="s">
        <v>112</v>
      </c>
      <c r="B18" s="845" t="s">
        <v>113</v>
      </c>
      <c r="C18" s="1615">
        <v>4207222901.3699999</v>
      </c>
      <c r="D18" s="1022">
        <v>3930793557.0500002</v>
      </c>
      <c r="E18" s="1022">
        <v>276429344.31999999</v>
      </c>
      <c r="F18" s="813">
        <v>93.4</v>
      </c>
      <c r="G18" s="1613">
        <v>6.6</v>
      </c>
    </row>
    <row r="19" spans="1:7">
      <c r="A19" s="809" t="s">
        <v>114</v>
      </c>
      <c r="B19" s="845" t="s">
        <v>115</v>
      </c>
      <c r="C19" s="1615">
        <v>1585084424.8299999</v>
      </c>
      <c r="D19" s="1022">
        <v>1444836327.77</v>
      </c>
      <c r="E19" s="1022">
        <v>140248097.06</v>
      </c>
      <c r="F19" s="813">
        <v>91.2</v>
      </c>
      <c r="G19" s="1613">
        <v>8.8000000000000007</v>
      </c>
    </row>
    <row r="20" spans="1:7">
      <c r="A20" s="809" t="s">
        <v>116</v>
      </c>
      <c r="B20" s="845" t="s">
        <v>117</v>
      </c>
      <c r="C20" s="1615">
        <v>3989278435.2600002</v>
      </c>
      <c r="D20" s="1022">
        <v>3694585368.4099998</v>
      </c>
      <c r="E20" s="1022">
        <v>294693066.85000002</v>
      </c>
      <c r="F20" s="813">
        <v>92.6</v>
      </c>
      <c r="G20" s="1613">
        <v>7.4</v>
      </c>
    </row>
    <row r="21" spans="1:7">
      <c r="A21" s="809" t="s">
        <v>118</v>
      </c>
      <c r="B21" s="845" t="s">
        <v>119</v>
      </c>
      <c r="C21" s="1615">
        <v>4818298343.1800003</v>
      </c>
      <c r="D21" s="1022">
        <v>4579656234.25</v>
      </c>
      <c r="E21" s="1022">
        <v>238642108.93000001</v>
      </c>
      <c r="F21" s="813">
        <v>95</v>
      </c>
      <c r="G21" s="1613">
        <v>5</v>
      </c>
    </row>
    <row r="22" spans="1:7">
      <c r="A22" s="809" t="s">
        <v>120</v>
      </c>
      <c r="B22" s="845" t="s">
        <v>121</v>
      </c>
      <c r="C22" s="1615">
        <v>2117901657.1900001</v>
      </c>
      <c r="D22" s="1022">
        <v>2015037519.98</v>
      </c>
      <c r="E22" s="1022">
        <v>102864137.20999999</v>
      </c>
      <c r="F22" s="813">
        <v>95.1</v>
      </c>
      <c r="G22" s="1613">
        <v>4.9000000000000004</v>
      </c>
    </row>
    <row r="23" spans="1:7">
      <c r="A23" s="809" t="s">
        <v>122</v>
      </c>
      <c r="B23" s="845" t="s">
        <v>123</v>
      </c>
      <c r="C23" s="1615">
        <v>2309593798.3899999</v>
      </c>
      <c r="D23" s="1022">
        <v>2182534658.3000002</v>
      </c>
      <c r="E23" s="1022">
        <v>127059140.09</v>
      </c>
      <c r="F23" s="813">
        <v>94.5</v>
      </c>
      <c r="G23" s="1613">
        <v>5.5</v>
      </c>
    </row>
    <row r="24" spans="1:7">
      <c r="A24" s="809" t="s">
        <v>124</v>
      </c>
      <c r="B24" s="845" t="s">
        <v>125</v>
      </c>
      <c r="C24" s="1615">
        <v>6485083132.5299997</v>
      </c>
      <c r="D24" s="1022">
        <v>6052817823.9300003</v>
      </c>
      <c r="E24" s="1022">
        <v>432265308.60000002</v>
      </c>
      <c r="F24" s="813">
        <v>93.3</v>
      </c>
      <c r="G24" s="1613">
        <v>6.7</v>
      </c>
    </row>
    <row r="25" spans="1:7">
      <c r="A25" s="1616" t="s">
        <v>126</v>
      </c>
      <c r="B25" s="806" t="s">
        <v>127</v>
      </c>
      <c r="C25" s="1017">
        <v>2320316510.6300001</v>
      </c>
      <c r="D25" s="814">
        <v>2218511582.46</v>
      </c>
      <c r="E25" s="814">
        <v>101804928.17</v>
      </c>
      <c r="F25" s="1614">
        <v>95.6</v>
      </c>
      <c r="G25" s="1014">
        <v>4.4000000000000004</v>
      </c>
    </row>
    <row r="26" spans="1:7">
      <c r="C26" s="723"/>
      <c r="D26" s="723"/>
      <c r="E26" s="723"/>
    </row>
    <row r="27" spans="1:7">
      <c r="A27" s="724" t="s">
        <v>911</v>
      </c>
    </row>
    <row r="28" spans="1:7">
      <c r="B28" s="718"/>
    </row>
  </sheetData>
  <mergeCells count="10">
    <mergeCell ref="D4:D6"/>
    <mergeCell ref="E4:E6"/>
    <mergeCell ref="C7:E7"/>
    <mergeCell ref="F7:G7"/>
    <mergeCell ref="A1:G1"/>
    <mergeCell ref="A3:A7"/>
    <mergeCell ref="B3:B7"/>
    <mergeCell ref="C3:C6"/>
    <mergeCell ref="D3:E3"/>
    <mergeCell ref="F3:G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DD72-1721-4453-81CF-3A7A2A8D7BFE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6" style="441" customWidth="1"/>
    <col min="2" max="2" width="15.77734375" style="441" customWidth="1"/>
    <col min="3" max="4" width="12.5546875" style="441" bestFit="1" customWidth="1"/>
    <col min="5" max="5" width="10.77734375" style="441" customWidth="1"/>
    <col min="6" max="6" width="12.5546875" style="441" bestFit="1" customWidth="1"/>
    <col min="7" max="7" width="7.21875" style="441" bestFit="1" customWidth="1"/>
    <col min="8" max="8" width="7.44140625" style="441" bestFit="1" customWidth="1"/>
    <col min="9" max="9" width="10.21875" style="441" customWidth="1"/>
    <col min="10" max="16384" width="9.21875" style="441"/>
  </cols>
  <sheetData>
    <row r="1" spans="1:9" ht="27" customHeight="1">
      <c r="A1" s="2383" t="s">
        <v>988</v>
      </c>
      <c r="B1" s="2383"/>
      <c r="C1" s="2383"/>
      <c r="D1" s="2383"/>
      <c r="E1" s="2383"/>
      <c r="F1" s="2383"/>
      <c r="G1" s="2383"/>
      <c r="H1" s="2383"/>
      <c r="I1" s="2383"/>
    </row>
    <row r="3" spans="1:9">
      <c r="A3" s="2384" t="s">
        <v>87</v>
      </c>
      <c r="B3" s="2386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35.549999999999997" customHeight="1">
      <c r="A4" s="2385"/>
      <c r="B4" s="2387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385"/>
      <c r="B5" s="2387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5" t="s">
        <v>10</v>
      </c>
      <c r="B6" s="41" t="s">
        <v>11</v>
      </c>
      <c r="C6" s="20" t="s">
        <v>12</v>
      </c>
      <c r="D6" s="39" t="s">
        <v>13</v>
      </c>
      <c r="E6" s="39" t="s">
        <v>14</v>
      </c>
      <c r="F6" s="39" t="s">
        <v>15</v>
      </c>
      <c r="G6" s="39" t="s">
        <v>16</v>
      </c>
      <c r="H6" s="39" t="s">
        <v>17</v>
      </c>
      <c r="I6" s="40" t="s">
        <v>94</v>
      </c>
    </row>
    <row r="7" spans="1:9">
      <c r="A7" s="835"/>
      <c r="B7" s="834" t="s">
        <v>95</v>
      </c>
      <c r="C7" s="831">
        <v>19620194547.619999</v>
      </c>
      <c r="D7" s="829">
        <v>18076910777.119999</v>
      </c>
      <c r="E7" s="829">
        <v>196869530.36000001</v>
      </c>
      <c r="F7" s="829">
        <v>17880041246.759998</v>
      </c>
      <c r="G7" s="830">
        <v>100</v>
      </c>
      <c r="H7" s="830">
        <v>92.1</v>
      </c>
      <c r="I7" s="838">
        <v>716.3</v>
      </c>
    </row>
    <row r="8" spans="1:9">
      <c r="A8" s="825" t="s">
        <v>96</v>
      </c>
      <c r="B8" s="836" t="s">
        <v>97</v>
      </c>
      <c r="C8" s="832">
        <v>1538956396.1800001</v>
      </c>
      <c r="D8" s="823">
        <v>1158818328.6500001</v>
      </c>
      <c r="E8" s="823">
        <v>26000</v>
      </c>
      <c r="F8" s="823">
        <v>1158792328.6500001</v>
      </c>
      <c r="G8" s="824">
        <v>6.4</v>
      </c>
      <c r="H8" s="824">
        <v>75.3</v>
      </c>
      <c r="I8" s="839">
        <v>599.9</v>
      </c>
    </row>
    <row r="9" spans="1:9">
      <c r="A9" s="825" t="s">
        <v>98</v>
      </c>
      <c r="B9" s="836" t="s">
        <v>99</v>
      </c>
      <c r="C9" s="832">
        <v>1259550853.1400001</v>
      </c>
      <c r="D9" s="823">
        <v>1205875775</v>
      </c>
      <c r="E9" s="823">
        <v>3240558.3</v>
      </c>
      <c r="F9" s="823">
        <v>1202635216.7</v>
      </c>
      <c r="G9" s="824">
        <v>6.7</v>
      </c>
      <c r="H9" s="824">
        <v>95.7</v>
      </c>
      <c r="I9" s="839">
        <v>942.4</v>
      </c>
    </row>
    <row r="10" spans="1:9">
      <c r="A10" s="825" t="s">
        <v>100</v>
      </c>
      <c r="B10" s="836" t="s">
        <v>101</v>
      </c>
      <c r="C10" s="832">
        <v>1266852263.8499999</v>
      </c>
      <c r="D10" s="823">
        <v>1187830903.1500001</v>
      </c>
      <c r="E10" s="823">
        <v>26604383.41</v>
      </c>
      <c r="F10" s="823">
        <v>1161226519.74</v>
      </c>
      <c r="G10" s="824">
        <v>6.6</v>
      </c>
      <c r="H10" s="824">
        <v>93.8</v>
      </c>
      <c r="I10" s="839">
        <v>791.7</v>
      </c>
    </row>
    <row r="11" spans="1:9">
      <c r="A11" s="825" t="s">
        <v>102</v>
      </c>
      <c r="B11" s="836" t="s">
        <v>103</v>
      </c>
      <c r="C11" s="832">
        <v>625158688.00999999</v>
      </c>
      <c r="D11" s="823">
        <v>597341686.32000005</v>
      </c>
      <c r="E11" s="823">
        <v>1972625.47</v>
      </c>
      <c r="F11" s="823">
        <v>595369060.85000002</v>
      </c>
      <c r="G11" s="824">
        <v>3.3</v>
      </c>
      <c r="H11" s="824">
        <v>95.6</v>
      </c>
      <c r="I11" s="839">
        <v>834</v>
      </c>
    </row>
    <row r="12" spans="1:9">
      <c r="A12" s="825" t="s">
        <v>104</v>
      </c>
      <c r="B12" s="836" t="s">
        <v>105</v>
      </c>
      <c r="C12" s="832">
        <v>1084281219.5999999</v>
      </c>
      <c r="D12" s="823">
        <v>1017159322.6799999</v>
      </c>
      <c r="E12" s="823">
        <v>3486535.53</v>
      </c>
      <c r="F12" s="823">
        <v>1013672787.15</v>
      </c>
      <c r="G12" s="824">
        <v>5.6</v>
      </c>
      <c r="H12" s="824">
        <v>93.8</v>
      </c>
      <c r="I12" s="839">
        <v>640.1</v>
      </c>
    </row>
    <row r="13" spans="1:9">
      <c r="A13" s="825" t="s">
        <v>106</v>
      </c>
      <c r="B13" s="836" t="s">
        <v>107</v>
      </c>
      <c r="C13" s="832">
        <v>1287053793.79</v>
      </c>
      <c r="D13" s="823">
        <v>1190924078.48</v>
      </c>
      <c r="E13" s="823">
        <v>6411569.9699999997</v>
      </c>
      <c r="F13" s="823">
        <v>1184512508.51</v>
      </c>
      <c r="G13" s="824">
        <v>6.6</v>
      </c>
      <c r="H13" s="824">
        <v>92.5</v>
      </c>
      <c r="I13" s="839">
        <v>488.5</v>
      </c>
    </row>
    <row r="14" spans="1:9">
      <c r="A14" s="825" t="s">
        <v>108</v>
      </c>
      <c r="B14" s="836" t="s">
        <v>109</v>
      </c>
      <c r="C14" s="832">
        <v>2068144023.1199999</v>
      </c>
      <c r="D14" s="823">
        <v>1908485867.5</v>
      </c>
      <c r="E14" s="823">
        <v>1164788.01</v>
      </c>
      <c r="F14" s="823">
        <v>1907321079.49</v>
      </c>
      <c r="G14" s="824">
        <v>10.6</v>
      </c>
      <c r="H14" s="824">
        <v>92.3</v>
      </c>
      <c r="I14" s="839">
        <v>593</v>
      </c>
    </row>
    <row r="15" spans="1:9">
      <c r="A15" s="825" t="s">
        <v>110</v>
      </c>
      <c r="B15" s="836" t="s">
        <v>111</v>
      </c>
      <c r="C15" s="832">
        <v>891300293.61000001</v>
      </c>
      <c r="D15" s="823">
        <v>558722886.88</v>
      </c>
      <c r="E15" s="823">
        <v>0</v>
      </c>
      <c r="F15" s="823">
        <v>558722886.88</v>
      </c>
      <c r="G15" s="824">
        <v>3.1</v>
      </c>
      <c r="H15" s="824">
        <v>62.7</v>
      </c>
      <c r="I15" s="839">
        <v>694.2</v>
      </c>
    </row>
    <row r="16" spans="1:9">
      <c r="A16" s="825" t="s">
        <v>112</v>
      </c>
      <c r="B16" s="836" t="s">
        <v>113</v>
      </c>
      <c r="C16" s="832">
        <v>1574118033.6500001</v>
      </c>
      <c r="D16" s="823">
        <v>1483957544.1900001</v>
      </c>
      <c r="E16" s="823">
        <v>9084805.1199999992</v>
      </c>
      <c r="F16" s="823">
        <v>1474872739.0700002</v>
      </c>
      <c r="G16" s="824">
        <v>8.1999999999999993</v>
      </c>
      <c r="H16" s="824">
        <v>94.3</v>
      </c>
      <c r="I16" s="839">
        <v>861.5</v>
      </c>
    </row>
    <row r="17" spans="1:9">
      <c r="A17" s="825" t="s">
        <v>114</v>
      </c>
      <c r="B17" s="836" t="s">
        <v>115</v>
      </c>
      <c r="C17" s="832">
        <v>659246392.64999998</v>
      </c>
      <c r="D17" s="823">
        <v>596421896.91999996</v>
      </c>
      <c r="E17" s="823">
        <v>1456149.4</v>
      </c>
      <c r="F17" s="823">
        <v>594965747.51999998</v>
      </c>
      <c r="G17" s="824">
        <v>3.3</v>
      </c>
      <c r="H17" s="824">
        <v>90.5</v>
      </c>
      <c r="I17" s="839">
        <v>834.3</v>
      </c>
    </row>
    <row r="18" spans="1:9">
      <c r="A18" s="825" t="s">
        <v>116</v>
      </c>
      <c r="B18" s="836" t="s">
        <v>117</v>
      </c>
      <c r="C18" s="832">
        <v>1420003025.03</v>
      </c>
      <c r="D18" s="823">
        <v>1531990650.04</v>
      </c>
      <c r="E18" s="823">
        <v>80819522.459999993</v>
      </c>
      <c r="F18" s="823">
        <v>1451171127.5799999</v>
      </c>
      <c r="G18" s="824">
        <v>8.5</v>
      </c>
      <c r="H18" s="824">
        <v>107.9</v>
      </c>
      <c r="I18" s="839">
        <v>1011.5</v>
      </c>
    </row>
    <row r="19" spans="1:9">
      <c r="A19" s="825" t="s">
        <v>118</v>
      </c>
      <c r="B19" s="836" t="s">
        <v>119</v>
      </c>
      <c r="C19" s="832">
        <v>1070588236.5700001</v>
      </c>
      <c r="D19" s="823">
        <v>992348638.01999998</v>
      </c>
      <c r="E19" s="823">
        <v>5253662.7</v>
      </c>
      <c r="F19" s="823">
        <v>987094975.31999993</v>
      </c>
      <c r="G19" s="824">
        <v>5.5</v>
      </c>
      <c r="H19" s="824">
        <v>92.7</v>
      </c>
      <c r="I19" s="839">
        <v>511</v>
      </c>
    </row>
    <row r="20" spans="1:9">
      <c r="A20" s="825" t="s">
        <v>120</v>
      </c>
      <c r="B20" s="836" t="s">
        <v>121</v>
      </c>
      <c r="C20" s="832">
        <v>942549750.54999995</v>
      </c>
      <c r="D20" s="823">
        <v>861625905.62</v>
      </c>
      <c r="E20" s="823">
        <v>531366.46</v>
      </c>
      <c r="F20" s="823">
        <v>861094539.15999997</v>
      </c>
      <c r="G20" s="824">
        <v>4.8</v>
      </c>
      <c r="H20" s="824">
        <v>91.4</v>
      </c>
      <c r="I20" s="839">
        <v>881.5</v>
      </c>
    </row>
    <row r="21" spans="1:9">
      <c r="A21" s="825" t="s">
        <v>122</v>
      </c>
      <c r="B21" s="836" t="s">
        <v>123</v>
      </c>
      <c r="C21" s="832">
        <v>1007252837.73</v>
      </c>
      <c r="D21" s="823">
        <v>935394715.15999997</v>
      </c>
      <c r="E21" s="823">
        <v>58361</v>
      </c>
      <c r="F21" s="823">
        <v>935336354.15999997</v>
      </c>
      <c r="G21" s="824">
        <v>5.2</v>
      </c>
      <c r="H21" s="824">
        <v>92.9</v>
      </c>
      <c r="I21" s="839">
        <v>873.6</v>
      </c>
    </row>
    <row r="22" spans="1:9">
      <c r="A22" s="825" t="s">
        <v>124</v>
      </c>
      <c r="B22" s="836" t="s">
        <v>125</v>
      </c>
      <c r="C22" s="832">
        <v>2121370060.74</v>
      </c>
      <c r="D22" s="823">
        <v>2040187420.1300001</v>
      </c>
      <c r="E22" s="823">
        <v>9133691.2200000007</v>
      </c>
      <c r="F22" s="823">
        <v>2031053728.9100001</v>
      </c>
      <c r="G22" s="824">
        <v>11.3</v>
      </c>
      <c r="H22" s="824">
        <v>96.2</v>
      </c>
      <c r="I22" s="839">
        <v>748.3</v>
      </c>
    </row>
    <row r="23" spans="1:9">
      <c r="A23" s="826" t="s">
        <v>126</v>
      </c>
      <c r="B23" s="837" t="s">
        <v>127</v>
      </c>
      <c r="C23" s="833">
        <v>803768679.39999998</v>
      </c>
      <c r="D23" s="827">
        <v>809825158.38</v>
      </c>
      <c r="E23" s="827">
        <v>47625511.310000002</v>
      </c>
      <c r="F23" s="827">
        <v>762199647.06999993</v>
      </c>
      <c r="G23" s="828">
        <v>4.5</v>
      </c>
      <c r="H23" s="828">
        <v>100.8</v>
      </c>
      <c r="I23" s="840">
        <v>741.4</v>
      </c>
    </row>
    <row r="25" spans="1:9" ht="14.4">
      <c r="A25" s="841" t="s">
        <v>128</v>
      </c>
      <c r="B25" s="842" t="s">
        <v>909</v>
      </c>
      <c r="C25" s="18"/>
      <c r="D25" s="18"/>
      <c r="E25" s="18"/>
      <c r="F25" s="18"/>
      <c r="G25" s="18"/>
      <c r="H25" s="18"/>
      <c r="I25" s="18"/>
    </row>
    <row r="26" spans="1:9" ht="14.4">
      <c r="A26" s="841"/>
      <c r="B26" s="842" t="s">
        <v>910</v>
      </c>
      <c r="C26" s="18"/>
      <c r="D26" s="18"/>
      <c r="E26" s="18"/>
      <c r="F26" s="18"/>
      <c r="G26" s="18"/>
      <c r="H26" s="18"/>
      <c r="I26" s="18"/>
    </row>
  </sheetData>
  <mergeCells count="8">
    <mergeCell ref="A1:I1"/>
    <mergeCell ref="I3:I4"/>
    <mergeCell ref="C5:F5"/>
    <mergeCell ref="E3:F3"/>
    <mergeCell ref="A3:A5"/>
    <mergeCell ref="B3:B5"/>
    <mergeCell ref="G5:H5"/>
    <mergeCell ref="G3:G4"/>
  </mergeCells>
  <pageMargins left="0.70866141732283472" right="0.51181102362204722" top="0.74803149606299213" bottom="0.74803149606299213" header="0.31496062992125984" footer="0.31496062992125984"/>
  <pageSetup paperSize="9" scale="9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3842-075C-45BD-9A50-362BBB03A4CD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7" style="441" customWidth="1"/>
    <col min="3" max="4" width="11.77734375" style="441" bestFit="1" customWidth="1"/>
    <col min="5" max="5" width="12.21875" style="441" customWidth="1"/>
    <col min="6" max="6" width="11.77734375" style="441" bestFit="1" customWidth="1"/>
    <col min="7" max="7" width="7.21875" style="441" bestFit="1" customWidth="1"/>
    <col min="8" max="8" width="9.5546875" style="441" customWidth="1"/>
    <col min="9" max="9" width="13.44140625" style="441" customWidth="1"/>
    <col min="10" max="16384" width="9.21875" style="441"/>
  </cols>
  <sheetData>
    <row r="1" spans="1:9" ht="14.4">
      <c r="A1" s="446" t="s">
        <v>989</v>
      </c>
      <c r="B1" s="447"/>
      <c r="C1" s="447"/>
      <c r="D1" s="447"/>
      <c r="E1" s="447"/>
      <c r="F1" s="447"/>
      <c r="G1" s="447"/>
      <c r="H1" s="447"/>
      <c r="I1" s="447"/>
    </row>
    <row r="3" spans="1:9">
      <c r="A3" s="2384" t="s">
        <v>87</v>
      </c>
      <c r="B3" s="2386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385"/>
      <c r="B4" s="2387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385"/>
      <c r="B5" s="2387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5" t="s">
        <v>10</v>
      </c>
      <c r="B6" s="41" t="s">
        <v>11</v>
      </c>
      <c r="C6" s="20" t="s">
        <v>12</v>
      </c>
      <c r="D6" s="39" t="s">
        <v>13</v>
      </c>
      <c r="E6" s="39" t="s">
        <v>14</v>
      </c>
      <c r="F6" s="39" t="s">
        <v>15</v>
      </c>
      <c r="G6" s="39" t="s">
        <v>16</v>
      </c>
      <c r="H6" s="39" t="s">
        <v>17</v>
      </c>
      <c r="I6" s="40" t="s">
        <v>94</v>
      </c>
    </row>
    <row r="7" spans="1:9">
      <c r="A7" s="24"/>
      <c r="B7" s="371" t="s">
        <v>95</v>
      </c>
      <c r="C7" s="21">
        <v>6591774919.6999998</v>
      </c>
      <c r="D7" s="38">
        <v>6238726734.6300001</v>
      </c>
      <c r="E7" s="38">
        <v>1975441067.6300001</v>
      </c>
      <c r="F7" s="38">
        <v>4263285667</v>
      </c>
      <c r="G7" s="19">
        <v>100</v>
      </c>
      <c r="H7" s="19">
        <v>94.6</v>
      </c>
      <c r="I7" s="27">
        <v>247.2</v>
      </c>
    </row>
    <row r="8" spans="1:9">
      <c r="A8" s="34" t="s">
        <v>96</v>
      </c>
      <c r="B8" s="25" t="s">
        <v>97</v>
      </c>
      <c r="C8" s="22">
        <v>604106369.34000003</v>
      </c>
      <c r="D8" s="31">
        <v>650300449.37</v>
      </c>
      <c r="E8" s="31">
        <v>244795919.21000001</v>
      </c>
      <c r="F8" s="31">
        <v>405504530.15999997</v>
      </c>
      <c r="G8" s="33">
        <v>10.4</v>
      </c>
      <c r="H8" s="33">
        <v>107.6</v>
      </c>
      <c r="I8" s="28">
        <v>336.7</v>
      </c>
    </row>
    <row r="9" spans="1:9">
      <c r="A9" s="34" t="s">
        <v>98</v>
      </c>
      <c r="B9" s="25" t="s">
        <v>99</v>
      </c>
      <c r="C9" s="22">
        <v>361518329.60000002</v>
      </c>
      <c r="D9" s="31">
        <v>393928117.94999999</v>
      </c>
      <c r="E9" s="31">
        <v>115764269.56999999</v>
      </c>
      <c r="F9" s="31">
        <v>278163848.38</v>
      </c>
      <c r="G9" s="33">
        <v>6.3</v>
      </c>
      <c r="H9" s="33">
        <v>109</v>
      </c>
      <c r="I9" s="28">
        <v>307.89999999999998</v>
      </c>
    </row>
    <row r="10" spans="1:9">
      <c r="A10" s="34" t="s">
        <v>100</v>
      </c>
      <c r="B10" s="25" t="s">
        <v>101</v>
      </c>
      <c r="C10" s="22">
        <v>376028063.68000001</v>
      </c>
      <c r="D10" s="31">
        <v>348873953.64999998</v>
      </c>
      <c r="E10" s="31">
        <v>102950147.67</v>
      </c>
      <c r="F10" s="31">
        <v>245923805.97999996</v>
      </c>
      <c r="G10" s="33">
        <v>5.6</v>
      </c>
      <c r="H10" s="33">
        <v>92.8</v>
      </c>
      <c r="I10" s="28">
        <v>232.5</v>
      </c>
    </row>
    <row r="11" spans="1:9">
      <c r="A11" s="34" t="s">
        <v>102</v>
      </c>
      <c r="B11" s="25" t="s">
        <v>103</v>
      </c>
      <c r="C11" s="22">
        <v>194419785.56999999</v>
      </c>
      <c r="D11" s="31">
        <v>229598017.65000001</v>
      </c>
      <c r="E11" s="31">
        <v>75271482.170000002</v>
      </c>
      <c r="F11" s="31">
        <v>154326535.48000002</v>
      </c>
      <c r="G11" s="33">
        <v>3.7</v>
      </c>
      <c r="H11" s="33">
        <v>118.1</v>
      </c>
      <c r="I11" s="28">
        <v>320.60000000000002</v>
      </c>
    </row>
    <row r="12" spans="1:9">
      <c r="A12" s="34" t="s">
        <v>104</v>
      </c>
      <c r="B12" s="25" t="s">
        <v>105</v>
      </c>
      <c r="C12" s="22">
        <v>416250896.70999998</v>
      </c>
      <c r="D12" s="31">
        <v>400015583.75</v>
      </c>
      <c r="E12" s="31">
        <v>127274704.2</v>
      </c>
      <c r="F12" s="31">
        <v>272740879.55000001</v>
      </c>
      <c r="G12" s="33">
        <v>6.4</v>
      </c>
      <c r="H12" s="33">
        <v>96.1</v>
      </c>
      <c r="I12" s="28">
        <v>251.7</v>
      </c>
    </row>
    <row r="13" spans="1:9">
      <c r="A13" s="34" t="s">
        <v>106</v>
      </c>
      <c r="B13" s="25" t="s">
        <v>107</v>
      </c>
      <c r="C13" s="22">
        <v>612877516.16999996</v>
      </c>
      <c r="D13" s="31">
        <v>579141505.45000005</v>
      </c>
      <c r="E13" s="31">
        <v>213595543.09</v>
      </c>
      <c r="F13" s="31">
        <v>365545962.36000001</v>
      </c>
      <c r="G13" s="33">
        <v>9.3000000000000007</v>
      </c>
      <c r="H13" s="33">
        <v>94.5</v>
      </c>
      <c r="I13" s="28">
        <v>237.6</v>
      </c>
    </row>
    <row r="14" spans="1:9">
      <c r="A14" s="34" t="s">
        <v>108</v>
      </c>
      <c r="B14" s="25" t="s">
        <v>109</v>
      </c>
      <c r="C14" s="22">
        <v>805006570.08000004</v>
      </c>
      <c r="D14" s="31">
        <v>582695576.71000004</v>
      </c>
      <c r="E14" s="31">
        <v>140363113.31999999</v>
      </c>
      <c r="F14" s="31">
        <v>442332463.39000005</v>
      </c>
      <c r="G14" s="33">
        <v>9.3000000000000007</v>
      </c>
      <c r="H14" s="33">
        <v>72.400000000000006</v>
      </c>
      <c r="I14" s="28">
        <v>181.1</v>
      </c>
    </row>
    <row r="15" spans="1:9">
      <c r="A15" s="34" t="s">
        <v>110</v>
      </c>
      <c r="B15" s="25" t="s">
        <v>111</v>
      </c>
      <c r="C15" s="22">
        <v>267847766.93000001</v>
      </c>
      <c r="D15" s="31">
        <v>260812424.15000001</v>
      </c>
      <c r="E15" s="31">
        <v>90238552.609999999</v>
      </c>
      <c r="F15" s="31">
        <v>170573871.54000002</v>
      </c>
      <c r="G15" s="33">
        <v>4.2</v>
      </c>
      <c r="H15" s="33">
        <v>97.4</v>
      </c>
      <c r="I15" s="28">
        <v>324.10000000000002</v>
      </c>
    </row>
    <row r="16" spans="1:9">
      <c r="A16" s="34" t="s">
        <v>112</v>
      </c>
      <c r="B16" s="25" t="s">
        <v>113</v>
      </c>
      <c r="C16" s="22">
        <v>441594212.95999998</v>
      </c>
      <c r="D16" s="31">
        <v>467923148.99000001</v>
      </c>
      <c r="E16" s="31">
        <v>185145206.56999999</v>
      </c>
      <c r="F16" s="31">
        <v>282777942.42000002</v>
      </c>
      <c r="G16" s="33">
        <v>7.5</v>
      </c>
      <c r="H16" s="33">
        <v>106</v>
      </c>
      <c r="I16" s="28">
        <v>271.60000000000002</v>
      </c>
    </row>
    <row r="17" spans="1:9">
      <c r="A17" s="34" t="s">
        <v>114</v>
      </c>
      <c r="B17" s="25" t="s">
        <v>115</v>
      </c>
      <c r="C17" s="22">
        <v>199643660.06999999</v>
      </c>
      <c r="D17" s="31">
        <v>215464376.31</v>
      </c>
      <c r="E17" s="31">
        <v>71461646.140000001</v>
      </c>
      <c r="F17" s="31">
        <v>144002730.17000002</v>
      </c>
      <c r="G17" s="33">
        <v>3.5</v>
      </c>
      <c r="H17" s="33">
        <v>107.9</v>
      </c>
      <c r="I17" s="28">
        <v>301.39999999999998</v>
      </c>
    </row>
    <row r="18" spans="1:9">
      <c r="A18" s="34" t="s">
        <v>116</v>
      </c>
      <c r="B18" s="25" t="s">
        <v>117</v>
      </c>
      <c r="C18" s="22">
        <v>432850801.37</v>
      </c>
      <c r="D18" s="31">
        <v>309676520.70999998</v>
      </c>
      <c r="E18" s="31">
        <v>71521180.939999998</v>
      </c>
      <c r="F18" s="31">
        <v>238155339.76999998</v>
      </c>
      <c r="G18" s="33">
        <v>5</v>
      </c>
      <c r="H18" s="33">
        <v>71.5</v>
      </c>
      <c r="I18" s="28">
        <v>204.5</v>
      </c>
    </row>
    <row r="19" spans="1:9">
      <c r="A19" s="34" t="s">
        <v>118</v>
      </c>
      <c r="B19" s="25" t="s">
        <v>119</v>
      </c>
      <c r="C19" s="22">
        <v>399372178.91000003</v>
      </c>
      <c r="D19" s="31">
        <v>463891107.36000001</v>
      </c>
      <c r="E19" s="31">
        <v>203243891.38</v>
      </c>
      <c r="F19" s="31">
        <v>260647215.98000002</v>
      </c>
      <c r="G19" s="33">
        <v>7.4</v>
      </c>
      <c r="H19" s="33">
        <v>116.2</v>
      </c>
      <c r="I19" s="28">
        <v>238.9</v>
      </c>
    </row>
    <row r="20" spans="1:9">
      <c r="A20" s="34" t="s">
        <v>120</v>
      </c>
      <c r="B20" s="25" t="s">
        <v>121</v>
      </c>
      <c r="C20" s="22">
        <v>264933135.61000001</v>
      </c>
      <c r="D20" s="31">
        <v>296105239.58999997</v>
      </c>
      <c r="E20" s="31">
        <v>94700449.290000007</v>
      </c>
      <c r="F20" s="31">
        <v>201404790.29999995</v>
      </c>
      <c r="G20" s="33">
        <v>4.7</v>
      </c>
      <c r="H20" s="33">
        <v>111.8</v>
      </c>
      <c r="I20" s="28">
        <v>302.89999999999998</v>
      </c>
    </row>
    <row r="21" spans="1:9">
      <c r="A21" s="34" t="s">
        <v>122</v>
      </c>
      <c r="B21" s="25" t="s">
        <v>123</v>
      </c>
      <c r="C21" s="22">
        <v>315656668.07999998</v>
      </c>
      <c r="D21" s="31">
        <v>368006258.68000001</v>
      </c>
      <c r="E21" s="31">
        <v>110925892.95</v>
      </c>
      <c r="F21" s="31">
        <v>257080365.73000002</v>
      </c>
      <c r="G21" s="33">
        <v>5.9</v>
      </c>
      <c r="H21" s="33">
        <v>116.6</v>
      </c>
      <c r="I21" s="28">
        <v>343.7</v>
      </c>
    </row>
    <row r="22" spans="1:9">
      <c r="A22" s="34" t="s">
        <v>124</v>
      </c>
      <c r="B22" s="25" t="s">
        <v>125</v>
      </c>
      <c r="C22" s="22">
        <v>620609043.64999998</v>
      </c>
      <c r="D22" s="31">
        <v>427051424.44</v>
      </c>
      <c r="E22" s="31">
        <v>104071263.27</v>
      </c>
      <c r="F22" s="31">
        <v>322980161.17000002</v>
      </c>
      <c r="G22" s="33">
        <v>6.8</v>
      </c>
      <c r="H22" s="33">
        <v>68.8</v>
      </c>
      <c r="I22" s="28">
        <v>156.6</v>
      </c>
    </row>
    <row r="23" spans="1:9">
      <c r="A23" s="35" t="s">
        <v>126</v>
      </c>
      <c r="B23" s="26" t="s">
        <v>127</v>
      </c>
      <c r="C23" s="23">
        <v>279059920.97000003</v>
      </c>
      <c r="D23" s="36">
        <v>245243029.87</v>
      </c>
      <c r="E23" s="36">
        <v>24117805.25</v>
      </c>
      <c r="F23" s="36">
        <v>221125224.62</v>
      </c>
      <c r="G23" s="37">
        <v>3.9</v>
      </c>
      <c r="H23" s="37">
        <v>87.9</v>
      </c>
      <c r="I23" s="29">
        <v>224.5</v>
      </c>
    </row>
    <row r="25" spans="1:9" ht="14.4">
      <c r="A25" s="18" t="s">
        <v>128</v>
      </c>
      <c r="B25" s="32" t="s">
        <v>909</v>
      </c>
      <c r="C25" s="18"/>
      <c r="D25" s="18"/>
      <c r="E25" s="18"/>
      <c r="F25" s="18"/>
      <c r="G25" s="18"/>
      <c r="H25" s="18"/>
      <c r="I25" s="18"/>
    </row>
    <row r="26" spans="1:9" ht="14.4">
      <c r="A26" s="18"/>
      <c r="B26" s="32" t="s">
        <v>910</v>
      </c>
      <c r="C26" s="18"/>
      <c r="D26" s="18"/>
      <c r="E26" s="18"/>
      <c r="F26" s="18"/>
      <c r="G26" s="18"/>
      <c r="H26" s="18"/>
      <c r="I26" s="18"/>
    </row>
  </sheetData>
  <mergeCells count="7">
    <mergeCell ref="I3:I4"/>
    <mergeCell ref="C5:F5"/>
    <mergeCell ref="G5:H5"/>
    <mergeCell ref="A3:A5"/>
    <mergeCell ref="B3:B5"/>
    <mergeCell ref="E3:F3"/>
    <mergeCell ref="G3:G4"/>
  </mergeCells>
  <pageMargins left="0.70866141732283472" right="0.51181102362204722" top="0.74803149606299213" bottom="0.74803149606299213" header="0.31496062992125984" footer="0.31496062992125984"/>
  <pageSetup paperSize="9" scale="8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CD406-4762-402A-91F7-40949316B33B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6.21875" style="441" customWidth="1"/>
    <col min="2" max="2" width="15.77734375" style="441" customWidth="1"/>
    <col min="3" max="3" width="10.77734375" style="441" bestFit="1" customWidth="1"/>
    <col min="4" max="4" width="10.77734375" style="441" customWidth="1"/>
    <col min="5" max="6" width="9.77734375" style="441" bestFit="1" customWidth="1"/>
    <col min="7" max="7" width="7.21875" style="441" bestFit="1" customWidth="1"/>
    <col min="8" max="8" width="7.44140625" style="441" bestFit="1" customWidth="1"/>
    <col min="9" max="9" width="11.21875" style="441" customWidth="1"/>
    <col min="10" max="16384" width="9.21875" style="441"/>
  </cols>
  <sheetData>
    <row r="1" spans="1:9" ht="30" customHeight="1">
      <c r="A1" s="2383" t="s">
        <v>990</v>
      </c>
      <c r="B1" s="2383"/>
      <c r="C1" s="2383"/>
      <c r="D1" s="2383"/>
      <c r="E1" s="2383"/>
      <c r="F1" s="2383"/>
      <c r="G1" s="2383"/>
      <c r="H1" s="2383"/>
      <c r="I1" s="2383"/>
    </row>
    <row r="3" spans="1:9">
      <c r="A3" s="2384" t="s">
        <v>87</v>
      </c>
      <c r="B3" s="2386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385"/>
      <c r="B4" s="2387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385"/>
      <c r="B5" s="2387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5" t="s">
        <v>10</v>
      </c>
      <c r="B6" s="41" t="s">
        <v>11</v>
      </c>
      <c r="C6" s="20" t="s">
        <v>12</v>
      </c>
      <c r="D6" s="39" t="s">
        <v>13</v>
      </c>
      <c r="E6" s="39" t="s">
        <v>14</v>
      </c>
      <c r="F6" s="39" t="s">
        <v>15</v>
      </c>
      <c r="G6" s="39" t="s">
        <v>16</v>
      </c>
      <c r="H6" s="39" t="s">
        <v>17</v>
      </c>
      <c r="I6" s="40" t="s">
        <v>94</v>
      </c>
    </row>
    <row r="7" spans="1:9">
      <c r="A7" s="24"/>
      <c r="B7" s="371" t="s">
        <v>95</v>
      </c>
      <c r="C7" s="21">
        <v>104141542.90000001</v>
      </c>
      <c r="D7" s="38">
        <v>46516131.5</v>
      </c>
      <c r="E7" s="38">
        <v>20322009.789999999</v>
      </c>
      <c r="F7" s="38">
        <v>26194121.710000001</v>
      </c>
      <c r="G7" s="19">
        <v>100</v>
      </c>
      <c r="H7" s="19">
        <v>44.7</v>
      </c>
      <c r="I7" s="27">
        <v>1.8</v>
      </c>
    </row>
    <row r="8" spans="1:9">
      <c r="A8" s="34" t="s">
        <v>96</v>
      </c>
      <c r="B8" s="25" t="s">
        <v>97</v>
      </c>
      <c r="C8" s="22">
        <v>7319347.5700000003</v>
      </c>
      <c r="D8" s="31">
        <v>3134379.98</v>
      </c>
      <c r="E8" s="31">
        <v>1433372.96</v>
      </c>
      <c r="F8" s="31">
        <v>1701007.02</v>
      </c>
      <c r="G8" s="33">
        <v>6.7</v>
      </c>
      <c r="H8" s="33">
        <v>42.8</v>
      </c>
      <c r="I8" s="28">
        <v>1.6</v>
      </c>
    </row>
    <row r="9" spans="1:9">
      <c r="A9" s="34" t="s">
        <v>98</v>
      </c>
      <c r="B9" s="25" t="s">
        <v>99</v>
      </c>
      <c r="C9" s="22">
        <v>14560779.310000001</v>
      </c>
      <c r="D9" s="31">
        <v>1950142.3</v>
      </c>
      <c r="E9" s="31">
        <v>234573.69</v>
      </c>
      <c r="F9" s="31">
        <v>1715568.61</v>
      </c>
      <c r="G9" s="33">
        <v>4.2</v>
      </c>
      <c r="H9" s="33">
        <v>13.4</v>
      </c>
      <c r="I9" s="28">
        <v>1.5</v>
      </c>
    </row>
    <row r="10" spans="1:9">
      <c r="A10" s="34" t="s">
        <v>100</v>
      </c>
      <c r="B10" s="25" t="s">
        <v>101</v>
      </c>
      <c r="C10" s="22">
        <v>4637600.09</v>
      </c>
      <c r="D10" s="31">
        <v>1706961.3</v>
      </c>
      <c r="E10" s="31">
        <v>548903.65</v>
      </c>
      <c r="F10" s="31">
        <v>1158057.6499999999</v>
      </c>
      <c r="G10" s="33">
        <v>3.7</v>
      </c>
      <c r="H10" s="33">
        <v>36.799999999999997</v>
      </c>
      <c r="I10" s="28">
        <v>1.1000000000000001</v>
      </c>
    </row>
    <row r="11" spans="1:9">
      <c r="A11" s="34" t="s">
        <v>102</v>
      </c>
      <c r="B11" s="25" t="s">
        <v>103</v>
      </c>
      <c r="C11" s="22">
        <v>3598354.4</v>
      </c>
      <c r="D11" s="31">
        <v>1203899.31</v>
      </c>
      <c r="E11" s="31">
        <v>306266.23</v>
      </c>
      <c r="F11" s="31">
        <v>897633.08000000007</v>
      </c>
      <c r="G11" s="33">
        <v>2.6</v>
      </c>
      <c r="H11" s="33">
        <v>33.5</v>
      </c>
      <c r="I11" s="28">
        <v>1.7</v>
      </c>
    </row>
    <row r="12" spans="1:9">
      <c r="A12" s="34" t="s">
        <v>104</v>
      </c>
      <c r="B12" s="25" t="s">
        <v>105</v>
      </c>
      <c r="C12" s="22">
        <v>5702880.21</v>
      </c>
      <c r="D12" s="31">
        <v>1343184.53</v>
      </c>
      <c r="E12" s="31">
        <v>218698</v>
      </c>
      <c r="F12" s="31">
        <v>1124486.53</v>
      </c>
      <c r="G12" s="33">
        <v>2.9</v>
      </c>
      <c r="H12" s="33">
        <v>23.6</v>
      </c>
      <c r="I12" s="28">
        <v>0.8</v>
      </c>
    </row>
    <row r="13" spans="1:9">
      <c r="A13" s="34" t="s">
        <v>106</v>
      </c>
      <c r="B13" s="25" t="s">
        <v>107</v>
      </c>
      <c r="C13" s="22">
        <v>11131567.880000001</v>
      </c>
      <c r="D13" s="31">
        <v>6070942.3799999999</v>
      </c>
      <c r="E13" s="31">
        <v>1839248.18</v>
      </c>
      <c r="F13" s="31">
        <v>4231694.2</v>
      </c>
      <c r="G13" s="33">
        <v>13.1</v>
      </c>
      <c r="H13" s="33">
        <v>54.5</v>
      </c>
      <c r="I13" s="28">
        <v>2.5</v>
      </c>
    </row>
    <row r="14" spans="1:9">
      <c r="A14" s="34" t="s">
        <v>108</v>
      </c>
      <c r="B14" s="25" t="s">
        <v>109</v>
      </c>
      <c r="C14" s="22">
        <v>15217304.619999999</v>
      </c>
      <c r="D14" s="31">
        <v>9775896.1999999993</v>
      </c>
      <c r="E14" s="31">
        <v>8069687.0899999999</v>
      </c>
      <c r="F14" s="31">
        <v>1706209.1099999994</v>
      </c>
      <c r="G14" s="33">
        <v>21</v>
      </c>
      <c r="H14" s="33">
        <v>64.2</v>
      </c>
      <c r="I14" s="28">
        <v>3</v>
      </c>
    </row>
    <row r="15" spans="1:9">
      <c r="A15" s="34" t="s">
        <v>110</v>
      </c>
      <c r="B15" s="25" t="s">
        <v>111</v>
      </c>
      <c r="C15" s="22">
        <v>2163749.1</v>
      </c>
      <c r="D15" s="31">
        <v>983063.98</v>
      </c>
      <c r="E15" s="31">
        <v>479964.59</v>
      </c>
      <c r="F15" s="31">
        <v>503099.38999999996</v>
      </c>
      <c r="G15" s="33">
        <v>2.1</v>
      </c>
      <c r="H15" s="33">
        <v>45.4</v>
      </c>
      <c r="I15" s="28">
        <v>1.2</v>
      </c>
    </row>
    <row r="16" spans="1:9">
      <c r="A16" s="34" t="s">
        <v>112</v>
      </c>
      <c r="B16" s="25" t="s">
        <v>113</v>
      </c>
      <c r="C16" s="22">
        <v>5702824.3300000001</v>
      </c>
      <c r="D16" s="31">
        <v>2722616.91</v>
      </c>
      <c r="E16" s="31">
        <v>657346.92000000004</v>
      </c>
      <c r="F16" s="31">
        <v>2065269.9900000002</v>
      </c>
      <c r="G16" s="33">
        <v>5.9</v>
      </c>
      <c r="H16" s="33">
        <v>47.7</v>
      </c>
      <c r="I16" s="28">
        <v>1.6</v>
      </c>
    </row>
    <row r="17" spans="1:9">
      <c r="A17" s="34" t="s">
        <v>114</v>
      </c>
      <c r="B17" s="25" t="s">
        <v>115</v>
      </c>
      <c r="C17" s="22">
        <v>3156395.26</v>
      </c>
      <c r="D17" s="31">
        <v>2165234.79</v>
      </c>
      <c r="E17" s="31">
        <v>706456.32</v>
      </c>
      <c r="F17" s="31">
        <v>1458778.4700000002</v>
      </c>
      <c r="G17" s="33">
        <v>4.7</v>
      </c>
      <c r="H17" s="33">
        <v>68.599999999999994</v>
      </c>
      <c r="I17" s="28">
        <v>3</v>
      </c>
    </row>
    <row r="18" spans="1:9">
      <c r="A18" s="34" t="s">
        <v>116</v>
      </c>
      <c r="B18" s="25" t="s">
        <v>117</v>
      </c>
      <c r="C18" s="22">
        <v>4882683.82</v>
      </c>
      <c r="D18" s="31">
        <v>1524827.44</v>
      </c>
      <c r="E18" s="31">
        <v>453276.28</v>
      </c>
      <c r="F18" s="31">
        <v>1071551.1599999999</v>
      </c>
      <c r="G18" s="33">
        <v>3.3</v>
      </c>
      <c r="H18" s="33">
        <v>31.2</v>
      </c>
      <c r="I18" s="28">
        <v>1</v>
      </c>
    </row>
    <row r="19" spans="1:9">
      <c r="A19" s="34" t="s">
        <v>118</v>
      </c>
      <c r="B19" s="25" t="s">
        <v>119</v>
      </c>
      <c r="C19" s="22">
        <v>7370379.0899999999</v>
      </c>
      <c r="D19" s="31">
        <v>1942180.54</v>
      </c>
      <c r="E19" s="31">
        <v>1001413.96</v>
      </c>
      <c r="F19" s="31">
        <v>940766.58000000007</v>
      </c>
      <c r="G19" s="33">
        <v>4.2</v>
      </c>
      <c r="H19" s="33">
        <v>26.4</v>
      </c>
      <c r="I19" s="28">
        <v>1</v>
      </c>
    </row>
    <row r="20" spans="1:9">
      <c r="A20" s="34" t="s">
        <v>120</v>
      </c>
      <c r="B20" s="25" t="s">
        <v>121</v>
      </c>
      <c r="C20" s="22">
        <v>3458076.93</v>
      </c>
      <c r="D20" s="31">
        <v>1559925.42</v>
      </c>
      <c r="E20" s="31">
        <v>931123.19999999995</v>
      </c>
      <c r="F20" s="31">
        <v>628802.22</v>
      </c>
      <c r="G20" s="33">
        <v>3.4</v>
      </c>
      <c r="H20" s="33">
        <v>45.1</v>
      </c>
      <c r="I20" s="28">
        <v>1.6</v>
      </c>
    </row>
    <row r="21" spans="1:9">
      <c r="A21" s="34" t="s">
        <v>122</v>
      </c>
      <c r="B21" s="25" t="s">
        <v>123</v>
      </c>
      <c r="C21" s="22">
        <v>3431531.51</v>
      </c>
      <c r="D21" s="31">
        <v>3460452.47</v>
      </c>
      <c r="E21" s="31">
        <v>1703665</v>
      </c>
      <c r="F21" s="31">
        <v>1756787.4700000002</v>
      </c>
      <c r="G21" s="33">
        <v>7.4</v>
      </c>
      <c r="H21" s="33">
        <v>100.8</v>
      </c>
      <c r="I21" s="28">
        <v>3.2</v>
      </c>
    </row>
    <row r="22" spans="1:9">
      <c r="A22" s="34" t="s">
        <v>124</v>
      </c>
      <c r="B22" s="25" t="s">
        <v>125</v>
      </c>
      <c r="C22" s="22">
        <v>7949671.9699999997</v>
      </c>
      <c r="D22" s="31">
        <v>4273586.28</v>
      </c>
      <c r="E22" s="31">
        <v>195108</v>
      </c>
      <c r="F22" s="31">
        <v>4078478.2800000003</v>
      </c>
      <c r="G22" s="33">
        <v>9.1999999999999993</v>
      </c>
      <c r="H22" s="33">
        <v>53.8</v>
      </c>
      <c r="I22" s="28">
        <v>1.6</v>
      </c>
    </row>
    <row r="23" spans="1:9">
      <c r="A23" s="35" t="s">
        <v>126</v>
      </c>
      <c r="B23" s="26" t="s">
        <v>127</v>
      </c>
      <c r="C23" s="23">
        <v>3858396.81</v>
      </c>
      <c r="D23" s="36">
        <v>2698837.67</v>
      </c>
      <c r="E23" s="36">
        <v>1542905.72</v>
      </c>
      <c r="F23" s="36">
        <v>1155931.95</v>
      </c>
      <c r="G23" s="37">
        <v>5.8</v>
      </c>
      <c r="H23" s="37">
        <v>69.900000000000006</v>
      </c>
      <c r="I23" s="29">
        <v>2.5</v>
      </c>
    </row>
    <row r="25" spans="1:9" ht="14.4">
      <c r="A25" s="18" t="s">
        <v>128</v>
      </c>
      <c r="B25" s="32" t="s">
        <v>909</v>
      </c>
      <c r="C25" s="18"/>
      <c r="D25" s="18"/>
      <c r="E25" s="18"/>
      <c r="F25" s="18"/>
      <c r="G25" s="18"/>
      <c r="H25" s="18"/>
      <c r="I25" s="18"/>
    </row>
    <row r="26" spans="1:9" ht="14.4">
      <c r="A26" s="18"/>
      <c r="B26" s="32" t="s">
        <v>910</v>
      </c>
      <c r="C26" s="18"/>
      <c r="D26" s="18"/>
      <c r="E26" s="18"/>
      <c r="F26" s="18"/>
      <c r="G26" s="18"/>
      <c r="H26" s="18"/>
      <c r="I26" s="18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2D43-2645-4A65-ACD0-CBAD6079D287}">
  <dimension ref="A1:I42"/>
  <sheetViews>
    <sheetView view="pageBreakPreview" topLeftCell="A25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24.77734375" customWidth="1"/>
    <col min="3" max="4" width="11.77734375" bestFit="1" customWidth="1"/>
    <col min="5" max="5" width="6.5546875" bestFit="1" customWidth="1"/>
    <col min="6" max="6" width="12" customWidth="1"/>
    <col min="7" max="7" width="11.77734375" bestFit="1" customWidth="1"/>
    <col min="8" max="9" width="6.5546875" bestFit="1" customWidth="1"/>
  </cols>
  <sheetData>
    <row r="1" spans="1:9" ht="45" customHeight="1">
      <c r="A1" s="2388" t="s">
        <v>991</v>
      </c>
      <c r="B1" s="2388"/>
      <c r="C1" s="2388"/>
      <c r="D1" s="2388"/>
      <c r="E1" s="2388"/>
      <c r="F1" s="2388"/>
      <c r="G1" s="2388"/>
      <c r="H1" s="2388"/>
      <c r="I1" s="2388"/>
    </row>
    <row r="3" spans="1:9">
      <c r="A3" s="2384" t="s">
        <v>0</v>
      </c>
      <c r="B3" s="2386" t="s">
        <v>1</v>
      </c>
      <c r="C3" s="2384" t="s">
        <v>129</v>
      </c>
      <c r="D3" s="2389"/>
      <c r="E3" s="2389"/>
      <c r="F3" s="2224" t="s">
        <v>130</v>
      </c>
      <c r="G3" s="2224"/>
      <c r="H3" s="2224"/>
      <c r="I3" s="56" t="s">
        <v>131</v>
      </c>
    </row>
    <row r="4" spans="1:9">
      <c r="A4" s="2385"/>
      <c r="B4" s="2387"/>
      <c r="C4" s="52" t="s">
        <v>3</v>
      </c>
      <c r="D4" s="48" t="s">
        <v>2</v>
      </c>
      <c r="E4" s="47" t="s">
        <v>92</v>
      </c>
      <c r="F4" s="48" t="s">
        <v>3</v>
      </c>
      <c r="G4" s="48" t="s">
        <v>2</v>
      </c>
      <c r="H4" s="47" t="s">
        <v>132</v>
      </c>
      <c r="I4" s="46" t="s">
        <v>133</v>
      </c>
    </row>
    <row r="5" spans="1:9">
      <c r="A5" s="2385"/>
      <c r="B5" s="2387"/>
      <c r="C5" s="2225" t="s">
        <v>93</v>
      </c>
      <c r="D5" s="2226"/>
      <c r="E5" s="48" t="s">
        <v>134</v>
      </c>
      <c r="F5" s="2226" t="s">
        <v>93</v>
      </c>
      <c r="G5" s="2226"/>
      <c r="H5" s="2226" t="s">
        <v>134</v>
      </c>
      <c r="I5" s="2227"/>
    </row>
    <row r="6" spans="1:9">
      <c r="A6" s="35" t="s">
        <v>10</v>
      </c>
      <c r="B6" s="41" t="s">
        <v>11</v>
      </c>
      <c r="C6" s="35" t="s">
        <v>12</v>
      </c>
      <c r="D6" s="39" t="s">
        <v>13</v>
      </c>
      <c r="E6" s="39" t="s">
        <v>14</v>
      </c>
      <c r="F6" s="39" t="s">
        <v>15</v>
      </c>
      <c r="G6" s="39" t="s">
        <v>16</v>
      </c>
      <c r="H6" s="39" t="s">
        <v>17</v>
      </c>
      <c r="I6" s="40" t="s">
        <v>94</v>
      </c>
    </row>
    <row r="7" spans="1:9">
      <c r="A7" s="45"/>
      <c r="B7" s="42" t="s">
        <v>95</v>
      </c>
      <c r="C7" s="55">
        <v>9246600438.5200005</v>
      </c>
      <c r="D7" s="38">
        <v>7353365276.6300001</v>
      </c>
      <c r="E7" s="51">
        <v>79.5</v>
      </c>
      <c r="F7" s="38">
        <v>1782589586.8500004</v>
      </c>
      <c r="G7" s="38">
        <v>1541182328.8699999</v>
      </c>
      <c r="H7" s="51">
        <v>86.5</v>
      </c>
      <c r="I7" s="57">
        <v>21</v>
      </c>
    </row>
    <row r="8" spans="1:9">
      <c r="A8" s="34" t="s">
        <v>19</v>
      </c>
      <c r="B8" s="43" t="s">
        <v>20</v>
      </c>
      <c r="C8" s="53">
        <v>1618278543.5999999</v>
      </c>
      <c r="D8" s="31">
        <v>1494512116.1800001</v>
      </c>
      <c r="E8" s="50">
        <v>92.4</v>
      </c>
      <c r="F8" s="623">
        <v>6660218.1199998856</v>
      </c>
      <c r="G8" s="623">
        <v>4941525.1000001431</v>
      </c>
      <c r="H8" s="33">
        <v>74.2</v>
      </c>
      <c r="I8" s="58">
        <v>0.3</v>
      </c>
    </row>
    <row r="9" spans="1:9">
      <c r="A9" s="34" t="s">
        <v>21</v>
      </c>
      <c r="B9" s="43" t="s">
        <v>22</v>
      </c>
      <c r="C9" s="53">
        <v>499905</v>
      </c>
      <c r="D9" s="31">
        <v>499905</v>
      </c>
      <c r="E9" s="50">
        <v>100</v>
      </c>
      <c r="F9" s="623">
        <v>0</v>
      </c>
      <c r="G9" s="623">
        <v>0</v>
      </c>
      <c r="H9" s="2055" t="s">
        <v>936</v>
      </c>
      <c r="I9" s="2056" t="s">
        <v>936</v>
      </c>
    </row>
    <row r="10" spans="1:9">
      <c r="A10" s="34" t="s">
        <v>23</v>
      </c>
      <c r="B10" s="43" t="s">
        <v>24</v>
      </c>
      <c r="C10" s="53">
        <v>0</v>
      </c>
      <c r="D10" s="31">
        <v>0</v>
      </c>
      <c r="E10" s="2057" t="s">
        <v>936</v>
      </c>
      <c r="F10" s="623">
        <v>0</v>
      </c>
      <c r="G10" s="623">
        <v>0</v>
      </c>
      <c r="H10" s="2055" t="s">
        <v>936</v>
      </c>
      <c r="I10" s="2056" t="s">
        <v>936</v>
      </c>
    </row>
    <row r="11" spans="1:9">
      <c r="A11" s="34" t="s">
        <v>25</v>
      </c>
      <c r="B11" s="43" t="s">
        <v>26</v>
      </c>
      <c r="C11" s="53">
        <v>0</v>
      </c>
      <c r="D11" s="31">
        <v>0</v>
      </c>
      <c r="E11" s="2057" t="s">
        <v>936</v>
      </c>
      <c r="F11" s="623">
        <v>0</v>
      </c>
      <c r="G11" s="623">
        <v>0</v>
      </c>
      <c r="H11" s="2055" t="s">
        <v>936</v>
      </c>
      <c r="I11" s="2056" t="s">
        <v>936</v>
      </c>
    </row>
    <row r="12" spans="1:9">
      <c r="A12" s="34" t="s">
        <v>27</v>
      </c>
      <c r="B12" s="43" t="s">
        <v>28</v>
      </c>
      <c r="C12" s="53">
        <v>32476.68</v>
      </c>
      <c r="D12" s="31">
        <v>27967.119999999999</v>
      </c>
      <c r="E12" s="50">
        <v>86.1</v>
      </c>
      <c r="F12" s="623">
        <v>6339.18</v>
      </c>
      <c r="G12" s="623">
        <v>1829.619999999999</v>
      </c>
      <c r="H12" s="33">
        <v>28.9</v>
      </c>
      <c r="I12" s="58">
        <v>6.5</v>
      </c>
    </row>
    <row r="13" spans="1:9" ht="26.4">
      <c r="A13" s="34" t="s">
        <v>29</v>
      </c>
      <c r="B13" s="43" t="s">
        <v>30</v>
      </c>
      <c r="C13" s="53">
        <v>88659439.010000005</v>
      </c>
      <c r="D13" s="31">
        <v>72344342.870000005</v>
      </c>
      <c r="E13" s="50">
        <v>81.599999999999994</v>
      </c>
      <c r="F13" s="623">
        <v>1472691.7199999988</v>
      </c>
      <c r="G13" s="623">
        <v>4245447.7600000054</v>
      </c>
      <c r="H13" s="33">
        <v>288.3</v>
      </c>
      <c r="I13" s="58">
        <v>5.9</v>
      </c>
    </row>
    <row r="14" spans="1:9">
      <c r="A14" s="34" t="s">
        <v>31</v>
      </c>
      <c r="B14" s="43" t="s">
        <v>32</v>
      </c>
      <c r="C14" s="53">
        <v>1870874.92</v>
      </c>
      <c r="D14" s="31">
        <v>1989508.99</v>
      </c>
      <c r="E14" s="50">
        <v>106.3</v>
      </c>
      <c r="F14" s="623">
        <v>131512</v>
      </c>
      <c r="G14" s="623">
        <v>402062.99</v>
      </c>
      <c r="H14" s="33">
        <v>305.7</v>
      </c>
      <c r="I14" s="58">
        <v>20.2</v>
      </c>
    </row>
    <row r="15" spans="1:9">
      <c r="A15" s="34" t="s">
        <v>33</v>
      </c>
      <c r="B15" s="43" t="s">
        <v>34</v>
      </c>
      <c r="C15" s="53">
        <v>0</v>
      </c>
      <c r="D15" s="31">
        <v>0</v>
      </c>
      <c r="E15" s="2057" t="s">
        <v>936</v>
      </c>
      <c r="F15" s="623">
        <v>0</v>
      </c>
      <c r="G15" s="623">
        <v>0</v>
      </c>
      <c r="H15" s="2055" t="s">
        <v>936</v>
      </c>
      <c r="I15" s="2056" t="s">
        <v>936</v>
      </c>
    </row>
    <row r="16" spans="1:9">
      <c r="A16" s="34" t="s">
        <v>35</v>
      </c>
      <c r="B16" s="43" t="s">
        <v>36</v>
      </c>
      <c r="C16" s="53">
        <v>938049560.25999999</v>
      </c>
      <c r="D16" s="31">
        <v>808481229.84000003</v>
      </c>
      <c r="E16" s="50">
        <v>86.2</v>
      </c>
      <c r="F16" s="623">
        <v>8181812.7699999809</v>
      </c>
      <c r="G16" s="623">
        <v>6346175.9100000858</v>
      </c>
      <c r="H16" s="33">
        <v>77.599999999999994</v>
      </c>
      <c r="I16" s="58">
        <v>0.8</v>
      </c>
    </row>
    <row r="17" spans="1:9">
      <c r="A17" s="34" t="s">
        <v>37</v>
      </c>
      <c r="B17" s="43" t="s">
        <v>38</v>
      </c>
      <c r="C17" s="53">
        <v>182649958.44</v>
      </c>
      <c r="D17" s="31">
        <v>107106780.73</v>
      </c>
      <c r="E17" s="50">
        <v>58.6</v>
      </c>
      <c r="F17" s="623">
        <v>6157838.8899999857</v>
      </c>
      <c r="G17" s="623">
        <v>3730748.1200000048</v>
      </c>
      <c r="H17" s="33">
        <v>60.6</v>
      </c>
      <c r="I17" s="58">
        <v>3.5</v>
      </c>
    </row>
    <row r="18" spans="1:9">
      <c r="A18" s="34" t="s">
        <v>39</v>
      </c>
      <c r="B18" s="43" t="s">
        <v>40</v>
      </c>
      <c r="C18" s="53">
        <v>124422955.38</v>
      </c>
      <c r="D18" s="31">
        <v>70742322.129999995</v>
      </c>
      <c r="E18" s="50">
        <v>56.9</v>
      </c>
      <c r="F18" s="623">
        <v>2610092.8799999952</v>
      </c>
      <c r="G18" s="623">
        <v>1484202.2399999946</v>
      </c>
      <c r="H18" s="33">
        <v>56.9</v>
      </c>
      <c r="I18" s="58">
        <v>2.1</v>
      </c>
    </row>
    <row r="19" spans="1:9">
      <c r="A19" s="34" t="s">
        <v>41</v>
      </c>
      <c r="B19" s="43" t="s">
        <v>42</v>
      </c>
      <c r="C19" s="53">
        <v>4772598.75</v>
      </c>
      <c r="D19" s="31">
        <v>2199335.23</v>
      </c>
      <c r="E19" s="50">
        <v>46.1</v>
      </c>
      <c r="F19" s="623">
        <v>2576292.85</v>
      </c>
      <c r="G19" s="623">
        <v>285867.30000000005</v>
      </c>
      <c r="H19" s="33">
        <v>11.1</v>
      </c>
      <c r="I19" s="58">
        <v>13</v>
      </c>
    </row>
    <row r="20" spans="1:9">
      <c r="A20" s="34" t="s">
        <v>43</v>
      </c>
      <c r="B20" s="43" t="s">
        <v>44</v>
      </c>
      <c r="C20" s="53">
        <v>167762988.31</v>
      </c>
      <c r="D20" s="31">
        <v>136976117.63999999</v>
      </c>
      <c r="E20" s="50">
        <v>81.599999999999994</v>
      </c>
      <c r="F20" s="623">
        <v>38807059.040000007</v>
      </c>
      <c r="G20" s="623">
        <v>33377186.449999988</v>
      </c>
      <c r="H20" s="33">
        <v>86</v>
      </c>
      <c r="I20" s="58">
        <v>24.4</v>
      </c>
    </row>
    <row r="21" spans="1:9">
      <c r="A21" s="34" t="s">
        <v>45</v>
      </c>
      <c r="B21" s="43" t="s">
        <v>46</v>
      </c>
      <c r="C21" s="53">
        <v>0</v>
      </c>
      <c r="D21" s="31">
        <v>0</v>
      </c>
      <c r="E21" s="2057" t="s">
        <v>936</v>
      </c>
      <c r="F21" s="623">
        <v>0</v>
      </c>
      <c r="G21" s="623">
        <v>0</v>
      </c>
      <c r="H21" s="2055" t="s">
        <v>936</v>
      </c>
      <c r="I21" s="2056" t="s">
        <v>936</v>
      </c>
    </row>
    <row r="22" spans="1:9">
      <c r="A22" s="34" t="s">
        <v>47</v>
      </c>
      <c r="B22" s="43" t="s">
        <v>48</v>
      </c>
      <c r="C22" s="53">
        <v>660512425.30999994</v>
      </c>
      <c r="D22" s="31">
        <v>555243194.5</v>
      </c>
      <c r="E22" s="50">
        <v>84.1</v>
      </c>
      <c r="F22" s="623">
        <v>153721861.75999993</v>
      </c>
      <c r="G22" s="623">
        <v>132111447.30000001</v>
      </c>
      <c r="H22" s="33">
        <v>85.9</v>
      </c>
      <c r="I22" s="58">
        <v>23.8</v>
      </c>
    </row>
    <row r="23" spans="1:9" ht="39.6">
      <c r="A23" s="34" t="s">
        <v>49</v>
      </c>
      <c r="B23" s="43" t="s">
        <v>50</v>
      </c>
      <c r="C23" s="53">
        <v>0</v>
      </c>
      <c r="D23" s="31">
        <v>0</v>
      </c>
      <c r="E23" s="2057" t="s">
        <v>936</v>
      </c>
      <c r="F23" s="623">
        <v>0</v>
      </c>
      <c r="G23" s="623">
        <v>0</v>
      </c>
      <c r="H23" s="2055" t="s">
        <v>936</v>
      </c>
      <c r="I23" s="2056" t="s">
        <v>936</v>
      </c>
    </row>
    <row r="24" spans="1:9">
      <c r="A24" s="34" t="s">
        <v>51</v>
      </c>
      <c r="B24" s="43" t="s">
        <v>52</v>
      </c>
      <c r="C24" s="53">
        <v>474250</v>
      </c>
      <c r="D24" s="31">
        <v>474250</v>
      </c>
      <c r="E24" s="50">
        <v>100</v>
      </c>
      <c r="F24" s="623">
        <v>0</v>
      </c>
      <c r="G24" s="623">
        <v>0</v>
      </c>
      <c r="H24" s="2055" t="s">
        <v>936</v>
      </c>
      <c r="I24" s="2056" t="s">
        <v>936</v>
      </c>
    </row>
    <row r="25" spans="1:9" ht="26.4">
      <c r="A25" s="34" t="s">
        <v>53</v>
      </c>
      <c r="B25" s="43" t="s">
        <v>54</v>
      </c>
      <c r="C25" s="53">
        <v>0</v>
      </c>
      <c r="D25" s="31">
        <v>0</v>
      </c>
      <c r="E25" s="2057" t="s">
        <v>936</v>
      </c>
      <c r="F25" s="623">
        <v>0</v>
      </c>
      <c r="G25" s="623">
        <v>0</v>
      </c>
      <c r="H25" s="2055" t="s">
        <v>936</v>
      </c>
      <c r="I25" s="2056" t="s">
        <v>936</v>
      </c>
    </row>
    <row r="26" spans="1:9" ht="26.4">
      <c r="A26" s="34" t="s">
        <v>55</v>
      </c>
      <c r="B26" s="43" t="s">
        <v>56</v>
      </c>
      <c r="C26" s="53">
        <v>448275297.18000001</v>
      </c>
      <c r="D26" s="31">
        <v>395612373.49000001</v>
      </c>
      <c r="E26" s="50">
        <v>88.3</v>
      </c>
      <c r="F26" s="623">
        <v>17463686.400000036</v>
      </c>
      <c r="G26" s="623">
        <v>13168320.900000036</v>
      </c>
      <c r="H26" s="33">
        <v>75.400000000000006</v>
      </c>
      <c r="I26" s="58">
        <v>3.3</v>
      </c>
    </row>
    <row r="27" spans="1:9">
      <c r="A27" s="34" t="s">
        <v>57</v>
      </c>
      <c r="B27" s="43" t="s">
        <v>58</v>
      </c>
      <c r="C27" s="53">
        <v>0</v>
      </c>
      <c r="D27" s="31">
        <v>0</v>
      </c>
      <c r="E27" s="2057" t="s">
        <v>936</v>
      </c>
      <c r="F27" s="623">
        <v>0</v>
      </c>
      <c r="G27" s="623">
        <v>0</v>
      </c>
      <c r="H27" s="2055" t="s">
        <v>936</v>
      </c>
      <c r="I27" s="2056" t="s">
        <v>936</v>
      </c>
    </row>
    <row r="28" spans="1:9" ht="52.8">
      <c r="A28" s="34" t="s">
        <v>59</v>
      </c>
      <c r="B28" s="43" t="s">
        <v>60</v>
      </c>
      <c r="C28" s="53">
        <v>3528943.75</v>
      </c>
      <c r="D28" s="31">
        <v>0</v>
      </c>
      <c r="E28" s="50">
        <v>0</v>
      </c>
      <c r="F28" s="623">
        <v>0</v>
      </c>
      <c r="G28" s="623">
        <v>0</v>
      </c>
      <c r="H28" s="2055" t="s">
        <v>936</v>
      </c>
      <c r="I28" s="2056" t="s">
        <v>936</v>
      </c>
    </row>
    <row r="29" spans="1:9">
      <c r="A29" s="34" t="s">
        <v>61</v>
      </c>
      <c r="B29" s="43" t="s">
        <v>62</v>
      </c>
      <c r="C29" s="53">
        <v>0</v>
      </c>
      <c r="D29" s="31">
        <v>0</v>
      </c>
      <c r="E29" s="2057" t="s">
        <v>936</v>
      </c>
      <c r="F29" s="623">
        <v>0</v>
      </c>
      <c r="G29" s="623">
        <v>0</v>
      </c>
      <c r="H29" s="2055" t="s">
        <v>936</v>
      </c>
      <c r="I29" s="2056" t="s">
        <v>936</v>
      </c>
    </row>
    <row r="30" spans="1:9">
      <c r="A30" s="34" t="s">
        <v>63</v>
      </c>
      <c r="B30" s="43" t="s">
        <v>64</v>
      </c>
      <c r="C30" s="53">
        <v>1331844475.27</v>
      </c>
      <c r="D30" s="31">
        <v>944439893.35000002</v>
      </c>
      <c r="E30" s="50">
        <v>70.900000000000006</v>
      </c>
      <c r="F30" s="623">
        <v>63543747.819999933</v>
      </c>
      <c r="G30" s="623">
        <v>38410226.830000043</v>
      </c>
      <c r="H30" s="33">
        <v>60.4</v>
      </c>
      <c r="I30" s="58">
        <v>4.0999999999999996</v>
      </c>
    </row>
    <row r="31" spans="1:9">
      <c r="A31" s="34" t="s">
        <v>65</v>
      </c>
      <c r="B31" s="43" t="s">
        <v>66</v>
      </c>
      <c r="C31" s="53">
        <v>1119223834.05</v>
      </c>
      <c r="D31" s="31">
        <v>878278912.19000006</v>
      </c>
      <c r="E31" s="50">
        <v>78.5</v>
      </c>
      <c r="F31" s="623">
        <v>640398334.77999997</v>
      </c>
      <c r="G31" s="623">
        <v>569102374.19000006</v>
      </c>
      <c r="H31" s="33">
        <v>88.9</v>
      </c>
      <c r="I31" s="58">
        <v>64.8</v>
      </c>
    </row>
    <row r="32" spans="1:9">
      <c r="A32" s="34" t="s">
        <v>67</v>
      </c>
      <c r="B32" s="43" t="s">
        <v>68</v>
      </c>
      <c r="C32" s="53">
        <v>7459905.1399999997</v>
      </c>
      <c r="D32" s="31">
        <v>4181532.13</v>
      </c>
      <c r="E32" s="50">
        <v>56.1</v>
      </c>
      <c r="F32" s="623">
        <v>1982804.3899999997</v>
      </c>
      <c r="G32" s="623">
        <v>1987476.6399999997</v>
      </c>
      <c r="H32" s="33">
        <v>100.2</v>
      </c>
      <c r="I32" s="58">
        <v>47.5</v>
      </c>
    </row>
    <row r="33" spans="1:9">
      <c r="A33" s="34" t="s">
        <v>69</v>
      </c>
      <c r="B33" s="43" t="s">
        <v>70</v>
      </c>
      <c r="C33" s="53">
        <v>344651065.26999998</v>
      </c>
      <c r="D33" s="31">
        <v>324135713.13</v>
      </c>
      <c r="E33" s="50">
        <v>94</v>
      </c>
      <c r="F33" s="623">
        <v>297801283.67999995</v>
      </c>
      <c r="G33" s="623">
        <v>282174006.22000003</v>
      </c>
      <c r="H33" s="33">
        <v>94.8</v>
      </c>
      <c r="I33" s="58">
        <v>87.1</v>
      </c>
    </row>
    <row r="34" spans="1:9" ht="26.4">
      <c r="A34" s="34" t="s">
        <v>71</v>
      </c>
      <c r="B34" s="43" t="s">
        <v>72</v>
      </c>
      <c r="C34" s="53">
        <v>337955517.73000002</v>
      </c>
      <c r="D34" s="31">
        <v>291512015.23000002</v>
      </c>
      <c r="E34" s="50">
        <v>86.3</v>
      </c>
      <c r="F34" s="623">
        <v>302907280.23000002</v>
      </c>
      <c r="G34" s="623">
        <v>266432304.12</v>
      </c>
      <c r="H34" s="33">
        <v>88</v>
      </c>
      <c r="I34" s="58">
        <v>91.4</v>
      </c>
    </row>
    <row r="35" spans="1:9">
      <c r="A35" s="34" t="s">
        <v>73</v>
      </c>
      <c r="B35" s="43" t="s">
        <v>74</v>
      </c>
      <c r="C35" s="53">
        <v>1683161.61</v>
      </c>
      <c r="D35" s="31">
        <v>1811973.11</v>
      </c>
      <c r="E35" s="50">
        <v>107.7</v>
      </c>
      <c r="F35" s="623">
        <v>1483011.7200000002</v>
      </c>
      <c r="G35" s="623">
        <v>1611823.2200000002</v>
      </c>
      <c r="H35" s="33">
        <v>108.7</v>
      </c>
      <c r="I35" s="58">
        <v>89</v>
      </c>
    </row>
    <row r="36" spans="1:9">
      <c r="A36" s="34" t="s">
        <v>75</v>
      </c>
      <c r="B36" s="43" t="s">
        <v>76</v>
      </c>
      <c r="C36" s="53">
        <v>310769031.45999998</v>
      </c>
      <c r="D36" s="31">
        <v>273538659.05000001</v>
      </c>
      <c r="E36" s="50">
        <v>88</v>
      </c>
      <c r="F36" s="623">
        <v>123492844.62999997</v>
      </c>
      <c r="G36" s="623">
        <v>113085793.04000002</v>
      </c>
      <c r="H36" s="33">
        <v>91.6</v>
      </c>
      <c r="I36" s="58">
        <v>41.3</v>
      </c>
    </row>
    <row r="37" spans="1:9" ht="26.4">
      <c r="A37" s="34" t="s">
        <v>77</v>
      </c>
      <c r="B37" s="43" t="s">
        <v>78</v>
      </c>
      <c r="C37" s="53">
        <v>1212676334.6199999</v>
      </c>
      <c r="D37" s="31">
        <v>787978170.21000004</v>
      </c>
      <c r="E37" s="50">
        <v>65</v>
      </c>
      <c r="F37" s="623">
        <v>82557406.71999979</v>
      </c>
      <c r="G37" s="623">
        <v>45279860.030000091</v>
      </c>
      <c r="H37" s="33">
        <v>54.8</v>
      </c>
      <c r="I37" s="58">
        <v>5.7</v>
      </c>
    </row>
    <row r="38" spans="1:9" ht="26.4">
      <c r="A38" s="34" t="s">
        <v>79</v>
      </c>
      <c r="B38" s="43" t="s">
        <v>80</v>
      </c>
      <c r="C38" s="53">
        <v>258442233.11000001</v>
      </c>
      <c r="D38" s="31">
        <v>149917174.94999999</v>
      </c>
      <c r="E38" s="50">
        <v>58</v>
      </c>
      <c r="F38" s="623">
        <v>27723734.710000008</v>
      </c>
      <c r="G38" s="623">
        <v>21534303.249999985</v>
      </c>
      <c r="H38" s="33">
        <v>77.7</v>
      </c>
      <c r="I38" s="58">
        <v>14.4</v>
      </c>
    </row>
    <row r="39" spans="1:9" ht="39.6">
      <c r="A39" s="34" t="s">
        <v>81</v>
      </c>
      <c r="B39" s="43" t="s">
        <v>82</v>
      </c>
      <c r="C39" s="53">
        <v>1767223.06</v>
      </c>
      <c r="D39" s="31">
        <v>1760423.02</v>
      </c>
      <c r="E39" s="50">
        <v>99.6</v>
      </c>
      <c r="F39" s="623">
        <v>59500</v>
      </c>
      <c r="G39" s="623">
        <v>52977.090000000084</v>
      </c>
      <c r="H39" s="33">
        <v>89</v>
      </c>
      <c r="I39" s="58">
        <v>3</v>
      </c>
    </row>
    <row r="40" spans="1:9">
      <c r="A40" s="35" t="s">
        <v>83</v>
      </c>
      <c r="B40" s="44" t="s">
        <v>84</v>
      </c>
      <c r="C40" s="54">
        <v>80337440.609999999</v>
      </c>
      <c r="D40" s="36">
        <v>49601366.539999999</v>
      </c>
      <c r="E40" s="49">
        <v>61.7</v>
      </c>
      <c r="F40" s="624">
        <v>2850232.5600000024</v>
      </c>
      <c r="G40" s="624">
        <v>1416370.549999997</v>
      </c>
      <c r="H40" s="37">
        <v>49.7</v>
      </c>
      <c r="I40" s="59">
        <v>2.9</v>
      </c>
    </row>
    <row r="42" spans="1:9">
      <c r="A42" s="32" t="s">
        <v>911</v>
      </c>
      <c r="B42" s="30"/>
      <c r="C42" s="30"/>
      <c r="D42" s="30"/>
      <c r="E42" s="30"/>
      <c r="F42" s="30"/>
      <c r="G42" s="30"/>
      <c r="H42" s="30"/>
      <c r="I42" s="30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51181102362204722" top="0.74803149606299213" bottom="0.55118110236220474" header="0.31496062992125984" footer="0.31496062992125984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DFD9-3130-4D9F-9C0D-9842B76A2AEA}">
  <dimension ref="A1:I43"/>
  <sheetViews>
    <sheetView view="pageBreakPreview" zoomScale="90" zoomScaleNormal="100" zoomScaleSheetLayoutView="90" workbookViewId="0">
      <selection activeCell="F8" sqref="F8"/>
    </sheetView>
  </sheetViews>
  <sheetFormatPr defaultRowHeight="14.4"/>
  <cols>
    <col min="1" max="1" width="6.21875" customWidth="1"/>
    <col min="2" max="2" width="24.5546875" customWidth="1"/>
    <col min="3" max="4" width="12.5546875" bestFit="1" customWidth="1"/>
    <col min="5" max="5" width="6.5546875" bestFit="1" customWidth="1"/>
    <col min="6" max="7" width="12.5546875" bestFit="1" customWidth="1"/>
    <col min="8" max="9" width="6.5546875" bestFit="1" customWidth="1"/>
  </cols>
  <sheetData>
    <row r="1" spans="1:9">
      <c r="A1" s="445" t="s">
        <v>992</v>
      </c>
      <c r="B1" s="60"/>
      <c r="C1" s="60"/>
      <c r="D1" s="60"/>
      <c r="E1" s="60"/>
      <c r="F1" s="60"/>
      <c r="G1" s="60"/>
      <c r="H1" s="60"/>
      <c r="I1" s="60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84" t="s">
        <v>131</v>
      </c>
    </row>
    <row r="4" spans="1:9">
      <c r="A4" s="2139"/>
      <c r="B4" s="2141"/>
      <c r="C4" s="80" t="s">
        <v>3</v>
      </c>
      <c r="D4" s="77" t="s">
        <v>2</v>
      </c>
      <c r="E4" s="76" t="s">
        <v>92</v>
      </c>
      <c r="F4" s="77" t="s">
        <v>3</v>
      </c>
      <c r="G4" s="77" t="s">
        <v>2</v>
      </c>
      <c r="H4" s="76" t="s">
        <v>132</v>
      </c>
      <c r="I4" s="75" t="s">
        <v>133</v>
      </c>
    </row>
    <row r="5" spans="1:9">
      <c r="A5" s="2139"/>
      <c r="B5" s="2141"/>
      <c r="C5" s="2225" t="s">
        <v>93</v>
      </c>
      <c r="D5" s="2226"/>
      <c r="E5" s="77" t="s">
        <v>134</v>
      </c>
      <c r="F5" s="2226" t="s">
        <v>93</v>
      </c>
      <c r="G5" s="2226"/>
      <c r="H5" s="2226" t="s">
        <v>134</v>
      </c>
      <c r="I5" s="2227"/>
    </row>
    <row r="6" spans="1:9">
      <c r="A6" s="65" t="s">
        <v>10</v>
      </c>
      <c r="B6" s="70" t="s">
        <v>11</v>
      </c>
      <c r="C6" s="65" t="s">
        <v>12</v>
      </c>
      <c r="D6" s="68" t="s">
        <v>13</v>
      </c>
      <c r="E6" s="68" t="s">
        <v>14</v>
      </c>
      <c r="F6" s="68" t="s">
        <v>15</v>
      </c>
      <c r="G6" s="68" t="s">
        <v>16</v>
      </c>
      <c r="H6" s="68" t="s">
        <v>17</v>
      </c>
      <c r="I6" s="69" t="s">
        <v>94</v>
      </c>
    </row>
    <row r="7" spans="1:9">
      <c r="A7" s="74"/>
      <c r="B7" s="71" t="s">
        <v>95</v>
      </c>
      <c r="C7" s="83">
        <v>18222508994.599998</v>
      </c>
      <c r="D7" s="67">
        <v>18076910777.119999</v>
      </c>
      <c r="E7" s="79">
        <v>99.2</v>
      </c>
      <c r="F7" s="67">
        <v>17984940099.07</v>
      </c>
      <c r="G7" s="67">
        <v>17880041246.759998</v>
      </c>
      <c r="H7" s="79">
        <v>99.4</v>
      </c>
      <c r="I7" s="85">
        <v>98.9</v>
      </c>
    </row>
    <row r="8" spans="1:9">
      <c r="A8" s="64" t="s">
        <v>19</v>
      </c>
      <c r="B8" s="72" t="s">
        <v>20</v>
      </c>
      <c r="C8" s="81">
        <v>1890030551.49</v>
      </c>
      <c r="D8" s="61">
        <v>1889234528.6700001</v>
      </c>
      <c r="E8" s="78">
        <v>100</v>
      </c>
      <c r="F8" s="621">
        <v>1890030551.49</v>
      </c>
      <c r="G8" s="621">
        <v>1889234528.6700001</v>
      </c>
      <c r="H8" s="63">
        <v>100</v>
      </c>
      <c r="I8" s="86">
        <v>100</v>
      </c>
    </row>
    <row r="9" spans="1:9">
      <c r="A9" s="64" t="s">
        <v>21</v>
      </c>
      <c r="B9" s="72" t="s">
        <v>22</v>
      </c>
      <c r="C9" s="81">
        <v>0</v>
      </c>
      <c r="D9" s="61">
        <v>0</v>
      </c>
      <c r="E9" s="2058" t="s">
        <v>936</v>
      </c>
      <c r="F9" s="621">
        <v>0</v>
      </c>
      <c r="G9" s="621">
        <v>0</v>
      </c>
      <c r="H9" s="2059" t="s">
        <v>936</v>
      </c>
      <c r="I9" s="2060" t="s">
        <v>936</v>
      </c>
    </row>
    <row r="10" spans="1:9">
      <c r="A10" s="64" t="s">
        <v>23</v>
      </c>
      <c r="B10" s="72" t="s">
        <v>24</v>
      </c>
      <c r="C10" s="81">
        <v>0</v>
      </c>
      <c r="D10" s="61">
        <v>0</v>
      </c>
      <c r="E10" s="2058" t="s">
        <v>936</v>
      </c>
      <c r="F10" s="621">
        <v>0</v>
      </c>
      <c r="G10" s="621">
        <v>0</v>
      </c>
      <c r="H10" s="2059" t="s">
        <v>936</v>
      </c>
      <c r="I10" s="2060" t="s">
        <v>936</v>
      </c>
    </row>
    <row r="11" spans="1:9">
      <c r="A11" s="64" t="s">
        <v>25</v>
      </c>
      <c r="B11" s="72" t="s">
        <v>26</v>
      </c>
      <c r="C11" s="81">
        <v>0</v>
      </c>
      <c r="D11" s="61">
        <v>0</v>
      </c>
      <c r="E11" s="2058" t="s">
        <v>936</v>
      </c>
      <c r="F11" s="621">
        <v>0</v>
      </c>
      <c r="G11" s="621">
        <v>0</v>
      </c>
      <c r="H11" s="2059" t="s">
        <v>936</v>
      </c>
      <c r="I11" s="2060" t="s">
        <v>936</v>
      </c>
    </row>
    <row r="12" spans="1:9">
      <c r="A12" s="64" t="s">
        <v>27</v>
      </c>
      <c r="B12" s="72" t="s">
        <v>28</v>
      </c>
      <c r="C12" s="81">
        <v>0</v>
      </c>
      <c r="D12" s="61">
        <v>0</v>
      </c>
      <c r="E12" s="2058" t="s">
        <v>936</v>
      </c>
      <c r="F12" s="621">
        <v>0</v>
      </c>
      <c r="G12" s="621">
        <v>0</v>
      </c>
      <c r="H12" s="2059" t="s">
        <v>936</v>
      </c>
      <c r="I12" s="2060" t="s">
        <v>936</v>
      </c>
    </row>
    <row r="13" spans="1:9" ht="26.4">
      <c r="A13" s="64" t="s">
        <v>29</v>
      </c>
      <c r="B13" s="72" t="s">
        <v>30</v>
      </c>
      <c r="C13" s="81">
        <v>0</v>
      </c>
      <c r="D13" s="61">
        <v>0</v>
      </c>
      <c r="E13" s="2058" t="s">
        <v>936</v>
      </c>
      <c r="F13" s="621">
        <v>0</v>
      </c>
      <c r="G13" s="621">
        <v>0</v>
      </c>
      <c r="H13" s="2059" t="s">
        <v>936</v>
      </c>
      <c r="I13" s="2060" t="s">
        <v>936</v>
      </c>
    </row>
    <row r="14" spans="1:9">
      <c r="A14" s="64" t="s">
        <v>31</v>
      </c>
      <c r="B14" s="72" t="s">
        <v>32</v>
      </c>
      <c r="C14" s="81">
        <v>0</v>
      </c>
      <c r="D14" s="61">
        <v>0</v>
      </c>
      <c r="E14" s="2058" t="s">
        <v>936</v>
      </c>
      <c r="F14" s="621">
        <v>0</v>
      </c>
      <c r="G14" s="621">
        <v>0</v>
      </c>
      <c r="H14" s="2059" t="s">
        <v>936</v>
      </c>
      <c r="I14" s="2060" t="s">
        <v>936</v>
      </c>
    </row>
    <row r="15" spans="1:9">
      <c r="A15" s="64" t="s">
        <v>33</v>
      </c>
      <c r="B15" s="72" t="s">
        <v>34</v>
      </c>
      <c r="C15" s="81">
        <v>0</v>
      </c>
      <c r="D15" s="61">
        <v>0</v>
      </c>
      <c r="E15" s="2058" t="s">
        <v>936</v>
      </c>
      <c r="F15" s="621">
        <v>0</v>
      </c>
      <c r="G15" s="621">
        <v>0</v>
      </c>
      <c r="H15" s="2059" t="s">
        <v>936</v>
      </c>
      <c r="I15" s="2060" t="s">
        <v>936</v>
      </c>
    </row>
    <row r="16" spans="1:9">
      <c r="A16" s="64" t="s">
        <v>35</v>
      </c>
      <c r="B16" s="72" t="s">
        <v>36</v>
      </c>
      <c r="C16" s="81">
        <v>18406171.170000002</v>
      </c>
      <c r="D16" s="61">
        <v>18361985.93</v>
      </c>
      <c r="E16" s="78">
        <v>99.8</v>
      </c>
      <c r="F16" s="621">
        <v>18406171.170000002</v>
      </c>
      <c r="G16" s="621">
        <v>18361985.93</v>
      </c>
      <c r="H16" s="63">
        <v>99.8</v>
      </c>
      <c r="I16" s="86">
        <v>100</v>
      </c>
    </row>
    <row r="17" spans="1:9">
      <c r="A17" s="64" t="s">
        <v>37</v>
      </c>
      <c r="B17" s="72" t="s">
        <v>38</v>
      </c>
      <c r="C17" s="81">
        <v>0</v>
      </c>
      <c r="D17" s="61">
        <v>0</v>
      </c>
      <c r="E17" s="2058" t="s">
        <v>936</v>
      </c>
      <c r="F17" s="621">
        <v>0</v>
      </c>
      <c r="G17" s="621">
        <v>0</v>
      </c>
      <c r="H17" s="63" t="s">
        <v>936</v>
      </c>
      <c r="I17" s="86" t="s">
        <v>936</v>
      </c>
    </row>
    <row r="18" spans="1:9">
      <c r="A18" s="64" t="s">
        <v>39</v>
      </c>
      <c r="B18" s="72" t="s">
        <v>40</v>
      </c>
      <c r="C18" s="81">
        <v>0</v>
      </c>
      <c r="D18" s="61">
        <v>0</v>
      </c>
      <c r="E18" s="2058" t="s">
        <v>936</v>
      </c>
      <c r="F18" s="621">
        <v>0</v>
      </c>
      <c r="G18" s="621">
        <v>0</v>
      </c>
      <c r="H18" s="90" t="s">
        <v>936</v>
      </c>
      <c r="I18" s="115" t="s">
        <v>936</v>
      </c>
    </row>
    <row r="19" spans="1:9">
      <c r="A19" s="64" t="s">
        <v>41</v>
      </c>
      <c r="B19" s="72" t="s">
        <v>42</v>
      </c>
      <c r="C19" s="81">
        <v>0</v>
      </c>
      <c r="D19" s="61">
        <v>0</v>
      </c>
      <c r="E19" s="2058" t="s">
        <v>936</v>
      </c>
      <c r="F19" s="621">
        <v>0</v>
      </c>
      <c r="G19" s="621">
        <v>0</v>
      </c>
      <c r="H19" s="90" t="s">
        <v>936</v>
      </c>
      <c r="I19" s="115" t="s">
        <v>936</v>
      </c>
    </row>
    <row r="20" spans="1:9">
      <c r="A20" s="64" t="s">
        <v>43</v>
      </c>
      <c r="B20" s="72" t="s">
        <v>44</v>
      </c>
      <c r="C20" s="81">
        <v>0</v>
      </c>
      <c r="D20" s="61">
        <v>0</v>
      </c>
      <c r="E20" s="2058" t="s">
        <v>936</v>
      </c>
      <c r="F20" s="621">
        <v>0</v>
      </c>
      <c r="G20" s="621">
        <v>0</v>
      </c>
      <c r="H20" s="90" t="s">
        <v>936</v>
      </c>
      <c r="I20" s="115" t="s">
        <v>936</v>
      </c>
    </row>
    <row r="21" spans="1:9">
      <c r="A21" s="64" t="s">
        <v>45</v>
      </c>
      <c r="B21" s="72" t="s">
        <v>46</v>
      </c>
      <c r="C21" s="81">
        <v>0</v>
      </c>
      <c r="D21" s="61">
        <v>0</v>
      </c>
      <c r="E21" s="2058" t="s">
        <v>936</v>
      </c>
      <c r="F21" s="621">
        <v>0</v>
      </c>
      <c r="G21" s="621">
        <v>0</v>
      </c>
      <c r="H21" s="90" t="s">
        <v>936</v>
      </c>
      <c r="I21" s="115" t="s">
        <v>936</v>
      </c>
    </row>
    <row r="22" spans="1:9">
      <c r="A22" s="64" t="s">
        <v>47</v>
      </c>
      <c r="B22" s="72" t="s">
        <v>48</v>
      </c>
      <c r="C22" s="81">
        <v>507779636.16000003</v>
      </c>
      <c r="D22" s="61">
        <v>497434530.69</v>
      </c>
      <c r="E22" s="78">
        <v>98</v>
      </c>
      <c r="F22" s="621">
        <v>507730233.16000003</v>
      </c>
      <c r="G22" s="621">
        <v>497385127.69</v>
      </c>
      <c r="H22" s="63">
        <v>98</v>
      </c>
      <c r="I22" s="86">
        <v>100</v>
      </c>
    </row>
    <row r="23" spans="1:9" ht="39.6">
      <c r="A23" s="64" t="s">
        <v>49</v>
      </c>
      <c r="B23" s="72" t="s">
        <v>50</v>
      </c>
      <c r="C23" s="81">
        <v>335849403.26999998</v>
      </c>
      <c r="D23" s="61">
        <v>333578351.58999997</v>
      </c>
      <c r="E23" s="78">
        <v>99.3</v>
      </c>
      <c r="F23" s="621">
        <v>335849403.26999998</v>
      </c>
      <c r="G23" s="621">
        <v>333578351.58999997</v>
      </c>
      <c r="H23" s="63">
        <v>99.3</v>
      </c>
      <c r="I23" s="86">
        <v>100</v>
      </c>
    </row>
    <row r="24" spans="1:9">
      <c r="A24" s="64" t="s">
        <v>51</v>
      </c>
      <c r="B24" s="72" t="s">
        <v>52</v>
      </c>
      <c r="C24" s="81">
        <v>295929294.72000003</v>
      </c>
      <c r="D24" s="61">
        <v>240190431.94999999</v>
      </c>
      <c r="E24" s="78">
        <v>81.2</v>
      </c>
      <c r="F24" s="621">
        <v>73646152.730000019</v>
      </c>
      <c r="G24" s="621">
        <v>58086454.599999994</v>
      </c>
      <c r="H24" s="63">
        <v>78.900000000000006</v>
      </c>
      <c r="I24" s="86">
        <v>24.2</v>
      </c>
    </row>
    <row r="25" spans="1:9" ht="26.4">
      <c r="A25" s="64" t="s">
        <v>53</v>
      </c>
      <c r="B25" s="72" t="s">
        <v>54</v>
      </c>
      <c r="C25" s="81">
        <v>0</v>
      </c>
      <c r="D25" s="61">
        <v>0</v>
      </c>
      <c r="E25" s="2058" t="s">
        <v>936</v>
      </c>
      <c r="F25" s="621">
        <v>0</v>
      </c>
      <c r="G25" s="621">
        <v>0</v>
      </c>
      <c r="H25" s="2059" t="s">
        <v>936</v>
      </c>
      <c r="I25" s="2060" t="s">
        <v>936</v>
      </c>
    </row>
    <row r="26" spans="1:9" ht="26.4">
      <c r="A26" s="64" t="s">
        <v>55</v>
      </c>
      <c r="B26" s="72" t="s">
        <v>56</v>
      </c>
      <c r="C26" s="81">
        <v>0</v>
      </c>
      <c r="D26" s="61">
        <v>0</v>
      </c>
      <c r="E26" s="2058" t="s">
        <v>936</v>
      </c>
      <c r="F26" s="621">
        <v>0</v>
      </c>
      <c r="G26" s="621">
        <v>0</v>
      </c>
      <c r="H26" s="2059" t="s">
        <v>936</v>
      </c>
      <c r="I26" s="2060" t="s">
        <v>936</v>
      </c>
    </row>
    <row r="27" spans="1:9">
      <c r="A27" s="64" t="s">
        <v>57</v>
      </c>
      <c r="B27" s="72" t="s">
        <v>58</v>
      </c>
      <c r="C27" s="81">
        <v>0</v>
      </c>
      <c r="D27" s="61">
        <v>0</v>
      </c>
      <c r="E27" s="2058" t="s">
        <v>936</v>
      </c>
      <c r="F27" s="621">
        <v>0</v>
      </c>
      <c r="G27" s="621">
        <v>0</v>
      </c>
      <c r="H27" s="2059" t="s">
        <v>936</v>
      </c>
      <c r="I27" s="2060" t="s">
        <v>936</v>
      </c>
    </row>
    <row r="28" spans="1:9" ht="66">
      <c r="A28" s="64" t="s">
        <v>59</v>
      </c>
      <c r="B28" s="72" t="s">
        <v>60</v>
      </c>
      <c r="C28" s="81">
        <v>0</v>
      </c>
      <c r="D28" s="61">
        <v>0</v>
      </c>
      <c r="E28" s="2058" t="s">
        <v>936</v>
      </c>
      <c r="F28" s="621">
        <v>0</v>
      </c>
      <c r="G28" s="621">
        <v>0</v>
      </c>
      <c r="H28" s="2059" t="s">
        <v>936</v>
      </c>
      <c r="I28" s="2060" t="s">
        <v>936</v>
      </c>
    </row>
    <row r="29" spans="1:9">
      <c r="A29" s="64" t="s">
        <v>61</v>
      </c>
      <c r="B29" s="72" t="s">
        <v>62</v>
      </c>
      <c r="C29" s="81">
        <v>0</v>
      </c>
      <c r="D29" s="61">
        <v>0</v>
      </c>
      <c r="E29" s="2058" t="s">
        <v>936</v>
      </c>
      <c r="F29" s="621">
        <v>0</v>
      </c>
      <c r="G29" s="621">
        <v>0</v>
      </c>
      <c r="H29" s="2059" t="s">
        <v>936</v>
      </c>
      <c r="I29" s="2060" t="s">
        <v>936</v>
      </c>
    </row>
    <row r="30" spans="1:9">
      <c r="A30" s="64" t="s">
        <v>63</v>
      </c>
      <c r="B30" s="72" t="s">
        <v>64</v>
      </c>
      <c r="C30" s="81">
        <v>6080625.2800000003</v>
      </c>
      <c r="D30" s="61">
        <v>6166177.3499999996</v>
      </c>
      <c r="E30" s="78">
        <v>101.4</v>
      </c>
      <c r="F30" s="621">
        <v>6080625.2800000003</v>
      </c>
      <c r="G30" s="621">
        <v>6166177.3499999996</v>
      </c>
      <c r="H30" s="63">
        <v>101.4</v>
      </c>
      <c r="I30" s="86">
        <v>100</v>
      </c>
    </row>
    <row r="31" spans="1:9">
      <c r="A31" s="64" t="s">
        <v>65</v>
      </c>
      <c r="B31" s="72" t="s">
        <v>66</v>
      </c>
      <c r="C31" s="81">
        <v>212619668.03999999</v>
      </c>
      <c r="D31" s="61">
        <v>206839024.84</v>
      </c>
      <c r="E31" s="78">
        <v>97.3</v>
      </c>
      <c r="F31" s="621">
        <v>212619668.03999999</v>
      </c>
      <c r="G31" s="621">
        <v>206839024.84</v>
      </c>
      <c r="H31" s="63">
        <v>97.3</v>
      </c>
      <c r="I31" s="86">
        <v>100</v>
      </c>
    </row>
    <row r="32" spans="1:9">
      <c r="A32" s="64" t="s">
        <v>67</v>
      </c>
      <c r="B32" s="72" t="s">
        <v>68</v>
      </c>
      <c r="C32" s="81">
        <v>2350046.69</v>
      </c>
      <c r="D32" s="61">
        <v>2111244.75</v>
      </c>
      <c r="E32" s="78">
        <v>89.8</v>
      </c>
      <c r="F32" s="621">
        <v>2350046.69</v>
      </c>
      <c r="G32" s="621">
        <v>2111244.75</v>
      </c>
      <c r="H32" s="63">
        <v>89.8</v>
      </c>
      <c r="I32" s="86">
        <v>100</v>
      </c>
    </row>
    <row r="33" spans="1:9">
      <c r="A33" s="64" t="s">
        <v>69</v>
      </c>
      <c r="B33" s="72" t="s">
        <v>70</v>
      </c>
      <c r="C33" s="81">
        <v>1152668280.26</v>
      </c>
      <c r="D33" s="61">
        <v>1136207387.9200001</v>
      </c>
      <c r="E33" s="78">
        <v>98.6</v>
      </c>
      <c r="F33" s="621">
        <v>1137451486.72</v>
      </c>
      <c r="G33" s="621">
        <v>1121510302.9100001</v>
      </c>
      <c r="H33" s="63">
        <v>98.6</v>
      </c>
      <c r="I33" s="86">
        <v>98.7</v>
      </c>
    </row>
    <row r="34" spans="1:9" ht="26.4">
      <c r="A34" s="64" t="s">
        <v>71</v>
      </c>
      <c r="B34" s="72" t="s">
        <v>72</v>
      </c>
      <c r="C34" s="81">
        <v>1157283.33</v>
      </c>
      <c r="D34" s="61">
        <v>1150255.3700000001</v>
      </c>
      <c r="E34" s="78">
        <v>99.4</v>
      </c>
      <c r="F34" s="621">
        <v>1157283.33</v>
      </c>
      <c r="G34" s="621">
        <v>1150255.3700000001</v>
      </c>
      <c r="H34" s="63">
        <v>99.4</v>
      </c>
      <c r="I34" s="86">
        <v>100</v>
      </c>
    </row>
    <row r="35" spans="1:9">
      <c r="A35" s="64" t="s">
        <v>73</v>
      </c>
      <c r="B35" s="72" t="s">
        <v>74</v>
      </c>
      <c r="C35" s="81">
        <v>637000</v>
      </c>
      <c r="D35" s="61">
        <v>631000</v>
      </c>
      <c r="E35" s="78">
        <v>99.1</v>
      </c>
      <c r="F35" s="621">
        <v>637000</v>
      </c>
      <c r="G35" s="621">
        <v>631000</v>
      </c>
      <c r="H35" s="63">
        <v>99.1</v>
      </c>
      <c r="I35" s="86">
        <v>100</v>
      </c>
    </row>
    <row r="36" spans="1:9">
      <c r="A36" s="64" t="s">
        <v>75</v>
      </c>
      <c r="B36" s="72" t="s">
        <v>76</v>
      </c>
      <c r="C36" s="81">
        <v>13799001034.190001</v>
      </c>
      <c r="D36" s="61">
        <v>13745005858.059999</v>
      </c>
      <c r="E36" s="78">
        <v>99.6</v>
      </c>
      <c r="F36" s="621">
        <v>13798981477.190001</v>
      </c>
      <c r="G36" s="621">
        <v>13744986793.059999</v>
      </c>
      <c r="H36" s="63">
        <v>99.6</v>
      </c>
      <c r="I36" s="86">
        <v>100</v>
      </c>
    </row>
    <row r="37" spans="1:9" ht="26.4">
      <c r="A37" s="64" t="s">
        <v>77</v>
      </c>
      <c r="B37" s="72" t="s">
        <v>78</v>
      </c>
      <c r="C37" s="81">
        <v>0</v>
      </c>
      <c r="D37" s="61">
        <v>0</v>
      </c>
      <c r="E37" s="2058" t="s">
        <v>936</v>
      </c>
      <c r="F37" s="621">
        <v>0</v>
      </c>
      <c r="G37" s="621">
        <v>0</v>
      </c>
      <c r="H37" s="2059" t="s">
        <v>936</v>
      </c>
      <c r="I37" s="2060" t="s">
        <v>936</v>
      </c>
    </row>
    <row r="38" spans="1:9" ht="26.4">
      <c r="A38" s="64" t="s">
        <v>79</v>
      </c>
      <c r="B38" s="72" t="s">
        <v>80</v>
      </c>
      <c r="C38" s="81">
        <v>0</v>
      </c>
      <c r="D38" s="61">
        <v>0</v>
      </c>
      <c r="E38" s="2058" t="s">
        <v>936</v>
      </c>
      <c r="F38" s="621">
        <v>0</v>
      </c>
      <c r="G38" s="621">
        <v>0</v>
      </c>
      <c r="H38" s="2059" t="s">
        <v>936</v>
      </c>
      <c r="I38" s="2060" t="s">
        <v>936</v>
      </c>
    </row>
    <row r="39" spans="1:9" ht="39.6">
      <c r="A39" s="64" t="s">
        <v>81</v>
      </c>
      <c r="B39" s="72" t="s">
        <v>82</v>
      </c>
      <c r="C39" s="81">
        <v>0</v>
      </c>
      <c r="D39" s="61">
        <v>0</v>
      </c>
      <c r="E39" s="2058" t="s">
        <v>936</v>
      </c>
      <c r="F39" s="621">
        <v>0</v>
      </c>
      <c r="G39" s="621">
        <v>0</v>
      </c>
      <c r="H39" s="2059" t="s">
        <v>936</v>
      </c>
      <c r="I39" s="2060" t="s">
        <v>936</v>
      </c>
    </row>
    <row r="40" spans="1:9">
      <c r="A40" s="65" t="s">
        <v>83</v>
      </c>
      <c r="B40" s="73" t="s">
        <v>84</v>
      </c>
      <c r="C40" s="82">
        <v>0</v>
      </c>
      <c r="D40" s="66">
        <v>0</v>
      </c>
      <c r="E40" s="2061" t="s">
        <v>936</v>
      </c>
      <c r="F40" s="622">
        <v>0</v>
      </c>
      <c r="G40" s="622">
        <v>0</v>
      </c>
      <c r="H40" s="2062" t="s">
        <v>936</v>
      </c>
      <c r="I40" s="2063" t="s">
        <v>936</v>
      </c>
    </row>
    <row r="42" spans="1:9">
      <c r="A42" s="62" t="s">
        <v>911</v>
      </c>
      <c r="B42" s="60"/>
      <c r="C42" s="60"/>
      <c r="D42" s="60"/>
      <c r="E42" s="60"/>
      <c r="F42" s="60"/>
      <c r="G42" s="60"/>
      <c r="H42" s="60"/>
      <c r="I42" s="60"/>
    </row>
    <row r="43" spans="1:9">
      <c r="A43" s="1993" t="s">
        <v>742</v>
      </c>
    </row>
  </sheetData>
  <mergeCells count="7">
    <mergeCell ref="A3:A5"/>
    <mergeCell ref="B3:B5"/>
    <mergeCell ref="C3:E3"/>
    <mergeCell ref="F3:H3"/>
    <mergeCell ref="C5:D5"/>
    <mergeCell ref="F5:G5"/>
    <mergeCell ref="H5:I5"/>
  </mergeCells>
  <pageMargins left="0.70866141732283472" right="0.51181102362204722" top="0.74803149606299213" bottom="0.74803149606299213" header="0.31496062992125984" footer="0.31496062992125984"/>
  <pageSetup paperSize="9"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55D9-05AD-44C7-B018-86B5FB8650AB}">
  <dimension ref="A1:I42"/>
  <sheetViews>
    <sheetView view="pageBreakPreview" topLeftCell="A23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23" customWidth="1"/>
    <col min="3" max="4" width="11.77734375" bestFit="1" customWidth="1"/>
    <col min="5" max="5" width="6.5546875" bestFit="1" customWidth="1"/>
    <col min="6" max="7" width="11.77734375" bestFit="1" customWidth="1"/>
    <col min="8" max="9" width="6.5546875" bestFit="1" customWidth="1"/>
  </cols>
  <sheetData>
    <row r="1" spans="1:9">
      <c r="A1" s="445" t="s">
        <v>993</v>
      </c>
      <c r="B1" s="87"/>
      <c r="C1" s="87"/>
      <c r="D1" s="87"/>
      <c r="E1" s="87"/>
      <c r="F1" s="87"/>
      <c r="G1" s="87"/>
      <c r="H1" s="87"/>
      <c r="I1" s="87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113" t="s">
        <v>131</v>
      </c>
    </row>
    <row r="4" spans="1:9">
      <c r="A4" s="2139"/>
      <c r="B4" s="2141"/>
      <c r="C4" s="109" t="s">
        <v>3</v>
      </c>
      <c r="D4" s="105" t="s">
        <v>2</v>
      </c>
      <c r="E4" s="104" t="s">
        <v>92</v>
      </c>
      <c r="F4" s="105" t="s">
        <v>3</v>
      </c>
      <c r="G4" s="105" t="s">
        <v>2</v>
      </c>
      <c r="H4" s="104" t="s">
        <v>132</v>
      </c>
      <c r="I4" s="103" t="s">
        <v>133</v>
      </c>
    </row>
    <row r="5" spans="1:9">
      <c r="A5" s="2139"/>
      <c r="B5" s="2141"/>
      <c r="C5" s="2225" t="s">
        <v>93</v>
      </c>
      <c r="D5" s="2226"/>
      <c r="E5" s="105" t="s">
        <v>134</v>
      </c>
      <c r="F5" s="2226" t="s">
        <v>93</v>
      </c>
      <c r="G5" s="2226"/>
      <c r="H5" s="2226" t="s">
        <v>134</v>
      </c>
      <c r="I5" s="2227"/>
    </row>
    <row r="6" spans="1:9">
      <c r="A6" s="92" t="s">
        <v>10</v>
      </c>
      <c r="B6" s="98" t="s">
        <v>11</v>
      </c>
      <c r="C6" s="92" t="s">
        <v>12</v>
      </c>
      <c r="D6" s="96" t="s">
        <v>13</v>
      </c>
      <c r="E6" s="96" t="s">
        <v>14</v>
      </c>
      <c r="F6" s="96" t="s">
        <v>15</v>
      </c>
      <c r="G6" s="96" t="s">
        <v>16</v>
      </c>
      <c r="H6" s="96" t="s">
        <v>17</v>
      </c>
      <c r="I6" s="97" t="s">
        <v>94</v>
      </c>
    </row>
    <row r="7" spans="1:9">
      <c r="A7" s="102"/>
      <c r="B7" s="99" t="s">
        <v>95</v>
      </c>
      <c r="C7" s="112">
        <v>6757132675.1700001</v>
      </c>
      <c r="D7" s="95">
        <v>6238726734.6300001</v>
      </c>
      <c r="E7" s="108">
        <v>92.3</v>
      </c>
      <c r="F7" s="95">
        <v>4499145935.1000004</v>
      </c>
      <c r="G7" s="95">
        <v>4263285667</v>
      </c>
      <c r="H7" s="108">
        <v>94.8</v>
      </c>
      <c r="I7" s="114">
        <v>68.3</v>
      </c>
    </row>
    <row r="8" spans="1:9">
      <c r="A8" s="91" t="s">
        <v>19</v>
      </c>
      <c r="B8" s="100" t="s">
        <v>20</v>
      </c>
      <c r="C8" s="110">
        <v>24011065.879999999</v>
      </c>
      <c r="D8" s="88">
        <v>19963227.309999999</v>
      </c>
      <c r="E8" s="107">
        <v>83.1</v>
      </c>
      <c r="F8" s="621">
        <v>1642338.4800000004</v>
      </c>
      <c r="G8" s="621">
        <v>1283567.2599999979</v>
      </c>
      <c r="H8" s="90">
        <v>78.2</v>
      </c>
      <c r="I8" s="115">
        <v>6.4</v>
      </c>
    </row>
    <row r="9" spans="1:9">
      <c r="A9" s="91" t="s">
        <v>21</v>
      </c>
      <c r="B9" s="100" t="s">
        <v>22</v>
      </c>
      <c r="C9" s="110">
        <v>0</v>
      </c>
      <c r="D9" s="88">
        <v>0</v>
      </c>
      <c r="E9" s="2058" t="s">
        <v>936</v>
      </c>
      <c r="F9" s="621">
        <v>0</v>
      </c>
      <c r="G9" s="621">
        <v>0</v>
      </c>
      <c r="H9" s="2059" t="s">
        <v>936</v>
      </c>
      <c r="I9" s="2060" t="s">
        <v>936</v>
      </c>
    </row>
    <row r="10" spans="1:9">
      <c r="A10" s="91" t="s">
        <v>23</v>
      </c>
      <c r="B10" s="100" t="s">
        <v>24</v>
      </c>
      <c r="C10" s="110">
        <v>0</v>
      </c>
      <c r="D10" s="88">
        <v>0</v>
      </c>
      <c r="E10" s="2058" t="s">
        <v>936</v>
      </c>
      <c r="F10" s="621">
        <v>0</v>
      </c>
      <c r="G10" s="621">
        <v>0</v>
      </c>
      <c r="H10" s="2059" t="s">
        <v>936</v>
      </c>
      <c r="I10" s="2060" t="s">
        <v>936</v>
      </c>
    </row>
    <row r="11" spans="1:9">
      <c r="A11" s="91" t="s">
        <v>25</v>
      </c>
      <c r="B11" s="100" t="s">
        <v>26</v>
      </c>
      <c r="C11" s="110">
        <v>0</v>
      </c>
      <c r="D11" s="88">
        <v>0</v>
      </c>
      <c r="E11" s="2058" t="s">
        <v>936</v>
      </c>
      <c r="F11" s="621">
        <v>0</v>
      </c>
      <c r="G11" s="621">
        <v>0</v>
      </c>
      <c r="H11" s="2059" t="s">
        <v>936</v>
      </c>
      <c r="I11" s="2060" t="s">
        <v>936</v>
      </c>
    </row>
    <row r="12" spans="1:9">
      <c r="A12" s="91" t="s">
        <v>27</v>
      </c>
      <c r="B12" s="100" t="s">
        <v>28</v>
      </c>
      <c r="C12" s="110">
        <v>0</v>
      </c>
      <c r="D12" s="88">
        <v>0</v>
      </c>
      <c r="E12" s="2058" t="s">
        <v>936</v>
      </c>
      <c r="F12" s="621">
        <v>0</v>
      </c>
      <c r="G12" s="621">
        <v>0</v>
      </c>
      <c r="H12" s="2059" t="s">
        <v>936</v>
      </c>
      <c r="I12" s="2060" t="s">
        <v>936</v>
      </c>
    </row>
    <row r="13" spans="1:9" ht="26.4">
      <c r="A13" s="91" t="s">
        <v>29</v>
      </c>
      <c r="B13" s="100" t="s">
        <v>30</v>
      </c>
      <c r="C13" s="110">
        <v>6710322.8799999999</v>
      </c>
      <c r="D13" s="88">
        <v>6593757.1200000001</v>
      </c>
      <c r="E13" s="107">
        <v>98.3</v>
      </c>
      <c r="F13" s="621">
        <v>1901639</v>
      </c>
      <c r="G13" s="621">
        <v>1890603.7400000002</v>
      </c>
      <c r="H13" s="90">
        <v>99.4</v>
      </c>
      <c r="I13" s="115">
        <v>28.7</v>
      </c>
    </row>
    <row r="14" spans="1:9">
      <c r="A14" s="91" t="s">
        <v>31</v>
      </c>
      <c r="B14" s="100" t="s">
        <v>32</v>
      </c>
      <c r="C14" s="110">
        <v>0</v>
      </c>
      <c r="D14" s="88">
        <v>0</v>
      </c>
      <c r="E14" s="2058" t="s">
        <v>936</v>
      </c>
      <c r="F14" s="621">
        <v>0</v>
      </c>
      <c r="G14" s="621">
        <v>0</v>
      </c>
      <c r="H14" s="2059" t="s">
        <v>936</v>
      </c>
      <c r="I14" s="2060" t="s">
        <v>936</v>
      </c>
    </row>
    <row r="15" spans="1:9">
      <c r="A15" s="91" t="s">
        <v>33</v>
      </c>
      <c r="B15" s="100" t="s">
        <v>34</v>
      </c>
      <c r="C15" s="110">
        <v>0</v>
      </c>
      <c r="D15" s="88">
        <v>0</v>
      </c>
      <c r="E15" s="2058" t="s">
        <v>936</v>
      </c>
      <c r="F15" s="621">
        <v>0</v>
      </c>
      <c r="G15" s="621">
        <v>0</v>
      </c>
      <c r="H15" s="2059" t="s">
        <v>936</v>
      </c>
      <c r="I15" s="2060" t="s">
        <v>936</v>
      </c>
    </row>
    <row r="16" spans="1:9">
      <c r="A16" s="91" t="s">
        <v>35</v>
      </c>
      <c r="B16" s="100" t="s">
        <v>36</v>
      </c>
      <c r="C16" s="110">
        <v>382650034.08999997</v>
      </c>
      <c r="D16" s="88">
        <v>340084713.13</v>
      </c>
      <c r="E16" s="107">
        <v>88.9</v>
      </c>
      <c r="F16" s="621">
        <v>130045317.48999998</v>
      </c>
      <c r="G16" s="621">
        <v>108261917.22999999</v>
      </c>
      <c r="H16" s="90">
        <v>83.2</v>
      </c>
      <c r="I16" s="115">
        <v>31.8</v>
      </c>
    </row>
    <row r="17" spans="1:9">
      <c r="A17" s="91" t="s">
        <v>37</v>
      </c>
      <c r="B17" s="100" t="s">
        <v>38</v>
      </c>
      <c r="C17" s="110">
        <v>9974003.0500000007</v>
      </c>
      <c r="D17" s="88">
        <v>6850598.5599999996</v>
      </c>
      <c r="E17" s="107">
        <v>68.7</v>
      </c>
      <c r="F17" s="621">
        <v>613876.55000000075</v>
      </c>
      <c r="G17" s="621">
        <v>0</v>
      </c>
      <c r="H17" s="90">
        <v>0</v>
      </c>
      <c r="I17" s="115">
        <v>0</v>
      </c>
    </row>
    <row r="18" spans="1:9">
      <c r="A18" s="91" t="s">
        <v>39</v>
      </c>
      <c r="B18" s="100" t="s">
        <v>40</v>
      </c>
      <c r="C18" s="110">
        <v>17998495.550000001</v>
      </c>
      <c r="D18" s="88">
        <v>35417035.469999999</v>
      </c>
      <c r="E18" s="107">
        <v>196.8</v>
      </c>
      <c r="F18" s="621">
        <v>4636314</v>
      </c>
      <c r="G18" s="621">
        <v>2245089.2099999972</v>
      </c>
      <c r="H18" s="90">
        <v>48.4</v>
      </c>
      <c r="I18" s="115">
        <v>6.3</v>
      </c>
    </row>
    <row r="19" spans="1:9">
      <c r="A19" s="91" t="s">
        <v>41</v>
      </c>
      <c r="B19" s="100" t="s">
        <v>42</v>
      </c>
      <c r="C19" s="110">
        <v>188069.23</v>
      </c>
      <c r="D19" s="88">
        <v>0</v>
      </c>
      <c r="E19" s="107">
        <v>0</v>
      </c>
      <c r="F19" s="621">
        <v>188069.23</v>
      </c>
      <c r="G19" s="621">
        <v>0</v>
      </c>
      <c r="H19" s="90">
        <v>0</v>
      </c>
      <c r="I19" s="2060" t="s">
        <v>936</v>
      </c>
    </row>
    <row r="20" spans="1:9">
      <c r="A20" s="91" t="s">
        <v>43</v>
      </c>
      <c r="B20" s="100" t="s">
        <v>44</v>
      </c>
      <c r="C20" s="110">
        <v>83730.539999999994</v>
      </c>
      <c r="D20" s="88">
        <v>83730.539999999994</v>
      </c>
      <c r="E20" s="107">
        <v>100</v>
      </c>
      <c r="F20" s="621">
        <v>0</v>
      </c>
      <c r="G20" s="621">
        <v>0</v>
      </c>
      <c r="H20" s="2059" t="s">
        <v>936</v>
      </c>
      <c r="I20" s="115">
        <v>0</v>
      </c>
    </row>
    <row r="21" spans="1:9">
      <c r="A21" s="91" t="s">
        <v>45</v>
      </c>
      <c r="B21" s="100" t="s">
        <v>46</v>
      </c>
      <c r="C21" s="110">
        <v>0</v>
      </c>
      <c r="D21" s="88">
        <v>0</v>
      </c>
      <c r="E21" s="2058" t="s">
        <v>936</v>
      </c>
      <c r="F21" s="621">
        <v>0</v>
      </c>
      <c r="G21" s="621">
        <v>0</v>
      </c>
      <c r="H21" s="2059" t="s">
        <v>936</v>
      </c>
      <c r="I21" s="2060" t="s">
        <v>936</v>
      </c>
    </row>
    <row r="22" spans="1:9">
      <c r="A22" s="91" t="s">
        <v>47</v>
      </c>
      <c r="B22" s="100" t="s">
        <v>48</v>
      </c>
      <c r="C22" s="110">
        <v>10158103.289999999</v>
      </c>
      <c r="D22" s="88">
        <v>9539116.1999999993</v>
      </c>
      <c r="E22" s="107">
        <v>93.9</v>
      </c>
      <c r="F22" s="621">
        <v>1011878.4899999984</v>
      </c>
      <c r="G22" s="621">
        <v>1028250.7699999996</v>
      </c>
      <c r="H22" s="90">
        <v>101.6</v>
      </c>
      <c r="I22" s="115">
        <v>10.8</v>
      </c>
    </row>
    <row r="23" spans="1:9" ht="39.6">
      <c r="A23" s="91" t="s">
        <v>49</v>
      </c>
      <c r="B23" s="100" t="s">
        <v>50</v>
      </c>
      <c r="C23" s="110">
        <v>0</v>
      </c>
      <c r="D23" s="88">
        <v>0</v>
      </c>
      <c r="E23" s="2058" t="s">
        <v>936</v>
      </c>
      <c r="F23" s="621">
        <v>0</v>
      </c>
      <c r="G23" s="621">
        <v>0</v>
      </c>
      <c r="H23" s="2059" t="s">
        <v>936</v>
      </c>
      <c r="I23" s="2060" t="s">
        <v>936</v>
      </c>
    </row>
    <row r="24" spans="1:9">
      <c r="A24" s="91" t="s">
        <v>51</v>
      </c>
      <c r="B24" s="100" t="s">
        <v>52</v>
      </c>
      <c r="C24" s="110">
        <v>1550249433.8900001</v>
      </c>
      <c r="D24" s="88">
        <v>1287359951.8399999</v>
      </c>
      <c r="E24" s="107">
        <v>83</v>
      </c>
      <c r="F24" s="621">
        <v>355165351.06000018</v>
      </c>
      <c r="G24" s="621">
        <v>290750088.15999997</v>
      </c>
      <c r="H24" s="90">
        <v>81.900000000000006</v>
      </c>
      <c r="I24" s="115">
        <v>22.6</v>
      </c>
    </row>
    <row r="25" spans="1:9" ht="26.4">
      <c r="A25" s="91" t="s">
        <v>53</v>
      </c>
      <c r="B25" s="100" t="s">
        <v>54</v>
      </c>
      <c r="C25" s="110">
        <v>0</v>
      </c>
      <c r="D25" s="88">
        <v>0</v>
      </c>
      <c r="E25" s="2058" t="s">
        <v>936</v>
      </c>
      <c r="F25" s="621">
        <v>0</v>
      </c>
      <c r="G25" s="621">
        <v>0</v>
      </c>
      <c r="H25" s="2059" t="s">
        <v>936</v>
      </c>
      <c r="I25" s="2060" t="s">
        <v>936</v>
      </c>
    </row>
    <row r="26" spans="1:9" ht="26.4">
      <c r="A26" s="91" t="s">
        <v>55</v>
      </c>
      <c r="B26" s="100" t="s">
        <v>56</v>
      </c>
      <c r="C26" s="110">
        <v>36268795.780000001</v>
      </c>
      <c r="D26" s="88">
        <v>28585049.530000001</v>
      </c>
      <c r="E26" s="107">
        <v>78.8</v>
      </c>
      <c r="F26" s="621">
        <v>11579584.73</v>
      </c>
      <c r="G26" s="621">
        <v>9556486.9900000021</v>
      </c>
      <c r="H26" s="90">
        <v>82.5</v>
      </c>
      <c r="I26" s="115">
        <v>33.4</v>
      </c>
    </row>
    <row r="27" spans="1:9">
      <c r="A27" s="91" t="s">
        <v>57</v>
      </c>
      <c r="B27" s="100" t="s">
        <v>58</v>
      </c>
      <c r="C27" s="110">
        <v>0</v>
      </c>
      <c r="D27" s="88">
        <v>0</v>
      </c>
      <c r="E27" s="2058" t="s">
        <v>936</v>
      </c>
      <c r="F27" s="621">
        <v>0</v>
      </c>
      <c r="G27" s="621">
        <v>0</v>
      </c>
      <c r="H27" s="2059" t="s">
        <v>936</v>
      </c>
      <c r="I27" s="2060" t="s">
        <v>936</v>
      </c>
    </row>
    <row r="28" spans="1:9" ht="66">
      <c r="A28" s="91" t="s">
        <v>59</v>
      </c>
      <c r="B28" s="100" t="s">
        <v>60</v>
      </c>
      <c r="C28" s="110">
        <v>0</v>
      </c>
      <c r="D28" s="88">
        <v>0</v>
      </c>
      <c r="E28" s="2058" t="s">
        <v>936</v>
      </c>
      <c r="F28" s="621">
        <v>0</v>
      </c>
      <c r="G28" s="621">
        <v>0</v>
      </c>
      <c r="H28" s="2059" t="s">
        <v>936</v>
      </c>
      <c r="I28" s="2060" t="s">
        <v>936</v>
      </c>
    </row>
    <row r="29" spans="1:9">
      <c r="A29" s="91" t="s">
        <v>61</v>
      </c>
      <c r="B29" s="100" t="s">
        <v>62</v>
      </c>
      <c r="C29" s="110">
        <v>0</v>
      </c>
      <c r="D29" s="88">
        <v>0</v>
      </c>
      <c r="E29" s="2058" t="s">
        <v>936</v>
      </c>
      <c r="F29" s="621">
        <v>0</v>
      </c>
      <c r="G29" s="621">
        <v>0</v>
      </c>
      <c r="H29" s="2059" t="s">
        <v>936</v>
      </c>
      <c r="I29" s="2060" t="s">
        <v>936</v>
      </c>
    </row>
    <row r="30" spans="1:9">
      <c r="A30" s="91" t="s">
        <v>63</v>
      </c>
      <c r="B30" s="100" t="s">
        <v>64</v>
      </c>
      <c r="C30" s="110">
        <v>374746791.48000002</v>
      </c>
      <c r="D30" s="88">
        <v>375795436.91000003</v>
      </c>
      <c r="E30" s="107">
        <v>100.3</v>
      </c>
      <c r="F30" s="621">
        <v>263711952.29000002</v>
      </c>
      <c r="G30" s="621">
        <v>264383622.43000001</v>
      </c>
      <c r="H30" s="90">
        <v>100.3</v>
      </c>
      <c r="I30" s="115">
        <v>70.400000000000006</v>
      </c>
    </row>
    <row r="31" spans="1:9">
      <c r="A31" s="91" t="s">
        <v>65</v>
      </c>
      <c r="B31" s="100" t="s">
        <v>66</v>
      </c>
      <c r="C31" s="110">
        <v>288201655.04000002</v>
      </c>
      <c r="D31" s="88">
        <v>245454366.78999999</v>
      </c>
      <c r="E31" s="107">
        <v>85.2</v>
      </c>
      <c r="F31" s="621">
        <v>95646071.090000033</v>
      </c>
      <c r="G31" s="621">
        <v>78983607.939999998</v>
      </c>
      <c r="H31" s="90">
        <v>82.6</v>
      </c>
      <c r="I31" s="115">
        <v>32.200000000000003</v>
      </c>
    </row>
    <row r="32" spans="1:9">
      <c r="A32" s="91" t="s">
        <v>67</v>
      </c>
      <c r="B32" s="100" t="s">
        <v>68</v>
      </c>
      <c r="C32" s="110">
        <v>1138049</v>
      </c>
      <c r="D32" s="88">
        <v>1131405.1399999999</v>
      </c>
      <c r="E32" s="107">
        <v>99.4</v>
      </c>
      <c r="F32" s="621">
        <v>150800</v>
      </c>
      <c r="G32" s="621">
        <v>147839.1399999999</v>
      </c>
      <c r="H32" s="90">
        <v>98</v>
      </c>
      <c r="I32" s="115">
        <v>13.1</v>
      </c>
    </row>
    <row r="33" spans="1:9">
      <c r="A33" s="91" t="s">
        <v>69</v>
      </c>
      <c r="B33" s="100" t="s">
        <v>70</v>
      </c>
      <c r="C33" s="110">
        <v>3185610886.6100001</v>
      </c>
      <c r="D33" s="88">
        <v>3103379985.1599998</v>
      </c>
      <c r="E33" s="107">
        <v>97.4</v>
      </c>
      <c r="F33" s="621">
        <v>3162521833.8600001</v>
      </c>
      <c r="G33" s="621">
        <v>3084662672.4499998</v>
      </c>
      <c r="H33" s="90">
        <v>97.5</v>
      </c>
      <c r="I33" s="115">
        <v>99.4</v>
      </c>
    </row>
    <row r="34" spans="1:9" ht="26.4">
      <c r="A34" s="91" t="s">
        <v>71</v>
      </c>
      <c r="B34" s="100" t="s">
        <v>72</v>
      </c>
      <c r="C34" s="110">
        <v>1284273.92</v>
      </c>
      <c r="D34" s="88">
        <v>1117791.68</v>
      </c>
      <c r="E34" s="107">
        <v>87</v>
      </c>
      <c r="F34" s="621">
        <v>179273.91999999993</v>
      </c>
      <c r="G34" s="621">
        <v>58942.919999999925</v>
      </c>
      <c r="H34" s="90">
        <v>32.9</v>
      </c>
      <c r="I34" s="115">
        <v>5.3</v>
      </c>
    </row>
    <row r="35" spans="1:9">
      <c r="A35" s="91" t="s">
        <v>73</v>
      </c>
      <c r="B35" s="100" t="s">
        <v>74</v>
      </c>
      <c r="C35" s="110">
        <v>119006276.01000001</v>
      </c>
      <c r="D35" s="88">
        <v>92531351.329999998</v>
      </c>
      <c r="E35" s="107">
        <v>77.8</v>
      </c>
      <c r="F35" s="621">
        <v>119006276.01000001</v>
      </c>
      <c r="G35" s="621">
        <v>92531351.329999998</v>
      </c>
      <c r="H35" s="90">
        <v>77.8</v>
      </c>
      <c r="I35" s="115">
        <v>100</v>
      </c>
    </row>
    <row r="36" spans="1:9">
      <c r="A36" s="91" t="s">
        <v>75</v>
      </c>
      <c r="B36" s="100" t="s">
        <v>76</v>
      </c>
      <c r="C36" s="110">
        <v>259083569.72999999</v>
      </c>
      <c r="D36" s="88">
        <v>241882528.68000001</v>
      </c>
      <c r="E36" s="107">
        <v>93.4</v>
      </c>
      <c r="F36" s="621">
        <v>222391455.47999999</v>
      </c>
      <c r="G36" s="621">
        <v>209713305.50999999</v>
      </c>
      <c r="H36" s="90">
        <v>94.3</v>
      </c>
      <c r="I36" s="115">
        <v>86.7</v>
      </c>
    </row>
    <row r="37" spans="1:9" ht="26.4">
      <c r="A37" s="91" t="s">
        <v>77</v>
      </c>
      <c r="B37" s="100" t="s">
        <v>78</v>
      </c>
      <c r="C37" s="110">
        <v>161488613.81999999</v>
      </c>
      <c r="D37" s="88">
        <v>133022705.52</v>
      </c>
      <c r="E37" s="107">
        <v>82.4</v>
      </c>
      <c r="F37" s="621">
        <v>122056812.03</v>
      </c>
      <c r="G37" s="621">
        <v>113628297.66</v>
      </c>
      <c r="H37" s="90">
        <v>93.1</v>
      </c>
      <c r="I37" s="115">
        <v>85.4</v>
      </c>
    </row>
    <row r="38" spans="1:9" ht="26.4">
      <c r="A38" s="91" t="s">
        <v>79</v>
      </c>
      <c r="B38" s="100" t="s">
        <v>80</v>
      </c>
      <c r="C38" s="110">
        <v>21321030.140000001</v>
      </c>
      <c r="D38" s="88">
        <v>15222686.34</v>
      </c>
      <c r="E38" s="107">
        <v>71.400000000000006</v>
      </c>
      <c r="F38" s="621">
        <v>3941219.59</v>
      </c>
      <c r="G38" s="621">
        <v>2806787.5600000005</v>
      </c>
      <c r="H38" s="90">
        <v>71.2</v>
      </c>
      <c r="I38" s="115">
        <v>18.399999999999999</v>
      </c>
    </row>
    <row r="39" spans="1:9" ht="39.6">
      <c r="A39" s="91" t="s">
        <v>81</v>
      </c>
      <c r="B39" s="100" t="s">
        <v>82</v>
      </c>
      <c r="C39" s="110">
        <v>79187</v>
      </c>
      <c r="D39" s="88">
        <v>77586.399999999994</v>
      </c>
      <c r="E39" s="107">
        <v>98</v>
      </c>
      <c r="F39" s="621">
        <v>79187</v>
      </c>
      <c r="G39" s="621">
        <v>77586.399999999994</v>
      </c>
      <c r="H39" s="90">
        <v>98</v>
      </c>
      <c r="I39" s="115">
        <v>100</v>
      </c>
    </row>
    <row r="40" spans="1:9">
      <c r="A40" s="92" t="s">
        <v>83</v>
      </c>
      <c r="B40" s="101" t="s">
        <v>84</v>
      </c>
      <c r="C40" s="111">
        <v>306880288.24000001</v>
      </c>
      <c r="D40" s="93">
        <v>294633710.98000002</v>
      </c>
      <c r="E40" s="106">
        <v>96</v>
      </c>
      <c r="F40" s="622">
        <v>2676684.8000000119</v>
      </c>
      <c r="G40" s="622">
        <v>1275650.3000000119</v>
      </c>
      <c r="H40" s="94">
        <v>47.7</v>
      </c>
      <c r="I40" s="116">
        <v>0.4</v>
      </c>
    </row>
    <row r="42" spans="1:9">
      <c r="A42" s="89" t="s">
        <v>911</v>
      </c>
      <c r="B42" s="87"/>
      <c r="C42" s="87"/>
      <c r="D42" s="87"/>
      <c r="E42" s="87"/>
      <c r="F42" s="87"/>
      <c r="G42" s="87"/>
      <c r="H42" s="87"/>
      <c r="I42" s="87"/>
    </row>
  </sheetData>
  <mergeCells count="7">
    <mergeCell ref="A3:A5"/>
    <mergeCell ref="B3:B5"/>
    <mergeCell ref="C3:E3"/>
    <mergeCell ref="F3:H3"/>
    <mergeCell ref="C5:D5"/>
    <mergeCell ref="F5:G5"/>
    <mergeCell ref="H5:I5"/>
  </mergeCells>
  <pageMargins left="0.70866141732283472" right="0.31496062992125984" top="0.74803149606299213" bottom="0.55118110236220474" header="0.31496062992125984" footer="0.31496062992125984"/>
  <pageSetup paperSize="9"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0D0D-D8EE-420A-B270-604D4452BF95}">
  <dimension ref="A1:L44"/>
  <sheetViews>
    <sheetView view="pageBreakPreview" topLeftCell="A37" zoomScaleNormal="100" zoomScaleSheetLayoutView="100" workbookViewId="0">
      <selection activeCell="F8" sqref="F8"/>
    </sheetView>
  </sheetViews>
  <sheetFormatPr defaultRowHeight="14.4"/>
  <cols>
    <col min="1" max="1" width="5.21875" customWidth="1"/>
    <col min="2" max="2" width="21.77734375" customWidth="1"/>
    <col min="3" max="10" width="14.77734375" customWidth="1"/>
  </cols>
  <sheetData>
    <row r="1" spans="1:12">
      <c r="A1" s="445" t="s">
        <v>994</v>
      </c>
      <c r="B1" s="312"/>
      <c r="C1" s="312"/>
      <c r="D1" s="312"/>
      <c r="E1" s="312"/>
      <c r="F1" s="312"/>
      <c r="G1" s="312"/>
      <c r="H1" s="312"/>
      <c r="I1" s="312"/>
      <c r="J1" s="312"/>
      <c r="L1" t="s">
        <v>742</v>
      </c>
    </row>
    <row r="3" spans="1:12">
      <c r="A3" s="2138" t="s">
        <v>0</v>
      </c>
      <c r="B3" s="2140" t="s">
        <v>1</v>
      </c>
      <c r="C3" s="2392" t="s">
        <v>152</v>
      </c>
      <c r="D3" s="2215" t="s">
        <v>88</v>
      </c>
      <c r="E3" s="2215"/>
      <c r="F3" s="2215"/>
      <c r="G3" s="2215"/>
      <c r="H3" s="2215"/>
      <c r="I3" s="2215"/>
      <c r="J3" s="2393"/>
    </row>
    <row r="4" spans="1:12">
      <c r="A4" s="2139"/>
      <c r="B4" s="2141"/>
      <c r="C4" s="2221"/>
      <c r="D4" s="2394" t="s">
        <v>136</v>
      </c>
      <c r="E4" s="2222" t="s">
        <v>569</v>
      </c>
      <c r="F4" s="2220"/>
      <c r="G4" s="2220"/>
      <c r="H4" s="2221"/>
      <c r="I4" s="2395" t="s">
        <v>137</v>
      </c>
      <c r="J4" s="714" t="s">
        <v>569</v>
      </c>
    </row>
    <row r="5" spans="1:12">
      <c r="A5" s="2139"/>
      <c r="B5" s="2141"/>
      <c r="C5" s="2221"/>
      <c r="D5" s="2394"/>
      <c r="E5" s="2390" t="s">
        <v>570</v>
      </c>
      <c r="F5" s="2394" t="s">
        <v>571</v>
      </c>
      <c r="G5" s="2394" t="s">
        <v>572</v>
      </c>
      <c r="H5" s="2390" t="s">
        <v>573</v>
      </c>
      <c r="I5" s="2395"/>
      <c r="J5" s="2141" t="s">
        <v>574</v>
      </c>
    </row>
    <row r="6" spans="1:12" ht="37.200000000000003" customHeight="1">
      <c r="A6" s="2139"/>
      <c r="B6" s="2141"/>
      <c r="C6" s="2221"/>
      <c r="D6" s="2394"/>
      <c r="E6" s="2391"/>
      <c r="F6" s="2394"/>
      <c r="G6" s="2394"/>
      <c r="H6" s="2391"/>
      <c r="I6" s="2395"/>
      <c r="J6" s="2141"/>
    </row>
    <row r="7" spans="1:12">
      <c r="A7" s="2139"/>
      <c r="B7" s="2141"/>
      <c r="C7" s="2220" t="s">
        <v>93</v>
      </c>
      <c r="D7" s="2220"/>
      <c r="E7" s="2220"/>
      <c r="F7" s="2220"/>
      <c r="G7" s="2220"/>
      <c r="H7" s="2220"/>
      <c r="I7" s="2220"/>
      <c r="J7" s="2223"/>
    </row>
    <row r="8" spans="1:12">
      <c r="A8" s="746" t="s">
        <v>10</v>
      </c>
      <c r="B8" s="369" t="s">
        <v>11</v>
      </c>
      <c r="C8" s="746" t="s">
        <v>12</v>
      </c>
      <c r="D8" s="368" t="s">
        <v>13</v>
      </c>
      <c r="E8" s="747" t="s">
        <v>14</v>
      </c>
      <c r="F8" s="368" t="s">
        <v>15</v>
      </c>
      <c r="G8" s="747" t="s">
        <v>16</v>
      </c>
      <c r="H8" s="368" t="s">
        <v>17</v>
      </c>
      <c r="I8" s="368" t="s">
        <v>94</v>
      </c>
      <c r="J8" s="748" t="s">
        <v>150</v>
      </c>
    </row>
    <row r="9" spans="1:12">
      <c r="A9" s="1492"/>
      <c r="B9" s="1493" t="s">
        <v>562</v>
      </c>
      <c r="C9" s="1496">
        <v>217469238499.01999</v>
      </c>
      <c r="D9" s="1497">
        <v>167694054404.60999</v>
      </c>
      <c r="E9" s="1712">
        <v>80183230999.800003</v>
      </c>
      <c r="F9" s="1712">
        <v>16929173576.77</v>
      </c>
      <c r="G9" s="1712">
        <v>18478803097.450001</v>
      </c>
      <c r="H9" s="1497">
        <v>1496534317.51</v>
      </c>
      <c r="I9" s="1497">
        <v>49775184094.410004</v>
      </c>
      <c r="J9" s="1502">
        <v>7442566295.1300001</v>
      </c>
    </row>
    <row r="10" spans="1:12">
      <c r="A10" s="1490" t="s">
        <v>19</v>
      </c>
      <c r="B10" s="1494" t="s">
        <v>20</v>
      </c>
      <c r="C10" s="1498">
        <v>9118226770.1299992</v>
      </c>
      <c r="D10" s="1499">
        <v>2463473035.8699999</v>
      </c>
      <c r="E10" s="1499">
        <v>40428151.700000003</v>
      </c>
      <c r="F10" s="1499">
        <v>39202056.880000003</v>
      </c>
      <c r="G10" s="1499">
        <v>8194402.1799999997</v>
      </c>
      <c r="H10" s="1499">
        <v>5730157</v>
      </c>
      <c r="I10" s="1499">
        <v>6654753734.2600002</v>
      </c>
      <c r="J10" s="1503">
        <v>2059837591.7</v>
      </c>
    </row>
    <row r="11" spans="1:12">
      <c r="A11" s="1490" t="s">
        <v>21</v>
      </c>
      <c r="B11" s="1494" t="s">
        <v>22</v>
      </c>
      <c r="C11" s="1498">
        <v>18647013.82</v>
      </c>
      <c r="D11" s="1499">
        <v>17480534.539999999</v>
      </c>
      <c r="E11" s="1499">
        <v>846371.24</v>
      </c>
      <c r="F11" s="1499">
        <v>0</v>
      </c>
      <c r="G11" s="1499">
        <v>8848.2199999999993</v>
      </c>
      <c r="H11" s="1499">
        <v>0</v>
      </c>
      <c r="I11" s="1499">
        <v>1166479.28</v>
      </c>
      <c r="J11" s="1503">
        <v>495488.07</v>
      </c>
    </row>
    <row r="12" spans="1:12">
      <c r="A12" s="1490" t="s">
        <v>23</v>
      </c>
      <c r="B12" s="1494" t="s">
        <v>24</v>
      </c>
      <c r="C12" s="1498">
        <v>860020.31</v>
      </c>
      <c r="D12" s="1499">
        <v>816570.31</v>
      </c>
      <c r="E12" s="1499">
        <v>54870.04</v>
      </c>
      <c r="F12" s="1499">
        <v>0</v>
      </c>
      <c r="G12" s="1499">
        <v>0</v>
      </c>
      <c r="H12" s="1499">
        <v>0</v>
      </c>
      <c r="I12" s="1499">
        <v>43450</v>
      </c>
      <c r="J12" s="1503">
        <v>0</v>
      </c>
    </row>
    <row r="13" spans="1:12">
      <c r="A13" s="1490" t="s">
        <v>25</v>
      </c>
      <c r="B13" s="1494" t="s">
        <v>26</v>
      </c>
      <c r="C13" s="1498">
        <v>117556.07</v>
      </c>
      <c r="D13" s="1499">
        <v>117556.07</v>
      </c>
      <c r="E13" s="1499">
        <v>13997.32</v>
      </c>
      <c r="F13" s="1499">
        <v>0</v>
      </c>
      <c r="G13" s="1499">
        <v>0</v>
      </c>
      <c r="H13" s="1499">
        <v>0</v>
      </c>
      <c r="I13" s="1499">
        <v>0</v>
      </c>
      <c r="J13" s="1503">
        <v>0</v>
      </c>
    </row>
    <row r="14" spans="1:12">
      <c r="A14" s="1490" t="s">
        <v>27</v>
      </c>
      <c r="B14" s="1494" t="s">
        <v>28</v>
      </c>
      <c r="C14" s="1498">
        <v>3478967.15</v>
      </c>
      <c r="D14" s="1499">
        <v>2225252.15</v>
      </c>
      <c r="E14" s="1499">
        <v>339840.38</v>
      </c>
      <c r="F14" s="1499">
        <v>19000</v>
      </c>
      <c r="G14" s="1499">
        <v>0</v>
      </c>
      <c r="H14" s="1499">
        <v>0</v>
      </c>
      <c r="I14" s="1499">
        <v>1253715</v>
      </c>
      <c r="J14" s="1503">
        <v>30750</v>
      </c>
    </row>
    <row r="15" spans="1:12" ht="26.4">
      <c r="A15" s="1490" t="s">
        <v>29</v>
      </c>
      <c r="B15" s="1494" t="s">
        <v>30</v>
      </c>
      <c r="C15" s="1498">
        <v>1007011584.61</v>
      </c>
      <c r="D15" s="1499">
        <v>549696296.13999999</v>
      </c>
      <c r="E15" s="1499">
        <v>20745934.100000001</v>
      </c>
      <c r="F15" s="1499">
        <v>21023769.25</v>
      </c>
      <c r="G15" s="1499">
        <v>510799.14</v>
      </c>
      <c r="H15" s="1499">
        <v>1621122.79</v>
      </c>
      <c r="I15" s="1499">
        <v>457315288.47000003</v>
      </c>
      <c r="J15" s="1503">
        <v>90063675.069999993</v>
      </c>
    </row>
    <row r="16" spans="1:12">
      <c r="A16" s="1490" t="s">
        <v>31</v>
      </c>
      <c r="B16" s="1494" t="s">
        <v>32</v>
      </c>
      <c r="C16" s="1498">
        <v>25811215.039999999</v>
      </c>
      <c r="D16" s="1499">
        <v>16661617.75</v>
      </c>
      <c r="E16" s="1499">
        <v>2474515.9900000002</v>
      </c>
      <c r="F16" s="1499">
        <v>310352</v>
      </c>
      <c r="G16" s="1499">
        <v>4083.96</v>
      </c>
      <c r="H16" s="1499">
        <v>135781.07999999999</v>
      </c>
      <c r="I16" s="1499">
        <v>9149597.2899999991</v>
      </c>
      <c r="J16" s="1503">
        <v>346035.11</v>
      </c>
    </row>
    <row r="17" spans="1:10">
      <c r="A17" s="1490" t="s">
        <v>33</v>
      </c>
      <c r="B17" s="1494" t="s">
        <v>34</v>
      </c>
      <c r="C17" s="1498">
        <v>3089746.61</v>
      </c>
      <c r="D17" s="1499">
        <v>1848436.76</v>
      </c>
      <c r="E17" s="1499">
        <v>1015021.8</v>
      </c>
      <c r="F17" s="1499">
        <v>0</v>
      </c>
      <c r="G17" s="1499">
        <v>2786.78</v>
      </c>
      <c r="H17" s="1499">
        <v>0</v>
      </c>
      <c r="I17" s="1499">
        <v>1241309.8500000001</v>
      </c>
      <c r="J17" s="1503">
        <v>0</v>
      </c>
    </row>
    <row r="18" spans="1:10">
      <c r="A18" s="1490" t="s">
        <v>35</v>
      </c>
      <c r="B18" s="1494" t="s">
        <v>36</v>
      </c>
      <c r="C18" s="1498">
        <v>20591275430.48</v>
      </c>
      <c r="D18" s="1499">
        <v>6116262017.6099997</v>
      </c>
      <c r="E18" s="1499">
        <v>37587141.93</v>
      </c>
      <c r="F18" s="1499">
        <v>1237802310.53</v>
      </c>
      <c r="G18" s="1499">
        <v>404903.83</v>
      </c>
      <c r="H18" s="1499">
        <v>4756739.82</v>
      </c>
      <c r="I18" s="1499">
        <v>14475013412.870001</v>
      </c>
      <c r="J18" s="1503">
        <v>889213608.78999996</v>
      </c>
    </row>
    <row r="19" spans="1:10">
      <c r="A19" s="1490" t="s">
        <v>37</v>
      </c>
      <c r="B19" s="1494" t="s">
        <v>38</v>
      </c>
      <c r="C19" s="1498">
        <v>536897711.45000005</v>
      </c>
      <c r="D19" s="1499">
        <v>109226549.08</v>
      </c>
      <c r="E19" s="1499">
        <v>21714458.359999999</v>
      </c>
      <c r="F19" s="1499">
        <v>9465868.9600000009</v>
      </c>
      <c r="G19" s="1499">
        <v>65168.23</v>
      </c>
      <c r="H19" s="1499">
        <v>6321665.1600000001</v>
      </c>
      <c r="I19" s="1499">
        <v>427671162.37</v>
      </c>
      <c r="J19" s="1503">
        <v>135109160.02000001</v>
      </c>
    </row>
    <row r="20" spans="1:10">
      <c r="A20" s="1490" t="s">
        <v>39</v>
      </c>
      <c r="B20" s="1494" t="s">
        <v>40</v>
      </c>
      <c r="C20" s="1498">
        <v>5917861955</v>
      </c>
      <c r="D20" s="1499">
        <v>2579251084.8099999</v>
      </c>
      <c r="E20" s="1499">
        <v>175984478.11000001</v>
      </c>
      <c r="F20" s="1499">
        <v>99903132.030000001</v>
      </c>
      <c r="G20" s="1499">
        <v>6186989.0099999998</v>
      </c>
      <c r="H20" s="1499">
        <v>2221593.4</v>
      </c>
      <c r="I20" s="1499">
        <v>3338610870.1900001</v>
      </c>
      <c r="J20" s="1503">
        <v>140454143.66999999</v>
      </c>
    </row>
    <row r="21" spans="1:10">
      <c r="A21" s="1490" t="s">
        <v>41</v>
      </c>
      <c r="B21" s="1494" t="s">
        <v>42</v>
      </c>
      <c r="C21" s="1498">
        <v>732308466.19000006</v>
      </c>
      <c r="D21" s="1499">
        <v>583753103.07000005</v>
      </c>
      <c r="E21" s="1499">
        <v>59973063.07</v>
      </c>
      <c r="F21" s="1499">
        <v>8415678.2599999998</v>
      </c>
      <c r="G21" s="1499">
        <v>686174.52</v>
      </c>
      <c r="H21" s="1499">
        <v>15565381.23</v>
      </c>
      <c r="I21" s="1499">
        <v>148555363.12</v>
      </c>
      <c r="J21" s="1503">
        <v>7399855.9100000001</v>
      </c>
    </row>
    <row r="22" spans="1:10">
      <c r="A22" s="1490" t="s">
        <v>43</v>
      </c>
      <c r="B22" s="1494" t="s">
        <v>44</v>
      </c>
      <c r="C22" s="1498">
        <v>188673596.94</v>
      </c>
      <c r="D22" s="1499">
        <v>44899257.899999999</v>
      </c>
      <c r="E22" s="1499">
        <v>321784.37</v>
      </c>
      <c r="F22" s="1499">
        <v>0</v>
      </c>
      <c r="G22" s="1499">
        <v>130</v>
      </c>
      <c r="H22" s="1499">
        <v>31995100.460000001</v>
      </c>
      <c r="I22" s="1499">
        <v>143774339.03999999</v>
      </c>
      <c r="J22" s="1503">
        <v>139616295.71000001</v>
      </c>
    </row>
    <row r="23" spans="1:10">
      <c r="A23" s="1490" t="s">
        <v>45</v>
      </c>
      <c r="B23" s="1494" t="s">
        <v>46</v>
      </c>
      <c r="C23" s="1498">
        <v>9605165.1999999993</v>
      </c>
      <c r="D23" s="1499">
        <v>9081935.1999999993</v>
      </c>
      <c r="E23" s="1499">
        <v>1195592.1299999999</v>
      </c>
      <c r="F23" s="1499">
        <v>4568600</v>
      </c>
      <c r="G23" s="1499">
        <v>1396201.8</v>
      </c>
      <c r="H23" s="1499">
        <v>864606.76</v>
      </c>
      <c r="I23" s="1499">
        <v>523230</v>
      </c>
      <c r="J23" s="1503">
        <v>247230</v>
      </c>
    </row>
    <row r="24" spans="1:10">
      <c r="A24" s="1490" t="s">
        <v>47</v>
      </c>
      <c r="B24" s="1494" t="s">
        <v>48</v>
      </c>
      <c r="C24" s="1498">
        <v>22124532064.380001</v>
      </c>
      <c r="D24" s="1499">
        <v>20843119254.360001</v>
      </c>
      <c r="E24" s="1499">
        <v>15709193694.040001</v>
      </c>
      <c r="F24" s="1499">
        <v>59892661.719999999</v>
      </c>
      <c r="G24" s="1499">
        <v>877669992.89999998</v>
      </c>
      <c r="H24" s="1499">
        <v>136394308.38999999</v>
      </c>
      <c r="I24" s="1499">
        <v>1281412810.02</v>
      </c>
      <c r="J24" s="1503">
        <v>572387914.00999999</v>
      </c>
    </row>
    <row r="25" spans="1:10" ht="39.6">
      <c r="A25" s="1490" t="s">
        <v>49</v>
      </c>
      <c r="B25" s="1494" t="s">
        <v>50</v>
      </c>
      <c r="C25" s="1498">
        <v>335075009.37</v>
      </c>
      <c r="D25" s="1499">
        <v>335075009.37</v>
      </c>
      <c r="E25" s="1499">
        <v>110299044.14</v>
      </c>
      <c r="F25" s="1499">
        <v>0</v>
      </c>
      <c r="G25" s="1499">
        <v>200690137.5</v>
      </c>
      <c r="H25" s="1499">
        <v>0</v>
      </c>
      <c r="I25" s="1499">
        <v>0</v>
      </c>
      <c r="J25" s="1503">
        <v>0</v>
      </c>
    </row>
    <row r="26" spans="1:10">
      <c r="A26" s="1490" t="s">
        <v>51</v>
      </c>
      <c r="B26" s="1494" t="s">
        <v>52</v>
      </c>
      <c r="C26" s="1498">
        <v>1642880045.4300001</v>
      </c>
      <c r="D26" s="1499">
        <v>366571594.17000002</v>
      </c>
      <c r="E26" s="1499">
        <v>901052.17</v>
      </c>
      <c r="F26" s="1499">
        <v>535803.11</v>
      </c>
      <c r="G26" s="1499">
        <v>1446061.8</v>
      </c>
      <c r="H26" s="1499">
        <v>13530</v>
      </c>
      <c r="I26" s="1499">
        <v>1276308451.26</v>
      </c>
      <c r="J26" s="1503">
        <v>618805.62</v>
      </c>
    </row>
    <row r="27" spans="1:10" ht="26.4">
      <c r="A27" s="1490" t="s">
        <v>53</v>
      </c>
      <c r="B27" s="1494" t="s">
        <v>54</v>
      </c>
      <c r="C27" s="1498">
        <v>0</v>
      </c>
      <c r="D27" s="1499">
        <v>0</v>
      </c>
      <c r="E27" s="1499">
        <v>0</v>
      </c>
      <c r="F27" s="1499">
        <v>0</v>
      </c>
      <c r="G27" s="1499">
        <v>0</v>
      </c>
      <c r="H27" s="1499">
        <v>0</v>
      </c>
      <c r="I27" s="1499">
        <v>0</v>
      </c>
      <c r="J27" s="1503">
        <v>0</v>
      </c>
    </row>
    <row r="28" spans="1:10" ht="26.4">
      <c r="A28" s="1490" t="s">
        <v>55</v>
      </c>
      <c r="B28" s="1494" t="s">
        <v>56</v>
      </c>
      <c r="C28" s="1498">
        <v>3032824735.8800001</v>
      </c>
      <c r="D28" s="1499">
        <v>1466781388.71</v>
      </c>
      <c r="E28" s="1499">
        <v>478832429.48000002</v>
      </c>
      <c r="F28" s="1499">
        <v>70538579.430000007</v>
      </c>
      <c r="G28" s="1499">
        <v>143327407.08000001</v>
      </c>
      <c r="H28" s="1499">
        <v>15844380.27</v>
      </c>
      <c r="I28" s="1499">
        <v>1566043347.1700001</v>
      </c>
      <c r="J28" s="1503">
        <v>521984601.36000001</v>
      </c>
    </row>
    <row r="29" spans="1:10">
      <c r="A29" s="1490" t="s">
        <v>57</v>
      </c>
      <c r="B29" s="1494" t="s">
        <v>58</v>
      </c>
      <c r="C29" s="1498">
        <v>126048.28</v>
      </c>
      <c r="D29" s="1499">
        <v>126048.28</v>
      </c>
      <c r="E29" s="1499">
        <v>835.4</v>
      </c>
      <c r="F29" s="1499">
        <v>0</v>
      </c>
      <c r="G29" s="1499">
        <v>0</v>
      </c>
      <c r="H29" s="1499">
        <v>0</v>
      </c>
      <c r="I29" s="1499">
        <v>0</v>
      </c>
      <c r="J29" s="1503">
        <v>0</v>
      </c>
    </row>
    <row r="30" spans="1:10" ht="66">
      <c r="A30" s="1490" t="s">
        <v>59</v>
      </c>
      <c r="B30" s="1494" t="s">
        <v>60</v>
      </c>
      <c r="C30" s="1498">
        <v>5295104.22</v>
      </c>
      <c r="D30" s="1499">
        <v>5295104.22</v>
      </c>
      <c r="E30" s="1499">
        <v>2259544.85</v>
      </c>
      <c r="F30" s="1499">
        <v>0</v>
      </c>
      <c r="G30" s="1499">
        <v>235.25</v>
      </c>
      <c r="H30" s="1499">
        <v>0</v>
      </c>
      <c r="I30" s="1499">
        <v>0</v>
      </c>
      <c r="J30" s="1503">
        <v>0</v>
      </c>
    </row>
    <row r="31" spans="1:10">
      <c r="A31" s="1490" t="s">
        <v>61</v>
      </c>
      <c r="B31" s="1494" t="s">
        <v>62</v>
      </c>
      <c r="C31" s="1498">
        <v>2552151131.1900001</v>
      </c>
      <c r="D31" s="1499">
        <v>2547020052.8699999</v>
      </c>
      <c r="E31" s="1499">
        <v>0</v>
      </c>
      <c r="F31" s="1499">
        <v>0</v>
      </c>
      <c r="G31" s="1499">
        <v>0</v>
      </c>
      <c r="H31" s="1499">
        <v>0</v>
      </c>
      <c r="I31" s="1499">
        <v>5131078.32</v>
      </c>
      <c r="J31" s="1503">
        <v>0</v>
      </c>
    </row>
    <row r="32" spans="1:10">
      <c r="A32" s="1490" t="s">
        <v>63</v>
      </c>
      <c r="B32" s="1494" t="s">
        <v>64</v>
      </c>
      <c r="C32" s="1498">
        <v>164571355.31999999</v>
      </c>
      <c r="D32" s="1499">
        <v>71014486.840000004</v>
      </c>
      <c r="E32" s="1499">
        <v>2049377.19</v>
      </c>
      <c r="F32" s="1499">
        <v>3354858.73</v>
      </c>
      <c r="G32" s="1499">
        <v>136472.04999999999</v>
      </c>
      <c r="H32" s="1499">
        <v>3965145.49</v>
      </c>
      <c r="I32" s="1499">
        <v>93556868.480000004</v>
      </c>
      <c r="J32" s="1503">
        <v>16921984.09</v>
      </c>
    </row>
    <row r="33" spans="1:10">
      <c r="A33" s="1490" t="s">
        <v>65</v>
      </c>
      <c r="B33" s="1494" t="s">
        <v>66</v>
      </c>
      <c r="C33" s="1498">
        <v>79583592089.369995</v>
      </c>
      <c r="D33" s="1499">
        <v>74479972727.669998</v>
      </c>
      <c r="E33" s="1499">
        <v>52795795518.650002</v>
      </c>
      <c r="F33" s="1499">
        <v>8333316939.96</v>
      </c>
      <c r="G33" s="1499">
        <v>1544627799.26</v>
      </c>
      <c r="H33" s="1499">
        <v>582516917.13999999</v>
      </c>
      <c r="I33" s="1499">
        <v>5103619361.6999998</v>
      </c>
      <c r="J33" s="1503">
        <v>596978327.16999996</v>
      </c>
    </row>
    <row r="34" spans="1:10">
      <c r="A34" s="1490" t="s">
        <v>67</v>
      </c>
      <c r="B34" s="1494" t="s">
        <v>68</v>
      </c>
      <c r="C34" s="1498">
        <v>1288241175.6800001</v>
      </c>
      <c r="D34" s="1499">
        <v>983902126.34000003</v>
      </c>
      <c r="E34" s="1499">
        <v>279355026.69</v>
      </c>
      <c r="F34" s="1499">
        <v>220853556.56</v>
      </c>
      <c r="G34" s="1499">
        <v>8090771.6900000004</v>
      </c>
      <c r="H34" s="1499">
        <v>1641027.99</v>
      </c>
      <c r="I34" s="1499">
        <v>304339049.33999997</v>
      </c>
      <c r="J34" s="1503">
        <v>2336908.31</v>
      </c>
    </row>
    <row r="35" spans="1:10">
      <c r="A35" s="1490" t="s">
        <v>69</v>
      </c>
      <c r="B35" s="1494" t="s">
        <v>70</v>
      </c>
      <c r="C35" s="1498">
        <v>12754729314.639999</v>
      </c>
      <c r="D35" s="1499">
        <v>12412708128.91</v>
      </c>
      <c r="E35" s="1499">
        <v>5246574073.1400003</v>
      </c>
      <c r="F35" s="1499">
        <v>350656081.67000002</v>
      </c>
      <c r="G35" s="1499">
        <v>3162912115.3400002</v>
      </c>
      <c r="H35" s="1499">
        <v>239390053.80000001</v>
      </c>
      <c r="I35" s="1499">
        <v>342021185.73000002</v>
      </c>
      <c r="J35" s="1503">
        <v>60679461.32</v>
      </c>
    </row>
    <row r="36" spans="1:10" ht="26.4">
      <c r="A36" s="1490" t="s">
        <v>71</v>
      </c>
      <c r="B36" s="1494" t="s">
        <v>72</v>
      </c>
      <c r="C36" s="1498">
        <v>550353451.88</v>
      </c>
      <c r="D36" s="1499">
        <v>451631066.54000002</v>
      </c>
      <c r="E36" s="1499">
        <v>82742899.040000007</v>
      </c>
      <c r="F36" s="1499">
        <v>42579365.590000004</v>
      </c>
      <c r="G36" s="1499">
        <v>22046455.219999999</v>
      </c>
      <c r="H36" s="1499">
        <v>222764955.56</v>
      </c>
      <c r="I36" s="1499">
        <v>98722385.340000004</v>
      </c>
      <c r="J36" s="1503">
        <v>27903677.960000001</v>
      </c>
    </row>
    <row r="37" spans="1:10">
      <c r="A37" s="1490" t="s">
        <v>73</v>
      </c>
      <c r="B37" s="1494" t="s">
        <v>74</v>
      </c>
      <c r="C37" s="1498">
        <v>474122842.70999998</v>
      </c>
      <c r="D37" s="1499">
        <v>462825739.41000003</v>
      </c>
      <c r="E37" s="1499">
        <v>115521720.58</v>
      </c>
      <c r="F37" s="1499">
        <v>123881254.47</v>
      </c>
      <c r="G37" s="1499">
        <v>175741668.88999999</v>
      </c>
      <c r="H37" s="1499">
        <v>1475810.05</v>
      </c>
      <c r="I37" s="1499">
        <v>11297103.300000001</v>
      </c>
      <c r="J37" s="1503">
        <v>169740</v>
      </c>
    </row>
    <row r="38" spans="1:10">
      <c r="A38" s="1490" t="s">
        <v>75</v>
      </c>
      <c r="B38" s="1494" t="s">
        <v>76</v>
      </c>
      <c r="C38" s="1498">
        <v>18086687071.529999</v>
      </c>
      <c r="D38" s="1499">
        <v>16795874457.629999</v>
      </c>
      <c r="E38" s="1499">
        <v>2968478883.7399998</v>
      </c>
      <c r="F38" s="1499">
        <v>89459805.879999995</v>
      </c>
      <c r="G38" s="1499">
        <v>12263613431.950001</v>
      </c>
      <c r="H38" s="1499">
        <v>110098879.68000001</v>
      </c>
      <c r="I38" s="1499">
        <v>1290812613.9000001</v>
      </c>
      <c r="J38" s="1503">
        <v>857587799.07000005</v>
      </c>
    </row>
    <row r="39" spans="1:10" ht="26.4">
      <c r="A39" s="1490" t="s">
        <v>77</v>
      </c>
      <c r="B39" s="1494" t="s">
        <v>78</v>
      </c>
      <c r="C39" s="1498">
        <v>20935206526.580002</v>
      </c>
      <c r="D39" s="1499">
        <v>15088474661.76</v>
      </c>
      <c r="E39" s="1499">
        <v>945858401.50999999</v>
      </c>
      <c r="F39" s="1499">
        <v>483122727.07999998</v>
      </c>
      <c r="G39" s="1499">
        <v>8272374.8700000001</v>
      </c>
      <c r="H39" s="1499">
        <v>82775560.379999995</v>
      </c>
      <c r="I39" s="1499">
        <v>5846731864.8199997</v>
      </c>
      <c r="J39" s="1503">
        <v>1011415705.35</v>
      </c>
    </row>
    <row r="40" spans="1:10" ht="26.4">
      <c r="A40" s="1490" t="s">
        <v>79</v>
      </c>
      <c r="B40" s="1494" t="s">
        <v>80</v>
      </c>
      <c r="C40" s="1498">
        <v>9104564619.1599998</v>
      </c>
      <c r="D40" s="1499">
        <v>5661583363.1099997</v>
      </c>
      <c r="E40" s="1499">
        <v>60161466.009999998</v>
      </c>
      <c r="F40" s="1499">
        <v>4932635940.3100004</v>
      </c>
      <c r="G40" s="1499">
        <v>4301401.38</v>
      </c>
      <c r="H40" s="1499">
        <v>27395800.219999999</v>
      </c>
      <c r="I40" s="1499">
        <v>3442981256.0500002</v>
      </c>
      <c r="J40" s="1503">
        <v>248931644.13</v>
      </c>
    </row>
    <row r="41" spans="1:10" ht="39.6">
      <c r="A41" s="1490" t="s">
        <v>81</v>
      </c>
      <c r="B41" s="1494" t="s">
        <v>82</v>
      </c>
      <c r="C41" s="1498">
        <v>17928045.710000001</v>
      </c>
      <c r="D41" s="1499">
        <v>14394768.85</v>
      </c>
      <c r="E41" s="1499">
        <v>4002985.6</v>
      </c>
      <c r="F41" s="1499">
        <v>361360.6</v>
      </c>
      <c r="G41" s="1499">
        <v>35952.85</v>
      </c>
      <c r="H41" s="1499">
        <v>109352.52</v>
      </c>
      <c r="I41" s="1499">
        <v>3533276.86</v>
      </c>
      <c r="J41" s="1503">
        <v>1599610.63</v>
      </c>
    </row>
    <row r="42" spans="1:10">
      <c r="A42" s="1491" t="s">
        <v>83</v>
      </c>
      <c r="B42" s="1495" t="s">
        <v>84</v>
      </c>
      <c r="C42" s="1500">
        <v>6662492668.6899996</v>
      </c>
      <c r="D42" s="1501">
        <v>3212891178.3099999</v>
      </c>
      <c r="E42" s="1501">
        <v>1018508827.03</v>
      </c>
      <c r="F42" s="1501">
        <v>797273873.75</v>
      </c>
      <c r="G42" s="1501">
        <v>48430331.75</v>
      </c>
      <c r="H42" s="1501">
        <v>2936448.32</v>
      </c>
      <c r="I42" s="1501">
        <v>3449601490.3800001</v>
      </c>
      <c r="J42" s="1504">
        <v>60236282.060000002</v>
      </c>
    </row>
    <row r="44" spans="1:10">
      <c r="A44" s="313" t="s">
        <v>911</v>
      </c>
      <c r="B44" s="312"/>
      <c r="C44" s="312"/>
      <c r="D44" s="312"/>
      <c r="E44" s="312"/>
      <c r="F44" s="312"/>
      <c r="G44" s="312"/>
      <c r="H44" s="312"/>
      <c r="I44" s="312"/>
      <c r="J44" s="312"/>
    </row>
  </sheetData>
  <mergeCells count="13">
    <mergeCell ref="H5:H6"/>
    <mergeCell ref="J5:J6"/>
    <mergeCell ref="C7:J7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</mergeCells>
  <pageMargins left="0.70866141732283472" right="0.31496062992125984" top="0.55118110236220474" bottom="0.55118110236220474" header="0.31496062992125984" footer="0.31496062992125984"/>
  <pageSetup paperSize="9" scale="82" orientation="landscape" r:id="rId1"/>
  <rowBreaks count="1" manualBreakCount="1">
    <brk id="32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D530-9032-44A6-91BC-282C426D4524}">
  <dimension ref="A1:J44"/>
  <sheetViews>
    <sheetView view="pageBreakPreview" topLeftCell="A10" zoomScaleNormal="100" zoomScaleSheetLayoutView="100" workbookViewId="0">
      <selection activeCell="F8" sqref="F8"/>
    </sheetView>
  </sheetViews>
  <sheetFormatPr defaultRowHeight="14.4"/>
  <cols>
    <col min="1" max="1" width="6.21875" customWidth="1"/>
    <col min="2" max="2" width="19.77734375" customWidth="1"/>
    <col min="3" max="10" width="14.77734375" customWidth="1"/>
  </cols>
  <sheetData>
    <row r="1" spans="1:10">
      <c r="A1" s="445" t="s">
        <v>995</v>
      </c>
      <c r="B1" s="314"/>
      <c r="C1" s="314"/>
      <c r="D1" s="314"/>
      <c r="E1" s="314"/>
      <c r="F1" s="314"/>
      <c r="G1" s="314"/>
      <c r="H1" s="314"/>
      <c r="I1" s="314"/>
      <c r="J1" s="314"/>
    </row>
    <row r="3" spans="1:10">
      <c r="A3" s="2138" t="s">
        <v>0</v>
      </c>
      <c r="B3" s="2140" t="s">
        <v>1</v>
      </c>
      <c r="C3" s="2396" t="s">
        <v>152</v>
      </c>
      <c r="D3" s="2215" t="s">
        <v>88</v>
      </c>
      <c r="E3" s="2215"/>
      <c r="F3" s="2215"/>
      <c r="G3" s="2215"/>
      <c r="H3" s="2215"/>
      <c r="I3" s="2215"/>
      <c r="J3" s="2393"/>
    </row>
    <row r="4" spans="1:10">
      <c r="A4" s="2139"/>
      <c r="B4" s="2141"/>
      <c r="C4" s="2397"/>
      <c r="D4" s="2394" t="s">
        <v>136</v>
      </c>
      <c r="E4" s="2222" t="s">
        <v>569</v>
      </c>
      <c r="F4" s="2220"/>
      <c r="G4" s="2220"/>
      <c r="H4" s="2221"/>
      <c r="I4" s="2395" t="s">
        <v>137</v>
      </c>
      <c r="J4" s="714" t="s">
        <v>569</v>
      </c>
    </row>
    <row r="5" spans="1:10">
      <c r="A5" s="2139"/>
      <c r="B5" s="2141"/>
      <c r="C5" s="2397"/>
      <c r="D5" s="2394"/>
      <c r="E5" s="2390" t="s">
        <v>570</v>
      </c>
      <c r="F5" s="2394" t="s">
        <v>571</v>
      </c>
      <c r="G5" s="2394" t="s">
        <v>572</v>
      </c>
      <c r="H5" s="2390" t="s">
        <v>573</v>
      </c>
      <c r="I5" s="2395"/>
      <c r="J5" s="2141" t="s">
        <v>574</v>
      </c>
    </row>
    <row r="6" spans="1:10" ht="42" customHeight="1">
      <c r="A6" s="2139"/>
      <c r="B6" s="2141"/>
      <c r="C6" s="2397"/>
      <c r="D6" s="2394"/>
      <c r="E6" s="2391"/>
      <c r="F6" s="2394"/>
      <c r="G6" s="2394"/>
      <c r="H6" s="2391"/>
      <c r="I6" s="2395"/>
      <c r="J6" s="2141"/>
    </row>
    <row r="7" spans="1:10">
      <c r="A7" s="2139"/>
      <c r="B7" s="2141"/>
      <c r="C7" s="2220" t="s">
        <v>93</v>
      </c>
      <c r="D7" s="2220"/>
      <c r="E7" s="2220"/>
      <c r="F7" s="2220"/>
      <c r="G7" s="2220"/>
      <c r="H7" s="2220"/>
      <c r="I7" s="2220"/>
      <c r="J7" s="2223"/>
    </row>
    <row r="8" spans="1:10">
      <c r="A8" s="746" t="s">
        <v>10</v>
      </c>
      <c r="B8" s="369" t="s">
        <v>11</v>
      </c>
      <c r="C8" s="746" t="s">
        <v>12</v>
      </c>
      <c r="D8" s="368" t="s">
        <v>13</v>
      </c>
      <c r="E8" s="747" t="s">
        <v>14</v>
      </c>
      <c r="F8" s="368" t="s">
        <v>15</v>
      </c>
      <c r="G8" s="747" t="s">
        <v>16</v>
      </c>
      <c r="H8" s="368" t="s">
        <v>17</v>
      </c>
      <c r="I8" s="368" t="s">
        <v>94</v>
      </c>
      <c r="J8" s="748" t="s">
        <v>150</v>
      </c>
    </row>
    <row r="9" spans="1:10">
      <c r="A9" s="1507"/>
      <c r="B9" s="1508" t="s">
        <v>562</v>
      </c>
      <c r="C9" s="1511">
        <v>93003732755.669998</v>
      </c>
      <c r="D9" s="1512">
        <v>68166351715.75</v>
      </c>
      <c r="E9" s="1512">
        <v>33515139656.299999</v>
      </c>
      <c r="F9" s="1512">
        <v>5675496455.9700003</v>
      </c>
      <c r="G9" s="1512">
        <v>7826275381.0200005</v>
      </c>
      <c r="H9" s="1512">
        <v>723383547.19000006</v>
      </c>
      <c r="I9" s="1512">
        <v>24837381039.919998</v>
      </c>
      <c r="J9" s="1517">
        <v>4052571467.3000002</v>
      </c>
    </row>
    <row r="10" spans="1:10">
      <c r="A10" s="1505" t="s">
        <v>19</v>
      </c>
      <c r="B10" s="1509" t="s">
        <v>20</v>
      </c>
      <c r="C10" s="1513">
        <v>6894271960.0699997</v>
      </c>
      <c r="D10" s="1514">
        <v>1650068621.3699999</v>
      </c>
      <c r="E10" s="1514">
        <v>30002716.91</v>
      </c>
      <c r="F10" s="1514">
        <v>25851611.210000001</v>
      </c>
      <c r="G10" s="1514">
        <v>5965742.7800000003</v>
      </c>
      <c r="H10" s="1514">
        <v>3783735.08</v>
      </c>
      <c r="I10" s="1514">
        <v>5244203338.6999998</v>
      </c>
      <c r="J10" s="1518">
        <v>1571717558.53</v>
      </c>
    </row>
    <row r="11" spans="1:10">
      <c r="A11" s="1505" t="s">
        <v>21</v>
      </c>
      <c r="B11" s="1509" t="s">
        <v>22</v>
      </c>
      <c r="C11" s="1513">
        <v>9442788.3300000001</v>
      </c>
      <c r="D11" s="1514">
        <v>8367257.0499999998</v>
      </c>
      <c r="E11" s="1514">
        <v>378381.08</v>
      </c>
      <c r="F11" s="1514">
        <v>0</v>
      </c>
      <c r="G11" s="1514">
        <v>2761.14</v>
      </c>
      <c r="H11" s="1514">
        <v>0</v>
      </c>
      <c r="I11" s="1514">
        <v>1075531.28</v>
      </c>
      <c r="J11" s="1518">
        <v>495488.07</v>
      </c>
    </row>
    <row r="12" spans="1:10">
      <c r="A12" s="1505" t="s">
        <v>23</v>
      </c>
      <c r="B12" s="1509" t="s">
        <v>24</v>
      </c>
      <c r="C12" s="1513">
        <v>562104.41</v>
      </c>
      <c r="D12" s="1514">
        <v>542104.41</v>
      </c>
      <c r="E12" s="1514">
        <v>0</v>
      </c>
      <c r="F12" s="1514">
        <v>0</v>
      </c>
      <c r="G12" s="1514">
        <v>0</v>
      </c>
      <c r="H12" s="1514">
        <v>0</v>
      </c>
      <c r="I12" s="1514">
        <v>20000</v>
      </c>
      <c r="J12" s="1518">
        <v>0</v>
      </c>
    </row>
    <row r="13" spans="1:10">
      <c r="A13" s="1505" t="s">
        <v>25</v>
      </c>
      <c r="B13" s="1509" t="s">
        <v>26</v>
      </c>
      <c r="C13" s="1513">
        <v>53236.32</v>
      </c>
      <c r="D13" s="1514">
        <v>53236.32</v>
      </c>
      <c r="E13" s="1514">
        <v>2806.32</v>
      </c>
      <c r="F13" s="1514">
        <v>0</v>
      </c>
      <c r="G13" s="1514">
        <v>0</v>
      </c>
      <c r="H13" s="1514">
        <v>0</v>
      </c>
      <c r="I13" s="1514">
        <v>0</v>
      </c>
      <c r="J13" s="1518">
        <v>0</v>
      </c>
    </row>
    <row r="14" spans="1:10">
      <c r="A14" s="1505" t="s">
        <v>27</v>
      </c>
      <c r="B14" s="1509" t="s">
        <v>28</v>
      </c>
      <c r="C14" s="1513">
        <v>587634.07999999996</v>
      </c>
      <c r="D14" s="1514">
        <v>184634.08</v>
      </c>
      <c r="E14" s="1514">
        <v>0</v>
      </c>
      <c r="F14" s="1514">
        <v>0</v>
      </c>
      <c r="G14" s="1514">
        <v>0</v>
      </c>
      <c r="H14" s="1514">
        <v>0</v>
      </c>
      <c r="I14" s="1514">
        <v>403000</v>
      </c>
      <c r="J14" s="1518">
        <v>0</v>
      </c>
    </row>
    <row r="15" spans="1:10" ht="39.6">
      <c r="A15" s="1505" t="s">
        <v>29</v>
      </c>
      <c r="B15" s="1509" t="s">
        <v>30</v>
      </c>
      <c r="C15" s="1513">
        <v>578682379.44000006</v>
      </c>
      <c r="D15" s="1514">
        <v>373926020.49000001</v>
      </c>
      <c r="E15" s="1514">
        <v>13219661.83</v>
      </c>
      <c r="F15" s="1514">
        <v>15139057.16</v>
      </c>
      <c r="G15" s="1514">
        <v>143681.54999999999</v>
      </c>
      <c r="H15" s="1514">
        <v>1122320.51</v>
      </c>
      <c r="I15" s="1514">
        <v>204756358.94999999</v>
      </c>
      <c r="J15" s="1518">
        <v>49399420.659999996</v>
      </c>
    </row>
    <row r="16" spans="1:10">
      <c r="A16" s="1505" t="s">
        <v>31</v>
      </c>
      <c r="B16" s="1509" t="s">
        <v>32</v>
      </c>
      <c r="C16" s="1513">
        <v>1601704.23</v>
      </c>
      <c r="D16" s="1514">
        <v>1511955.88</v>
      </c>
      <c r="E16" s="1514">
        <v>200013.75</v>
      </c>
      <c r="F16" s="1514">
        <v>0</v>
      </c>
      <c r="G16" s="1514">
        <v>1359.27</v>
      </c>
      <c r="H16" s="1514">
        <v>0</v>
      </c>
      <c r="I16" s="1514">
        <v>89748.35</v>
      </c>
      <c r="J16" s="1518">
        <v>0</v>
      </c>
    </row>
    <row r="17" spans="1:10">
      <c r="A17" s="1505" t="s">
        <v>33</v>
      </c>
      <c r="B17" s="1509" t="s">
        <v>34</v>
      </c>
      <c r="C17" s="1513">
        <v>0</v>
      </c>
      <c r="D17" s="1514">
        <v>0</v>
      </c>
      <c r="E17" s="1514">
        <v>0</v>
      </c>
      <c r="F17" s="1514">
        <v>0</v>
      </c>
      <c r="G17" s="1514">
        <v>0</v>
      </c>
      <c r="H17" s="1514">
        <v>0</v>
      </c>
      <c r="I17" s="1514">
        <v>0</v>
      </c>
      <c r="J17" s="1518">
        <v>0</v>
      </c>
    </row>
    <row r="18" spans="1:10">
      <c r="A18" s="1505" t="s">
        <v>35</v>
      </c>
      <c r="B18" s="1509" t="s">
        <v>36</v>
      </c>
      <c r="C18" s="1513">
        <v>9464719193.1000004</v>
      </c>
      <c r="D18" s="1514">
        <v>2506753597.0300002</v>
      </c>
      <c r="E18" s="1514">
        <v>12572243.08</v>
      </c>
      <c r="F18" s="1514">
        <v>633980340.89999998</v>
      </c>
      <c r="G18" s="1514">
        <v>102719</v>
      </c>
      <c r="H18" s="1514">
        <v>1396668.92</v>
      </c>
      <c r="I18" s="1514">
        <v>6957965596.0699997</v>
      </c>
      <c r="J18" s="1518">
        <v>380482011.01999998</v>
      </c>
    </row>
    <row r="19" spans="1:10">
      <c r="A19" s="1505" t="s">
        <v>37</v>
      </c>
      <c r="B19" s="1509" t="s">
        <v>38</v>
      </c>
      <c r="C19" s="1513">
        <v>211061594.58000001</v>
      </c>
      <c r="D19" s="1514">
        <v>37949093.32</v>
      </c>
      <c r="E19" s="1514">
        <v>5885640.79</v>
      </c>
      <c r="F19" s="1514">
        <v>2527450.83</v>
      </c>
      <c r="G19" s="1514">
        <v>13042.82</v>
      </c>
      <c r="H19" s="1514">
        <v>2932806.17</v>
      </c>
      <c r="I19" s="1514">
        <v>173112501.25999999</v>
      </c>
      <c r="J19" s="1518">
        <v>45348286.57</v>
      </c>
    </row>
    <row r="20" spans="1:10">
      <c r="A20" s="1505" t="s">
        <v>39</v>
      </c>
      <c r="B20" s="1509" t="s">
        <v>40</v>
      </c>
      <c r="C20" s="1513">
        <v>1770912532.0899999</v>
      </c>
      <c r="D20" s="1514">
        <v>577761439.39999998</v>
      </c>
      <c r="E20" s="1514">
        <v>22389995.199999999</v>
      </c>
      <c r="F20" s="1514">
        <v>7637792.1399999997</v>
      </c>
      <c r="G20" s="1514">
        <v>690904.86</v>
      </c>
      <c r="H20" s="1514">
        <v>437852.77</v>
      </c>
      <c r="I20" s="1514">
        <v>1193151092.6900001</v>
      </c>
      <c r="J20" s="1518">
        <v>45379374.810000002</v>
      </c>
    </row>
    <row r="21" spans="1:10">
      <c r="A21" s="1505" t="s">
        <v>41</v>
      </c>
      <c r="B21" s="1509" t="s">
        <v>42</v>
      </c>
      <c r="C21" s="1513">
        <v>278691849.64999998</v>
      </c>
      <c r="D21" s="1514">
        <v>250497930.55000001</v>
      </c>
      <c r="E21" s="1514">
        <v>26630270.199999999</v>
      </c>
      <c r="F21" s="1514">
        <v>1586685.5</v>
      </c>
      <c r="G21" s="1514">
        <v>283069.74</v>
      </c>
      <c r="H21" s="1514">
        <v>9233684.3300000001</v>
      </c>
      <c r="I21" s="1514">
        <v>28193919.100000001</v>
      </c>
      <c r="J21" s="1518">
        <v>791127.26</v>
      </c>
    </row>
    <row r="22" spans="1:10">
      <c r="A22" s="1505" t="s">
        <v>43</v>
      </c>
      <c r="B22" s="1509" t="s">
        <v>44</v>
      </c>
      <c r="C22" s="1513">
        <v>126856279.55</v>
      </c>
      <c r="D22" s="1514">
        <v>26177344.600000001</v>
      </c>
      <c r="E22" s="1514">
        <v>321784.37</v>
      </c>
      <c r="F22" s="1514">
        <v>0</v>
      </c>
      <c r="G22" s="1514">
        <v>130</v>
      </c>
      <c r="H22" s="1514">
        <v>20505783.23</v>
      </c>
      <c r="I22" s="1514">
        <v>100678934.95</v>
      </c>
      <c r="J22" s="1518">
        <v>98355157.629999995</v>
      </c>
    </row>
    <row r="23" spans="1:10">
      <c r="A23" s="1505" t="s">
        <v>45</v>
      </c>
      <c r="B23" s="1509" t="s">
        <v>46</v>
      </c>
      <c r="C23" s="1513">
        <v>493801.8</v>
      </c>
      <c r="D23" s="1514">
        <v>493801.8</v>
      </c>
      <c r="E23" s="1514">
        <v>0</v>
      </c>
      <c r="F23" s="1514">
        <v>0</v>
      </c>
      <c r="G23" s="1514">
        <v>493801.8</v>
      </c>
      <c r="H23" s="1514">
        <v>0</v>
      </c>
      <c r="I23" s="1514">
        <v>0</v>
      </c>
      <c r="J23" s="1518">
        <v>0</v>
      </c>
    </row>
    <row r="24" spans="1:10">
      <c r="A24" s="1505" t="s">
        <v>47</v>
      </c>
      <c r="B24" s="1509" t="s">
        <v>48</v>
      </c>
      <c r="C24" s="1513">
        <v>10239244162.709999</v>
      </c>
      <c r="D24" s="1514">
        <v>9543257950.9099998</v>
      </c>
      <c r="E24" s="1514">
        <v>7157258967.3199997</v>
      </c>
      <c r="F24" s="1514">
        <v>16692303.939999999</v>
      </c>
      <c r="G24" s="1514">
        <v>453586957.60000002</v>
      </c>
      <c r="H24" s="1514">
        <v>69981880.010000005</v>
      </c>
      <c r="I24" s="1514">
        <v>695986211.79999995</v>
      </c>
      <c r="J24" s="1518">
        <v>291954654.83999997</v>
      </c>
    </row>
    <row r="25" spans="1:10" ht="52.8">
      <c r="A25" s="1505" t="s">
        <v>49</v>
      </c>
      <c r="B25" s="1509" t="s">
        <v>50</v>
      </c>
      <c r="C25" s="1513">
        <v>155261879.03999999</v>
      </c>
      <c r="D25" s="1514">
        <v>155261879.03999999</v>
      </c>
      <c r="E25" s="1514">
        <v>51194299.57</v>
      </c>
      <c r="F25" s="1514">
        <v>0</v>
      </c>
      <c r="G25" s="1514">
        <v>92040249.409999996</v>
      </c>
      <c r="H25" s="1514">
        <v>0</v>
      </c>
      <c r="I25" s="1514">
        <v>0</v>
      </c>
      <c r="J25" s="1518">
        <v>0</v>
      </c>
    </row>
    <row r="26" spans="1:10">
      <c r="A26" s="1505" t="s">
        <v>51</v>
      </c>
      <c r="B26" s="1509" t="s">
        <v>52</v>
      </c>
      <c r="C26" s="1513">
        <v>808493160.58000004</v>
      </c>
      <c r="D26" s="1514">
        <v>176854886.84999999</v>
      </c>
      <c r="E26" s="1514">
        <v>382349.31</v>
      </c>
      <c r="F26" s="1514">
        <v>11300</v>
      </c>
      <c r="G26" s="1514">
        <v>411967.19</v>
      </c>
      <c r="H26" s="1514">
        <v>13530</v>
      </c>
      <c r="I26" s="1514">
        <v>631638273.73000002</v>
      </c>
      <c r="J26" s="1518">
        <v>0</v>
      </c>
    </row>
    <row r="27" spans="1:10" ht="26.4">
      <c r="A27" s="1505" t="s">
        <v>53</v>
      </c>
      <c r="B27" s="1509" t="s">
        <v>54</v>
      </c>
      <c r="C27" s="1513">
        <v>0</v>
      </c>
      <c r="D27" s="1514">
        <v>0</v>
      </c>
      <c r="E27" s="1514">
        <v>0</v>
      </c>
      <c r="F27" s="1514">
        <v>0</v>
      </c>
      <c r="G27" s="1514">
        <v>0</v>
      </c>
      <c r="H27" s="1514">
        <v>0</v>
      </c>
      <c r="I27" s="1514">
        <v>0</v>
      </c>
      <c r="J27" s="1518">
        <v>0</v>
      </c>
    </row>
    <row r="28" spans="1:10" ht="26.4">
      <c r="A28" s="1505" t="s">
        <v>55</v>
      </c>
      <c r="B28" s="1509" t="s">
        <v>56</v>
      </c>
      <c r="C28" s="1513">
        <v>1513763292.04</v>
      </c>
      <c r="D28" s="1514">
        <v>603773275.86000001</v>
      </c>
      <c r="E28" s="1514">
        <v>98825510.390000001</v>
      </c>
      <c r="F28" s="1514">
        <v>35631005.25</v>
      </c>
      <c r="G28" s="1514">
        <v>70722941.090000004</v>
      </c>
      <c r="H28" s="1514">
        <v>8139854.8600000003</v>
      </c>
      <c r="I28" s="1514">
        <v>909990016.17999995</v>
      </c>
      <c r="J28" s="1518">
        <v>305913435.14999998</v>
      </c>
    </row>
    <row r="29" spans="1:10">
      <c r="A29" s="1505" t="s">
        <v>57</v>
      </c>
      <c r="B29" s="1509" t="s">
        <v>58</v>
      </c>
      <c r="C29" s="1513">
        <v>60437.41</v>
      </c>
      <c r="D29" s="1514">
        <v>60437.41</v>
      </c>
      <c r="E29" s="1514">
        <v>835.4</v>
      </c>
      <c r="F29" s="1514">
        <v>0</v>
      </c>
      <c r="G29" s="1514">
        <v>0</v>
      </c>
      <c r="H29" s="1514">
        <v>0</v>
      </c>
      <c r="I29" s="1514">
        <v>0</v>
      </c>
      <c r="J29" s="1518">
        <v>0</v>
      </c>
    </row>
    <row r="30" spans="1:10" ht="79.2">
      <c r="A30" s="1505" t="s">
        <v>59</v>
      </c>
      <c r="B30" s="1509" t="s">
        <v>60</v>
      </c>
      <c r="C30" s="1513">
        <v>2684881.37</v>
      </c>
      <c r="D30" s="1514">
        <v>2684881.37</v>
      </c>
      <c r="E30" s="1514">
        <v>1522199.49</v>
      </c>
      <c r="F30" s="1514">
        <v>0</v>
      </c>
      <c r="G30" s="1514">
        <v>0</v>
      </c>
      <c r="H30" s="1514">
        <v>0</v>
      </c>
      <c r="I30" s="1514">
        <v>0</v>
      </c>
      <c r="J30" s="1518">
        <v>0</v>
      </c>
    </row>
    <row r="31" spans="1:10">
      <c r="A31" s="1505" t="s">
        <v>61</v>
      </c>
      <c r="B31" s="1509" t="s">
        <v>62</v>
      </c>
      <c r="C31" s="1513">
        <v>894535985.62</v>
      </c>
      <c r="D31" s="1514">
        <v>889454990.25999999</v>
      </c>
      <c r="E31" s="1514">
        <v>0</v>
      </c>
      <c r="F31" s="1514">
        <v>0</v>
      </c>
      <c r="G31" s="1514">
        <v>0</v>
      </c>
      <c r="H31" s="1514">
        <v>0</v>
      </c>
      <c r="I31" s="1514">
        <v>5080995.3600000003</v>
      </c>
      <c r="J31" s="1518">
        <v>0</v>
      </c>
    </row>
    <row r="32" spans="1:10">
      <c r="A32" s="1505" t="s">
        <v>63</v>
      </c>
      <c r="B32" s="1509" t="s">
        <v>64</v>
      </c>
      <c r="C32" s="1513">
        <v>35869237.859999999</v>
      </c>
      <c r="D32" s="1514">
        <v>23075787.82</v>
      </c>
      <c r="E32" s="1514">
        <v>157867.39000000001</v>
      </c>
      <c r="F32" s="1514">
        <v>987854.95</v>
      </c>
      <c r="G32" s="1514">
        <v>5753.33</v>
      </c>
      <c r="H32" s="1514">
        <v>892491.42</v>
      </c>
      <c r="I32" s="1514">
        <v>12793450.039999999</v>
      </c>
      <c r="J32" s="1518">
        <v>4424325.04</v>
      </c>
    </row>
    <row r="33" spans="1:10">
      <c r="A33" s="1505" t="s">
        <v>65</v>
      </c>
      <c r="B33" s="1509" t="s">
        <v>66</v>
      </c>
      <c r="C33" s="1513">
        <v>33707590651.369999</v>
      </c>
      <c r="D33" s="1514">
        <v>31123647668.740002</v>
      </c>
      <c r="E33" s="1514">
        <v>22281491949.759998</v>
      </c>
      <c r="F33" s="1514">
        <v>2523709930.5</v>
      </c>
      <c r="G33" s="1514">
        <v>979313631.97000003</v>
      </c>
      <c r="H33" s="1514">
        <v>312728053.69</v>
      </c>
      <c r="I33" s="1514">
        <v>2583942982.6300001</v>
      </c>
      <c r="J33" s="1518">
        <v>279103711.62</v>
      </c>
    </row>
    <row r="34" spans="1:10">
      <c r="A34" s="1505" t="s">
        <v>67</v>
      </c>
      <c r="B34" s="1509" t="s">
        <v>68</v>
      </c>
      <c r="C34" s="1513">
        <v>463440834.97000003</v>
      </c>
      <c r="D34" s="1514">
        <v>322551166.26999998</v>
      </c>
      <c r="E34" s="1514">
        <v>83512711.5</v>
      </c>
      <c r="F34" s="1514">
        <v>47791950.170000002</v>
      </c>
      <c r="G34" s="1514">
        <v>3163691.51</v>
      </c>
      <c r="H34" s="1514">
        <v>596721.49</v>
      </c>
      <c r="I34" s="1514">
        <v>140889668.69999999</v>
      </c>
      <c r="J34" s="1518">
        <v>101372</v>
      </c>
    </row>
    <row r="35" spans="1:10">
      <c r="A35" s="1505" t="s">
        <v>69</v>
      </c>
      <c r="B35" s="1509" t="s">
        <v>70</v>
      </c>
      <c r="C35" s="1513">
        <v>4488473454.9700003</v>
      </c>
      <c r="D35" s="1514">
        <v>4321252714.1700001</v>
      </c>
      <c r="E35" s="1514">
        <v>1936624105.5999999</v>
      </c>
      <c r="F35" s="1514">
        <v>79943126.049999997</v>
      </c>
      <c r="G35" s="1514">
        <v>1020863375.22</v>
      </c>
      <c r="H35" s="1514">
        <v>97808046.409999996</v>
      </c>
      <c r="I35" s="1514">
        <v>167220740.80000001</v>
      </c>
      <c r="J35" s="1518">
        <v>37368153.450000003</v>
      </c>
    </row>
    <row r="36" spans="1:10" ht="26.4">
      <c r="A36" s="1505" t="s">
        <v>71</v>
      </c>
      <c r="B36" s="1509" t="s">
        <v>72</v>
      </c>
      <c r="C36" s="1513">
        <v>211880678.62</v>
      </c>
      <c r="D36" s="1514">
        <v>163252178.52000001</v>
      </c>
      <c r="E36" s="1514">
        <v>29690341.600000001</v>
      </c>
      <c r="F36" s="1514">
        <v>9258676.3399999999</v>
      </c>
      <c r="G36" s="1514">
        <v>6396242.7199999997</v>
      </c>
      <c r="H36" s="1514">
        <v>94720394.900000006</v>
      </c>
      <c r="I36" s="1514">
        <v>48628500.100000001</v>
      </c>
      <c r="J36" s="1518">
        <v>16787647.32</v>
      </c>
    </row>
    <row r="37" spans="1:10" ht="26.4">
      <c r="A37" s="1505" t="s">
        <v>73</v>
      </c>
      <c r="B37" s="1509" t="s">
        <v>74</v>
      </c>
      <c r="C37" s="1513">
        <v>173445778.78999999</v>
      </c>
      <c r="D37" s="1514">
        <v>169079899.09</v>
      </c>
      <c r="E37" s="1514">
        <v>33638217.960000001</v>
      </c>
      <c r="F37" s="1514">
        <v>26117913.829999998</v>
      </c>
      <c r="G37" s="1514">
        <v>89429987.730000004</v>
      </c>
      <c r="H37" s="1514">
        <v>810407.97</v>
      </c>
      <c r="I37" s="1514">
        <v>4365879.7</v>
      </c>
      <c r="J37" s="1518">
        <v>3690</v>
      </c>
    </row>
    <row r="38" spans="1:10">
      <c r="A38" s="1505" t="s">
        <v>75</v>
      </c>
      <c r="B38" s="1509" t="s">
        <v>76</v>
      </c>
      <c r="C38" s="1513">
        <v>7353077804.4200001</v>
      </c>
      <c r="D38" s="1514">
        <v>6755251186.6099997</v>
      </c>
      <c r="E38" s="1514">
        <v>1134781635.5899999</v>
      </c>
      <c r="F38" s="1514">
        <v>27875884.579999998</v>
      </c>
      <c r="G38" s="1514">
        <v>5088619890.0100002</v>
      </c>
      <c r="H38" s="1514">
        <v>48347761.369999997</v>
      </c>
      <c r="I38" s="1514">
        <v>597826617.80999994</v>
      </c>
      <c r="J38" s="1518">
        <v>395206383.88</v>
      </c>
    </row>
    <row r="39" spans="1:10" ht="26.4">
      <c r="A39" s="1505" t="s">
        <v>77</v>
      </c>
      <c r="B39" s="1509" t="s">
        <v>78</v>
      </c>
      <c r="C39" s="1513">
        <v>7864183083.0200005</v>
      </c>
      <c r="D39" s="1514">
        <v>5681937855.29</v>
      </c>
      <c r="E39" s="1514">
        <v>422734471.19</v>
      </c>
      <c r="F39" s="1514">
        <v>233337729.19999999</v>
      </c>
      <c r="G39" s="1514">
        <v>4033961.58</v>
      </c>
      <c r="H39" s="1514">
        <v>39205018.909999996</v>
      </c>
      <c r="I39" s="1514">
        <v>2182245227.73</v>
      </c>
      <c r="J39" s="1518">
        <v>402843160.63</v>
      </c>
    </row>
    <row r="40" spans="1:10" ht="26.4">
      <c r="A40" s="1505" t="s">
        <v>79</v>
      </c>
      <c r="B40" s="1509" t="s">
        <v>80</v>
      </c>
      <c r="C40" s="1513">
        <v>3973963818.4499998</v>
      </c>
      <c r="D40" s="1514">
        <v>2141348978.0599999</v>
      </c>
      <c r="E40" s="1514">
        <v>34553494.759999998</v>
      </c>
      <c r="F40" s="1514">
        <v>1749324203.6800001</v>
      </c>
      <c r="G40" s="1514">
        <v>1003887.77</v>
      </c>
      <c r="H40" s="1514">
        <v>10181351.68</v>
      </c>
      <c r="I40" s="1514">
        <v>1832614840.3900001</v>
      </c>
      <c r="J40" s="1518">
        <v>108022222.67</v>
      </c>
    </row>
    <row r="41" spans="1:10" ht="52.8">
      <c r="A41" s="1505" t="s">
        <v>81</v>
      </c>
      <c r="B41" s="1509" t="s">
        <v>82</v>
      </c>
      <c r="C41" s="1513">
        <v>4465609.95</v>
      </c>
      <c r="D41" s="1514">
        <v>1430053.32</v>
      </c>
      <c r="E41" s="1514">
        <v>70215.070000000007</v>
      </c>
      <c r="F41" s="1514">
        <v>45011.45</v>
      </c>
      <c r="G41" s="1514">
        <v>0</v>
      </c>
      <c r="H41" s="1514">
        <v>702.24</v>
      </c>
      <c r="I41" s="1514">
        <v>3035556.63</v>
      </c>
      <c r="J41" s="1518">
        <v>1599610.63</v>
      </c>
    </row>
    <row r="42" spans="1:10">
      <c r="A42" s="1506" t="s">
        <v>83</v>
      </c>
      <c r="B42" s="1510" t="s">
        <v>84</v>
      </c>
      <c r="C42" s="1515">
        <v>1775360946.8299999</v>
      </c>
      <c r="D42" s="1516">
        <v>657888889.86000001</v>
      </c>
      <c r="E42" s="1516">
        <v>137096970.87</v>
      </c>
      <c r="F42" s="1516">
        <v>238046628.28999999</v>
      </c>
      <c r="G42" s="1516">
        <v>8985630.9299999997</v>
      </c>
      <c r="H42" s="1516">
        <v>544481.23</v>
      </c>
      <c r="I42" s="1516">
        <v>1117472056.97</v>
      </c>
      <c r="J42" s="1519">
        <v>17274675.52</v>
      </c>
    </row>
    <row r="44" spans="1:10">
      <c r="A44" s="315" t="s">
        <v>911</v>
      </c>
      <c r="B44" s="314"/>
      <c r="C44" s="314"/>
      <c r="D44" s="314"/>
      <c r="E44" s="314"/>
      <c r="F44" s="314"/>
      <c r="G44" s="314"/>
      <c r="H44" s="314"/>
      <c r="I44" s="314"/>
      <c r="J44" s="314"/>
    </row>
  </sheetData>
  <mergeCells count="13">
    <mergeCell ref="H5:H6"/>
    <mergeCell ref="J5:J6"/>
    <mergeCell ref="C7:J7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4129-FCBD-4BFA-89D7-7F27C7D3BCEC}">
  <dimension ref="A1:J37"/>
  <sheetViews>
    <sheetView view="pageBreakPreview" topLeftCell="A16" zoomScaleNormal="100" zoomScaleSheetLayoutView="100" workbookViewId="0">
      <selection activeCell="F8" sqref="F8"/>
    </sheetView>
  </sheetViews>
  <sheetFormatPr defaultColWidth="9.21875" defaultRowHeight="13.2"/>
  <cols>
    <col min="1" max="1" width="33.109375" style="498" customWidth="1"/>
    <col min="2" max="2" width="13.77734375" style="498" bestFit="1" customWidth="1"/>
    <col min="3" max="4" width="14" style="498" bestFit="1" customWidth="1"/>
    <col min="5" max="6" width="7.21875" style="498" bestFit="1" customWidth="1"/>
    <col min="7" max="7" width="8.77734375" style="498" customWidth="1"/>
    <col min="8" max="8" width="1.77734375" style="498" customWidth="1"/>
    <col min="9" max="10" width="13.21875" style="498" bestFit="1" customWidth="1"/>
    <col min="11" max="16384" width="9.21875" style="498"/>
  </cols>
  <sheetData>
    <row r="1" spans="1:10" ht="13.8">
      <c r="A1" s="2150" t="s">
        <v>780</v>
      </c>
      <c r="B1" s="2150"/>
      <c r="C1" s="2150"/>
      <c r="D1" s="2150"/>
      <c r="E1" s="2150"/>
      <c r="F1" s="2151"/>
      <c r="G1" s="2152"/>
    </row>
    <row r="3" spans="1:10">
      <c r="A3" s="2153" t="s">
        <v>1</v>
      </c>
      <c r="B3" s="2156" t="s">
        <v>920</v>
      </c>
      <c r="C3" s="2158" t="s">
        <v>921</v>
      </c>
      <c r="D3" s="2156" t="s">
        <v>917</v>
      </c>
      <c r="E3" s="2158" t="s">
        <v>781</v>
      </c>
      <c r="F3" s="2158" t="s">
        <v>5</v>
      </c>
      <c r="G3" s="2161" t="s">
        <v>782</v>
      </c>
    </row>
    <row r="4" spans="1:10">
      <c r="A4" s="2154"/>
      <c r="B4" s="2157"/>
      <c r="C4" s="2159"/>
      <c r="D4" s="2157"/>
      <c r="E4" s="2159"/>
      <c r="F4" s="2159"/>
      <c r="G4" s="2162"/>
    </row>
    <row r="5" spans="1:10">
      <c r="A5" s="2154"/>
      <c r="B5" s="2157"/>
      <c r="C5" s="2160"/>
      <c r="D5" s="2157"/>
      <c r="E5" s="2160"/>
      <c r="F5" s="2160"/>
      <c r="G5" s="2162"/>
    </row>
    <row r="6" spans="1:10">
      <c r="A6" s="2155"/>
      <c r="B6" s="2163" t="s">
        <v>163</v>
      </c>
      <c r="C6" s="2163"/>
      <c r="D6" s="2164"/>
      <c r="E6" s="2165" t="s">
        <v>134</v>
      </c>
      <c r="F6" s="2163"/>
      <c r="G6" s="2166"/>
    </row>
    <row r="7" spans="1:10">
      <c r="A7" s="740" t="s">
        <v>10</v>
      </c>
      <c r="B7" s="735" t="s">
        <v>11</v>
      </c>
      <c r="C7" s="732" t="s">
        <v>12</v>
      </c>
      <c r="D7" s="734" t="s">
        <v>13</v>
      </c>
      <c r="E7" s="732" t="s">
        <v>14</v>
      </c>
      <c r="F7" s="734" t="s">
        <v>15</v>
      </c>
      <c r="G7" s="733" t="s">
        <v>16</v>
      </c>
    </row>
    <row r="8" spans="1:10" ht="26.4">
      <c r="A8" s="499" t="s">
        <v>783</v>
      </c>
      <c r="B8" s="736">
        <v>431411403054.79999</v>
      </c>
      <c r="C8" s="500">
        <v>474673121201.13</v>
      </c>
      <c r="D8" s="500">
        <v>468212138462.38</v>
      </c>
      <c r="E8" s="502">
        <f t="shared" ref="E8:E27" si="0">D8/C8*100</f>
        <v>98.638856415041815</v>
      </c>
      <c r="F8" s="503">
        <f>D8/D8*100</f>
        <v>100</v>
      </c>
      <c r="G8" s="504">
        <f t="shared" ref="G8:G27" si="1">D8/B8*100</f>
        <v>108.53031124049946</v>
      </c>
      <c r="H8" s="1994" t="s">
        <v>742</v>
      </c>
    </row>
    <row r="9" spans="1:10" ht="26.4">
      <c r="A9" s="505" t="s">
        <v>784</v>
      </c>
      <c r="B9" s="1995">
        <v>217654831230.81</v>
      </c>
      <c r="C9" s="507">
        <v>318354604947.46997</v>
      </c>
      <c r="D9" s="500">
        <v>319447880004.17999</v>
      </c>
      <c r="E9" s="502">
        <f t="shared" si="0"/>
        <v>100.34341424302325</v>
      </c>
      <c r="F9" s="503">
        <f t="shared" ref="F9:F27" si="2">D9/$D$8*100</f>
        <v>68.227167508568769</v>
      </c>
      <c r="G9" s="504">
        <f t="shared" si="1"/>
        <v>146.76810902737301</v>
      </c>
      <c r="H9" s="1994"/>
      <c r="I9" s="1994"/>
    </row>
    <row r="10" spans="1:10">
      <c r="A10" s="509" t="s">
        <v>786</v>
      </c>
      <c r="B10" s="738">
        <v>80609011932</v>
      </c>
      <c r="C10" s="511">
        <v>173438690808.5</v>
      </c>
      <c r="D10" s="511">
        <v>173452600683.32999</v>
      </c>
      <c r="E10" s="513">
        <f t="shared" si="0"/>
        <v>100.00802005294503</v>
      </c>
      <c r="F10" s="514">
        <f t="shared" si="2"/>
        <v>37.045729154513708</v>
      </c>
      <c r="G10" s="515">
        <f t="shared" si="1"/>
        <v>215.17767868144918</v>
      </c>
      <c r="H10" s="1994"/>
    </row>
    <row r="11" spans="1:10">
      <c r="A11" s="509" t="s">
        <v>785</v>
      </c>
      <c r="B11" s="738">
        <v>26370288965</v>
      </c>
      <c r="C11" s="511">
        <v>28157076400.310001</v>
      </c>
      <c r="D11" s="511">
        <v>28157340925.849998</v>
      </c>
      <c r="E11" s="513">
        <f t="shared" si="0"/>
        <v>100.00093946380029</v>
      </c>
      <c r="F11" s="514">
        <f t="shared" si="2"/>
        <v>6.0137998596788602</v>
      </c>
      <c r="G11" s="515">
        <f t="shared" si="1"/>
        <v>106.77676290624598</v>
      </c>
    </row>
    <row r="12" spans="1:10">
      <c r="A12" s="509" t="s">
        <v>847</v>
      </c>
      <c r="B12" s="738">
        <v>34932475206.690002</v>
      </c>
      <c r="C12" s="511">
        <v>37189236495.940002</v>
      </c>
      <c r="D12" s="511">
        <v>37733963626.18</v>
      </c>
      <c r="E12" s="513">
        <f t="shared" si="0"/>
        <v>101.46474405383252</v>
      </c>
      <c r="F12" s="514">
        <f t="shared" si="2"/>
        <v>8.0591596258267142</v>
      </c>
      <c r="G12" s="515">
        <f t="shared" si="1"/>
        <v>108.01972492047594</v>
      </c>
      <c r="I12" s="1994"/>
      <c r="J12" s="1994"/>
    </row>
    <row r="13" spans="1:10">
      <c r="A13" s="509" t="s">
        <v>848</v>
      </c>
      <c r="B13" s="738">
        <v>2229962525.5</v>
      </c>
      <c r="C13" s="511">
        <v>2300529964.8699999</v>
      </c>
      <c r="D13" s="511">
        <v>2270300429.8699999</v>
      </c>
      <c r="E13" s="513">
        <f t="shared" si="0"/>
        <v>98.685975168260484</v>
      </c>
      <c r="F13" s="514">
        <f t="shared" si="2"/>
        <v>0.48488713627240021</v>
      </c>
      <c r="G13" s="515">
        <f t="shared" si="1"/>
        <v>101.80890503354783</v>
      </c>
      <c r="I13" s="1994"/>
      <c r="J13" s="1994"/>
    </row>
    <row r="14" spans="1:10">
      <c r="A14" s="509" t="s">
        <v>849</v>
      </c>
      <c r="B14" s="738">
        <v>506559824.06</v>
      </c>
      <c r="C14" s="511">
        <v>449992661.54000002</v>
      </c>
      <c r="D14" s="511">
        <v>431153055.60000002</v>
      </c>
      <c r="E14" s="513">
        <f t="shared" si="0"/>
        <v>95.813352627679379</v>
      </c>
      <c r="F14" s="514">
        <f t="shared" si="2"/>
        <v>9.2084980328770868E-2</v>
      </c>
      <c r="G14" s="515">
        <f t="shared" si="1"/>
        <v>85.11394609710139</v>
      </c>
    </row>
    <row r="15" spans="1:10">
      <c r="A15" s="509" t="s">
        <v>590</v>
      </c>
      <c r="B15" s="738">
        <v>1505574927.6600001</v>
      </c>
      <c r="C15" s="511">
        <v>1540202691.6500001</v>
      </c>
      <c r="D15" s="511">
        <v>1519053943.6400001</v>
      </c>
      <c r="E15" s="513">
        <f t="shared" si="0"/>
        <v>98.626885401210174</v>
      </c>
      <c r="F15" s="514">
        <f t="shared" si="2"/>
        <v>0.32443711276444265</v>
      </c>
      <c r="G15" s="515">
        <f t="shared" si="1"/>
        <v>100.89527367468516</v>
      </c>
      <c r="I15" s="1994"/>
    </row>
    <row r="16" spans="1:10">
      <c r="A16" s="509" t="s">
        <v>591</v>
      </c>
      <c r="B16" s="738">
        <v>4102895917.3699999</v>
      </c>
      <c r="C16" s="511">
        <v>3935372015.5500002</v>
      </c>
      <c r="D16" s="511">
        <v>4181800228.5700002</v>
      </c>
      <c r="E16" s="513">
        <f t="shared" si="0"/>
        <v>106.26187847162296</v>
      </c>
      <c r="F16" s="514">
        <f t="shared" si="2"/>
        <v>0.89314220735565142</v>
      </c>
      <c r="G16" s="515">
        <f t="shared" si="1"/>
        <v>101.92313704244728</v>
      </c>
      <c r="I16" s="1994"/>
    </row>
    <row r="17" spans="1:7" ht="26.4">
      <c r="A17" s="509" t="s">
        <v>850</v>
      </c>
      <c r="B17" s="738">
        <v>194658735.28</v>
      </c>
      <c r="C17" s="511">
        <v>186035038.97999999</v>
      </c>
      <c r="D17" s="511">
        <v>186649976.71000001</v>
      </c>
      <c r="E17" s="513">
        <f t="shared" si="0"/>
        <v>100.33054941336408</v>
      </c>
      <c r="F17" s="514">
        <f t="shared" si="2"/>
        <v>3.9864403627587065E-2</v>
      </c>
      <c r="G17" s="515">
        <f t="shared" si="1"/>
        <v>95.885744064616432</v>
      </c>
    </row>
    <row r="18" spans="1:7">
      <c r="A18" s="509" t="s">
        <v>851</v>
      </c>
      <c r="B18" s="738">
        <v>659220050.44000006</v>
      </c>
      <c r="C18" s="511">
        <v>675602748.09000003</v>
      </c>
      <c r="D18" s="511">
        <v>683278989.08000004</v>
      </c>
      <c r="E18" s="513">
        <f t="shared" si="0"/>
        <v>101.13620630047784</v>
      </c>
      <c r="F18" s="514">
        <f t="shared" si="2"/>
        <v>0.14593363412659585</v>
      </c>
      <c r="G18" s="515">
        <f t="shared" si="1"/>
        <v>103.64960662588186</v>
      </c>
    </row>
    <row r="19" spans="1:7">
      <c r="A19" s="509" t="s">
        <v>592</v>
      </c>
      <c r="B19" s="738">
        <v>474606769.41000003</v>
      </c>
      <c r="C19" s="511">
        <v>581660605.88999999</v>
      </c>
      <c r="D19" s="511">
        <v>589083217.75</v>
      </c>
      <c r="E19" s="513">
        <f t="shared" si="0"/>
        <v>101.27610702613129</v>
      </c>
      <c r="F19" s="514">
        <f t="shared" si="2"/>
        <v>0.12581545187712637</v>
      </c>
      <c r="G19" s="515">
        <f t="shared" si="1"/>
        <v>124.12027297510096</v>
      </c>
    </row>
    <row r="20" spans="1:7">
      <c r="A20" s="509" t="s">
        <v>852</v>
      </c>
      <c r="B20" s="738">
        <v>600063328.61000001</v>
      </c>
      <c r="C20" s="511">
        <v>590432055.69000006</v>
      </c>
      <c r="D20" s="511">
        <v>674053523.71000004</v>
      </c>
      <c r="E20" s="513">
        <f t="shared" si="0"/>
        <v>114.16275881604649</v>
      </c>
      <c r="F20" s="514">
        <f t="shared" si="2"/>
        <v>0.14396327398166314</v>
      </c>
      <c r="G20" s="515">
        <f t="shared" si="1"/>
        <v>112.33039773841746</v>
      </c>
    </row>
    <row r="21" spans="1:7">
      <c r="A21" s="509" t="s">
        <v>593</v>
      </c>
      <c r="B21" s="738">
        <v>124791456.16</v>
      </c>
      <c r="C21" s="511">
        <v>129517314.52</v>
      </c>
      <c r="D21" s="511">
        <v>126215494.95</v>
      </c>
      <c r="E21" s="513">
        <f t="shared" si="0"/>
        <v>97.450673230651248</v>
      </c>
      <c r="F21" s="514">
        <f t="shared" si="2"/>
        <v>2.6956903630156782E-2</v>
      </c>
      <c r="G21" s="515">
        <f t="shared" si="1"/>
        <v>101.14113484514051</v>
      </c>
    </row>
    <row r="22" spans="1:7">
      <c r="A22" s="509" t="s">
        <v>853</v>
      </c>
      <c r="B22" s="738">
        <v>76589183.959999993</v>
      </c>
      <c r="C22" s="511">
        <v>80212510.150000006</v>
      </c>
      <c r="D22" s="511">
        <v>85720372.030000001</v>
      </c>
      <c r="E22" s="513">
        <f t="shared" si="0"/>
        <v>106.86658710679933</v>
      </c>
      <c r="F22" s="514">
        <f t="shared" si="2"/>
        <v>1.8308020016633439E-2</v>
      </c>
      <c r="G22" s="515">
        <f t="shared" si="1"/>
        <v>111.92229450410247</v>
      </c>
    </row>
    <row r="23" spans="1:7">
      <c r="A23" s="509" t="s">
        <v>854</v>
      </c>
      <c r="B23" s="738">
        <v>124938484.41</v>
      </c>
      <c r="C23" s="511">
        <v>130993132</v>
      </c>
      <c r="D23" s="511">
        <v>133448927.33</v>
      </c>
      <c r="E23" s="513">
        <f t="shared" si="0"/>
        <v>101.8747512121475</v>
      </c>
      <c r="F23" s="514">
        <f t="shared" si="2"/>
        <v>2.8501808553757172E-2</v>
      </c>
      <c r="G23" s="515">
        <f t="shared" si="1"/>
        <v>106.81170654517626</v>
      </c>
    </row>
    <row r="24" spans="1:7">
      <c r="A24" s="509" t="s">
        <v>855</v>
      </c>
      <c r="B24" s="738">
        <v>3969238.6300000004</v>
      </c>
      <c r="C24" s="511">
        <v>3588937</v>
      </c>
      <c r="D24" s="511">
        <v>3365574.02</v>
      </c>
      <c r="E24" s="513">
        <f t="shared" si="0"/>
        <v>93.776347146801413</v>
      </c>
      <c r="F24" s="514">
        <f t="shared" si="2"/>
        <v>7.1881391863368312E-4</v>
      </c>
      <c r="G24" s="515">
        <f t="shared" si="1"/>
        <v>84.791425603957691</v>
      </c>
    </row>
    <row r="25" spans="1:7">
      <c r="A25" s="509" t="s">
        <v>856</v>
      </c>
      <c r="B25" s="738">
        <v>2145750.2999999998</v>
      </c>
      <c r="C25" s="511">
        <v>1714775</v>
      </c>
      <c r="D25" s="511">
        <v>2244510.75</v>
      </c>
      <c r="E25" s="513">
        <f t="shared" si="0"/>
        <v>130.89243486754822</v>
      </c>
      <c r="F25" s="514">
        <f t="shared" si="2"/>
        <v>4.7937901767583973E-4</v>
      </c>
      <c r="G25" s="515">
        <f t="shared" si="1"/>
        <v>104.6026068364059</v>
      </c>
    </row>
    <row r="26" spans="1:7">
      <c r="A26" s="509" t="s">
        <v>594</v>
      </c>
      <c r="B26" s="738">
        <v>10357374242.030001</v>
      </c>
      <c r="C26" s="511">
        <v>11065277935.309999</v>
      </c>
      <c r="D26" s="511">
        <v>10429001752.18</v>
      </c>
      <c r="E26" s="513">
        <f t="shared" si="0"/>
        <v>94.249794837058715</v>
      </c>
      <c r="F26" s="514">
        <f t="shared" si="2"/>
        <v>2.2274095213398555</v>
      </c>
      <c r="G26" s="515">
        <f t="shared" si="1"/>
        <v>100.69156051018547</v>
      </c>
    </row>
    <row r="27" spans="1:7">
      <c r="A27" s="509" t="s">
        <v>595</v>
      </c>
      <c r="B27" s="738">
        <v>54779704693.300018</v>
      </c>
      <c r="C27" s="511">
        <v>57898468856.47998</v>
      </c>
      <c r="D27" s="511">
        <v>58788604772.630035</v>
      </c>
      <c r="E27" s="513">
        <f t="shared" si="0"/>
        <v>101.53740838701026</v>
      </c>
      <c r="F27" s="514">
        <f t="shared" si="2"/>
        <v>12.555976221738554</v>
      </c>
      <c r="G27" s="515">
        <f t="shared" si="1"/>
        <v>107.31822141388861</v>
      </c>
    </row>
    <row r="28" spans="1:7" ht="26.4">
      <c r="A28" s="505" t="s">
        <v>788</v>
      </c>
      <c r="B28" s="737">
        <v>94027535648.990005</v>
      </c>
      <c r="C28" s="507">
        <v>105671473204.33</v>
      </c>
      <c r="D28" s="507">
        <v>98007751672.680008</v>
      </c>
      <c r="E28" s="502">
        <f>D28/C28*100</f>
        <v>92.747596584717655</v>
      </c>
      <c r="F28" s="503">
        <f>D28/$D$8*100</f>
        <v>20.932338916829419</v>
      </c>
      <c r="G28" s="504">
        <f>D28/B28*100</f>
        <v>104.23303237314265</v>
      </c>
    </row>
    <row r="29" spans="1:7">
      <c r="A29" s="509" t="s">
        <v>789</v>
      </c>
      <c r="B29" s="738">
        <v>81541360802.990005</v>
      </c>
      <c r="C29" s="511">
        <v>83227131464.520004</v>
      </c>
      <c r="D29" s="511">
        <v>78817096433.060013</v>
      </c>
      <c r="E29" s="513">
        <f>D29/C29*100</f>
        <v>94.701205059145892</v>
      </c>
      <c r="F29" s="514">
        <f>D29/$D$8*100</f>
        <v>16.833629450935909</v>
      </c>
      <c r="G29" s="515">
        <f>D29/B29*100</f>
        <v>96.659039850325755</v>
      </c>
    </row>
    <row r="30" spans="1:7" ht="66">
      <c r="A30" s="516" t="s">
        <v>790</v>
      </c>
      <c r="B30" s="738">
        <v>12486174846</v>
      </c>
      <c r="C30" s="511">
        <v>22444341739.809998</v>
      </c>
      <c r="D30" s="511">
        <v>19190655239.619999</v>
      </c>
      <c r="E30" s="513">
        <f>D30/C30*100</f>
        <v>85.503310643239459</v>
      </c>
      <c r="F30" s="514">
        <f>D30/$D$8*100</f>
        <v>4.0987094658935099</v>
      </c>
      <c r="G30" s="515">
        <f>D30/B30*100</f>
        <v>153.6952307356789</v>
      </c>
    </row>
    <row r="31" spans="1:7">
      <c r="A31" s="517" t="s">
        <v>791</v>
      </c>
      <c r="B31" s="739">
        <v>119729036175</v>
      </c>
      <c r="C31" s="519">
        <v>50647043049.330002</v>
      </c>
      <c r="D31" s="519">
        <v>50756506785.519997</v>
      </c>
      <c r="E31" s="521">
        <f>D31/C31*100</f>
        <v>100.21613055688834</v>
      </c>
      <c r="F31" s="522">
        <f>D31/$D$8*100</f>
        <v>10.840493574601801</v>
      </c>
      <c r="G31" s="528">
        <f>D31/B31*100</f>
        <v>42.392813311661989</v>
      </c>
    </row>
    <row r="33" spans="1:3">
      <c r="A33" s="524" t="s">
        <v>922</v>
      </c>
    </row>
    <row r="37" spans="1:3">
      <c r="C37" s="498" t="s">
        <v>742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ageMargins left="0.70866141732283472" right="0.31496062992125984" top="0.74803149606299213" bottom="0.74803149606299213" header="0.31496062992125984" footer="0.31496062992125984"/>
  <pageSetup paperSize="9" scale="8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4307-E696-492F-929A-D99A5910E62A}">
  <dimension ref="A1:L27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5.21875" customWidth="1"/>
    <col min="2" max="2" width="21.21875" customWidth="1"/>
    <col min="3" max="3" width="13.44140625" bestFit="1" customWidth="1"/>
    <col min="4" max="4" width="15.77734375" customWidth="1"/>
    <col min="5" max="5" width="12.5546875" bestFit="1" customWidth="1"/>
    <col min="6" max="7" width="12.77734375" customWidth="1"/>
    <col min="8" max="8" width="11.77734375" bestFit="1" customWidth="1"/>
    <col min="9" max="9" width="13.5546875" customWidth="1"/>
    <col min="10" max="12" width="6.21875" customWidth="1"/>
  </cols>
  <sheetData>
    <row r="1" spans="1:12">
      <c r="A1" s="445" t="s">
        <v>996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3" spans="1:12">
      <c r="A3" s="2138" t="s">
        <v>0</v>
      </c>
      <c r="B3" s="2140" t="s">
        <v>1</v>
      </c>
      <c r="C3" s="2396" t="s">
        <v>577</v>
      </c>
      <c r="D3" s="2396" t="s">
        <v>578</v>
      </c>
      <c r="E3" s="2215" t="s">
        <v>88</v>
      </c>
      <c r="F3" s="2215"/>
      <c r="G3" s="2215"/>
      <c r="H3" s="2215"/>
      <c r="I3" s="2400"/>
      <c r="J3" s="2138" t="s">
        <v>575</v>
      </c>
      <c r="K3" s="2215"/>
      <c r="L3" s="2393"/>
    </row>
    <row r="4" spans="1:12">
      <c r="A4" s="2139"/>
      <c r="B4" s="2141"/>
      <c r="C4" s="2397"/>
      <c r="D4" s="2397"/>
      <c r="E4" s="2394" t="s">
        <v>136</v>
      </c>
      <c r="F4" s="2395" t="s">
        <v>569</v>
      </c>
      <c r="G4" s="2395"/>
      <c r="H4" s="2395" t="s">
        <v>137</v>
      </c>
      <c r="I4" s="332" t="s">
        <v>569</v>
      </c>
      <c r="J4" s="2139"/>
      <c r="K4" s="2395"/>
      <c r="L4" s="2399"/>
    </row>
    <row r="5" spans="1:12" ht="24" customHeight="1">
      <c r="A5" s="2139"/>
      <c r="B5" s="2141"/>
      <c r="C5" s="2397"/>
      <c r="D5" s="2397"/>
      <c r="E5" s="2394"/>
      <c r="F5" s="2394" t="s">
        <v>570</v>
      </c>
      <c r="G5" s="2394" t="s">
        <v>579</v>
      </c>
      <c r="H5" s="2395"/>
      <c r="I5" s="2398" t="s">
        <v>580</v>
      </c>
      <c r="J5" s="2139"/>
      <c r="K5" s="2395"/>
      <c r="L5" s="2399"/>
    </row>
    <row r="6" spans="1:12">
      <c r="A6" s="2139"/>
      <c r="B6" s="2141"/>
      <c r="C6" s="2397"/>
      <c r="D6" s="2397"/>
      <c r="E6" s="2394"/>
      <c r="F6" s="2394"/>
      <c r="G6" s="2394"/>
      <c r="H6" s="2395"/>
      <c r="I6" s="2398"/>
      <c r="J6" s="331" t="s">
        <v>92</v>
      </c>
      <c r="K6" s="323" t="s">
        <v>7</v>
      </c>
      <c r="L6" s="329" t="s">
        <v>576</v>
      </c>
    </row>
    <row r="7" spans="1:12">
      <c r="A7" s="2139"/>
      <c r="B7" s="2141"/>
      <c r="C7" s="333"/>
      <c r="D7" s="2221" t="s">
        <v>93</v>
      </c>
      <c r="E7" s="2395"/>
      <c r="F7" s="2395"/>
      <c r="G7" s="2395"/>
      <c r="H7" s="2395"/>
      <c r="I7" s="2222"/>
      <c r="J7" s="2139" t="s">
        <v>169</v>
      </c>
      <c r="K7" s="2395"/>
      <c r="L7" s="2399"/>
    </row>
    <row r="8" spans="1:12">
      <c r="A8" s="325" t="s">
        <v>10</v>
      </c>
      <c r="B8" s="327" t="s">
        <v>11</v>
      </c>
      <c r="C8" s="328" t="s">
        <v>12</v>
      </c>
      <c r="D8" s="328" t="s">
        <v>13</v>
      </c>
      <c r="E8" s="326" t="s">
        <v>14</v>
      </c>
      <c r="F8" s="326" t="s">
        <v>15</v>
      </c>
      <c r="G8" s="326" t="s">
        <v>16</v>
      </c>
      <c r="H8" s="326" t="s">
        <v>17</v>
      </c>
      <c r="I8" s="330" t="s">
        <v>94</v>
      </c>
      <c r="J8" s="325" t="s">
        <v>150</v>
      </c>
      <c r="K8" s="326" t="s">
        <v>170</v>
      </c>
      <c r="L8" s="327" t="s">
        <v>173</v>
      </c>
    </row>
    <row r="9" spans="1:12">
      <c r="A9" s="1571"/>
      <c r="B9" s="1574" t="s">
        <v>562</v>
      </c>
      <c r="C9" s="1580">
        <v>217469238499.01999</v>
      </c>
      <c r="D9" s="1580">
        <v>22124532064.380001</v>
      </c>
      <c r="E9" s="1581">
        <v>20843119254.360001</v>
      </c>
      <c r="F9" s="1581">
        <v>15709193694.040001</v>
      </c>
      <c r="G9" s="1581">
        <v>136394308.38999999</v>
      </c>
      <c r="H9" s="1581">
        <v>1281412810.02</v>
      </c>
      <c r="I9" s="1586">
        <v>572387914.00999999</v>
      </c>
      <c r="J9" s="1577">
        <v>10.199999999999999</v>
      </c>
      <c r="K9" s="1572">
        <v>94.2</v>
      </c>
      <c r="L9" s="1573">
        <v>71</v>
      </c>
    </row>
    <row r="10" spans="1:12">
      <c r="A10" s="1566" t="s">
        <v>96</v>
      </c>
      <c r="B10" s="1575" t="s">
        <v>97</v>
      </c>
      <c r="C10" s="1582">
        <v>18023114827.939999</v>
      </c>
      <c r="D10" s="1582">
        <v>1863595316.74</v>
      </c>
      <c r="E10" s="1583">
        <v>1723500022.74</v>
      </c>
      <c r="F10" s="1583">
        <v>1267319665.0899999</v>
      </c>
      <c r="G10" s="1583">
        <v>14532457.689999999</v>
      </c>
      <c r="H10" s="1583">
        <v>140095294</v>
      </c>
      <c r="I10" s="1587">
        <v>66530718.920000002</v>
      </c>
      <c r="J10" s="1578">
        <v>10.3</v>
      </c>
      <c r="K10" s="1565">
        <v>92.5</v>
      </c>
      <c r="L10" s="1567">
        <v>68</v>
      </c>
    </row>
    <row r="11" spans="1:12">
      <c r="A11" s="1566" t="s">
        <v>98</v>
      </c>
      <c r="B11" s="1575" t="s">
        <v>99</v>
      </c>
      <c r="C11" s="1582">
        <v>11257720073.889999</v>
      </c>
      <c r="D11" s="1582">
        <v>1177084848.46</v>
      </c>
      <c r="E11" s="1583">
        <v>1123712557.6900001</v>
      </c>
      <c r="F11" s="1583">
        <v>844746405.95000005</v>
      </c>
      <c r="G11" s="1583">
        <v>8165484.0199999996</v>
      </c>
      <c r="H11" s="1583">
        <v>53372290.770000003</v>
      </c>
      <c r="I11" s="1587">
        <v>17837055.300000001</v>
      </c>
      <c r="J11" s="1578">
        <v>10.5</v>
      </c>
      <c r="K11" s="1565">
        <v>95.5</v>
      </c>
      <c r="L11" s="1567">
        <v>71.8</v>
      </c>
    </row>
    <row r="12" spans="1:12">
      <c r="A12" s="1566" t="s">
        <v>100</v>
      </c>
      <c r="B12" s="1575" t="s">
        <v>101</v>
      </c>
      <c r="C12" s="1582">
        <v>12395942956.370001</v>
      </c>
      <c r="D12" s="1582">
        <v>1364586874.3699999</v>
      </c>
      <c r="E12" s="1583">
        <v>1280354216.6600001</v>
      </c>
      <c r="F12" s="1583">
        <v>996624396.08000004</v>
      </c>
      <c r="G12" s="1583">
        <v>7956218.7999999998</v>
      </c>
      <c r="H12" s="1583">
        <v>84232657.709999993</v>
      </c>
      <c r="I12" s="1587">
        <v>46655862.539999999</v>
      </c>
      <c r="J12" s="1578">
        <v>11</v>
      </c>
      <c r="K12" s="1565">
        <v>93.8</v>
      </c>
      <c r="L12" s="1567">
        <v>73</v>
      </c>
    </row>
    <row r="13" spans="1:12">
      <c r="A13" s="1566" t="s">
        <v>102</v>
      </c>
      <c r="B13" s="1575" t="s">
        <v>103</v>
      </c>
      <c r="C13" s="1582">
        <v>6274780363.2399998</v>
      </c>
      <c r="D13" s="1582">
        <v>679819957.95000005</v>
      </c>
      <c r="E13" s="1583">
        <v>637744766.60000002</v>
      </c>
      <c r="F13" s="1583">
        <v>476637352.72000003</v>
      </c>
      <c r="G13" s="1583">
        <v>6396716.3399999999</v>
      </c>
      <c r="H13" s="1583">
        <v>42075191.350000001</v>
      </c>
      <c r="I13" s="1587">
        <v>19387902.649999999</v>
      </c>
      <c r="J13" s="1578">
        <v>10.8</v>
      </c>
      <c r="K13" s="1565">
        <v>93.8</v>
      </c>
      <c r="L13" s="1567">
        <v>70.099999999999994</v>
      </c>
    </row>
    <row r="14" spans="1:12">
      <c r="A14" s="1566" t="s">
        <v>104</v>
      </c>
      <c r="B14" s="1575" t="s">
        <v>105</v>
      </c>
      <c r="C14" s="1582">
        <v>13920618436.18</v>
      </c>
      <c r="D14" s="1582">
        <v>1510918612.0999999</v>
      </c>
      <c r="E14" s="1583">
        <v>1442256470.05</v>
      </c>
      <c r="F14" s="1583">
        <v>1114050532.0999999</v>
      </c>
      <c r="G14" s="1583">
        <v>7240490.4500000002</v>
      </c>
      <c r="H14" s="1583">
        <v>68662142.049999997</v>
      </c>
      <c r="I14" s="1587">
        <v>23232467.829999998</v>
      </c>
      <c r="J14" s="1578">
        <v>10.9</v>
      </c>
      <c r="K14" s="1565">
        <v>95.5</v>
      </c>
      <c r="L14" s="1567">
        <v>73.7</v>
      </c>
    </row>
    <row r="15" spans="1:12">
      <c r="A15" s="1566" t="s">
        <v>106</v>
      </c>
      <c r="B15" s="1575" t="s">
        <v>107</v>
      </c>
      <c r="C15" s="1582">
        <v>19644515876.580002</v>
      </c>
      <c r="D15" s="1582">
        <v>1856075129.95</v>
      </c>
      <c r="E15" s="1583">
        <v>1744561392.8399999</v>
      </c>
      <c r="F15" s="1583">
        <v>1324360248.0899999</v>
      </c>
      <c r="G15" s="1583">
        <v>9127960.5700000003</v>
      </c>
      <c r="H15" s="1583">
        <v>111513737.11</v>
      </c>
      <c r="I15" s="1587">
        <v>42369105.859999999</v>
      </c>
      <c r="J15" s="1578">
        <v>9.4</v>
      </c>
      <c r="K15" s="1565">
        <v>94</v>
      </c>
      <c r="L15" s="1567">
        <v>71.400000000000006</v>
      </c>
    </row>
    <row r="16" spans="1:12">
      <c r="A16" s="1566" t="s">
        <v>108</v>
      </c>
      <c r="B16" s="1575" t="s">
        <v>109</v>
      </c>
      <c r="C16" s="1582">
        <v>28354208071.84</v>
      </c>
      <c r="D16" s="1582">
        <v>2862981931.25</v>
      </c>
      <c r="E16" s="1583">
        <v>2730661346.7199998</v>
      </c>
      <c r="F16" s="1583">
        <v>2047122272.0999999</v>
      </c>
      <c r="G16" s="1583">
        <v>11069319.77</v>
      </c>
      <c r="H16" s="1583">
        <v>132320584.53</v>
      </c>
      <c r="I16" s="1587">
        <v>45143882.030000001</v>
      </c>
      <c r="J16" s="1578">
        <v>10.1</v>
      </c>
      <c r="K16" s="1565">
        <v>95.4</v>
      </c>
      <c r="L16" s="1567">
        <v>71.5</v>
      </c>
    </row>
    <row r="17" spans="1:12">
      <c r="A17" s="1566" t="s">
        <v>110</v>
      </c>
      <c r="B17" s="1575" t="s">
        <v>111</v>
      </c>
      <c r="C17" s="1582">
        <v>6561091066</v>
      </c>
      <c r="D17" s="1582">
        <v>678311878.34000003</v>
      </c>
      <c r="E17" s="1583">
        <v>647359257.47000003</v>
      </c>
      <c r="F17" s="1583">
        <v>485451981.25</v>
      </c>
      <c r="G17" s="1583">
        <v>5104246.3899999997</v>
      </c>
      <c r="H17" s="1583">
        <v>30952620.870000001</v>
      </c>
      <c r="I17" s="1587">
        <v>9414461.7899999991</v>
      </c>
      <c r="J17" s="1578">
        <v>10.3</v>
      </c>
      <c r="K17" s="1565">
        <v>95.4</v>
      </c>
      <c r="L17" s="1567">
        <v>71.599999999999994</v>
      </c>
    </row>
    <row r="18" spans="1:12">
      <c r="A18" s="1566" t="s">
        <v>112</v>
      </c>
      <c r="B18" s="1575" t="s">
        <v>113</v>
      </c>
      <c r="C18" s="1582">
        <v>14694850033.870001</v>
      </c>
      <c r="D18" s="1582">
        <v>1439957335.5</v>
      </c>
      <c r="E18" s="1583">
        <v>1277668046.1500001</v>
      </c>
      <c r="F18" s="1583">
        <v>974478649.71000004</v>
      </c>
      <c r="G18" s="1583">
        <v>15903532.550000001</v>
      </c>
      <c r="H18" s="1583">
        <v>162289289.34999999</v>
      </c>
      <c r="I18" s="1587">
        <v>128428599.78</v>
      </c>
      <c r="J18" s="1578">
        <v>9.8000000000000007</v>
      </c>
      <c r="K18" s="1565">
        <v>88.7</v>
      </c>
      <c r="L18" s="1567">
        <v>67.7</v>
      </c>
    </row>
    <row r="19" spans="1:12">
      <c r="A19" s="1566" t="s">
        <v>114</v>
      </c>
      <c r="B19" s="1575" t="s">
        <v>115</v>
      </c>
      <c r="C19" s="1582">
        <v>6510228402.9799995</v>
      </c>
      <c r="D19" s="1582">
        <v>678771921.01999998</v>
      </c>
      <c r="E19" s="1583">
        <v>635494743.00999999</v>
      </c>
      <c r="F19" s="1583">
        <v>477573369.66000003</v>
      </c>
      <c r="G19" s="1583">
        <v>2882138.83</v>
      </c>
      <c r="H19" s="1583">
        <v>43277178.009999998</v>
      </c>
      <c r="I19" s="1587">
        <v>11054656.73</v>
      </c>
      <c r="J19" s="1578">
        <v>10.4</v>
      </c>
      <c r="K19" s="1565">
        <v>93.6</v>
      </c>
      <c r="L19" s="1567">
        <v>70.400000000000006</v>
      </c>
    </row>
    <row r="20" spans="1:12">
      <c r="A20" s="1566" t="s">
        <v>116</v>
      </c>
      <c r="B20" s="1575" t="s">
        <v>117</v>
      </c>
      <c r="C20" s="1582">
        <v>13757916221.540001</v>
      </c>
      <c r="D20" s="1582">
        <v>1224538228.6400001</v>
      </c>
      <c r="E20" s="1583">
        <v>1169809054.6400001</v>
      </c>
      <c r="F20" s="1583">
        <v>885373949.41999996</v>
      </c>
      <c r="G20" s="1583">
        <v>6769893.3200000003</v>
      </c>
      <c r="H20" s="1583">
        <v>54729174</v>
      </c>
      <c r="I20" s="1587">
        <v>22637317.609999999</v>
      </c>
      <c r="J20" s="1578">
        <v>8.9</v>
      </c>
      <c r="K20" s="1565">
        <v>95.5</v>
      </c>
      <c r="L20" s="1567">
        <v>72.3</v>
      </c>
    </row>
    <row r="21" spans="1:12">
      <c r="A21" s="1566" t="s">
        <v>118</v>
      </c>
      <c r="B21" s="1575" t="s">
        <v>119</v>
      </c>
      <c r="C21" s="1582">
        <v>16255407721.290001</v>
      </c>
      <c r="D21" s="1582">
        <v>1731216782.1400001</v>
      </c>
      <c r="E21" s="1583">
        <v>1648565101.28</v>
      </c>
      <c r="F21" s="1583">
        <v>1254585161.1300001</v>
      </c>
      <c r="G21" s="1583">
        <v>13861801.210000001</v>
      </c>
      <c r="H21" s="1583">
        <v>82651680.859999999</v>
      </c>
      <c r="I21" s="1587">
        <v>38126828.810000002</v>
      </c>
      <c r="J21" s="1578">
        <v>10.7</v>
      </c>
      <c r="K21" s="1565">
        <v>95.2</v>
      </c>
      <c r="L21" s="1567">
        <v>72.5</v>
      </c>
    </row>
    <row r="22" spans="1:12">
      <c r="A22" s="1566" t="s">
        <v>120</v>
      </c>
      <c r="B22" s="1575" t="s">
        <v>121</v>
      </c>
      <c r="C22" s="1582">
        <v>8064853249.29</v>
      </c>
      <c r="D22" s="1582">
        <v>869320474.40999997</v>
      </c>
      <c r="E22" s="1583">
        <v>840140837.13</v>
      </c>
      <c r="F22" s="1583">
        <v>648492526.47000003</v>
      </c>
      <c r="G22" s="1583">
        <v>2927314.74</v>
      </c>
      <c r="H22" s="1583">
        <v>29179637.280000001</v>
      </c>
      <c r="I22" s="1587">
        <v>5694309.6200000001</v>
      </c>
      <c r="J22" s="1578">
        <v>10.8</v>
      </c>
      <c r="K22" s="1565">
        <v>96.6</v>
      </c>
      <c r="L22" s="1567">
        <v>74.599999999999994</v>
      </c>
    </row>
    <row r="23" spans="1:12">
      <c r="A23" s="1566" t="s">
        <v>122</v>
      </c>
      <c r="B23" s="1575" t="s">
        <v>123</v>
      </c>
      <c r="C23" s="1582">
        <v>9215309475.4500008</v>
      </c>
      <c r="D23" s="1582">
        <v>952918601.85000002</v>
      </c>
      <c r="E23" s="1583">
        <v>890922543.49000001</v>
      </c>
      <c r="F23" s="1583">
        <v>666851468.65999997</v>
      </c>
      <c r="G23" s="1583">
        <v>4635086.93</v>
      </c>
      <c r="H23" s="1583">
        <v>61996058.359999999</v>
      </c>
      <c r="I23" s="1587">
        <v>22683285.920000002</v>
      </c>
      <c r="J23" s="1578">
        <v>10.3</v>
      </c>
      <c r="K23" s="1565">
        <v>93.5</v>
      </c>
      <c r="L23" s="1567">
        <v>70</v>
      </c>
    </row>
    <row r="24" spans="1:12">
      <c r="A24" s="1566" t="s">
        <v>124</v>
      </c>
      <c r="B24" s="1575" t="s">
        <v>125</v>
      </c>
      <c r="C24" s="1582">
        <v>22587073259.799999</v>
      </c>
      <c r="D24" s="1582">
        <v>2154027686.1199999</v>
      </c>
      <c r="E24" s="1583">
        <v>2033675736.75</v>
      </c>
      <c r="F24" s="1583">
        <v>1499807004.0799999</v>
      </c>
      <c r="G24" s="1583">
        <v>13245479.16</v>
      </c>
      <c r="H24" s="1583">
        <v>120351949.37</v>
      </c>
      <c r="I24" s="1587">
        <v>54868129.649999999</v>
      </c>
      <c r="J24" s="1578">
        <v>9.5</v>
      </c>
      <c r="K24" s="1565">
        <v>94.4</v>
      </c>
      <c r="L24" s="1567">
        <v>69.599999999999994</v>
      </c>
    </row>
    <row r="25" spans="1:12">
      <c r="A25" s="1568" t="s">
        <v>126</v>
      </c>
      <c r="B25" s="1576" t="s">
        <v>127</v>
      </c>
      <c r="C25" s="1584">
        <v>9951608462.7600002</v>
      </c>
      <c r="D25" s="1584">
        <v>1080406485.54</v>
      </c>
      <c r="E25" s="1585">
        <v>1016693161.14</v>
      </c>
      <c r="F25" s="1585">
        <v>745718711.52999997</v>
      </c>
      <c r="G25" s="1585">
        <v>6576167.6200000001</v>
      </c>
      <c r="H25" s="1585">
        <v>63713324.399999999</v>
      </c>
      <c r="I25" s="1588">
        <v>18323328.969999999</v>
      </c>
      <c r="J25" s="1579">
        <v>10.9</v>
      </c>
      <c r="K25" s="1569">
        <v>94.1</v>
      </c>
      <c r="L25" s="1570">
        <v>69</v>
      </c>
    </row>
    <row r="27" spans="1:12">
      <c r="A27" s="324" t="s">
        <v>911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</row>
  </sheetData>
  <mergeCells count="14">
    <mergeCell ref="I5:I6"/>
    <mergeCell ref="D7:I7"/>
    <mergeCell ref="J7:L7"/>
    <mergeCell ref="C3:C6"/>
    <mergeCell ref="A3:A7"/>
    <mergeCell ref="B3:B7"/>
    <mergeCell ref="D3:D6"/>
    <mergeCell ref="E3:I3"/>
    <mergeCell ref="J3:L5"/>
    <mergeCell ref="E4:E6"/>
    <mergeCell ref="F4:G4"/>
    <mergeCell ref="H4:H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956E-873F-4D59-8AFD-8C28F9AEE7FF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4.77734375" style="441" customWidth="1"/>
    <col min="3" max="3" width="10.21875" style="441" customWidth="1"/>
    <col min="4" max="4" width="12.44140625" style="441" customWidth="1"/>
    <col min="5" max="5" width="10.21875" style="441" customWidth="1"/>
    <col min="6" max="6" width="10.44140625" style="441" customWidth="1"/>
    <col min="7" max="7" width="12.5546875" style="441" customWidth="1"/>
    <col min="8" max="8" width="10" style="441" customWidth="1"/>
    <col min="9" max="9" width="11.21875" style="441" customWidth="1"/>
    <col min="10" max="16384" width="9.21875" style="441"/>
  </cols>
  <sheetData>
    <row r="1" spans="1:9" ht="14.4">
      <c r="A1" s="280" t="s">
        <v>997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2142" t="s">
        <v>157</v>
      </c>
      <c r="D3" s="2239" t="s">
        <v>563</v>
      </c>
      <c r="E3" s="2239" t="s">
        <v>564</v>
      </c>
      <c r="F3" s="2239" t="s">
        <v>565</v>
      </c>
      <c r="G3" s="2239" t="s">
        <v>566</v>
      </c>
      <c r="H3" s="2239" t="s">
        <v>567</v>
      </c>
      <c r="I3" s="2236" t="s">
        <v>568</v>
      </c>
    </row>
    <row r="4" spans="1:9" ht="60.6" customHeight="1">
      <c r="A4" s="2139"/>
      <c r="B4" s="2141"/>
      <c r="C4" s="2143"/>
      <c r="D4" s="2240"/>
      <c r="E4" s="2240"/>
      <c r="F4" s="2240"/>
      <c r="G4" s="2240"/>
      <c r="H4" s="2240"/>
      <c r="I4" s="2237"/>
    </row>
    <row r="5" spans="1:9" ht="14.4">
      <c r="A5" s="2139"/>
      <c r="B5" s="2141"/>
      <c r="C5" s="297"/>
      <c r="D5" s="2238" t="s">
        <v>163</v>
      </c>
      <c r="E5" s="2238"/>
      <c r="F5" s="377" t="s">
        <v>169</v>
      </c>
      <c r="G5" s="2238" t="s">
        <v>163</v>
      </c>
      <c r="H5" s="2238"/>
      <c r="I5" s="298" t="s">
        <v>169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420"/>
      <c r="B7" s="1421" t="s">
        <v>129</v>
      </c>
      <c r="C7" s="1424">
        <v>25238257</v>
      </c>
      <c r="D7" s="1433">
        <v>49775184094.410004</v>
      </c>
      <c r="E7" s="1430">
        <v>1972.2</v>
      </c>
      <c r="F7" s="1430">
        <v>22.9</v>
      </c>
      <c r="G7" s="1433">
        <v>47858930158.150002</v>
      </c>
      <c r="H7" s="1430">
        <v>1896.3</v>
      </c>
      <c r="I7" s="1427">
        <v>22</v>
      </c>
    </row>
    <row r="8" spans="1:9">
      <c r="A8" s="1418" t="s">
        <v>96</v>
      </c>
      <c r="B8" s="1422" t="s">
        <v>97</v>
      </c>
      <c r="C8" s="1425">
        <v>1931595</v>
      </c>
      <c r="D8" s="1434">
        <v>4618278033.5600004</v>
      </c>
      <c r="E8" s="1431">
        <v>2390.91</v>
      </c>
      <c r="F8" s="1431">
        <v>25.6</v>
      </c>
      <c r="G8" s="1434">
        <v>4297643598.9200001</v>
      </c>
      <c r="H8" s="1431">
        <v>2224.9</v>
      </c>
      <c r="I8" s="1428">
        <v>23.8</v>
      </c>
    </row>
    <row r="9" spans="1:9">
      <c r="A9" s="1418" t="s">
        <v>98</v>
      </c>
      <c r="B9" s="1422" t="s">
        <v>99</v>
      </c>
      <c r="C9" s="1425">
        <v>1279549</v>
      </c>
      <c r="D9" s="1434">
        <v>2460391313.3699999</v>
      </c>
      <c r="E9" s="1431">
        <v>1922.86</v>
      </c>
      <c r="F9" s="1431">
        <v>21.9</v>
      </c>
      <c r="G9" s="1434">
        <v>2228356757.5300002</v>
      </c>
      <c r="H9" s="1431">
        <v>1741.5</v>
      </c>
      <c r="I9" s="1428">
        <v>19.8</v>
      </c>
    </row>
    <row r="10" spans="1:9">
      <c r="A10" s="1418" t="s">
        <v>100</v>
      </c>
      <c r="B10" s="1422" t="s">
        <v>101</v>
      </c>
      <c r="C10" s="1425">
        <v>1500297</v>
      </c>
      <c r="D10" s="1434">
        <v>3257326851.6900001</v>
      </c>
      <c r="E10" s="1431">
        <v>2171.12</v>
      </c>
      <c r="F10" s="1431">
        <v>26.3</v>
      </c>
      <c r="G10" s="1434">
        <v>3225549691.9499998</v>
      </c>
      <c r="H10" s="1431">
        <v>2149.9</v>
      </c>
      <c r="I10" s="1428">
        <v>26</v>
      </c>
    </row>
    <row r="11" spans="1:9">
      <c r="A11" s="1418" t="s">
        <v>102</v>
      </c>
      <c r="B11" s="1422" t="s">
        <v>103</v>
      </c>
      <c r="C11" s="1425">
        <v>716250</v>
      </c>
      <c r="D11" s="1434">
        <v>1483016259.28</v>
      </c>
      <c r="E11" s="1431">
        <v>2070.5300000000002</v>
      </c>
      <c r="F11" s="1431">
        <v>23.6</v>
      </c>
      <c r="G11" s="1434">
        <v>1426467302.2</v>
      </c>
      <c r="H11" s="1431">
        <v>1991.6</v>
      </c>
      <c r="I11" s="1428">
        <v>22.7</v>
      </c>
    </row>
    <row r="12" spans="1:9">
      <c r="A12" s="1418" t="s">
        <v>104</v>
      </c>
      <c r="B12" s="1422" t="s">
        <v>105</v>
      </c>
      <c r="C12" s="1425">
        <v>1589088</v>
      </c>
      <c r="D12" s="1434">
        <v>3465299359.2199998</v>
      </c>
      <c r="E12" s="1431">
        <v>2180.6799999999998</v>
      </c>
      <c r="F12" s="1431">
        <v>24.9</v>
      </c>
      <c r="G12" s="1434">
        <v>3342223980.9000001</v>
      </c>
      <c r="H12" s="1431">
        <v>2103.1999999999998</v>
      </c>
      <c r="I12" s="1428">
        <v>24</v>
      </c>
    </row>
    <row r="13" spans="1:9">
      <c r="A13" s="1418" t="s">
        <v>106</v>
      </c>
      <c r="B13" s="1422" t="s">
        <v>107</v>
      </c>
      <c r="C13" s="1425">
        <v>2437972</v>
      </c>
      <c r="D13" s="1434">
        <v>4400973985.5</v>
      </c>
      <c r="E13" s="1431">
        <v>1805.18</v>
      </c>
      <c r="F13" s="1431">
        <v>22.4</v>
      </c>
      <c r="G13" s="1434">
        <v>4291555576.9200001</v>
      </c>
      <c r="H13" s="1431">
        <v>1760.3</v>
      </c>
      <c r="I13" s="1428">
        <v>21.8</v>
      </c>
    </row>
    <row r="14" spans="1:9">
      <c r="A14" s="1418" t="s">
        <v>108</v>
      </c>
      <c r="B14" s="1422" t="s">
        <v>109</v>
      </c>
      <c r="C14" s="1425">
        <v>3218209</v>
      </c>
      <c r="D14" s="1434">
        <v>6241861052.46</v>
      </c>
      <c r="E14" s="1431">
        <v>1939.54</v>
      </c>
      <c r="F14" s="1431">
        <v>22</v>
      </c>
      <c r="G14" s="1434">
        <v>6089834371.8900003</v>
      </c>
      <c r="H14" s="1431">
        <v>1892.3</v>
      </c>
      <c r="I14" s="1428">
        <v>21.5</v>
      </c>
    </row>
    <row r="15" spans="1:9">
      <c r="A15" s="1418" t="s">
        <v>110</v>
      </c>
      <c r="B15" s="1422" t="s">
        <v>111</v>
      </c>
      <c r="C15" s="1425">
        <v>804804</v>
      </c>
      <c r="D15" s="1434">
        <v>1316866146.0699999</v>
      </c>
      <c r="E15" s="1431">
        <v>1636.26</v>
      </c>
      <c r="F15" s="1431">
        <v>20.100000000000001</v>
      </c>
      <c r="G15" s="1434">
        <v>1256151758.6900001</v>
      </c>
      <c r="H15" s="1431">
        <v>1560.8</v>
      </c>
      <c r="I15" s="1428">
        <v>19.100000000000001</v>
      </c>
    </row>
    <row r="16" spans="1:9">
      <c r="A16" s="1418" t="s">
        <v>112</v>
      </c>
      <c r="B16" s="1422" t="s">
        <v>113</v>
      </c>
      <c r="C16" s="1425">
        <v>1722570</v>
      </c>
      <c r="D16" s="1434">
        <v>3656704704.5799999</v>
      </c>
      <c r="E16" s="1431">
        <v>2122.8200000000002</v>
      </c>
      <c r="F16" s="1431">
        <v>24.9</v>
      </c>
      <c r="G16" s="1434">
        <v>3545911504.0999999</v>
      </c>
      <c r="H16" s="1431">
        <v>2058.5</v>
      </c>
      <c r="I16" s="1428">
        <v>24.1</v>
      </c>
    </row>
    <row r="17" spans="1:9">
      <c r="A17" s="1418" t="s">
        <v>114</v>
      </c>
      <c r="B17" s="1422" t="s">
        <v>115</v>
      </c>
      <c r="C17" s="1425">
        <v>714849</v>
      </c>
      <c r="D17" s="1434">
        <v>1972616300.1099999</v>
      </c>
      <c r="E17" s="1431">
        <v>2759.49</v>
      </c>
      <c r="F17" s="1431">
        <v>30.3</v>
      </c>
      <c r="G17" s="1434">
        <v>1942592820.8299999</v>
      </c>
      <c r="H17" s="1431">
        <v>2717.5</v>
      </c>
      <c r="I17" s="1428">
        <v>29.8</v>
      </c>
    </row>
    <row r="18" spans="1:9">
      <c r="A18" s="1418" t="s">
        <v>116</v>
      </c>
      <c r="B18" s="1422" t="s">
        <v>117</v>
      </c>
      <c r="C18" s="1425">
        <v>1514547</v>
      </c>
      <c r="D18" s="1434">
        <v>2951213893.6599998</v>
      </c>
      <c r="E18" s="1431">
        <v>1948.58</v>
      </c>
      <c r="F18" s="1431">
        <v>21.5</v>
      </c>
      <c r="G18" s="1434">
        <v>2788503714.4400001</v>
      </c>
      <c r="H18" s="1431">
        <v>1841.1</v>
      </c>
      <c r="I18" s="1428">
        <v>20.3</v>
      </c>
    </row>
    <row r="19" spans="1:9">
      <c r="A19" s="1418" t="s">
        <v>118</v>
      </c>
      <c r="B19" s="1422" t="s">
        <v>119</v>
      </c>
      <c r="C19" s="1425">
        <v>1941847</v>
      </c>
      <c r="D19" s="1434">
        <v>3195543312.9499998</v>
      </c>
      <c r="E19" s="1431">
        <v>1645.62</v>
      </c>
      <c r="F19" s="1431">
        <v>19.7</v>
      </c>
      <c r="G19" s="1434">
        <v>3037260191.4000001</v>
      </c>
      <c r="H19" s="1431">
        <v>1564.1</v>
      </c>
      <c r="I19" s="1428">
        <v>18.7</v>
      </c>
    </row>
    <row r="20" spans="1:9">
      <c r="A20" s="1418" t="s">
        <v>120</v>
      </c>
      <c r="B20" s="1422" t="s">
        <v>121</v>
      </c>
      <c r="C20" s="1425">
        <v>977454</v>
      </c>
      <c r="D20" s="1434">
        <v>1875908353.8</v>
      </c>
      <c r="E20" s="1431">
        <v>1919.18</v>
      </c>
      <c r="F20" s="1431">
        <v>23.3</v>
      </c>
      <c r="G20" s="1434">
        <v>1830311704.3299999</v>
      </c>
      <c r="H20" s="1431">
        <v>1872.5</v>
      </c>
      <c r="I20" s="1428">
        <v>22.7</v>
      </c>
    </row>
    <row r="21" spans="1:9">
      <c r="A21" s="1418" t="s">
        <v>122</v>
      </c>
      <c r="B21" s="1422" t="s">
        <v>123</v>
      </c>
      <c r="C21" s="1425">
        <v>1070728</v>
      </c>
      <c r="D21" s="1434">
        <v>2145304623.5599999</v>
      </c>
      <c r="E21" s="1431">
        <v>2003.59</v>
      </c>
      <c r="F21" s="1431">
        <v>23.3</v>
      </c>
      <c r="G21" s="1434">
        <v>2084776871.5</v>
      </c>
      <c r="H21" s="1431">
        <v>1947.1</v>
      </c>
      <c r="I21" s="1428">
        <v>22.6</v>
      </c>
    </row>
    <row r="22" spans="1:9">
      <c r="A22" s="1418" t="s">
        <v>124</v>
      </c>
      <c r="B22" s="1422" t="s">
        <v>125</v>
      </c>
      <c r="C22" s="1425">
        <v>2726248</v>
      </c>
      <c r="D22" s="1434">
        <v>4598713399.4499998</v>
      </c>
      <c r="E22" s="1431">
        <v>1686.83</v>
      </c>
      <c r="F22" s="1431">
        <v>20.399999999999999</v>
      </c>
      <c r="G22" s="1434">
        <v>4426946409.3800001</v>
      </c>
      <c r="H22" s="1431">
        <v>1623.8</v>
      </c>
      <c r="I22" s="1428">
        <v>19.600000000000001</v>
      </c>
    </row>
    <row r="23" spans="1:9">
      <c r="A23" s="1419" t="s">
        <v>126</v>
      </c>
      <c r="B23" s="1423" t="s">
        <v>127</v>
      </c>
      <c r="C23" s="1426">
        <v>1092250</v>
      </c>
      <c r="D23" s="1435">
        <v>2135166505.1500001</v>
      </c>
      <c r="E23" s="1432">
        <v>1954.83</v>
      </c>
      <c r="F23" s="1432">
        <v>21.5</v>
      </c>
      <c r="G23" s="1435">
        <v>2044843903.1700001</v>
      </c>
      <c r="H23" s="1432">
        <v>1872.1</v>
      </c>
      <c r="I23" s="1429">
        <v>20.5</v>
      </c>
    </row>
    <row r="25" spans="1:9" ht="14.4">
      <c r="A25" s="295" t="s">
        <v>128</v>
      </c>
      <c r="B25" s="295" t="s">
        <v>909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295" t="s">
        <v>910</v>
      </c>
      <c r="C26" s="295"/>
      <c r="D26" s="295"/>
      <c r="E26" s="295"/>
      <c r="F26" s="295"/>
      <c r="G26" s="295"/>
      <c r="H26" s="295"/>
      <c r="I26" s="295"/>
    </row>
  </sheetData>
  <mergeCells count="11">
    <mergeCell ref="A3:A5"/>
    <mergeCell ref="B3:B5"/>
    <mergeCell ref="C3:C4"/>
    <mergeCell ref="D3:D4"/>
    <mergeCell ref="E3:E4"/>
    <mergeCell ref="G3:G4"/>
    <mergeCell ref="H3:H4"/>
    <mergeCell ref="I3:I4"/>
    <mergeCell ref="D5:E5"/>
    <mergeCell ref="G5:H5"/>
    <mergeCell ref="F3:F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4238-3DBE-401F-9570-0956368E9ABC}">
  <dimension ref="A1:P114"/>
  <sheetViews>
    <sheetView view="pageBreakPreview" topLeftCell="A22" zoomScaleNormal="100" zoomScaleSheetLayoutView="100" workbookViewId="0">
      <selection activeCell="A26" sqref="A26"/>
    </sheetView>
  </sheetViews>
  <sheetFormatPr defaultColWidth="9.21875" defaultRowHeight="13.8"/>
  <cols>
    <col min="1" max="1" width="30.77734375" style="383" customWidth="1"/>
    <col min="2" max="4" width="14.77734375" style="383" customWidth="1"/>
    <col min="5" max="5" width="14.21875" style="383" bestFit="1" customWidth="1"/>
    <col min="6" max="8" width="14.77734375" style="383" customWidth="1"/>
    <col min="9" max="9" width="7.77734375" style="383" bestFit="1" customWidth="1"/>
    <col min="10" max="10" width="8.77734375" style="383" customWidth="1"/>
    <col min="11" max="11" width="9.21875" style="383" customWidth="1"/>
    <col min="12" max="12" width="8.21875" style="383" hidden="1" customWidth="1"/>
    <col min="13" max="16384" width="9.21875" style="383"/>
  </cols>
  <sheetData>
    <row r="1" spans="1:11">
      <c r="A1" s="444" t="s">
        <v>998</v>
      </c>
    </row>
    <row r="2" spans="1:11">
      <c r="A2" s="444"/>
    </row>
    <row r="3" spans="1:11" ht="54">
      <c r="A3" s="2293" t="s">
        <v>584</v>
      </c>
      <c r="B3" s="1776" t="s">
        <v>885</v>
      </c>
      <c r="C3" s="1776" t="s">
        <v>886</v>
      </c>
      <c r="D3" s="1776" t="s">
        <v>887</v>
      </c>
      <c r="E3" s="1776" t="s">
        <v>888</v>
      </c>
      <c r="F3" s="1776" t="s">
        <v>889</v>
      </c>
      <c r="G3" s="1776" t="s">
        <v>890</v>
      </c>
      <c r="H3" s="1776" t="s">
        <v>891</v>
      </c>
      <c r="I3" s="1777" t="s">
        <v>585</v>
      </c>
      <c r="J3" s="1776" t="s">
        <v>586</v>
      </c>
      <c r="K3" s="1776" t="s">
        <v>587</v>
      </c>
    </row>
    <row r="4" spans="1:11">
      <c r="A4" s="2293"/>
      <c r="B4" s="2290" t="s">
        <v>163</v>
      </c>
      <c r="C4" s="2292"/>
      <c r="D4" s="2403" t="s">
        <v>597</v>
      </c>
      <c r="E4" s="2404"/>
      <c r="F4" s="2404"/>
      <c r="G4" s="2404"/>
      <c r="H4" s="2405"/>
      <c r="I4" s="2290" t="s">
        <v>169</v>
      </c>
      <c r="J4" s="2291"/>
      <c r="K4" s="2292"/>
    </row>
    <row r="5" spans="1:11">
      <c r="A5" s="1777">
        <v>1</v>
      </c>
      <c r="B5" s="1779">
        <v>2</v>
      </c>
      <c r="C5" s="1779">
        <v>3</v>
      </c>
      <c r="D5" s="2406"/>
      <c r="E5" s="2407"/>
      <c r="F5" s="2407"/>
      <c r="G5" s="2407"/>
      <c r="H5" s="2408"/>
      <c r="I5" s="1779">
        <v>4</v>
      </c>
      <c r="J5" s="1779">
        <v>5</v>
      </c>
      <c r="K5" s="1779">
        <v>6</v>
      </c>
    </row>
    <row r="6" spans="1:11">
      <c r="A6" s="1864" t="s">
        <v>588</v>
      </c>
      <c r="B6" s="1865">
        <f>61041361040.63</f>
        <v>61041361040.629997</v>
      </c>
      <c r="C6" s="1865">
        <f>60590149141.42</f>
        <v>60590149141.419998</v>
      </c>
      <c r="D6" s="1866" t="s">
        <v>597</v>
      </c>
      <c r="E6" s="1866" t="s">
        <v>597</v>
      </c>
      <c r="F6" s="1866" t="s">
        <v>597</v>
      </c>
      <c r="G6" s="1866" t="s">
        <v>597</v>
      </c>
      <c r="H6" s="1866" t="s">
        <v>597</v>
      </c>
      <c r="I6" s="1867">
        <f t="shared" ref="I6:I39" si="0">IF($C$6=0,"",100*$C6/$C$6)</f>
        <v>100</v>
      </c>
      <c r="J6" s="1867">
        <f t="shared" ref="J6:J42" si="1">IF(B6=0,"",100*C6/B6)</f>
        <v>99.260809569908403</v>
      </c>
      <c r="K6" s="1867"/>
    </row>
    <row r="7" spans="1:11" ht="26.4">
      <c r="A7" s="1783" t="s">
        <v>589</v>
      </c>
      <c r="B7" s="1865">
        <f>B6-B12-B36</f>
        <v>34097045344.159996</v>
      </c>
      <c r="C7" s="1865">
        <f>C6-C12-C36</f>
        <v>34576727032.919998</v>
      </c>
      <c r="D7" s="1866" t="s">
        <v>597</v>
      </c>
      <c r="E7" s="1866" t="s">
        <v>597</v>
      </c>
      <c r="F7" s="1866" t="s">
        <v>597</v>
      </c>
      <c r="G7" s="1866" t="s">
        <v>597</v>
      </c>
      <c r="H7" s="1866" t="s">
        <v>597</v>
      </c>
      <c r="I7" s="1867">
        <f t="shared" si="0"/>
        <v>57.066581817147274</v>
      </c>
      <c r="J7" s="1867">
        <f t="shared" si="1"/>
        <v>101.40681306523283</v>
      </c>
      <c r="K7" s="1867">
        <f>IF($C$7=0,"",100*$C7/$C$7)</f>
        <v>100</v>
      </c>
    </row>
    <row r="8" spans="1:11">
      <c r="A8" s="1784" t="s">
        <v>786</v>
      </c>
      <c r="B8" s="1868">
        <f>21447616237.19</f>
        <v>21447616237.189999</v>
      </c>
      <c r="C8" s="1868">
        <f>21461526453.32</f>
        <v>21461526453.32</v>
      </c>
      <c r="D8" s="1866" t="s">
        <v>597</v>
      </c>
      <c r="E8" s="1866" t="s">
        <v>597</v>
      </c>
      <c r="F8" s="1866" t="s">
        <v>597</v>
      </c>
      <c r="G8" s="1866" t="s">
        <v>597</v>
      </c>
      <c r="H8" s="1866" t="s">
        <v>597</v>
      </c>
      <c r="I8" s="1869">
        <f t="shared" si="0"/>
        <v>35.420818000014954</v>
      </c>
      <c r="J8" s="1869">
        <f t="shared" si="1"/>
        <v>100.06485670004614</v>
      </c>
      <c r="K8" s="1869">
        <f>IF($C$7=0,"",100*$C8/$C$7)</f>
        <v>62.069282708241275</v>
      </c>
    </row>
    <row r="9" spans="1:11">
      <c r="A9" s="1784" t="s">
        <v>785</v>
      </c>
      <c r="B9" s="1868">
        <f>3464730104.3</f>
        <v>3464730104.3000002</v>
      </c>
      <c r="C9" s="1868">
        <f>3464994632.38</f>
        <v>3464994632.3800001</v>
      </c>
      <c r="D9" s="1866" t="s">
        <v>597</v>
      </c>
      <c r="E9" s="1866" t="s">
        <v>597</v>
      </c>
      <c r="F9" s="1866" t="s">
        <v>597</v>
      </c>
      <c r="G9" s="1866" t="s">
        <v>597</v>
      </c>
      <c r="H9" s="1866" t="s">
        <v>597</v>
      </c>
      <c r="I9" s="1869">
        <f t="shared" si="0"/>
        <v>5.7187425373265786</v>
      </c>
      <c r="J9" s="1869">
        <f t="shared" si="1"/>
        <v>100.00763488271919</v>
      </c>
      <c r="K9" s="1869">
        <f>IF($C$7=0,"",100*$C9/$C$7)</f>
        <v>10.021175888281817</v>
      </c>
    </row>
    <row r="10" spans="1:11">
      <c r="A10" s="1784" t="s">
        <v>594</v>
      </c>
      <c r="B10" s="1868">
        <f>351478411.99</f>
        <v>351478411.99000001</v>
      </c>
      <c r="C10" s="1870">
        <f>333415195.05</f>
        <v>333415195.05000001</v>
      </c>
      <c r="D10" s="1866" t="s">
        <v>597</v>
      </c>
      <c r="E10" s="1866" t="s">
        <v>597</v>
      </c>
      <c r="F10" s="1866" t="s">
        <v>597</v>
      </c>
      <c r="G10" s="1866" t="s">
        <v>597</v>
      </c>
      <c r="H10" s="1866" t="s">
        <v>597</v>
      </c>
      <c r="I10" s="1869">
        <f t="shared" si="0"/>
        <v>0.55027954176477545</v>
      </c>
      <c r="J10" s="1869">
        <f t="shared" si="1"/>
        <v>94.860789077277971</v>
      </c>
      <c r="K10" s="1869">
        <f>IF($C$7=0,"",100*$C10/$C$7)</f>
        <v>0.96427633168564586</v>
      </c>
    </row>
    <row r="11" spans="1:11">
      <c r="A11" s="1784" t="s">
        <v>595</v>
      </c>
      <c r="B11" s="1868">
        <f>B7-B9-B8-B10</f>
        <v>8833220590.6799984</v>
      </c>
      <c r="C11" s="1868">
        <f>C7-C9-C8-C10</f>
        <v>9316790752.1699982</v>
      </c>
      <c r="D11" s="1866" t="s">
        <v>597</v>
      </c>
      <c r="E11" s="1866" t="s">
        <v>597</v>
      </c>
      <c r="F11" s="1866" t="s">
        <v>597</v>
      </c>
      <c r="G11" s="1866" t="s">
        <v>597</v>
      </c>
      <c r="H11" s="1866" t="s">
        <v>597</v>
      </c>
      <c r="I11" s="1869">
        <f t="shared" si="0"/>
        <v>15.376741738040964</v>
      </c>
      <c r="J11" s="1869">
        <f t="shared" si="1"/>
        <v>105.47444905882027</v>
      </c>
      <c r="K11" s="1869">
        <f>IF($C$7=0,"",100*$C11/$C$7)</f>
        <v>26.945265071791258</v>
      </c>
    </row>
    <row r="12" spans="1:11" ht="26.4">
      <c r="A12" s="1783" t="s">
        <v>596</v>
      </c>
      <c r="B12" s="1865">
        <f>B13+B32+B34</f>
        <v>15402194688.58</v>
      </c>
      <c r="C12" s="1865">
        <f>C13+C32+C34</f>
        <v>14410546245.24</v>
      </c>
      <c r="D12" s="1866" t="s">
        <v>597</v>
      </c>
      <c r="E12" s="1866" t="s">
        <v>597</v>
      </c>
      <c r="F12" s="1866" t="s">
        <v>597</v>
      </c>
      <c r="G12" s="1866" t="s">
        <v>597</v>
      </c>
      <c r="H12" s="1866" t="s">
        <v>597</v>
      </c>
      <c r="I12" s="1867">
        <f t="shared" si="0"/>
        <v>23.783645443098628</v>
      </c>
      <c r="J12" s="1867">
        <f t="shared" si="1"/>
        <v>93.561641938760445</v>
      </c>
      <c r="K12" s="1871"/>
    </row>
    <row r="13" spans="1:11" ht="26.4">
      <c r="A13" s="1789" t="s">
        <v>598</v>
      </c>
      <c r="B13" s="1865">
        <f>B14+B16+B18+B20+B22+B24+B26+B28+B30</f>
        <v>13054339692.710001</v>
      </c>
      <c r="C13" s="1865">
        <f>C14+C16+C18+C20+C22+C24+C26+C28+C30</f>
        <v>12439025739.800001</v>
      </c>
      <c r="D13" s="1866" t="s">
        <v>597</v>
      </c>
      <c r="E13" s="1866" t="s">
        <v>597</v>
      </c>
      <c r="F13" s="1866" t="s">
        <v>597</v>
      </c>
      <c r="G13" s="1866" t="s">
        <v>597</v>
      </c>
      <c r="H13" s="1866" t="s">
        <v>597</v>
      </c>
      <c r="I13" s="1867">
        <f t="shared" si="0"/>
        <v>20.529782342616095</v>
      </c>
      <c r="J13" s="1867">
        <f t="shared" si="1"/>
        <v>95.286517990231147</v>
      </c>
      <c r="K13" s="1872"/>
    </row>
    <row r="14" spans="1:11">
      <c r="A14" s="1790" t="s">
        <v>599</v>
      </c>
      <c r="B14" s="1868">
        <f>4796787396.11</f>
        <v>4796787396.1099997</v>
      </c>
      <c r="C14" s="1868">
        <f>4746823291.56</f>
        <v>4746823291.5600004</v>
      </c>
      <c r="D14" s="1866" t="s">
        <v>597</v>
      </c>
      <c r="E14" s="1866" t="s">
        <v>597</v>
      </c>
      <c r="F14" s="1866" t="s">
        <v>597</v>
      </c>
      <c r="G14" s="1866" t="s">
        <v>597</v>
      </c>
      <c r="H14" s="1866" t="s">
        <v>597</v>
      </c>
      <c r="I14" s="1869">
        <f t="shared" si="0"/>
        <v>7.834315245669246</v>
      </c>
      <c r="J14" s="1869">
        <f t="shared" si="1"/>
        <v>98.958384009461881</v>
      </c>
      <c r="K14" s="1872"/>
    </row>
    <row r="15" spans="1:11">
      <c r="A15" s="1791" t="s">
        <v>600</v>
      </c>
      <c r="B15" s="1868">
        <f>486235612.22</f>
        <v>486235612.22000003</v>
      </c>
      <c r="C15" s="1868">
        <f>465025588.35</f>
        <v>465025588.35000002</v>
      </c>
      <c r="D15" s="1866" t="s">
        <v>597</v>
      </c>
      <c r="E15" s="1866" t="s">
        <v>597</v>
      </c>
      <c r="F15" s="1866" t="s">
        <v>597</v>
      </c>
      <c r="G15" s="1866" t="s">
        <v>597</v>
      </c>
      <c r="H15" s="1866" t="s">
        <v>597</v>
      </c>
      <c r="I15" s="1869">
        <f t="shared" si="0"/>
        <v>0.76749371793855536</v>
      </c>
      <c r="J15" s="1869">
        <f t="shared" si="1"/>
        <v>95.637912292527957</v>
      </c>
      <c r="K15" s="1872"/>
    </row>
    <row r="16" spans="1:11">
      <c r="A16" s="1790" t="s">
        <v>601</v>
      </c>
      <c r="B16" s="1868">
        <f>2636548281.25</f>
        <v>2636548281.25</v>
      </c>
      <c r="C16" s="1868">
        <f>2406175351.71</f>
        <v>2406175351.71</v>
      </c>
      <c r="D16" s="1866" t="s">
        <v>597</v>
      </c>
      <c r="E16" s="1866" t="s">
        <v>597</v>
      </c>
      <c r="F16" s="1866" t="s">
        <v>597</v>
      </c>
      <c r="G16" s="1866" t="s">
        <v>597</v>
      </c>
      <c r="H16" s="1866" t="s">
        <v>597</v>
      </c>
      <c r="I16" s="1869">
        <f t="shared" si="0"/>
        <v>3.9712319342437725</v>
      </c>
      <c r="J16" s="1869">
        <f t="shared" si="1"/>
        <v>91.262328432279688</v>
      </c>
      <c r="K16" s="1872"/>
    </row>
    <row r="17" spans="1:11">
      <c r="A17" s="1791" t="s">
        <v>600</v>
      </c>
      <c r="B17" s="1868">
        <f>822774894.01</f>
        <v>822774894.00999999</v>
      </c>
      <c r="C17" s="1868">
        <f>702818430.72</f>
        <v>702818430.72000003</v>
      </c>
      <c r="D17" s="1866" t="s">
        <v>597</v>
      </c>
      <c r="E17" s="1866" t="s">
        <v>597</v>
      </c>
      <c r="F17" s="1866" t="s">
        <v>597</v>
      </c>
      <c r="G17" s="1866" t="s">
        <v>597</v>
      </c>
      <c r="H17" s="1866" t="s">
        <v>597</v>
      </c>
      <c r="I17" s="1869">
        <f t="shared" si="0"/>
        <v>1.1599549442923334</v>
      </c>
      <c r="J17" s="1869">
        <f t="shared" si="1"/>
        <v>85.420500289530949</v>
      </c>
      <c r="K17" s="1872"/>
    </row>
    <row r="18" spans="1:11" ht="20.399999999999999">
      <c r="A18" s="1790" t="s">
        <v>602</v>
      </c>
      <c r="B18" s="1868">
        <f>156801514.4</f>
        <v>156801514.40000001</v>
      </c>
      <c r="C18" s="1868">
        <f>142070686.82</f>
        <v>142070686.81999999</v>
      </c>
      <c r="D18" s="1866" t="s">
        <v>597</v>
      </c>
      <c r="E18" s="1866" t="s">
        <v>597</v>
      </c>
      <c r="F18" s="1866" t="s">
        <v>597</v>
      </c>
      <c r="G18" s="1866" t="s">
        <v>597</v>
      </c>
      <c r="H18" s="1866" t="s">
        <v>597</v>
      </c>
      <c r="I18" s="1869">
        <f t="shared" si="0"/>
        <v>0.23447819296235919</v>
      </c>
      <c r="J18" s="1869">
        <f t="shared" si="1"/>
        <v>90.605430287859505</v>
      </c>
      <c r="K18" s="1872"/>
    </row>
    <row r="19" spans="1:11">
      <c r="A19" s="1791" t="s">
        <v>600</v>
      </c>
      <c r="B19" s="1868">
        <f>12381202.52</f>
        <v>12381202.52</v>
      </c>
      <c r="C19" s="1868">
        <f>11560240.08</f>
        <v>11560240.08</v>
      </c>
      <c r="D19" s="1866" t="s">
        <v>597</v>
      </c>
      <c r="E19" s="1866" t="s">
        <v>597</v>
      </c>
      <c r="F19" s="1866" t="s">
        <v>597</v>
      </c>
      <c r="G19" s="1866" t="s">
        <v>597</v>
      </c>
      <c r="H19" s="1866" t="s">
        <v>597</v>
      </c>
      <c r="I19" s="1869">
        <f t="shared" si="0"/>
        <v>1.9079405223145936E-2</v>
      </c>
      <c r="J19" s="1869">
        <f t="shared" si="1"/>
        <v>93.369283487013021</v>
      </c>
      <c r="K19" s="1872"/>
    </row>
    <row r="20" spans="1:11" ht="20.399999999999999">
      <c r="A20" s="1790" t="s">
        <v>603</v>
      </c>
      <c r="B20" s="1868">
        <f>527227799.14</f>
        <v>527227799.13999999</v>
      </c>
      <c r="C20" s="1868">
        <f>514504348.99</f>
        <v>514504348.99000001</v>
      </c>
      <c r="D20" s="1866" t="s">
        <v>597</v>
      </c>
      <c r="E20" s="1866" t="s">
        <v>597</v>
      </c>
      <c r="F20" s="1866" t="s">
        <v>597</v>
      </c>
      <c r="G20" s="1866" t="s">
        <v>597</v>
      </c>
      <c r="H20" s="1866" t="s">
        <v>597</v>
      </c>
      <c r="I20" s="1869">
        <f t="shared" si="0"/>
        <v>0.84915511230897422</v>
      </c>
      <c r="J20" s="1869">
        <f t="shared" si="1"/>
        <v>97.586726236599404</v>
      </c>
      <c r="K20" s="1872"/>
    </row>
    <row r="21" spans="1:11">
      <c r="A21" s="1791" t="s">
        <v>600</v>
      </c>
      <c r="B21" s="1868">
        <f>92977992.14</f>
        <v>92977992.140000001</v>
      </c>
      <c r="C21" s="1868">
        <f>86385175.73</f>
        <v>86385175.730000004</v>
      </c>
      <c r="D21" s="1866" t="s">
        <v>597</v>
      </c>
      <c r="E21" s="1866" t="s">
        <v>597</v>
      </c>
      <c r="F21" s="1866" t="s">
        <v>597</v>
      </c>
      <c r="G21" s="1866" t="s">
        <v>597</v>
      </c>
      <c r="H21" s="1866" t="s">
        <v>597</v>
      </c>
      <c r="I21" s="1869">
        <f t="shared" si="0"/>
        <v>0.14257297094346691</v>
      </c>
      <c r="J21" s="1869">
        <f t="shared" si="1"/>
        <v>92.909272121005813</v>
      </c>
      <c r="K21" s="1872"/>
    </row>
    <row r="22" spans="1:11" ht="30.6">
      <c r="A22" s="1790" t="s">
        <v>604</v>
      </c>
      <c r="B22" s="1868">
        <f>1017894319.82</f>
        <v>1017894319.8200001</v>
      </c>
      <c r="C22" s="1868">
        <f>931855209.11</f>
        <v>931855209.11000001</v>
      </c>
      <c r="D22" s="1866" t="s">
        <v>597</v>
      </c>
      <c r="E22" s="1866" t="s">
        <v>597</v>
      </c>
      <c r="F22" s="1866" t="s">
        <v>597</v>
      </c>
      <c r="G22" s="1866" t="s">
        <v>597</v>
      </c>
      <c r="H22" s="1866" t="s">
        <v>597</v>
      </c>
      <c r="I22" s="1869">
        <f t="shared" si="0"/>
        <v>1.5379648710469587</v>
      </c>
      <c r="J22" s="1869">
        <f t="shared" si="1"/>
        <v>91.547343468306721</v>
      </c>
      <c r="K22" s="1872"/>
    </row>
    <row r="23" spans="1:11">
      <c r="A23" s="1791" t="s">
        <v>600</v>
      </c>
      <c r="B23" s="1868">
        <f>792399246.04</f>
        <v>792399246.03999996</v>
      </c>
      <c r="C23" s="1868">
        <f>724043690.48</f>
        <v>724043690.48000002</v>
      </c>
      <c r="D23" s="1866" t="s">
        <v>597</v>
      </c>
      <c r="E23" s="1866" t="s">
        <v>597</v>
      </c>
      <c r="F23" s="1866" t="s">
        <v>597</v>
      </c>
      <c r="G23" s="1866" t="s">
        <v>597</v>
      </c>
      <c r="H23" s="1866" t="s">
        <v>597</v>
      </c>
      <c r="I23" s="1869">
        <f t="shared" si="0"/>
        <v>1.1949858198732126</v>
      </c>
      <c r="J23" s="1869">
        <f t="shared" si="1"/>
        <v>91.373596592676535</v>
      </c>
      <c r="K23" s="1872"/>
    </row>
    <row r="24" spans="1:11">
      <c r="A24" s="1790" t="s">
        <v>605</v>
      </c>
      <c r="B24" s="1868">
        <f>130023329.27</f>
        <v>130023329.27</v>
      </c>
      <c r="C24" s="1868">
        <f>127289327.28</f>
        <v>127289327.28</v>
      </c>
      <c r="D24" s="1866" t="s">
        <v>597</v>
      </c>
      <c r="E24" s="1866" t="s">
        <v>597</v>
      </c>
      <c r="F24" s="1866" t="s">
        <v>597</v>
      </c>
      <c r="G24" s="1866" t="s">
        <v>597</v>
      </c>
      <c r="H24" s="1866" t="s">
        <v>597</v>
      </c>
      <c r="I24" s="1869">
        <f t="shared" si="0"/>
        <v>0.21008254490825112</v>
      </c>
      <c r="J24" s="1869">
        <f t="shared" si="1"/>
        <v>97.897298888322794</v>
      </c>
      <c r="K24" s="1872"/>
    </row>
    <row r="25" spans="1:11">
      <c r="A25" s="1791" t="s">
        <v>600</v>
      </c>
      <c r="B25" s="1868">
        <f>102641261.87</f>
        <v>102641261.87</v>
      </c>
      <c r="C25" s="1868">
        <f>97879908.16</f>
        <v>97879908.159999996</v>
      </c>
      <c r="D25" s="1866" t="s">
        <v>597</v>
      </c>
      <c r="E25" s="1866" t="s">
        <v>597</v>
      </c>
      <c r="F25" s="1866" t="s">
        <v>597</v>
      </c>
      <c r="G25" s="1866" t="s">
        <v>597</v>
      </c>
      <c r="H25" s="1866" t="s">
        <v>597</v>
      </c>
      <c r="I25" s="1869">
        <f t="shared" si="0"/>
        <v>0.16154426015942644</v>
      </c>
      <c r="J25" s="1869">
        <f t="shared" si="1"/>
        <v>95.361169939599449</v>
      </c>
      <c r="K25" s="1872"/>
    </row>
    <row r="26" spans="1:11" ht="40.799999999999997">
      <c r="A26" s="1790" t="s">
        <v>606</v>
      </c>
      <c r="B26" s="1868">
        <f>3726066.29</f>
        <v>3726066.29</v>
      </c>
      <c r="C26" s="1868">
        <f>3721270.37</f>
        <v>3721270.37</v>
      </c>
      <c r="D26" s="1866" t="s">
        <v>597</v>
      </c>
      <c r="E26" s="1866" t="s">
        <v>597</v>
      </c>
      <c r="F26" s="1866" t="s">
        <v>597</v>
      </c>
      <c r="G26" s="1866" t="s">
        <v>597</v>
      </c>
      <c r="H26" s="1866" t="s">
        <v>597</v>
      </c>
      <c r="I26" s="1869">
        <f t="shared" si="0"/>
        <v>6.141708549543913E-3</v>
      </c>
      <c r="J26" s="1869">
        <f t="shared" si="1"/>
        <v>99.871287314107335</v>
      </c>
      <c r="K26" s="1872"/>
    </row>
    <row r="27" spans="1:11">
      <c r="A27" s="1791" t="s">
        <v>607</v>
      </c>
      <c r="B27" s="1868">
        <f>3269596</f>
        <v>3269596</v>
      </c>
      <c r="C27" s="1868">
        <f>3233603.04</f>
        <v>3233603.04</v>
      </c>
      <c r="D27" s="1866" t="s">
        <v>597</v>
      </c>
      <c r="E27" s="1866" t="s">
        <v>597</v>
      </c>
      <c r="F27" s="1866" t="s">
        <v>597</v>
      </c>
      <c r="G27" s="1866" t="s">
        <v>597</v>
      </c>
      <c r="H27" s="1866" t="s">
        <v>597</v>
      </c>
      <c r="I27" s="1869">
        <f t="shared" si="0"/>
        <v>5.3368461471395828E-3</v>
      </c>
      <c r="J27" s="1869">
        <f t="shared" si="1"/>
        <v>98.899161853635746</v>
      </c>
      <c r="K27" s="1872"/>
    </row>
    <row r="28" spans="1:11" ht="20.399999999999999">
      <c r="A28" s="1790" t="s">
        <v>1050</v>
      </c>
      <c r="B28" s="1868">
        <f>3087229660</f>
        <v>3087229660</v>
      </c>
      <c r="C28" s="1868">
        <f>2895751047.58</f>
        <v>2895751047.5799999</v>
      </c>
      <c r="D28" s="1866" t="s">
        <v>597</v>
      </c>
      <c r="E28" s="1866" t="s">
        <v>597</v>
      </c>
      <c r="F28" s="1866" t="s">
        <v>597</v>
      </c>
      <c r="G28" s="1866" t="s">
        <v>597</v>
      </c>
      <c r="H28" s="1866" t="s">
        <v>597</v>
      </c>
      <c r="I28" s="1869">
        <f t="shared" si="0"/>
        <v>4.7792439672349927</v>
      </c>
      <c r="J28" s="1869">
        <f t="shared" si="1"/>
        <v>93.797720496764086</v>
      </c>
      <c r="K28" s="1872"/>
    </row>
    <row r="29" spans="1:11">
      <c r="A29" s="1791" t="s">
        <v>600</v>
      </c>
      <c r="B29" s="1868">
        <f>3086955362.29</f>
        <v>3086955362.29</v>
      </c>
      <c r="C29" s="1868">
        <f>2895476749.87</f>
        <v>2895476749.8699999</v>
      </c>
      <c r="D29" s="1866" t="s">
        <v>597</v>
      </c>
      <c r="E29" s="1866" t="s">
        <v>597</v>
      </c>
      <c r="F29" s="1866" t="s">
        <v>597</v>
      </c>
      <c r="G29" s="1866" t="s">
        <v>597</v>
      </c>
      <c r="H29" s="1866" t="s">
        <v>597</v>
      </c>
      <c r="I29" s="1869">
        <f t="shared" si="0"/>
        <v>4.7787912571593667</v>
      </c>
      <c r="J29" s="1869">
        <f t="shared" si="1"/>
        <v>93.797169380578438</v>
      </c>
      <c r="K29" s="1872"/>
    </row>
    <row r="30" spans="1:11" ht="20.399999999999999">
      <c r="A30" s="1790" t="s">
        <v>608</v>
      </c>
      <c r="B30" s="1868">
        <f>698101326.43</f>
        <v>698101326.42999995</v>
      </c>
      <c r="C30" s="1868">
        <f>670835206.38</f>
        <v>670835206.38</v>
      </c>
      <c r="D30" s="1866" t="s">
        <v>597</v>
      </c>
      <c r="E30" s="1866" t="s">
        <v>597</v>
      </c>
      <c r="F30" s="1866" t="s">
        <v>597</v>
      </c>
      <c r="G30" s="1866" t="s">
        <v>597</v>
      </c>
      <c r="H30" s="1866" t="s">
        <v>597</v>
      </c>
      <c r="I30" s="1869">
        <f t="shared" si="0"/>
        <v>1.1071687656919971</v>
      </c>
      <c r="J30" s="1869">
        <f t="shared" si="1"/>
        <v>96.094246061752187</v>
      </c>
      <c r="K30" s="1872"/>
    </row>
    <row r="31" spans="1:11">
      <c r="A31" s="1791" t="s">
        <v>600</v>
      </c>
      <c r="B31" s="1868">
        <f>0</f>
        <v>0</v>
      </c>
      <c r="C31" s="1868">
        <f>0</f>
        <v>0</v>
      </c>
      <c r="D31" s="1866" t="s">
        <v>597</v>
      </c>
      <c r="E31" s="1866" t="s">
        <v>597</v>
      </c>
      <c r="F31" s="1866" t="s">
        <v>597</v>
      </c>
      <c r="G31" s="1866" t="s">
        <v>597</v>
      </c>
      <c r="H31" s="1866" t="s">
        <v>597</v>
      </c>
      <c r="I31" s="1869">
        <f t="shared" si="0"/>
        <v>0</v>
      </c>
      <c r="J31" s="1869" t="str">
        <f t="shared" si="1"/>
        <v/>
      </c>
      <c r="K31" s="1872"/>
    </row>
    <row r="32" spans="1:11">
      <c r="A32" s="1873" t="s">
        <v>731</v>
      </c>
      <c r="B32" s="1865">
        <f>121573224.9</f>
        <v>121573224.90000001</v>
      </c>
      <c r="C32" s="1865">
        <f>109378412.46</f>
        <v>109378412.45999999</v>
      </c>
      <c r="D32" s="1866" t="s">
        <v>597</v>
      </c>
      <c r="E32" s="1866" t="s">
        <v>597</v>
      </c>
      <c r="F32" s="1866" t="s">
        <v>597</v>
      </c>
      <c r="G32" s="1866" t="s">
        <v>597</v>
      </c>
      <c r="H32" s="1866" t="s">
        <v>597</v>
      </c>
      <c r="I32" s="1869">
        <f t="shared" si="0"/>
        <v>0.18052177459524998</v>
      </c>
      <c r="J32" s="1869">
        <f t="shared" si="1"/>
        <v>89.969162658940036</v>
      </c>
      <c r="K32" s="1788"/>
    </row>
    <row r="33" spans="1:16">
      <c r="A33" s="1791" t="s">
        <v>732</v>
      </c>
      <c r="B33" s="1868">
        <f>44671895.48</f>
        <v>44671895.479999997</v>
      </c>
      <c r="C33" s="1868">
        <f>30578624.17</f>
        <v>30578624.170000002</v>
      </c>
      <c r="D33" s="1866" t="s">
        <v>597</v>
      </c>
      <c r="E33" s="1866" t="s">
        <v>597</v>
      </c>
      <c r="F33" s="1866" t="s">
        <v>597</v>
      </c>
      <c r="G33" s="1866" t="s">
        <v>597</v>
      </c>
      <c r="H33" s="1866" t="s">
        <v>597</v>
      </c>
      <c r="I33" s="1869">
        <f t="shared" si="0"/>
        <v>5.0467979701829389E-2</v>
      </c>
      <c r="J33" s="1869">
        <f t="shared" si="1"/>
        <v>68.451593202912832</v>
      </c>
      <c r="K33" s="1788"/>
    </row>
    <row r="34" spans="1:16">
      <c r="A34" s="1873" t="s">
        <v>733</v>
      </c>
      <c r="B34" s="1868">
        <f>2226281770.97</f>
        <v>2226281770.9699998</v>
      </c>
      <c r="C34" s="1868">
        <f>1862142092.98</f>
        <v>1862142092.98</v>
      </c>
      <c r="D34" s="1866" t="s">
        <v>597</v>
      </c>
      <c r="E34" s="1866" t="s">
        <v>597</v>
      </c>
      <c r="F34" s="1866" t="s">
        <v>597</v>
      </c>
      <c r="G34" s="1866" t="s">
        <v>597</v>
      </c>
      <c r="H34" s="1866" t="s">
        <v>597</v>
      </c>
      <c r="I34" s="1869">
        <f t="shared" si="0"/>
        <v>3.0733413258872835</v>
      </c>
      <c r="J34" s="1869">
        <f t="shared" si="1"/>
        <v>83.643594322234307</v>
      </c>
      <c r="K34" s="1788"/>
    </row>
    <row r="35" spans="1:16">
      <c r="A35" s="1791" t="s">
        <v>734</v>
      </c>
      <c r="B35" s="1868">
        <f>1463237315.1</f>
        <v>1463237315.0999999</v>
      </c>
      <c r="C35" s="1868">
        <f>1197356539.96</f>
        <v>1197356539.96</v>
      </c>
      <c r="D35" s="1866" t="s">
        <v>597</v>
      </c>
      <c r="E35" s="1866" t="s">
        <v>597</v>
      </c>
      <c r="F35" s="1866" t="s">
        <v>597</v>
      </c>
      <c r="G35" s="1866" t="s">
        <v>597</v>
      </c>
      <c r="H35" s="1866" t="s">
        <v>597</v>
      </c>
      <c r="I35" s="1869">
        <f t="shared" si="0"/>
        <v>1.9761571095745591</v>
      </c>
      <c r="J35" s="1869">
        <f t="shared" si="1"/>
        <v>81.829278655196873</v>
      </c>
      <c r="K35" s="1788"/>
    </row>
    <row r="36" spans="1:16">
      <c r="A36" s="1783" t="s">
        <v>857</v>
      </c>
      <c r="B36" s="1865">
        <f>11542121007.89</f>
        <v>11542121007.889999</v>
      </c>
      <c r="C36" s="1865">
        <f>11602875863.26</f>
        <v>11602875863.26</v>
      </c>
      <c r="D36" s="1866" t="s">
        <v>597</v>
      </c>
      <c r="E36" s="1866" t="s">
        <v>597</v>
      </c>
      <c r="F36" s="1866" t="s">
        <v>597</v>
      </c>
      <c r="G36" s="1866" t="s">
        <v>597</v>
      </c>
      <c r="H36" s="1866" t="s">
        <v>597</v>
      </c>
      <c r="I36" s="1867">
        <f t="shared" si="0"/>
        <v>19.149772739754102</v>
      </c>
      <c r="J36" s="1867">
        <f t="shared" si="1"/>
        <v>100.52637513788385</v>
      </c>
      <c r="K36" s="1788"/>
    </row>
    <row r="37" spans="1:16">
      <c r="A37" s="1784" t="s">
        <v>609</v>
      </c>
      <c r="B37" s="1868">
        <f>0</f>
        <v>0</v>
      </c>
      <c r="C37" s="1868">
        <f>0</f>
        <v>0</v>
      </c>
      <c r="D37" s="1866" t="s">
        <v>597</v>
      </c>
      <c r="E37" s="1866" t="s">
        <v>597</v>
      </c>
      <c r="F37" s="1866" t="s">
        <v>597</v>
      </c>
      <c r="G37" s="1866" t="s">
        <v>597</v>
      </c>
      <c r="H37" s="1866" t="s">
        <v>597</v>
      </c>
      <c r="I37" s="1869">
        <f t="shared" si="0"/>
        <v>0</v>
      </c>
      <c r="J37" s="1869" t="str">
        <f t="shared" si="1"/>
        <v/>
      </c>
      <c r="K37" s="1788"/>
    </row>
    <row r="38" spans="1:16" ht="20.399999999999999">
      <c r="A38" s="1784" t="s">
        <v>858</v>
      </c>
      <c r="B38" s="1868">
        <f>1398515738.91</f>
        <v>1398515738.9100001</v>
      </c>
      <c r="C38" s="1868">
        <f>1459270592.52</f>
        <v>1459270592.52</v>
      </c>
      <c r="D38" s="1866" t="s">
        <v>597</v>
      </c>
      <c r="E38" s="1866" t="s">
        <v>597</v>
      </c>
      <c r="F38" s="1866" t="s">
        <v>597</v>
      </c>
      <c r="G38" s="1866" t="s">
        <v>597</v>
      </c>
      <c r="H38" s="1866" t="s">
        <v>597</v>
      </c>
      <c r="I38" s="1869">
        <f t="shared" si="0"/>
        <v>2.4084287845438372</v>
      </c>
      <c r="J38" s="1869">
        <f t="shared" si="1"/>
        <v>104.34423810327313</v>
      </c>
      <c r="K38" s="1788"/>
    </row>
    <row r="39" spans="1:16">
      <c r="A39" s="1790" t="s">
        <v>600</v>
      </c>
      <c r="B39" s="1868">
        <f>229092520</f>
        <v>229092520</v>
      </c>
      <c r="C39" s="1868">
        <f>231150871</f>
        <v>231150871</v>
      </c>
      <c r="D39" s="1866" t="s">
        <v>597</v>
      </c>
      <c r="E39" s="1866" t="s">
        <v>597</v>
      </c>
      <c r="F39" s="1866" t="s">
        <v>597</v>
      </c>
      <c r="G39" s="1866" t="s">
        <v>597</v>
      </c>
      <c r="H39" s="1866" t="s">
        <v>597</v>
      </c>
      <c r="I39" s="1869">
        <f t="shared" si="0"/>
        <v>0.38149909560460726</v>
      </c>
      <c r="J39" s="1869">
        <f t="shared" si="1"/>
        <v>100.89848022973426</v>
      </c>
      <c r="K39" s="1788"/>
    </row>
    <row r="40" spans="1:16">
      <c r="A40" s="1864" t="s">
        <v>588</v>
      </c>
      <c r="B40" s="1868">
        <f>+B6</f>
        <v>61041361040.629997</v>
      </c>
      <c r="C40" s="1868">
        <f>+C6</f>
        <v>60590149141.419998</v>
      </c>
      <c r="D40" s="1866" t="s">
        <v>597</v>
      </c>
      <c r="E40" s="1866" t="s">
        <v>597</v>
      </c>
      <c r="F40" s="1866" t="s">
        <v>597</v>
      </c>
      <c r="G40" s="1866" t="s">
        <v>597</v>
      </c>
      <c r="H40" s="1866" t="s">
        <v>597</v>
      </c>
      <c r="I40" s="1869">
        <f>IF($C$6=0,"",100*$C40/$C$40)</f>
        <v>100</v>
      </c>
      <c r="J40" s="1869">
        <f t="shared" si="1"/>
        <v>99.260809569908403</v>
      </c>
      <c r="K40" s="1806"/>
    </row>
    <row r="41" spans="1:16">
      <c r="A41" s="1836" t="s">
        <v>137</v>
      </c>
      <c r="B41" s="1868">
        <f>8675155791.45</f>
        <v>8675155791.4500008</v>
      </c>
      <c r="C41" s="1868">
        <f>8039656349.7</f>
        <v>8039656349.6999998</v>
      </c>
      <c r="D41" s="1866" t="s">
        <v>597</v>
      </c>
      <c r="E41" s="1866" t="s">
        <v>597</v>
      </c>
      <c r="F41" s="1866" t="s">
        <v>597</v>
      </c>
      <c r="G41" s="1866" t="s">
        <v>597</v>
      </c>
      <c r="H41" s="1866" t="s">
        <v>597</v>
      </c>
      <c r="I41" s="1869">
        <f>IF($C$6=0,"",100*$C41/$C$40)</f>
        <v>13.268916587307119</v>
      </c>
      <c r="J41" s="1869">
        <f t="shared" si="1"/>
        <v>92.674489576586836</v>
      </c>
      <c r="K41" s="1806"/>
    </row>
    <row r="42" spans="1:16">
      <c r="A42" s="1836" t="s">
        <v>136</v>
      </c>
      <c r="B42" s="1868">
        <f>B40-B41</f>
        <v>52366205249.179993</v>
      </c>
      <c r="C42" s="1868">
        <f>C40-C41</f>
        <v>52550492791.720001</v>
      </c>
      <c r="D42" s="1866" t="s">
        <v>597</v>
      </c>
      <c r="E42" s="1866" t="s">
        <v>597</v>
      </c>
      <c r="F42" s="1866" t="s">
        <v>597</v>
      </c>
      <c r="G42" s="1866" t="s">
        <v>597</v>
      </c>
      <c r="H42" s="1866" t="s">
        <v>597</v>
      </c>
      <c r="I42" s="1869">
        <f>IF($C$6=0,"",100*$C42/$C$40)</f>
        <v>86.731083412692882</v>
      </c>
      <c r="J42" s="1869">
        <f t="shared" si="1"/>
        <v>100.35192075053575</v>
      </c>
      <c r="K42" s="1806"/>
    </row>
    <row r="43" spans="1:16">
      <c r="A43" s="1874" t="s">
        <v>610</v>
      </c>
      <c r="B43" s="1875"/>
      <c r="C43" s="1875"/>
      <c r="D43" s="1876"/>
      <c r="E43" s="1876"/>
      <c r="F43" s="1876"/>
      <c r="G43" s="1876"/>
      <c r="H43" s="1876"/>
      <c r="I43" s="1871"/>
      <c r="J43" s="1871"/>
      <c r="K43" s="1806"/>
    </row>
    <row r="44" spans="1:16">
      <c r="A44" s="1804"/>
      <c r="B44" s="1793"/>
      <c r="C44" s="1794"/>
      <c r="D44" s="1794"/>
      <c r="E44" s="1795"/>
      <c r="F44" s="1795"/>
      <c r="G44" s="1795"/>
      <c r="H44" s="1795"/>
      <c r="I44" s="1795"/>
      <c r="J44" s="1796"/>
      <c r="K44" s="1796"/>
      <c r="L44" s="399"/>
      <c r="M44" s="399"/>
      <c r="N44" s="400"/>
      <c r="O44" s="400"/>
      <c r="P44" s="401"/>
    </row>
    <row r="45" spans="1:16" ht="31.5" customHeight="1">
      <c r="A45" s="2293" t="s">
        <v>584</v>
      </c>
      <c r="B45" s="2295" t="s">
        <v>892</v>
      </c>
      <c r="C45" s="2295" t="s">
        <v>893</v>
      </c>
      <c r="D45" s="2295" t="s">
        <v>894</v>
      </c>
      <c r="E45" s="2295" t="s">
        <v>611</v>
      </c>
      <c r="F45" s="2295"/>
      <c r="G45" s="2295"/>
      <c r="H45" s="2296" t="s">
        <v>895</v>
      </c>
      <c r="I45" s="2295" t="s">
        <v>585</v>
      </c>
      <c r="J45" s="2299" t="s">
        <v>586</v>
      </c>
      <c r="K45" s="1806"/>
      <c r="L45" s="401"/>
    </row>
    <row r="46" spans="1:16" ht="21.6" customHeight="1">
      <c r="A46" s="2293"/>
      <c r="B46" s="2295"/>
      <c r="C46" s="2295"/>
      <c r="D46" s="2289"/>
      <c r="E46" s="2283" t="s">
        <v>896</v>
      </c>
      <c r="F46" s="2288" t="s">
        <v>612</v>
      </c>
      <c r="G46" s="2289"/>
      <c r="H46" s="2297"/>
      <c r="I46" s="2295"/>
      <c r="J46" s="2299"/>
      <c r="K46" s="1808"/>
      <c r="M46" s="1711"/>
      <c r="N46" s="478"/>
    </row>
    <row r="47" spans="1:16" ht="40.200000000000003" customHeight="1">
      <c r="A47" s="2293"/>
      <c r="B47" s="2295"/>
      <c r="C47" s="2295"/>
      <c r="D47" s="2289"/>
      <c r="E47" s="2289"/>
      <c r="F47" s="1809" t="s">
        <v>897</v>
      </c>
      <c r="G47" s="1809" t="s">
        <v>898</v>
      </c>
      <c r="H47" s="2298"/>
      <c r="I47" s="2295"/>
      <c r="J47" s="2299"/>
      <c r="K47" s="1808"/>
      <c r="L47" s="407"/>
      <c r="M47" s="408"/>
      <c r="N47" s="479"/>
    </row>
    <row r="48" spans="1:16">
      <c r="A48" s="2293"/>
      <c r="B48" s="2290" t="s">
        <v>163</v>
      </c>
      <c r="C48" s="2291"/>
      <c r="D48" s="2291"/>
      <c r="E48" s="2291"/>
      <c r="F48" s="2291"/>
      <c r="G48" s="2291"/>
      <c r="H48" s="2292"/>
      <c r="I48" s="2294" t="s">
        <v>169</v>
      </c>
      <c r="J48" s="2294"/>
      <c r="K48" s="1806"/>
      <c r="M48" s="408"/>
      <c r="N48" s="477"/>
    </row>
    <row r="49" spans="1:14">
      <c r="A49" s="1777">
        <v>1</v>
      </c>
      <c r="B49" s="1779">
        <v>2</v>
      </c>
      <c r="C49" s="1779">
        <v>3</v>
      </c>
      <c r="D49" s="1779">
        <v>4</v>
      </c>
      <c r="E49" s="1777">
        <v>5</v>
      </c>
      <c r="F49" s="1777">
        <v>6</v>
      </c>
      <c r="G49" s="1779">
        <v>7</v>
      </c>
      <c r="H49" s="1779">
        <v>8</v>
      </c>
      <c r="I49" s="1777">
        <v>9</v>
      </c>
      <c r="J49" s="1779">
        <v>10</v>
      </c>
      <c r="K49" s="1806"/>
      <c r="N49" s="479"/>
    </row>
    <row r="50" spans="1:14" ht="26.4">
      <c r="A50" s="1780" t="s">
        <v>613</v>
      </c>
      <c r="B50" s="1878">
        <f>63652524016.85</f>
        <v>63652524016.849998</v>
      </c>
      <c r="C50" s="1878">
        <f>58747803103.92</f>
        <v>58747803103.919998</v>
      </c>
      <c r="D50" s="1878">
        <f>58773251404.02</f>
        <v>58773251404.019997</v>
      </c>
      <c r="E50" s="1878">
        <f>2738646038.95</f>
        <v>2738646038.9499998</v>
      </c>
      <c r="F50" s="1878">
        <f>36994.79</f>
        <v>36994.79</v>
      </c>
      <c r="G50" s="1878">
        <f>765923.8</f>
        <v>765923.8</v>
      </c>
      <c r="H50" s="1879">
        <f>298991084.43</f>
        <v>298991084.43000001</v>
      </c>
      <c r="I50" s="1880">
        <f>IF($C$50=0,"",100*$C50/$C$50)</f>
        <v>100</v>
      </c>
      <c r="J50" s="1880">
        <f>IF(B50=0,"",100*C50/B50)</f>
        <v>92.294538215591217</v>
      </c>
      <c r="K50" s="1806"/>
      <c r="N50" s="477"/>
    </row>
    <row r="51" spans="1:14">
      <c r="A51" s="1780" t="s">
        <v>614</v>
      </c>
      <c r="B51" s="1881">
        <f>13486781858.3</f>
        <v>13486781858.299999</v>
      </c>
      <c r="C51" s="1881">
        <f>11706216563.71</f>
        <v>11706216563.709999</v>
      </c>
      <c r="D51" s="1881">
        <f>11711855817.44</f>
        <v>11711855817.440001</v>
      </c>
      <c r="E51" s="1881">
        <f>141097204.47</f>
        <v>141097204.47</v>
      </c>
      <c r="F51" s="1881">
        <f>5597.13</f>
        <v>5597.13</v>
      </c>
      <c r="G51" s="1881">
        <f>2244</f>
        <v>2244</v>
      </c>
      <c r="H51" s="1882">
        <f>266695355.1</f>
        <v>266695355.09999999</v>
      </c>
      <c r="I51" s="1880">
        <f t="shared" ref="I51:I59" si="2">IF($C$50=0,"",100*$C51/$C$50)</f>
        <v>19.92622012265322</v>
      </c>
      <c r="J51" s="1880">
        <f t="shared" ref="J51:J59" si="3">IF(B51=0,"",100*C51/B51)</f>
        <v>86.79770079105856</v>
      </c>
      <c r="K51" s="1806"/>
      <c r="N51" s="480"/>
    </row>
    <row r="52" spans="1:14">
      <c r="A52" s="1883" t="s">
        <v>615</v>
      </c>
      <c r="B52" s="1868">
        <f>13337969603.19</f>
        <v>13337969603.190001</v>
      </c>
      <c r="C52" s="1868">
        <f>11561158943.64</f>
        <v>11561158943.639999</v>
      </c>
      <c r="D52" s="1868">
        <f>11566798197.37</f>
        <v>11566798197.370001</v>
      </c>
      <c r="E52" s="1868">
        <f>141097204.47</f>
        <v>141097204.47</v>
      </c>
      <c r="F52" s="1868">
        <f>5597.13</f>
        <v>5597.13</v>
      </c>
      <c r="G52" s="1868">
        <f>2244</f>
        <v>2244</v>
      </c>
      <c r="H52" s="1884">
        <f>266695355.1</f>
        <v>266695355.09999999</v>
      </c>
      <c r="I52" s="1880">
        <f t="shared" si="2"/>
        <v>19.679304302135805</v>
      </c>
      <c r="J52" s="1880">
        <f t="shared" si="3"/>
        <v>86.678552190394512</v>
      </c>
      <c r="K52" s="1806"/>
      <c r="N52" s="477"/>
    </row>
    <row r="53" spans="1:14" ht="26.4">
      <c r="A53" s="1780" t="s">
        <v>616</v>
      </c>
      <c r="B53" s="1881">
        <f t="shared" ref="B53:H53" si="4">B50-B51</f>
        <v>50165742158.550003</v>
      </c>
      <c r="C53" s="1881">
        <f>C50-C51</f>
        <v>47041586540.209999</v>
      </c>
      <c r="D53" s="1881">
        <f>D50-D51</f>
        <v>47061395586.579994</v>
      </c>
      <c r="E53" s="1881">
        <f t="shared" si="4"/>
        <v>2597548834.48</v>
      </c>
      <c r="F53" s="1881">
        <f t="shared" si="4"/>
        <v>31397.66</v>
      </c>
      <c r="G53" s="1881">
        <f t="shared" si="4"/>
        <v>763679.8</v>
      </c>
      <c r="H53" s="1882">
        <f t="shared" si="4"/>
        <v>32295729.330000013</v>
      </c>
      <c r="I53" s="1880">
        <f t="shared" si="2"/>
        <v>80.07377987734678</v>
      </c>
      <c r="J53" s="1880">
        <f t="shared" si="3"/>
        <v>93.772332504389084</v>
      </c>
      <c r="K53" s="1806"/>
      <c r="N53" s="480"/>
    </row>
    <row r="54" spans="1:14">
      <c r="A54" s="1883" t="s">
        <v>617</v>
      </c>
      <c r="B54" s="1868">
        <f>31894090831.89</f>
        <v>31894090831.889999</v>
      </c>
      <c r="C54" s="1868">
        <f>30967828689.57</f>
        <v>30967828689.57</v>
      </c>
      <c r="D54" s="1868">
        <f>30979478121.65</f>
        <v>30979478121.650002</v>
      </c>
      <c r="E54" s="1868">
        <f>2371335256.98</f>
        <v>2371335256.98</v>
      </c>
      <c r="F54" s="1868">
        <f>1298.77</f>
        <v>1298.77</v>
      </c>
      <c r="G54" s="1868">
        <f>0</f>
        <v>0</v>
      </c>
      <c r="H54" s="1884">
        <f>106800</f>
        <v>106800</v>
      </c>
      <c r="I54" s="1880">
        <f t="shared" si="2"/>
        <v>52.713168924445526</v>
      </c>
      <c r="J54" s="1880">
        <f t="shared" si="3"/>
        <v>97.09581894902658</v>
      </c>
      <c r="K54" s="1806"/>
      <c r="N54" s="480"/>
    </row>
    <row r="55" spans="1:14">
      <c r="A55" s="1883" t="s">
        <v>571</v>
      </c>
      <c r="B55" s="1885">
        <f>4397663806.62</f>
        <v>4397663806.6199999</v>
      </c>
      <c r="C55" s="1885">
        <f>4184347711.09</f>
        <v>4184347711.0900002</v>
      </c>
      <c r="D55" s="1885">
        <f>4186131137.47</f>
        <v>4186131137.4699998</v>
      </c>
      <c r="E55" s="1885">
        <f>1167275.77</f>
        <v>1167275.77</v>
      </c>
      <c r="F55" s="1885">
        <f>0</f>
        <v>0</v>
      </c>
      <c r="G55" s="1885">
        <f>900</f>
        <v>900</v>
      </c>
      <c r="H55" s="1886">
        <f>0</f>
        <v>0</v>
      </c>
      <c r="I55" s="1880">
        <f t="shared" si="2"/>
        <v>7.1225603171717511</v>
      </c>
      <c r="J55" s="1880">
        <f t="shared" si="3"/>
        <v>95.149331442551713</v>
      </c>
      <c r="K55" s="1806"/>
      <c r="N55" s="477"/>
    </row>
    <row r="56" spans="1:14">
      <c r="A56" s="1883" t="s">
        <v>618</v>
      </c>
      <c r="B56" s="1868">
        <f>484387198.07</f>
        <v>484387198.06999999</v>
      </c>
      <c r="C56" s="1868">
        <f>430800668.15</f>
        <v>430800668.14999998</v>
      </c>
      <c r="D56" s="1868">
        <f>430979286.79</f>
        <v>430979286.79000002</v>
      </c>
      <c r="E56" s="1868">
        <f>6908415.9</f>
        <v>6908415.9000000004</v>
      </c>
      <c r="F56" s="1868">
        <f>0</f>
        <v>0</v>
      </c>
      <c r="G56" s="1868">
        <f>0</f>
        <v>0</v>
      </c>
      <c r="H56" s="1884">
        <f>0</f>
        <v>0</v>
      </c>
      <c r="I56" s="1880">
        <f t="shared" si="2"/>
        <v>0.73330515421648923</v>
      </c>
      <c r="J56" s="1880">
        <f t="shared" si="3"/>
        <v>88.937253062527049</v>
      </c>
      <c r="K56" s="1806"/>
    </row>
    <row r="57" spans="1:14" ht="20.399999999999999">
      <c r="A57" s="1883" t="s">
        <v>619</v>
      </c>
      <c r="B57" s="1885">
        <f>28206004.95</f>
        <v>28206004.949999999</v>
      </c>
      <c r="C57" s="1885">
        <f>6396161.65</f>
        <v>6396161.6500000004</v>
      </c>
      <c r="D57" s="1885">
        <f>6396161.65</f>
        <v>6396161.6500000004</v>
      </c>
      <c r="E57" s="1885">
        <f>0</f>
        <v>0</v>
      </c>
      <c r="F57" s="1885">
        <f>0</f>
        <v>0</v>
      </c>
      <c r="G57" s="1885">
        <f>0</f>
        <v>0</v>
      </c>
      <c r="H57" s="1886">
        <f>0</f>
        <v>0</v>
      </c>
      <c r="I57" s="1880">
        <f t="shared" si="2"/>
        <v>1.0887490786141773E-2</v>
      </c>
      <c r="J57" s="1880">
        <f t="shared" si="3"/>
        <v>22.676595502760133</v>
      </c>
      <c r="K57" s="1806"/>
    </row>
    <row r="58" spans="1:14">
      <c r="A58" s="1883" t="s">
        <v>620</v>
      </c>
      <c r="B58" s="1885">
        <f>1526799578.25</f>
        <v>1526799578.25</v>
      </c>
      <c r="C58" s="1885">
        <f>1417178699.27</f>
        <v>1417178699.27</v>
      </c>
      <c r="D58" s="1885">
        <f>1420392859.82</f>
        <v>1420392859.8199999</v>
      </c>
      <c r="E58" s="1885">
        <f>17965136.82</f>
        <v>17965136.82</v>
      </c>
      <c r="F58" s="1885">
        <f>0</f>
        <v>0</v>
      </c>
      <c r="G58" s="1885">
        <f>18244.45</f>
        <v>18244.45</v>
      </c>
      <c r="H58" s="1887">
        <f>0</f>
        <v>0</v>
      </c>
      <c r="I58" s="1880">
        <f t="shared" si="2"/>
        <v>2.4123092684217116</v>
      </c>
      <c r="J58" s="1880">
        <f t="shared" si="3"/>
        <v>92.820218151641996</v>
      </c>
      <c r="K58" s="1806"/>
    </row>
    <row r="59" spans="1:14">
      <c r="A59" s="1883" t="s">
        <v>621</v>
      </c>
      <c r="B59" s="1868">
        <f t="shared" ref="B59:H59" si="5">B53-B54-B55-B56-B57-B58</f>
        <v>11834594738.770004</v>
      </c>
      <c r="C59" s="1868">
        <f>C53-C54-C55-C56-C57-C58</f>
        <v>10035034610.48</v>
      </c>
      <c r="D59" s="1888">
        <f>D53-D54-D55-D56-D57-D58</f>
        <v>10038018019.199993</v>
      </c>
      <c r="E59" s="1888">
        <f t="shared" si="5"/>
        <v>200172749.00999999</v>
      </c>
      <c r="F59" s="1888">
        <f t="shared" si="5"/>
        <v>30098.89</v>
      </c>
      <c r="G59" s="1888">
        <f t="shared" si="5"/>
        <v>744535.35000000009</v>
      </c>
      <c r="H59" s="1889">
        <f t="shared" si="5"/>
        <v>32188929.330000013</v>
      </c>
      <c r="I59" s="1880">
        <f t="shared" si="2"/>
        <v>17.081548722305165</v>
      </c>
      <c r="J59" s="1880">
        <f t="shared" si="3"/>
        <v>84.794070536317861</v>
      </c>
      <c r="K59" s="1806"/>
    </row>
    <row r="60" spans="1:14">
      <c r="A60" s="1780" t="s">
        <v>622</v>
      </c>
      <c r="B60" s="1881">
        <f>B6-B50</f>
        <v>-2611162976.2200012</v>
      </c>
      <c r="C60" s="1881">
        <f>C6-C50</f>
        <v>1842346037.5</v>
      </c>
      <c r="D60" s="1890"/>
      <c r="E60" s="1891"/>
      <c r="F60" s="1891"/>
      <c r="G60" s="1891"/>
      <c r="H60" s="2409"/>
      <c r="I60" s="2409"/>
      <c r="J60" s="1892"/>
      <c r="K60" s="1893"/>
    </row>
    <row r="61" spans="1:14" ht="26.4">
      <c r="A61" s="1824" t="s">
        <v>859</v>
      </c>
      <c r="B61" s="1894">
        <f>B42-B53</f>
        <v>2200463090.6299896</v>
      </c>
      <c r="C61" s="1894">
        <f>C42-C53</f>
        <v>5508906251.5100021</v>
      </c>
      <c r="D61" s="1895"/>
      <c r="E61" s="1896"/>
      <c r="F61" s="1896"/>
      <c r="G61" s="1896"/>
      <c r="H61" s="1896"/>
      <c r="I61" s="1896"/>
      <c r="J61" s="1897"/>
      <c r="K61" s="1897"/>
      <c r="L61" s="416"/>
    </row>
    <row r="62" spans="1:14">
      <c r="A62" s="1898"/>
      <c r="B62" s="1899"/>
      <c r="C62" s="1899"/>
      <c r="D62" s="1899"/>
      <c r="E62" s="1900"/>
      <c r="F62" s="1900"/>
      <c r="G62" s="1900"/>
      <c r="H62" s="1900"/>
      <c r="I62" s="1897"/>
      <c r="J62" s="1897"/>
      <c r="K62" s="1897"/>
    </row>
    <row r="63" spans="1:14">
      <c r="A63" s="1898"/>
      <c r="B63" s="1899"/>
      <c r="C63" s="1899"/>
      <c r="D63" s="1899"/>
      <c r="E63" s="1900"/>
      <c r="F63" s="1900"/>
      <c r="G63" s="1900"/>
      <c r="H63" s="1900"/>
      <c r="I63" s="1897"/>
      <c r="J63" s="1897"/>
      <c r="K63" s="1897"/>
    </row>
    <row r="64" spans="1:14" ht="12.75" customHeight="1">
      <c r="A64" s="2286" t="s">
        <v>860</v>
      </c>
      <c r="B64" s="2287" t="s">
        <v>861</v>
      </c>
      <c r="C64" s="2287"/>
      <c r="D64" s="2287" t="s">
        <v>862</v>
      </c>
      <c r="E64" s="2287"/>
      <c r="F64" s="1827" t="s">
        <v>863</v>
      </c>
      <c r="G64" s="1900"/>
      <c r="H64" s="1900"/>
      <c r="I64" s="1897"/>
      <c r="J64" s="1897"/>
      <c r="K64" s="1897"/>
    </row>
    <row r="65" spans="1:12">
      <c r="A65" s="2286"/>
      <c r="B65" s="1828" t="s">
        <v>864</v>
      </c>
      <c r="C65" s="1828" t="s">
        <v>865</v>
      </c>
      <c r="D65" s="1828" t="s">
        <v>864</v>
      </c>
      <c r="E65" s="1828" t="s">
        <v>865</v>
      </c>
      <c r="F65" s="1828" t="s">
        <v>864</v>
      </c>
      <c r="G65" s="1900"/>
      <c r="H65" s="1900"/>
      <c r="I65" s="1897"/>
      <c r="J65" s="1897"/>
      <c r="K65" s="1897"/>
    </row>
    <row r="66" spans="1:12">
      <c r="A66" s="1829" t="s">
        <v>866</v>
      </c>
      <c r="B66" s="1830">
        <f>38</f>
        <v>38</v>
      </c>
      <c r="C66" s="1831">
        <f>179473978.47</f>
        <v>179473978.47</v>
      </c>
      <c r="D66" s="1830">
        <f>276</f>
        <v>276</v>
      </c>
      <c r="E66" s="1831">
        <f>+-2790636954.69</f>
        <v>-2790636954.6900001</v>
      </c>
      <c r="F66" s="1830">
        <f>0</f>
        <v>0</v>
      </c>
      <c r="G66" s="1900"/>
      <c r="H66" s="1900"/>
      <c r="I66" s="1897"/>
      <c r="J66" s="1897"/>
      <c r="K66" s="1897"/>
    </row>
    <row r="67" spans="1:12">
      <c r="A67" s="1829" t="s">
        <v>867</v>
      </c>
      <c r="B67" s="1830">
        <f>238</f>
        <v>238</v>
      </c>
      <c r="C67" s="1831">
        <f>2308176723.63</f>
        <v>2308176723.6300001</v>
      </c>
      <c r="D67" s="1830">
        <f>76</f>
        <v>76</v>
      </c>
      <c r="E67" s="1831">
        <f>+-465830686.13</f>
        <v>-465830686.13</v>
      </c>
      <c r="F67" s="1830">
        <f>0</f>
        <v>0</v>
      </c>
      <c r="G67" s="1900"/>
      <c r="H67" s="1900"/>
      <c r="I67" s="1897"/>
      <c r="J67" s="1897"/>
      <c r="K67" s="1897"/>
    </row>
    <row r="68" spans="1:12" ht="18">
      <c r="A68" s="1832"/>
      <c r="B68" s="1832"/>
      <c r="C68" s="1832"/>
      <c r="D68" s="1832"/>
      <c r="E68" s="1832"/>
      <c r="F68" s="1832"/>
      <c r="G68" s="1900"/>
      <c r="H68" s="1900"/>
      <c r="I68" s="1897"/>
      <c r="J68" s="1897"/>
      <c r="K68" s="1897"/>
      <c r="L68" s="476"/>
    </row>
    <row r="69" spans="1:12" ht="12.75" customHeight="1">
      <c r="A69" s="2286" t="s">
        <v>868</v>
      </c>
      <c r="B69" s="2287" t="s">
        <v>861</v>
      </c>
      <c r="C69" s="2287"/>
      <c r="D69" s="2287" t="s">
        <v>862</v>
      </c>
      <c r="E69" s="2287"/>
      <c r="F69" s="1827" t="s">
        <v>863</v>
      </c>
      <c r="G69" s="1900"/>
      <c r="H69" s="1900"/>
      <c r="I69" s="1897"/>
      <c r="J69" s="1897"/>
      <c r="K69" s="1897"/>
    </row>
    <row r="70" spans="1:12">
      <c r="A70" s="2286"/>
      <c r="B70" s="1828" t="s">
        <v>864</v>
      </c>
      <c r="C70" s="1828" t="s">
        <v>865</v>
      </c>
      <c r="D70" s="1828" t="s">
        <v>864</v>
      </c>
      <c r="E70" s="1828" t="s">
        <v>865</v>
      </c>
      <c r="F70" s="1828" t="s">
        <v>864</v>
      </c>
      <c r="G70" s="1900"/>
      <c r="H70" s="1900"/>
      <c r="I70" s="1897"/>
      <c r="J70" s="1897"/>
      <c r="K70" s="1897"/>
    </row>
    <row r="71" spans="1:12">
      <c r="A71" s="1829" t="s">
        <v>866</v>
      </c>
      <c r="B71" s="1830">
        <f>265</f>
        <v>265</v>
      </c>
      <c r="C71" s="1831">
        <f>2409142700.02</f>
        <v>2409142700.02</v>
      </c>
      <c r="D71" s="1830">
        <f>49</f>
        <v>49</v>
      </c>
      <c r="E71" s="1831">
        <f>+-208679609.39</f>
        <v>-208679609.38999999</v>
      </c>
      <c r="F71" s="1830">
        <f>0</f>
        <v>0</v>
      </c>
      <c r="G71" s="1900"/>
      <c r="H71" s="1900"/>
      <c r="I71" s="1897"/>
      <c r="J71" s="1897"/>
      <c r="K71" s="1897"/>
    </row>
    <row r="72" spans="1:12">
      <c r="A72" s="1829" t="s">
        <v>867</v>
      </c>
      <c r="B72" s="1830">
        <f>312</f>
        <v>312</v>
      </c>
      <c r="C72" s="1831">
        <f>5515056097.72</f>
        <v>5515056097.7200003</v>
      </c>
      <c r="D72" s="1830">
        <f>2</f>
        <v>2</v>
      </c>
      <c r="E72" s="1831">
        <f>+-6149846.21</f>
        <v>-6149846.21</v>
      </c>
      <c r="F72" s="1830">
        <f>0</f>
        <v>0</v>
      </c>
      <c r="G72" s="1900"/>
      <c r="H72" s="1900"/>
      <c r="I72" s="1897"/>
      <c r="J72" s="1897"/>
      <c r="K72" s="1897"/>
    </row>
    <row r="73" spans="1:12">
      <c r="A73" s="1898"/>
      <c r="B73" s="1899"/>
      <c r="C73" s="1899"/>
      <c r="D73" s="1899"/>
      <c r="E73" s="1900"/>
      <c r="F73" s="1900"/>
      <c r="G73" s="1900"/>
      <c r="H73" s="1900"/>
      <c r="I73" s="1897"/>
      <c r="J73" s="1897"/>
      <c r="K73" s="1897"/>
    </row>
    <row r="74" spans="1:12">
      <c r="A74" s="1898"/>
      <c r="B74" s="1899"/>
      <c r="C74" s="1899"/>
      <c r="D74" s="1899"/>
      <c r="E74" s="1900"/>
      <c r="F74" s="1900"/>
      <c r="G74" s="1900"/>
      <c r="H74" s="1900"/>
      <c r="I74" s="1897"/>
      <c r="J74" s="1897"/>
      <c r="K74" s="1897"/>
    </row>
    <row r="75" spans="1:12">
      <c r="A75" s="1901" t="s">
        <v>623</v>
      </c>
      <c r="B75" s="1899"/>
      <c r="C75" s="1899"/>
      <c r="D75" s="1899"/>
      <c r="E75" s="1900"/>
      <c r="F75" s="1900"/>
      <c r="G75" s="1900"/>
      <c r="H75" s="1900"/>
      <c r="I75" s="1897"/>
      <c r="J75" s="1897"/>
      <c r="K75" s="1897"/>
    </row>
    <row r="76" spans="1:12" ht="26.4">
      <c r="A76" s="1902" t="s">
        <v>743</v>
      </c>
      <c r="B76" s="1903">
        <f>3241127642.04</f>
        <v>3241127642.04</v>
      </c>
      <c r="C76" s="1885">
        <f>2449243085.96</f>
        <v>2449243085.96</v>
      </c>
      <c r="D76" s="1885">
        <f>2454599386.27</f>
        <v>2454599386.27</v>
      </c>
      <c r="E76" s="1885">
        <f>48879158.95</f>
        <v>48879158.950000003</v>
      </c>
      <c r="F76" s="1885">
        <f>0</f>
        <v>0</v>
      </c>
      <c r="G76" s="1885">
        <f>0</f>
        <v>0</v>
      </c>
      <c r="H76" s="1885">
        <f>22305209.16</f>
        <v>22305209.16</v>
      </c>
      <c r="I76" s="1880">
        <f>IF($C$76=0,"",100*$C76/$C$76)</f>
        <v>100</v>
      </c>
      <c r="J76" s="1904">
        <f>IF(B76=0,"",100*C76/B76)</f>
        <v>75.567622027326905</v>
      </c>
      <c r="K76" s="1806"/>
    </row>
    <row r="77" spans="1:12">
      <c r="A77" s="1905" t="s">
        <v>625</v>
      </c>
      <c r="B77" s="1903">
        <f>2009249479.55</f>
        <v>2009249479.55</v>
      </c>
      <c r="C77" s="1885">
        <f>1622598240.21</f>
        <v>1622598240.21</v>
      </c>
      <c r="D77" s="1885">
        <f>1623309881.9</f>
        <v>1623309881.9000001</v>
      </c>
      <c r="E77" s="1885">
        <f>42000600.18</f>
        <v>42000600.18</v>
      </c>
      <c r="F77" s="1885">
        <f>0</f>
        <v>0</v>
      </c>
      <c r="G77" s="1885">
        <f>0</f>
        <v>0</v>
      </c>
      <c r="H77" s="1885">
        <f>22015529.16</f>
        <v>22015529.16</v>
      </c>
      <c r="I77" s="1880">
        <f>IF($C$76=0,"",100*$C77/$C$76)</f>
        <v>66.248966854754229</v>
      </c>
      <c r="J77" s="1904">
        <f>IF(B77=0,"",100*C77/B77)</f>
        <v>80.756434515708023</v>
      </c>
      <c r="K77" s="1806"/>
    </row>
    <row r="78" spans="1:12">
      <c r="A78" s="1905" t="s">
        <v>626</v>
      </c>
      <c r="B78" s="1903">
        <f>B76-B77</f>
        <v>1231878162.49</v>
      </c>
      <c r="C78" s="1885">
        <f t="shared" ref="C78:H78" si="6">C76-C77</f>
        <v>826644845.75</v>
      </c>
      <c r="D78" s="1885">
        <f t="shared" si="6"/>
        <v>831289504.36999989</v>
      </c>
      <c r="E78" s="1885">
        <f t="shared" si="6"/>
        <v>6878558.7700000033</v>
      </c>
      <c r="F78" s="1885">
        <f t="shared" si="6"/>
        <v>0</v>
      </c>
      <c r="G78" s="1885">
        <f t="shared" si="6"/>
        <v>0</v>
      </c>
      <c r="H78" s="1885">
        <f t="shared" si="6"/>
        <v>289680</v>
      </c>
      <c r="I78" s="1880">
        <f>IF($C$76=0,"",100*$C78/$C$76)</f>
        <v>33.751033145245771</v>
      </c>
      <c r="J78" s="1904">
        <f>IF(B78=0,"",100*C78/B78)</f>
        <v>67.104432152535253</v>
      </c>
      <c r="K78" s="1806"/>
    </row>
    <row r="79" spans="1:12" ht="17.399999999999999">
      <c r="A79" s="1877"/>
      <c r="B79" s="1877"/>
      <c r="C79" s="1877"/>
      <c r="D79" s="1877"/>
      <c r="E79" s="1877"/>
      <c r="F79" s="1877"/>
      <c r="G79" s="1877"/>
      <c r="H79" s="1877"/>
      <c r="I79" s="1877"/>
      <c r="J79" s="1877"/>
      <c r="K79" s="1877"/>
    </row>
    <row r="80" spans="1:12">
      <c r="A80" s="1838" t="s">
        <v>1</v>
      </c>
      <c r="B80" s="1906" t="s">
        <v>627</v>
      </c>
      <c r="C80" s="1839" t="s">
        <v>628</v>
      </c>
      <c r="D80" s="2274" t="s">
        <v>597</v>
      </c>
      <c r="E80" s="2275"/>
      <c r="F80" s="2275"/>
      <c r="G80" s="2275"/>
      <c r="H80" s="2276"/>
      <c r="I80" s="1779" t="s">
        <v>5</v>
      </c>
      <c r="J80" s="1779" t="s">
        <v>4</v>
      </c>
      <c r="K80" s="1806"/>
    </row>
    <row r="81" spans="1:11" ht="14.4">
      <c r="A81" s="1838"/>
      <c r="B81" s="2283" t="s">
        <v>163</v>
      </c>
      <c r="C81" s="2284"/>
      <c r="D81" s="2277"/>
      <c r="E81" s="2278"/>
      <c r="F81" s="2278"/>
      <c r="G81" s="2278"/>
      <c r="H81" s="2279"/>
      <c r="I81" s="2401" t="s">
        <v>169</v>
      </c>
      <c r="J81" s="2402"/>
      <c r="K81" s="1806"/>
    </row>
    <row r="82" spans="1:11">
      <c r="A82" s="1809">
        <v>1</v>
      </c>
      <c r="B82" s="1840">
        <v>2</v>
      </c>
      <c r="C82" s="1841">
        <v>3</v>
      </c>
      <c r="D82" s="2280"/>
      <c r="E82" s="2281"/>
      <c r="F82" s="2281"/>
      <c r="G82" s="2281"/>
      <c r="H82" s="2282"/>
      <c r="I82" s="1841">
        <v>4</v>
      </c>
      <c r="J82" s="1841">
        <v>5</v>
      </c>
      <c r="K82" s="1806"/>
    </row>
    <row r="83" spans="1:11" ht="26.4">
      <c r="A83" s="1842" t="s">
        <v>629</v>
      </c>
      <c r="B83" s="1907">
        <f>4129969848.73</f>
        <v>4129969848.73</v>
      </c>
      <c r="C83" s="1878">
        <f>6768410452.45</f>
        <v>6768410452.4499998</v>
      </c>
      <c r="D83" s="1908" t="s">
        <v>597</v>
      </c>
      <c r="E83" s="1908" t="s">
        <v>597</v>
      </c>
      <c r="F83" s="1908" t="s">
        <v>597</v>
      </c>
      <c r="G83" s="1908" t="s">
        <v>597</v>
      </c>
      <c r="H83" s="1908" t="s">
        <v>597</v>
      </c>
      <c r="I83" s="1863">
        <f>IF($C$83=0,"",100*$C83/$C$83)</f>
        <v>100</v>
      </c>
      <c r="J83" s="1880">
        <f t="shared" ref="J83:J97" si="7">IF(B83=0,"",100*C83/B83)</f>
        <v>163.88522677789868</v>
      </c>
      <c r="K83" s="1806"/>
    </row>
    <row r="84" spans="1:11" ht="20.399999999999999">
      <c r="A84" s="1844" t="s">
        <v>753</v>
      </c>
      <c r="B84" s="1909">
        <f>1061362085.59</f>
        <v>1061362085.59</v>
      </c>
      <c r="C84" s="1870">
        <f>850978114.06</f>
        <v>850978114.05999994</v>
      </c>
      <c r="D84" s="1908" t="s">
        <v>597</v>
      </c>
      <c r="E84" s="1908" t="s">
        <v>597</v>
      </c>
      <c r="F84" s="1908" t="s">
        <v>597</v>
      </c>
      <c r="G84" s="1908" t="s">
        <v>597</v>
      </c>
      <c r="H84" s="1908" t="s">
        <v>597</v>
      </c>
      <c r="I84" s="1863">
        <f t="shared" ref="I84:I93" si="8">IF($C$83=0,"",100*$C84/$C$83)</f>
        <v>12.572791204646382</v>
      </c>
      <c r="J84" s="1880">
        <f t="shared" si="7"/>
        <v>80.177926610874763</v>
      </c>
      <c r="K84" s="1806"/>
    </row>
    <row r="85" spans="1:11">
      <c r="A85" s="1846" t="s">
        <v>631</v>
      </c>
      <c r="B85" s="1909">
        <f>43000000</f>
        <v>43000000</v>
      </c>
      <c r="C85" s="1870">
        <f>33000000</f>
        <v>33000000</v>
      </c>
      <c r="D85" s="1908" t="s">
        <v>597</v>
      </c>
      <c r="E85" s="1908" t="s">
        <v>597</v>
      </c>
      <c r="F85" s="1908" t="s">
        <v>597</v>
      </c>
      <c r="G85" s="1908" t="s">
        <v>597</v>
      </c>
      <c r="H85" s="1908" t="s">
        <v>597</v>
      </c>
      <c r="I85" s="1863">
        <f t="shared" si="8"/>
        <v>0.48755908395086772</v>
      </c>
      <c r="J85" s="1880">
        <f t="shared" si="7"/>
        <v>76.744186046511629</v>
      </c>
      <c r="K85" s="1806"/>
    </row>
    <row r="86" spans="1:11">
      <c r="A86" s="1844" t="s">
        <v>632</v>
      </c>
      <c r="B86" s="1909">
        <f>54692869.15</f>
        <v>54692869.149999999</v>
      </c>
      <c r="C86" s="1870">
        <f>54839405.22</f>
        <v>54839405.219999999</v>
      </c>
      <c r="D86" s="1908" t="s">
        <v>597</v>
      </c>
      <c r="E86" s="1908" t="s">
        <v>597</v>
      </c>
      <c r="F86" s="1908" t="s">
        <v>597</v>
      </c>
      <c r="G86" s="1908" t="s">
        <v>597</v>
      </c>
      <c r="H86" s="1908" t="s">
        <v>597</v>
      </c>
      <c r="I86" s="1863">
        <f t="shared" si="8"/>
        <v>0.81022576283253434</v>
      </c>
      <c r="J86" s="1880">
        <f t="shared" si="7"/>
        <v>100.2679253662815</v>
      </c>
      <c r="K86" s="1806"/>
    </row>
    <row r="87" spans="1:11" ht="40.799999999999997">
      <c r="A87" s="1844" t="s">
        <v>633</v>
      </c>
      <c r="B87" s="1909">
        <f>610647022.37</f>
        <v>610647022.37</v>
      </c>
      <c r="C87" s="1870">
        <f>2102881317.57</f>
        <v>2102881317.5699999</v>
      </c>
      <c r="D87" s="1908" t="s">
        <v>597</v>
      </c>
      <c r="E87" s="1908" t="s">
        <v>597</v>
      </c>
      <c r="F87" s="1908" t="s">
        <v>597</v>
      </c>
      <c r="G87" s="1908" t="s">
        <v>597</v>
      </c>
      <c r="H87" s="1908" t="s">
        <v>597</v>
      </c>
      <c r="I87" s="1863">
        <f t="shared" si="8"/>
        <v>31.069057237934029</v>
      </c>
      <c r="J87" s="1880">
        <f t="shared" si="7"/>
        <v>344.36937224526957</v>
      </c>
      <c r="K87" s="1806"/>
    </row>
    <row r="88" spans="1:11" ht="30.6">
      <c r="A88" s="1844" t="s">
        <v>634</v>
      </c>
      <c r="B88" s="1909">
        <f>849336396.88</f>
        <v>849336396.88</v>
      </c>
      <c r="C88" s="1870">
        <f>946605734.78</f>
        <v>946605734.77999997</v>
      </c>
      <c r="D88" s="1908" t="s">
        <v>597</v>
      </c>
      <c r="E88" s="1908" t="s">
        <v>597</v>
      </c>
      <c r="F88" s="1908" t="s">
        <v>597</v>
      </c>
      <c r="G88" s="1908" t="s">
        <v>597</v>
      </c>
      <c r="H88" s="1908" t="s">
        <v>597</v>
      </c>
      <c r="I88" s="1863">
        <f t="shared" si="8"/>
        <v>13.985643179150753</v>
      </c>
      <c r="J88" s="1880">
        <f t="shared" si="7"/>
        <v>111.45239250988355</v>
      </c>
      <c r="K88" s="1806"/>
    </row>
    <row r="89" spans="1:11">
      <c r="A89" s="1844" t="s">
        <v>635</v>
      </c>
      <c r="B89" s="1909">
        <f>0</f>
        <v>0</v>
      </c>
      <c r="C89" s="1870">
        <f>0</f>
        <v>0</v>
      </c>
      <c r="D89" s="1908" t="s">
        <v>597</v>
      </c>
      <c r="E89" s="1908" t="s">
        <v>597</v>
      </c>
      <c r="F89" s="1908" t="s">
        <v>597</v>
      </c>
      <c r="G89" s="1908" t="s">
        <v>597</v>
      </c>
      <c r="H89" s="1908" t="s">
        <v>597</v>
      </c>
      <c r="I89" s="1863">
        <f t="shared" si="8"/>
        <v>0</v>
      </c>
      <c r="J89" s="1880" t="str">
        <f t="shared" si="7"/>
        <v/>
      </c>
      <c r="K89" s="1806"/>
    </row>
    <row r="90" spans="1:11" ht="30.6">
      <c r="A90" s="1844" t="s">
        <v>746</v>
      </c>
      <c r="B90" s="1909">
        <f>1428979701.64</f>
        <v>1428979701.6400001</v>
      </c>
      <c r="C90" s="1870">
        <f>2670147141.71</f>
        <v>2670147141.71</v>
      </c>
      <c r="D90" s="1908" t="s">
        <v>597</v>
      </c>
      <c r="E90" s="1908" t="s">
        <v>597</v>
      </c>
      <c r="F90" s="1908" t="s">
        <v>597</v>
      </c>
      <c r="G90" s="1908" t="s">
        <v>597</v>
      </c>
      <c r="H90" s="1908" t="s">
        <v>597</v>
      </c>
      <c r="I90" s="1863">
        <f t="shared" si="8"/>
        <v>39.450136194731982</v>
      </c>
      <c r="J90" s="1880">
        <f t="shared" si="7"/>
        <v>186.85689787234534</v>
      </c>
      <c r="K90" s="1806"/>
    </row>
    <row r="91" spans="1:11" ht="51">
      <c r="A91" s="1844" t="s">
        <v>754</v>
      </c>
      <c r="B91" s="1909">
        <f>0</f>
        <v>0</v>
      </c>
      <c r="C91" s="1870">
        <f>0</f>
        <v>0</v>
      </c>
      <c r="D91" s="1908" t="s">
        <v>597</v>
      </c>
      <c r="E91" s="1908" t="s">
        <v>597</v>
      </c>
      <c r="F91" s="1908" t="s">
        <v>597</v>
      </c>
      <c r="G91" s="1908" t="s">
        <v>597</v>
      </c>
      <c r="H91" s="1908" t="s">
        <v>597</v>
      </c>
      <c r="I91" s="1863">
        <f t="shared" si="8"/>
        <v>0</v>
      </c>
      <c r="J91" s="1880" t="str">
        <f>IF(B91=0,"",100*C91/B91)</f>
        <v/>
      </c>
      <c r="K91" s="1806"/>
    </row>
    <row r="92" spans="1:11">
      <c r="A92" s="1844" t="s">
        <v>638</v>
      </c>
      <c r="B92" s="1909">
        <f>124951773.1</f>
        <v>124951773.09999999</v>
      </c>
      <c r="C92" s="1870">
        <f>142958739.11</f>
        <v>142958739.11000001</v>
      </c>
      <c r="D92" s="1908" t="s">
        <v>597</v>
      </c>
      <c r="E92" s="1908" t="s">
        <v>597</v>
      </c>
      <c r="F92" s="1908" t="s">
        <v>597</v>
      </c>
      <c r="G92" s="1908" t="s">
        <v>597</v>
      </c>
      <c r="H92" s="1908" t="s">
        <v>597</v>
      </c>
      <c r="I92" s="1863">
        <f t="shared" si="8"/>
        <v>2.1121464207043239</v>
      </c>
      <c r="J92" s="1880">
        <f>IF(B92=0,"",100*C92/B92)</f>
        <v>114.41113284209972</v>
      </c>
      <c r="K92" s="1806"/>
    </row>
    <row r="93" spans="1:11" ht="20.399999999999999">
      <c r="A93" s="1846" t="s">
        <v>639</v>
      </c>
      <c r="B93" s="1909">
        <f>114951773.1</f>
        <v>114951773.09999999</v>
      </c>
      <c r="C93" s="1870">
        <f>140361055.4</f>
        <v>140361055.40000001</v>
      </c>
      <c r="D93" s="1908" t="s">
        <v>597</v>
      </c>
      <c r="E93" s="1908" t="s">
        <v>597</v>
      </c>
      <c r="F93" s="1908" t="s">
        <v>597</v>
      </c>
      <c r="G93" s="1908" t="s">
        <v>597</v>
      </c>
      <c r="H93" s="1908" t="s">
        <v>597</v>
      </c>
      <c r="I93" s="1863">
        <f t="shared" si="8"/>
        <v>2.0737668967636664</v>
      </c>
      <c r="J93" s="1880">
        <f>IF(B93=0,"",100*C93/B93)</f>
        <v>122.10429784140494</v>
      </c>
      <c r="K93" s="1806"/>
    </row>
    <row r="94" spans="1:11" ht="26.4">
      <c r="A94" s="1842" t="s">
        <v>640</v>
      </c>
      <c r="B94" s="1907">
        <f>1509737063.67</f>
        <v>1509737063.6700001</v>
      </c>
      <c r="C94" s="1878">
        <f>1393523234.91</f>
        <v>1393523234.9100001</v>
      </c>
      <c r="D94" s="1908" t="s">
        <v>597</v>
      </c>
      <c r="E94" s="1908" t="s">
        <v>597</v>
      </c>
      <c r="F94" s="1908" t="s">
        <v>597</v>
      </c>
      <c r="G94" s="1908" t="s">
        <v>597</v>
      </c>
      <c r="H94" s="1908" t="s">
        <v>597</v>
      </c>
      <c r="I94" s="1863">
        <f t="shared" ref="I94:I99" si="9">IF($C$94=0,"",100*$C94/$C$94)</f>
        <v>100</v>
      </c>
      <c r="J94" s="1880">
        <f t="shared" si="7"/>
        <v>92.30237956286922</v>
      </c>
      <c r="K94" s="1806"/>
    </row>
    <row r="95" spans="1:11" ht="30.6">
      <c r="A95" s="1844" t="s">
        <v>755</v>
      </c>
      <c r="B95" s="1909">
        <f>975745851.06</f>
        <v>975745851.05999994</v>
      </c>
      <c r="C95" s="1870">
        <f>962964017.91</f>
        <v>962964017.90999997</v>
      </c>
      <c r="D95" s="1908" t="s">
        <v>597</v>
      </c>
      <c r="E95" s="1908" t="s">
        <v>597</v>
      </c>
      <c r="F95" s="1908" t="s">
        <v>597</v>
      </c>
      <c r="G95" s="1908" t="s">
        <v>597</v>
      </c>
      <c r="H95" s="1908" t="s">
        <v>597</v>
      </c>
      <c r="I95" s="1863">
        <f t="shared" si="9"/>
        <v>69.10283185713746</v>
      </c>
      <c r="J95" s="1880">
        <f t="shared" si="7"/>
        <v>98.690044837381123</v>
      </c>
      <c r="K95" s="1806"/>
    </row>
    <row r="96" spans="1:11">
      <c r="A96" s="1846" t="s">
        <v>642</v>
      </c>
      <c r="B96" s="1909">
        <f>31940000</f>
        <v>31940000</v>
      </c>
      <c r="C96" s="1870">
        <f>29240000</f>
        <v>29240000</v>
      </c>
      <c r="D96" s="1908" t="s">
        <v>597</v>
      </c>
      <c r="E96" s="1908" t="s">
        <v>597</v>
      </c>
      <c r="F96" s="1908" t="s">
        <v>597</v>
      </c>
      <c r="G96" s="1908" t="s">
        <v>597</v>
      </c>
      <c r="H96" s="1908" t="s">
        <v>597</v>
      </c>
      <c r="I96" s="1863">
        <f t="shared" si="9"/>
        <v>2.0982786126195054</v>
      </c>
      <c r="J96" s="1880">
        <f t="shared" si="7"/>
        <v>91.546649968691298</v>
      </c>
      <c r="K96" s="1806"/>
    </row>
    <row r="97" spans="1:11">
      <c r="A97" s="1844" t="s">
        <v>643</v>
      </c>
      <c r="B97" s="1909">
        <f>195211568.81</f>
        <v>195211568.81</v>
      </c>
      <c r="C97" s="1870">
        <f>199906841.14</f>
        <v>199906841.13999999</v>
      </c>
      <c r="D97" s="1908" t="s">
        <v>597</v>
      </c>
      <c r="E97" s="1908" t="s">
        <v>597</v>
      </c>
      <c r="F97" s="1908" t="s">
        <v>597</v>
      </c>
      <c r="G97" s="1908" t="s">
        <v>597</v>
      </c>
      <c r="H97" s="1908" t="s">
        <v>597</v>
      </c>
      <c r="I97" s="1863">
        <f t="shared" si="9"/>
        <v>14.345425761983142</v>
      </c>
      <c r="J97" s="1880">
        <f t="shared" si="7"/>
        <v>102.40522237417697</v>
      </c>
      <c r="K97" s="1806"/>
    </row>
    <row r="98" spans="1:11">
      <c r="A98" s="1844" t="s">
        <v>644</v>
      </c>
      <c r="B98" s="1909">
        <f>338779643.8</f>
        <v>338779643.80000001</v>
      </c>
      <c r="C98" s="1870">
        <f>230652375.86</f>
        <v>230652375.86000001</v>
      </c>
      <c r="D98" s="1908" t="s">
        <v>597</v>
      </c>
      <c r="E98" s="1908" t="s">
        <v>597</v>
      </c>
      <c r="F98" s="1908" t="s">
        <v>597</v>
      </c>
      <c r="G98" s="1908" t="s">
        <v>597</v>
      </c>
      <c r="H98" s="1908" t="s">
        <v>597</v>
      </c>
      <c r="I98" s="1863">
        <f t="shared" si="9"/>
        <v>16.551742380879393</v>
      </c>
      <c r="J98" s="1880">
        <f>IF(B98=0,"",100*C98/B98)</f>
        <v>68.083304319242572</v>
      </c>
      <c r="K98" s="1806"/>
    </row>
    <row r="99" spans="1:11" ht="20.399999999999999">
      <c r="A99" s="1846" t="s">
        <v>645</v>
      </c>
      <c r="B99" s="1909">
        <f>239889672.44</f>
        <v>239889672.44</v>
      </c>
      <c r="C99" s="1870">
        <f>162314965.98</f>
        <v>162314965.97999999</v>
      </c>
      <c r="D99" s="1908" t="s">
        <v>597</v>
      </c>
      <c r="E99" s="1908" t="s">
        <v>597</v>
      </c>
      <c r="F99" s="1908" t="s">
        <v>597</v>
      </c>
      <c r="G99" s="1908" t="s">
        <v>597</v>
      </c>
      <c r="H99" s="1908" t="s">
        <v>597</v>
      </c>
      <c r="I99" s="1863">
        <f t="shared" si="9"/>
        <v>11.647811957041606</v>
      </c>
      <c r="J99" s="1880">
        <f>IF(B99=0,"",100*C99/B99)</f>
        <v>67.66234007868654</v>
      </c>
      <c r="K99" s="1806"/>
    </row>
    <row r="100" spans="1:11">
      <c r="A100" s="1832"/>
      <c r="B100" s="1806"/>
      <c r="C100" s="1806"/>
      <c r="D100" s="1806"/>
      <c r="E100" s="1806"/>
      <c r="F100" s="1806"/>
      <c r="G100" s="1806"/>
      <c r="H100" s="1806"/>
      <c r="I100" s="1806"/>
      <c r="J100" s="1806"/>
      <c r="K100" s="1806"/>
    </row>
    <row r="101" spans="1:11">
      <c r="A101" s="1910" t="s">
        <v>1</v>
      </c>
      <c r="B101" s="1911" t="s">
        <v>627</v>
      </c>
      <c r="C101" s="1779" t="s">
        <v>628</v>
      </c>
      <c r="D101" s="1806"/>
      <c r="E101" s="1806"/>
      <c r="F101" s="1806"/>
      <c r="G101" s="1806"/>
      <c r="H101" s="1806"/>
      <c r="I101" s="1806"/>
      <c r="J101" s="1806"/>
      <c r="K101" s="1806"/>
    </row>
    <row r="102" spans="1:11">
      <c r="A102" s="1910"/>
      <c r="B102" s="2295" t="s">
        <v>163</v>
      </c>
      <c r="C102" s="2295"/>
      <c r="D102" s="1806"/>
      <c r="E102" s="1806"/>
      <c r="F102" s="1806"/>
      <c r="G102" s="1806"/>
      <c r="H102" s="1806"/>
      <c r="I102" s="1806"/>
      <c r="J102" s="1806"/>
      <c r="K102" s="1806"/>
    </row>
    <row r="103" spans="1:11">
      <c r="A103" s="1809">
        <v>1</v>
      </c>
      <c r="B103" s="1841">
        <v>2</v>
      </c>
      <c r="C103" s="1841">
        <v>3</v>
      </c>
      <c r="D103" s="1806"/>
      <c r="E103" s="1806"/>
      <c r="F103" s="1806"/>
      <c r="G103" s="1806"/>
      <c r="H103" s="1806"/>
      <c r="I103" s="1806"/>
      <c r="J103" s="1806"/>
      <c r="K103" s="1806"/>
    </row>
    <row r="104" spans="1:11" ht="30.6">
      <c r="A104" s="1912" t="s">
        <v>756</v>
      </c>
      <c r="B104" s="1909">
        <f>2780636954.69</f>
        <v>2780636954.6900001</v>
      </c>
      <c r="C104" s="1870">
        <f>463233002.42</f>
        <v>463233002.42000002</v>
      </c>
      <c r="D104" s="1806"/>
      <c r="E104" s="1806"/>
      <c r="F104" s="1806"/>
      <c r="G104" s="1806"/>
      <c r="H104" s="1806"/>
      <c r="I104" s="1806"/>
      <c r="J104" s="1806"/>
      <c r="K104" s="1806"/>
    </row>
    <row r="105" spans="1:11" ht="30.6">
      <c r="A105" s="1913" t="s">
        <v>647</v>
      </c>
      <c r="B105" s="1909">
        <f>27000000</f>
        <v>27000000</v>
      </c>
      <c r="C105" s="1870">
        <f>0</f>
        <v>0</v>
      </c>
      <c r="D105" s="1806"/>
      <c r="E105" s="1806"/>
      <c r="F105" s="1806"/>
      <c r="G105" s="1806"/>
      <c r="H105" s="1806"/>
      <c r="I105" s="1806"/>
      <c r="J105" s="1806"/>
      <c r="K105" s="1806"/>
    </row>
    <row r="106" spans="1:11">
      <c r="A106" s="1913" t="s">
        <v>648</v>
      </c>
      <c r="B106" s="1909">
        <f>656007266.26</f>
        <v>656007266.25999999</v>
      </c>
      <c r="C106" s="1870">
        <f>158315105.19</f>
        <v>158315105.19</v>
      </c>
      <c r="D106" s="1806"/>
      <c r="E106" s="1806"/>
      <c r="F106" s="1806"/>
      <c r="G106" s="1806"/>
      <c r="H106" s="1806"/>
      <c r="I106" s="1806"/>
      <c r="J106" s="1806"/>
      <c r="K106" s="1806"/>
    </row>
    <row r="107" spans="1:11" ht="20.399999999999999">
      <c r="A107" s="1913" t="s">
        <v>649</v>
      </c>
      <c r="B107" s="1909">
        <f>0</f>
        <v>0</v>
      </c>
      <c r="C107" s="1870">
        <f>0</f>
        <v>0</v>
      </c>
      <c r="D107" s="1806"/>
      <c r="E107" s="1806"/>
      <c r="F107" s="1806"/>
      <c r="G107" s="1806"/>
      <c r="H107" s="1806"/>
      <c r="I107" s="1806"/>
      <c r="J107" s="1806"/>
      <c r="K107" s="1806"/>
    </row>
    <row r="108" spans="1:11" ht="51">
      <c r="A108" s="1913" t="s">
        <v>650</v>
      </c>
      <c r="B108" s="1909">
        <f>470402697.47</f>
        <v>470402697.47000003</v>
      </c>
      <c r="C108" s="1870">
        <f>34251361.57</f>
        <v>34251361.57</v>
      </c>
      <c r="D108" s="1806"/>
      <c r="E108" s="1806"/>
      <c r="F108" s="1806"/>
      <c r="G108" s="1806"/>
      <c r="H108" s="1806"/>
      <c r="I108" s="1806"/>
      <c r="J108" s="1806"/>
      <c r="K108" s="1806"/>
    </row>
    <row r="109" spans="1:11" ht="61.2">
      <c r="A109" s="1913" t="s">
        <v>651</v>
      </c>
      <c r="B109" s="1909">
        <f>797662942</f>
        <v>797662942</v>
      </c>
      <c r="C109" s="1870">
        <f>72105748.08</f>
        <v>72105748.079999998</v>
      </c>
      <c r="D109" s="1806"/>
      <c r="E109" s="1806"/>
      <c r="F109" s="1806"/>
      <c r="G109" s="1806"/>
      <c r="H109" s="1806"/>
      <c r="I109" s="1806"/>
      <c r="J109" s="1806"/>
      <c r="K109" s="1806"/>
    </row>
    <row r="110" spans="1:11" ht="112.2">
      <c r="A110" s="1913" t="s">
        <v>652</v>
      </c>
      <c r="B110" s="1909">
        <f>753994112.46</f>
        <v>753994112.46000004</v>
      </c>
      <c r="C110" s="1870">
        <f>186156924.23</f>
        <v>186156924.22999999</v>
      </c>
      <c r="D110" s="1806"/>
      <c r="E110" s="1806"/>
      <c r="F110" s="1806"/>
      <c r="G110" s="1806"/>
      <c r="H110" s="1806"/>
      <c r="I110" s="1806"/>
      <c r="J110" s="1806"/>
      <c r="K110" s="1806"/>
    </row>
    <row r="111" spans="1:11" ht="20.399999999999999">
      <c r="A111" s="1913" t="s">
        <v>653</v>
      </c>
      <c r="B111" s="1909">
        <f>8865237</f>
        <v>8865237</v>
      </c>
      <c r="C111" s="1870">
        <f>1150000</f>
        <v>1150000</v>
      </c>
      <c r="D111" s="1806"/>
      <c r="E111" s="1806"/>
      <c r="F111" s="1806"/>
      <c r="G111" s="1806"/>
      <c r="H111" s="1806"/>
      <c r="I111" s="1806"/>
      <c r="J111" s="1806"/>
      <c r="K111" s="1806"/>
    </row>
    <row r="112" spans="1:11" ht="20.399999999999999">
      <c r="A112" s="1848" t="s">
        <v>639</v>
      </c>
      <c r="B112" s="1909">
        <f>66704699.5</f>
        <v>66704699.5</v>
      </c>
      <c r="C112" s="1870">
        <f>11253863.35</f>
        <v>11253863.35</v>
      </c>
      <c r="D112" s="1806"/>
      <c r="E112" s="1806"/>
      <c r="F112" s="1806"/>
      <c r="G112" s="1806"/>
      <c r="H112" s="1806"/>
      <c r="I112" s="1806"/>
      <c r="J112" s="1806"/>
      <c r="K112" s="1806"/>
    </row>
    <row r="113" spans="1:11">
      <c r="A113" s="1806"/>
      <c r="B113" s="1806"/>
      <c r="C113" s="1806"/>
      <c r="D113" s="1806"/>
      <c r="E113" s="1806"/>
      <c r="F113" s="1806"/>
      <c r="G113" s="1806"/>
      <c r="H113" s="1806"/>
      <c r="I113" s="1806"/>
      <c r="J113" s="1806"/>
      <c r="K113" s="1806"/>
    </row>
    <row r="114" spans="1:11">
      <c r="A114" s="2255" t="s">
        <v>884</v>
      </c>
      <c r="B114" s="2255"/>
      <c r="C114" s="2255"/>
      <c r="D114" s="2255"/>
    </row>
  </sheetData>
  <mergeCells count="28">
    <mergeCell ref="I81:J81"/>
    <mergeCell ref="A3:A4"/>
    <mergeCell ref="B4:C4"/>
    <mergeCell ref="D4:H5"/>
    <mergeCell ref="I4:K4"/>
    <mergeCell ref="H45:H47"/>
    <mergeCell ref="I45:I47"/>
    <mergeCell ref="J45:J47"/>
    <mergeCell ref="E46:E47"/>
    <mergeCell ref="F46:G46"/>
    <mergeCell ref="E45:G45"/>
    <mergeCell ref="I48:J48"/>
    <mergeCell ref="H60:I60"/>
    <mergeCell ref="A64:A65"/>
    <mergeCell ref="B64:C64"/>
    <mergeCell ref="D64:E64"/>
    <mergeCell ref="A45:A48"/>
    <mergeCell ref="B45:B47"/>
    <mergeCell ref="C45:C47"/>
    <mergeCell ref="D45:D47"/>
    <mergeCell ref="B48:H48"/>
    <mergeCell ref="B102:C102"/>
    <mergeCell ref="A114:D114"/>
    <mergeCell ref="A69:A70"/>
    <mergeCell ref="B69:C69"/>
    <mergeCell ref="D69:E69"/>
    <mergeCell ref="D80:H82"/>
    <mergeCell ref="B81:C81"/>
  </mergeCells>
  <pageMargins left="0.70866141732283472" right="0.31496062992125984" top="0.55118110236220474" bottom="0.55118110236220474" header="0.31496062992125984" footer="0.31496062992125984"/>
  <pageSetup paperSize="9" scale="79" orientation="landscape" r:id="rId1"/>
  <rowBreaks count="2" manualBreakCount="2">
    <brk id="35" max="10" man="1"/>
    <brk id="100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3255-1FB7-4578-86D8-6A1376223233}">
  <dimension ref="A1:Q66"/>
  <sheetViews>
    <sheetView view="pageBreakPreview" topLeftCell="A16" zoomScaleNormal="100" zoomScaleSheetLayoutView="100" workbookViewId="0">
      <selection activeCell="A43" sqref="A43"/>
    </sheetView>
  </sheetViews>
  <sheetFormatPr defaultColWidth="9.21875" defaultRowHeight="13.8"/>
  <cols>
    <col min="1" max="1" width="22.5546875" style="431" customWidth="1"/>
    <col min="2" max="3" width="12.21875" style="431" customWidth="1"/>
    <col min="4" max="4" width="10.21875" style="431" customWidth="1"/>
    <col min="5" max="7" width="10.21875" style="431" bestFit="1" customWidth="1"/>
    <col min="8" max="8" width="9.44140625" style="431" bestFit="1" customWidth="1"/>
    <col min="9" max="9" width="9.21875" style="431" bestFit="1" customWidth="1"/>
    <col min="10" max="10" width="11.21875" style="431" bestFit="1" customWidth="1"/>
    <col min="11" max="11" width="10.21875" style="431" bestFit="1" customWidth="1"/>
    <col min="12" max="12" width="11.5546875" style="431" customWidth="1"/>
    <col min="13" max="13" width="10.21875" style="431" bestFit="1" customWidth="1"/>
    <col min="14" max="14" width="10.21875" style="431" customWidth="1"/>
    <col min="15" max="15" width="8.77734375" style="431" bestFit="1" customWidth="1"/>
    <col min="16" max="16" width="7.5546875" style="431" bestFit="1" customWidth="1"/>
    <col min="17" max="17" width="8.6640625" style="43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432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432"/>
      <c r="O2" s="432"/>
      <c r="P2" s="432"/>
      <c r="Q2" s="432"/>
    </row>
    <row r="3" spans="1:17">
      <c r="A3" s="2332" t="s">
        <v>1</v>
      </c>
      <c r="B3" s="2339" t="s">
        <v>655</v>
      </c>
      <c r="C3" s="2344" t="s">
        <v>656</v>
      </c>
      <c r="D3" s="2345"/>
      <c r="E3" s="2345"/>
      <c r="F3" s="2345"/>
      <c r="G3" s="2345"/>
      <c r="H3" s="2345"/>
      <c r="I3" s="2345"/>
      <c r="J3" s="2345"/>
      <c r="K3" s="2345"/>
      <c r="L3" s="2345"/>
      <c r="M3" s="2345"/>
      <c r="N3" s="2346"/>
      <c r="O3" s="2344" t="s">
        <v>657</v>
      </c>
      <c r="P3" s="2345"/>
      <c r="Q3" s="2346"/>
    </row>
    <row r="4" spans="1:17">
      <c r="A4" s="2333"/>
      <c r="B4" s="2340"/>
      <c r="C4" s="2341" t="s">
        <v>658</v>
      </c>
      <c r="D4" s="2341" t="s">
        <v>659</v>
      </c>
      <c r="E4" s="2341" t="s">
        <v>660</v>
      </c>
      <c r="F4" s="2341" t="s">
        <v>661</v>
      </c>
      <c r="G4" s="2341" t="s">
        <v>662</v>
      </c>
      <c r="H4" s="2341" t="s">
        <v>663</v>
      </c>
      <c r="I4" s="2410" t="s">
        <v>664</v>
      </c>
      <c r="J4" s="2341" t="s">
        <v>665</v>
      </c>
      <c r="K4" s="2341" t="s">
        <v>666</v>
      </c>
      <c r="L4" s="2341" t="s">
        <v>667</v>
      </c>
      <c r="M4" s="2341" t="s">
        <v>668</v>
      </c>
      <c r="N4" s="234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33"/>
      <c r="B5" s="2340"/>
      <c r="C5" s="2338"/>
      <c r="D5" s="2338"/>
      <c r="E5" s="2338"/>
      <c r="F5" s="2338"/>
      <c r="G5" s="2338"/>
      <c r="H5" s="2338"/>
      <c r="I5" s="2410"/>
      <c r="J5" s="2338"/>
      <c r="K5" s="2338"/>
      <c r="L5" s="2338"/>
      <c r="M5" s="2338"/>
      <c r="N5" s="2340"/>
      <c r="O5" s="2338"/>
      <c r="P5" s="2338"/>
      <c r="Q5" s="2338"/>
    </row>
    <row r="6" spans="1:17">
      <c r="A6" s="2333"/>
      <c r="B6" s="2340"/>
      <c r="C6" s="2338"/>
      <c r="D6" s="2338"/>
      <c r="E6" s="2338"/>
      <c r="F6" s="2338"/>
      <c r="G6" s="2338"/>
      <c r="H6" s="2338"/>
      <c r="I6" s="2410"/>
      <c r="J6" s="2338"/>
      <c r="K6" s="2338"/>
      <c r="L6" s="2338"/>
      <c r="M6" s="2338"/>
      <c r="N6" s="2340"/>
      <c r="O6" s="2338"/>
      <c r="P6" s="2338"/>
      <c r="Q6" s="2338"/>
    </row>
    <row r="7" spans="1:17" ht="27" customHeight="1">
      <c r="A7" s="2334"/>
      <c r="B7" s="2341"/>
      <c r="C7" s="2338"/>
      <c r="D7" s="2338"/>
      <c r="E7" s="2338"/>
      <c r="F7" s="2338"/>
      <c r="G7" s="2338"/>
      <c r="H7" s="2338"/>
      <c r="I7" s="2411"/>
      <c r="J7" s="2338"/>
      <c r="K7" s="2338"/>
      <c r="L7" s="2338"/>
      <c r="M7" s="2338"/>
      <c r="N7" s="234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>
      <c r="A9" s="2072"/>
      <c r="B9" s="2322" t="s">
        <v>163</v>
      </c>
      <c r="C9" s="2323"/>
      <c r="D9" s="2323"/>
      <c r="E9" s="2323"/>
      <c r="F9" s="2323"/>
      <c r="G9" s="2323"/>
      <c r="H9" s="2323"/>
      <c r="I9" s="2323"/>
      <c r="J9" s="2323"/>
      <c r="K9" s="2323"/>
      <c r="L9" s="2323"/>
      <c r="M9" s="2323"/>
      <c r="N9" s="2323"/>
      <c r="O9" s="2323"/>
      <c r="P9" s="2323"/>
      <c r="Q9" s="2324"/>
    </row>
    <row r="10" spans="1:17" ht="30.6">
      <c r="A10" s="1914" t="s">
        <v>673</v>
      </c>
      <c r="B10" s="1851">
        <f>7133498552.09</f>
        <v>7133498552.0900002</v>
      </c>
      <c r="C10" s="1851">
        <f>7133498552.09</f>
        <v>7133498552.0900002</v>
      </c>
      <c r="D10" s="1851">
        <f>235856994.6</f>
        <v>235856994.59999999</v>
      </c>
      <c r="E10" s="1851">
        <f>187272085.49</f>
        <v>187272085.49000001</v>
      </c>
      <c r="F10" s="1851">
        <f>4694937.75</f>
        <v>4694937.75</v>
      </c>
      <c r="G10" s="1851">
        <f>43889971.36</f>
        <v>43889971.359999999</v>
      </c>
      <c r="H10" s="1851">
        <f>0</f>
        <v>0</v>
      </c>
      <c r="I10" s="1851">
        <f>0</f>
        <v>0</v>
      </c>
      <c r="J10" s="1851">
        <f>6504175522.44</f>
        <v>6504175522.4399996</v>
      </c>
      <c r="K10" s="1851">
        <f>389926451.51</f>
        <v>389926451.50999999</v>
      </c>
      <c r="L10" s="1851">
        <f>1823700.27</f>
        <v>1823700.27</v>
      </c>
      <c r="M10" s="1851">
        <f>117436.61</f>
        <v>117436.61</v>
      </c>
      <c r="N10" s="1851">
        <f>1598446.66</f>
        <v>1598446.66</v>
      </c>
      <c r="O10" s="1851">
        <f>0</f>
        <v>0</v>
      </c>
      <c r="P10" s="1851">
        <f>0</f>
        <v>0</v>
      </c>
      <c r="Q10" s="1851">
        <f>0</f>
        <v>0</v>
      </c>
    </row>
    <row r="11" spans="1:17" ht="20.399999999999999">
      <c r="A11" s="1915" t="s">
        <v>757</v>
      </c>
      <c r="B11" s="1851">
        <f>31500000</f>
        <v>31500000</v>
      </c>
      <c r="C11" s="1851">
        <f>31500000</f>
        <v>31500000</v>
      </c>
      <c r="D11" s="1851">
        <f>0</f>
        <v>0</v>
      </c>
      <c r="E11" s="1851">
        <f>0</f>
        <v>0</v>
      </c>
      <c r="F11" s="1851">
        <f>0</f>
        <v>0</v>
      </c>
      <c r="G11" s="1851">
        <f>0</f>
        <v>0</v>
      </c>
      <c r="H11" s="1851">
        <f>0</f>
        <v>0</v>
      </c>
      <c r="I11" s="1851">
        <f>0</f>
        <v>0</v>
      </c>
      <c r="J11" s="1851">
        <f>31500000</f>
        <v>31500000</v>
      </c>
      <c r="K11" s="1851">
        <f>0</f>
        <v>0</v>
      </c>
      <c r="L11" s="1851">
        <f>0</f>
        <v>0</v>
      </c>
      <c r="M11" s="1851">
        <f>0</f>
        <v>0</v>
      </c>
      <c r="N11" s="1851">
        <f>0</f>
        <v>0</v>
      </c>
      <c r="O11" s="1851">
        <f>0</f>
        <v>0</v>
      </c>
      <c r="P11" s="1851">
        <f>0</f>
        <v>0</v>
      </c>
      <c r="Q11" s="1851">
        <f>0</f>
        <v>0</v>
      </c>
    </row>
    <row r="12" spans="1:17">
      <c r="A12" s="1915" t="s">
        <v>675</v>
      </c>
      <c r="B12" s="1851">
        <f>0</f>
        <v>0</v>
      </c>
      <c r="C12" s="1851">
        <f>0</f>
        <v>0</v>
      </c>
      <c r="D12" s="1851">
        <f>0</f>
        <v>0</v>
      </c>
      <c r="E12" s="1851">
        <f>0</f>
        <v>0</v>
      </c>
      <c r="F12" s="1851">
        <f>0</f>
        <v>0</v>
      </c>
      <c r="G12" s="1851">
        <f>0</f>
        <v>0</v>
      </c>
      <c r="H12" s="1851">
        <f>0</f>
        <v>0</v>
      </c>
      <c r="I12" s="1851">
        <f>0</f>
        <v>0</v>
      </c>
      <c r="J12" s="1851">
        <f>0</f>
        <v>0</v>
      </c>
      <c r="K12" s="1851">
        <f>0</f>
        <v>0</v>
      </c>
      <c r="L12" s="1851">
        <f>0</f>
        <v>0</v>
      </c>
      <c r="M12" s="1851">
        <f>0</f>
        <v>0</v>
      </c>
      <c r="N12" s="1851">
        <f>0</f>
        <v>0</v>
      </c>
      <c r="O12" s="1851">
        <f>0</f>
        <v>0</v>
      </c>
      <c r="P12" s="1851">
        <f>0</f>
        <v>0</v>
      </c>
      <c r="Q12" s="1851">
        <f>0</f>
        <v>0</v>
      </c>
    </row>
    <row r="13" spans="1:17">
      <c r="A13" s="1915" t="s">
        <v>676</v>
      </c>
      <c r="B13" s="1851">
        <f>31500000</f>
        <v>31500000</v>
      </c>
      <c r="C13" s="1851">
        <f>31500000</f>
        <v>31500000</v>
      </c>
      <c r="D13" s="1851">
        <f>0</f>
        <v>0</v>
      </c>
      <c r="E13" s="1851">
        <f>0</f>
        <v>0</v>
      </c>
      <c r="F13" s="1851">
        <f>0</f>
        <v>0</v>
      </c>
      <c r="G13" s="1851">
        <f>0</f>
        <v>0</v>
      </c>
      <c r="H13" s="1851">
        <f>0</f>
        <v>0</v>
      </c>
      <c r="I13" s="1851">
        <f>0</f>
        <v>0</v>
      </c>
      <c r="J13" s="1851">
        <f>31500000</f>
        <v>31500000</v>
      </c>
      <c r="K13" s="1851">
        <f>0</f>
        <v>0</v>
      </c>
      <c r="L13" s="1851">
        <f>0</f>
        <v>0</v>
      </c>
      <c r="M13" s="1851">
        <f>0</f>
        <v>0</v>
      </c>
      <c r="N13" s="1851">
        <f>0</f>
        <v>0</v>
      </c>
      <c r="O13" s="1851">
        <f>0</f>
        <v>0</v>
      </c>
      <c r="P13" s="1851">
        <f>0</f>
        <v>0</v>
      </c>
      <c r="Q13" s="1851">
        <f>0</f>
        <v>0</v>
      </c>
    </row>
    <row r="14" spans="1:17" ht="20.399999999999999">
      <c r="A14" s="1914" t="s">
        <v>677</v>
      </c>
      <c r="B14" s="1851">
        <f>7090671762.97</f>
        <v>7090671762.9700003</v>
      </c>
      <c r="C14" s="1851">
        <f>7090671762.97</f>
        <v>7090671762.9700003</v>
      </c>
      <c r="D14" s="1851">
        <f>225838613.9</f>
        <v>225838613.90000001</v>
      </c>
      <c r="E14" s="1851">
        <f>187257180.79</f>
        <v>187257180.78999999</v>
      </c>
      <c r="F14" s="1851">
        <f>4694937.75</f>
        <v>4694937.75</v>
      </c>
      <c r="G14" s="1851">
        <f>33886495.36</f>
        <v>33886495.359999999</v>
      </c>
      <c r="H14" s="1851">
        <f>0</f>
        <v>0</v>
      </c>
      <c r="I14" s="1851">
        <f>0</f>
        <v>0</v>
      </c>
      <c r="J14" s="1851">
        <f>6472675522.44</f>
        <v>6472675522.4399996</v>
      </c>
      <c r="K14" s="1851">
        <f>389926451.51</f>
        <v>389926451.50999999</v>
      </c>
      <c r="L14" s="1851">
        <f>1195966.12</f>
        <v>1195966.1200000001</v>
      </c>
      <c r="M14" s="1851">
        <f>0</f>
        <v>0</v>
      </c>
      <c r="N14" s="1851">
        <f>1035209</f>
        <v>1035209</v>
      </c>
      <c r="O14" s="1851">
        <f>0</f>
        <v>0</v>
      </c>
      <c r="P14" s="1851">
        <f>0</f>
        <v>0</v>
      </c>
      <c r="Q14" s="1851">
        <f>0</f>
        <v>0</v>
      </c>
    </row>
    <row r="15" spans="1:17">
      <c r="A15" s="1915" t="s">
        <v>678</v>
      </c>
      <c r="B15" s="1851">
        <f>3388440.08</f>
        <v>3388440.08</v>
      </c>
      <c r="C15" s="1851">
        <f>3388440.08</f>
        <v>3388440.08</v>
      </c>
      <c r="D15" s="1851">
        <f>0</f>
        <v>0</v>
      </c>
      <c r="E15" s="1851">
        <f>0</f>
        <v>0</v>
      </c>
      <c r="F15" s="1851">
        <f>0</f>
        <v>0</v>
      </c>
      <c r="G15" s="1851">
        <f>0</f>
        <v>0</v>
      </c>
      <c r="H15" s="1851">
        <f>0</f>
        <v>0</v>
      </c>
      <c r="I15" s="1851">
        <f>0</f>
        <v>0</v>
      </c>
      <c r="J15" s="1851">
        <f>3388440.08</f>
        <v>3388440.08</v>
      </c>
      <c r="K15" s="1851">
        <f>0</f>
        <v>0</v>
      </c>
      <c r="L15" s="1851">
        <f>0</f>
        <v>0</v>
      </c>
      <c r="M15" s="1851">
        <f>0</f>
        <v>0</v>
      </c>
      <c r="N15" s="1851">
        <f>0</f>
        <v>0</v>
      </c>
      <c r="O15" s="1851">
        <f>0</f>
        <v>0</v>
      </c>
      <c r="P15" s="1851">
        <f>0</f>
        <v>0</v>
      </c>
      <c r="Q15" s="1851">
        <f>0</f>
        <v>0</v>
      </c>
    </row>
    <row r="16" spans="1:17">
      <c r="A16" s="1915" t="s">
        <v>679</v>
      </c>
      <c r="B16" s="1851">
        <f>7087283322.89</f>
        <v>7087283322.8900003</v>
      </c>
      <c r="C16" s="1851">
        <f>7087283322.89</f>
        <v>7087283322.8900003</v>
      </c>
      <c r="D16" s="1851">
        <f>225838613.9</f>
        <v>225838613.90000001</v>
      </c>
      <c r="E16" s="1851">
        <f>187257180.79</f>
        <v>187257180.78999999</v>
      </c>
      <c r="F16" s="1851">
        <f>4694937.75</f>
        <v>4694937.75</v>
      </c>
      <c r="G16" s="1851">
        <f>33886495.36</f>
        <v>33886495.359999999</v>
      </c>
      <c r="H16" s="1851">
        <f>0</f>
        <v>0</v>
      </c>
      <c r="I16" s="1851">
        <f>0</f>
        <v>0</v>
      </c>
      <c r="J16" s="1851">
        <f>6469287082.36</f>
        <v>6469287082.3599997</v>
      </c>
      <c r="K16" s="1851">
        <f>389926451.51</f>
        <v>389926451.50999999</v>
      </c>
      <c r="L16" s="1851">
        <f>1195966.12</f>
        <v>1195966.1200000001</v>
      </c>
      <c r="M16" s="1851">
        <f>0</f>
        <v>0</v>
      </c>
      <c r="N16" s="1851">
        <f>1035209</f>
        <v>1035209</v>
      </c>
      <c r="O16" s="1851">
        <f>0</f>
        <v>0</v>
      </c>
      <c r="P16" s="1851">
        <f>0</f>
        <v>0</v>
      </c>
      <c r="Q16" s="1851">
        <f>0</f>
        <v>0</v>
      </c>
    </row>
    <row r="17" spans="1:17">
      <c r="A17" s="1915" t="s">
        <v>680</v>
      </c>
      <c r="B17" s="1851">
        <f>10000000</f>
        <v>10000000</v>
      </c>
      <c r="C17" s="1851">
        <f>10000000</f>
        <v>10000000</v>
      </c>
      <c r="D17" s="1851">
        <f>10000000</f>
        <v>10000000</v>
      </c>
      <c r="E17" s="1851">
        <f>0</f>
        <v>0</v>
      </c>
      <c r="F17" s="1851">
        <f>0</f>
        <v>0</v>
      </c>
      <c r="G17" s="1851">
        <f>10000000</f>
        <v>10000000</v>
      </c>
      <c r="H17" s="1851">
        <f>0</f>
        <v>0</v>
      </c>
      <c r="I17" s="1851">
        <f>0</f>
        <v>0</v>
      </c>
      <c r="J17" s="1851">
        <f>0</f>
        <v>0</v>
      </c>
      <c r="K17" s="1851">
        <f>0</f>
        <v>0</v>
      </c>
      <c r="L17" s="1851">
        <f>0</f>
        <v>0</v>
      </c>
      <c r="M17" s="1851">
        <f>0</f>
        <v>0</v>
      </c>
      <c r="N17" s="1851">
        <f>0</f>
        <v>0</v>
      </c>
      <c r="O17" s="1851">
        <f>0</f>
        <v>0</v>
      </c>
      <c r="P17" s="1851">
        <f>0</f>
        <v>0</v>
      </c>
      <c r="Q17" s="1851">
        <f>0</f>
        <v>0</v>
      </c>
    </row>
    <row r="18" spans="1:17" ht="20.399999999999999">
      <c r="A18" s="1914" t="s">
        <v>681</v>
      </c>
      <c r="B18" s="1851">
        <f>1326789.12</f>
        <v>1326789.1200000001</v>
      </c>
      <c r="C18" s="1851">
        <f>1326789.12</f>
        <v>1326789.1200000001</v>
      </c>
      <c r="D18" s="1851">
        <f>18380.7</f>
        <v>18380.7</v>
      </c>
      <c r="E18" s="1851">
        <f>14904.7</f>
        <v>14904.7</v>
      </c>
      <c r="F18" s="1851">
        <f>0</f>
        <v>0</v>
      </c>
      <c r="G18" s="1851">
        <f>3476</f>
        <v>3476</v>
      </c>
      <c r="H18" s="1851">
        <f>0</f>
        <v>0</v>
      </c>
      <c r="I18" s="1851">
        <f>0</f>
        <v>0</v>
      </c>
      <c r="J18" s="1851">
        <f>0</f>
        <v>0</v>
      </c>
      <c r="K18" s="1851">
        <f>0</f>
        <v>0</v>
      </c>
      <c r="L18" s="1851">
        <f>627734.15</f>
        <v>627734.15</v>
      </c>
      <c r="M18" s="1851">
        <f>117436.61</f>
        <v>117436.61</v>
      </c>
      <c r="N18" s="1851">
        <f>563237.66</f>
        <v>563237.66</v>
      </c>
      <c r="O18" s="1851">
        <f>0</f>
        <v>0</v>
      </c>
      <c r="P18" s="1851">
        <f>0</f>
        <v>0</v>
      </c>
      <c r="Q18" s="1851">
        <f>0</f>
        <v>0</v>
      </c>
    </row>
    <row r="19" spans="1:17" ht="20.399999999999999">
      <c r="A19" s="1915" t="s">
        <v>682</v>
      </c>
      <c r="B19" s="1851">
        <f>920367.24</f>
        <v>920367.24</v>
      </c>
      <c r="C19" s="1851">
        <f>920367.24</f>
        <v>920367.24</v>
      </c>
      <c r="D19" s="1851">
        <f>684.7</f>
        <v>684.7</v>
      </c>
      <c r="E19" s="1851">
        <f>404.7</f>
        <v>404.7</v>
      </c>
      <c r="F19" s="1851">
        <f>0</f>
        <v>0</v>
      </c>
      <c r="G19" s="1851">
        <f>280</f>
        <v>280</v>
      </c>
      <c r="H19" s="1851">
        <f>0</f>
        <v>0</v>
      </c>
      <c r="I19" s="1851">
        <f>0</f>
        <v>0</v>
      </c>
      <c r="J19" s="1851">
        <f>0</f>
        <v>0</v>
      </c>
      <c r="K19" s="1851">
        <f>0</f>
        <v>0</v>
      </c>
      <c r="L19" s="1851">
        <f>334838.96</f>
        <v>334838.96000000002</v>
      </c>
      <c r="M19" s="1851">
        <f>35591.92</f>
        <v>35591.919999999998</v>
      </c>
      <c r="N19" s="1851">
        <f>549251.66</f>
        <v>549251.66</v>
      </c>
      <c r="O19" s="1851">
        <f>0</f>
        <v>0</v>
      </c>
      <c r="P19" s="1851">
        <f>0</f>
        <v>0</v>
      </c>
      <c r="Q19" s="1851">
        <f>0</f>
        <v>0</v>
      </c>
    </row>
    <row r="20" spans="1:17">
      <c r="A20" s="1915" t="s">
        <v>683</v>
      </c>
      <c r="B20" s="1851">
        <f>406421.88</f>
        <v>406421.88</v>
      </c>
      <c r="C20" s="1851">
        <f>406421.88</f>
        <v>406421.88</v>
      </c>
      <c r="D20" s="1851">
        <f>17696</f>
        <v>17696</v>
      </c>
      <c r="E20" s="1851">
        <f>14500</f>
        <v>14500</v>
      </c>
      <c r="F20" s="1851">
        <f>0</f>
        <v>0</v>
      </c>
      <c r="G20" s="1851">
        <f>3196</f>
        <v>3196</v>
      </c>
      <c r="H20" s="1851">
        <f>0</f>
        <v>0</v>
      </c>
      <c r="I20" s="1851">
        <f>0</f>
        <v>0</v>
      </c>
      <c r="J20" s="1851">
        <f>0</f>
        <v>0</v>
      </c>
      <c r="K20" s="1851">
        <f>0</f>
        <v>0</v>
      </c>
      <c r="L20" s="1851">
        <f>292895.19</f>
        <v>292895.19</v>
      </c>
      <c r="M20" s="1851">
        <f>81844.69</f>
        <v>81844.69</v>
      </c>
      <c r="N20" s="1851">
        <f>13986</f>
        <v>13986</v>
      </c>
      <c r="O20" s="1851">
        <f>0</f>
        <v>0</v>
      </c>
      <c r="P20" s="1851">
        <f>0</f>
        <v>0</v>
      </c>
      <c r="Q20" s="1851">
        <f>0</f>
        <v>0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 ht="14.25" customHeight="1">
      <c r="A22" s="2105" t="s">
        <v>684</v>
      </c>
      <c r="B22" s="2105"/>
      <c r="C22" s="2105"/>
      <c r="D22" s="2105"/>
      <c r="E22" s="2105"/>
      <c r="F22" s="2105"/>
      <c r="G22" s="2105"/>
      <c r="H22" s="2105"/>
      <c r="I22" s="2105"/>
      <c r="J22" s="2105"/>
      <c r="K22" s="2105"/>
      <c r="L22" s="2105"/>
      <c r="M22" s="2105"/>
      <c r="N22" s="1855"/>
      <c r="O22" s="1855"/>
      <c r="P22" s="1855"/>
      <c r="Q22" s="1855"/>
    </row>
    <row r="23" spans="1:17">
      <c r="A23" s="1855"/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</row>
    <row r="24" spans="1:17" ht="27" customHeight="1">
      <c r="A24" s="2332" t="s">
        <v>1</v>
      </c>
      <c r="B24" s="2339" t="s">
        <v>685</v>
      </c>
      <c r="C24" s="2335" t="s">
        <v>686</v>
      </c>
      <c r="D24" s="2336"/>
      <c r="E24" s="2336"/>
      <c r="F24" s="2336"/>
      <c r="G24" s="2336"/>
      <c r="H24" s="2336"/>
      <c r="I24" s="2336"/>
      <c r="J24" s="2336"/>
      <c r="K24" s="2336"/>
      <c r="L24" s="2336"/>
      <c r="M24" s="2336"/>
      <c r="N24" s="2337"/>
      <c r="O24" s="2335" t="s">
        <v>687</v>
      </c>
      <c r="P24" s="2336"/>
      <c r="Q24" s="2337"/>
    </row>
    <row r="25" spans="1:17">
      <c r="A25" s="2333"/>
      <c r="B25" s="2340"/>
      <c r="C25" s="2340" t="s">
        <v>688</v>
      </c>
      <c r="D25" s="2338" t="s">
        <v>689</v>
      </c>
      <c r="E25" s="2338" t="s">
        <v>690</v>
      </c>
      <c r="F25" s="2338" t="s">
        <v>691</v>
      </c>
      <c r="G25" s="2338" t="s">
        <v>692</v>
      </c>
      <c r="H25" s="2338" t="s">
        <v>663</v>
      </c>
      <c r="I25" s="2338" t="s">
        <v>693</v>
      </c>
      <c r="J25" s="2338" t="s">
        <v>665</v>
      </c>
      <c r="K25" s="2338" t="s">
        <v>666</v>
      </c>
      <c r="L25" s="2338" t="s">
        <v>667</v>
      </c>
      <c r="M25" s="2338" t="s">
        <v>668</v>
      </c>
      <c r="N25" s="2320" t="s">
        <v>669</v>
      </c>
      <c r="O25" s="2338" t="s">
        <v>670</v>
      </c>
      <c r="P25" s="2338" t="s">
        <v>671</v>
      </c>
      <c r="Q25" s="2339" t="s">
        <v>672</v>
      </c>
    </row>
    <row r="26" spans="1:17">
      <c r="A26" s="2333"/>
      <c r="B26" s="2340"/>
      <c r="C26" s="2340"/>
      <c r="D26" s="2338"/>
      <c r="E26" s="2338"/>
      <c r="F26" s="2338"/>
      <c r="G26" s="2338"/>
      <c r="H26" s="2338"/>
      <c r="I26" s="2338"/>
      <c r="J26" s="2338"/>
      <c r="K26" s="2338"/>
      <c r="L26" s="2338"/>
      <c r="M26" s="2338"/>
      <c r="N26" s="2320"/>
      <c r="O26" s="2338"/>
      <c r="P26" s="2338"/>
      <c r="Q26" s="2340"/>
    </row>
    <row r="27" spans="1:17">
      <c r="A27" s="2333"/>
      <c r="B27" s="2340"/>
      <c r="C27" s="2340"/>
      <c r="D27" s="2338"/>
      <c r="E27" s="2338"/>
      <c r="F27" s="2338"/>
      <c r="G27" s="2338"/>
      <c r="H27" s="2338"/>
      <c r="I27" s="2338"/>
      <c r="J27" s="2338"/>
      <c r="K27" s="2338"/>
      <c r="L27" s="2338"/>
      <c r="M27" s="2338"/>
      <c r="N27" s="2320"/>
      <c r="O27" s="2338"/>
      <c r="P27" s="2338"/>
      <c r="Q27" s="2340"/>
    </row>
    <row r="28" spans="1:17" ht="33" customHeight="1">
      <c r="A28" s="2334"/>
      <c r="B28" s="2341"/>
      <c r="C28" s="2341"/>
      <c r="D28" s="2338"/>
      <c r="E28" s="2338"/>
      <c r="F28" s="2338"/>
      <c r="G28" s="2338"/>
      <c r="H28" s="2338"/>
      <c r="I28" s="2338"/>
      <c r="J28" s="2338"/>
      <c r="K28" s="2338"/>
      <c r="L28" s="2338"/>
      <c r="M28" s="2338"/>
      <c r="N28" s="2320"/>
      <c r="O28" s="2338"/>
      <c r="P28" s="2338"/>
      <c r="Q28" s="2341"/>
    </row>
    <row r="29" spans="1:17">
      <c r="A29" s="1849">
        <v>1</v>
      </c>
      <c r="B29" s="1849">
        <v>2</v>
      </c>
      <c r="C29" s="1849">
        <v>3</v>
      </c>
      <c r="D29" s="1849">
        <v>4</v>
      </c>
      <c r="E29" s="1849">
        <v>5</v>
      </c>
      <c r="F29" s="1849">
        <v>6</v>
      </c>
      <c r="G29" s="1849">
        <v>7</v>
      </c>
      <c r="H29" s="1849">
        <v>8</v>
      </c>
      <c r="I29" s="1849">
        <v>9</v>
      </c>
      <c r="J29" s="1849">
        <v>10</v>
      </c>
      <c r="K29" s="1849">
        <v>11</v>
      </c>
      <c r="L29" s="1849">
        <v>12</v>
      </c>
      <c r="M29" s="1849">
        <v>13</v>
      </c>
      <c r="N29" s="1849">
        <v>14</v>
      </c>
      <c r="O29" s="1849">
        <v>15</v>
      </c>
      <c r="P29" s="1849">
        <v>16</v>
      </c>
      <c r="Q29" s="1849">
        <v>17</v>
      </c>
    </row>
    <row r="30" spans="1:17">
      <c r="A30" s="1849"/>
      <c r="B30" s="2322" t="s">
        <v>163</v>
      </c>
      <c r="C30" s="2345"/>
      <c r="D30" s="2345"/>
      <c r="E30" s="2345"/>
      <c r="F30" s="2345"/>
      <c r="G30" s="2345"/>
      <c r="H30" s="2345"/>
      <c r="I30" s="2345"/>
      <c r="J30" s="2345"/>
      <c r="K30" s="2345"/>
      <c r="L30" s="2345"/>
      <c r="M30" s="2345"/>
      <c r="N30" s="2345"/>
      <c r="O30" s="2345"/>
      <c r="P30" s="2345"/>
      <c r="Q30" s="2346"/>
    </row>
    <row r="31" spans="1:17" ht="20.399999999999999">
      <c r="A31" s="1916" t="s">
        <v>694</v>
      </c>
      <c r="B31" s="1857">
        <f>941</f>
        <v>941</v>
      </c>
      <c r="C31" s="1857">
        <f>941</f>
        <v>941</v>
      </c>
      <c r="D31" s="1857">
        <f>0</f>
        <v>0</v>
      </c>
      <c r="E31" s="1857">
        <f>0</f>
        <v>0</v>
      </c>
      <c r="F31" s="1857">
        <f>0</f>
        <v>0</v>
      </c>
      <c r="G31" s="1857">
        <f>0</f>
        <v>0</v>
      </c>
      <c r="H31" s="1857">
        <f>0</f>
        <v>0</v>
      </c>
      <c r="I31" s="1857">
        <f>0</f>
        <v>0</v>
      </c>
      <c r="J31" s="1857">
        <f>0</f>
        <v>0</v>
      </c>
      <c r="K31" s="1857">
        <f>0</f>
        <v>0</v>
      </c>
      <c r="L31" s="1857">
        <f>941</f>
        <v>941</v>
      </c>
      <c r="M31" s="1857">
        <f>0</f>
        <v>0</v>
      </c>
      <c r="N31" s="1857">
        <f>0</f>
        <v>0</v>
      </c>
      <c r="O31" s="1857">
        <f>0</f>
        <v>0</v>
      </c>
      <c r="P31" s="1857">
        <f>0</f>
        <v>0</v>
      </c>
      <c r="Q31" s="1857">
        <f>0</f>
        <v>0</v>
      </c>
    </row>
    <row r="32" spans="1:17">
      <c r="A32" s="1917" t="s">
        <v>695</v>
      </c>
      <c r="B32" s="1857">
        <f>0</f>
        <v>0</v>
      </c>
      <c r="C32" s="1857">
        <f>0</f>
        <v>0</v>
      </c>
      <c r="D32" s="1857">
        <f>0</f>
        <v>0</v>
      </c>
      <c r="E32" s="1857">
        <f>0</f>
        <v>0</v>
      </c>
      <c r="F32" s="1857">
        <f>0</f>
        <v>0</v>
      </c>
      <c r="G32" s="1857">
        <f>0</f>
        <v>0</v>
      </c>
      <c r="H32" s="1857">
        <f>0</f>
        <v>0</v>
      </c>
      <c r="I32" s="1857">
        <f>0</f>
        <v>0</v>
      </c>
      <c r="J32" s="1857">
        <f>0</f>
        <v>0</v>
      </c>
      <c r="K32" s="1857">
        <f>0</f>
        <v>0</v>
      </c>
      <c r="L32" s="1857">
        <f>0</f>
        <v>0</v>
      </c>
      <c r="M32" s="1857">
        <f>0</f>
        <v>0</v>
      </c>
      <c r="N32" s="1857">
        <f>0</f>
        <v>0</v>
      </c>
      <c r="O32" s="1857">
        <f>0</f>
        <v>0</v>
      </c>
      <c r="P32" s="1857">
        <f>0</f>
        <v>0</v>
      </c>
      <c r="Q32" s="1857">
        <f>0</f>
        <v>0</v>
      </c>
    </row>
    <row r="33" spans="1:17">
      <c r="A33" s="1917" t="s">
        <v>696</v>
      </c>
      <c r="B33" s="1857">
        <f>941</f>
        <v>941</v>
      </c>
      <c r="C33" s="1857">
        <f>941</f>
        <v>941</v>
      </c>
      <c r="D33" s="1857">
        <f>0</f>
        <v>0</v>
      </c>
      <c r="E33" s="1857">
        <f>0</f>
        <v>0</v>
      </c>
      <c r="F33" s="1857">
        <f>0</f>
        <v>0</v>
      </c>
      <c r="G33" s="1857">
        <f>0</f>
        <v>0</v>
      </c>
      <c r="H33" s="1857">
        <f>0</f>
        <v>0</v>
      </c>
      <c r="I33" s="1857">
        <f>0</f>
        <v>0</v>
      </c>
      <c r="J33" s="1857">
        <f>0</f>
        <v>0</v>
      </c>
      <c r="K33" s="1857">
        <f>0</f>
        <v>0</v>
      </c>
      <c r="L33" s="1857">
        <f>941</f>
        <v>941</v>
      </c>
      <c r="M33" s="1857">
        <f>0</f>
        <v>0</v>
      </c>
      <c r="N33" s="1857">
        <f>0</f>
        <v>0</v>
      </c>
      <c r="O33" s="1857">
        <f>0</f>
        <v>0</v>
      </c>
      <c r="P33" s="1857">
        <f>0</f>
        <v>0</v>
      </c>
      <c r="Q33" s="1857">
        <f>0</f>
        <v>0</v>
      </c>
    </row>
    <row r="34" spans="1:17">
      <c r="A34" s="1916" t="s">
        <v>697</v>
      </c>
      <c r="B34" s="1857">
        <f>321319031.6</f>
        <v>321319031.60000002</v>
      </c>
      <c r="C34" s="1857">
        <f>321319031.6</f>
        <v>321319031.60000002</v>
      </c>
      <c r="D34" s="1857">
        <f>234132962.82</f>
        <v>234132962.81999999</v>
      </c>
      <c r="E34" s="1857">
        <f>15450</f>
        <v>15450</v>
      </c>
      <c r="F34" s="1857">
        <f>14102403.2</f>
        <v>14102403.199999999</v>
      </c>
      <c r="G34" s="1857">
        <f>220015109.62</f>
        <v>220015109.62</v>
      </c>
      <c r="H34" s="1857">
        <f>0</f>
        <v>0</v>
      </c>
      <c r="I34" s="1857">
        <f>0</f>
        <v>0</v>
      </c>
      <c r="J34" s="1857">
        <f>0</f>
        <v>0</v>
      </c>
      <c r="K34" s="1857">
        <f>0</f>
        <v>0</v>
      </c>
      <c r="L34" s="1857">
        <f>71038004.7</f>
        <v>71038004.700000003</v>
      </c>
      <c r="M34" s="1857">
        <f>14039698.09</f>
        <v>14039698.09</v>
      </c>
      <c r="N34" s="1857">
        <f>2108365.99</f>
        <v>2108365.9900000002</v>
      </c>
      <c r="O34" s="1857">
        <f>0</f>
        <v>0</v>
      </c>
      <c r="P34" s="1857">
        <f>0</f>
        <v>0</v>
      </c>
      <c r="Q34" s="1857">
        <f>0</f>
        <v>0</v>
      </c>
    </row>
    <row r="35" spans="1:17">
      <c r="A35" s="1917" t="s">
        <v>698</v>
      </c>
      <c r="B35" s="1857">
        <f>38815904.54</f>
        <v>38815904.539999999</v>
      </c>
      <c r="C35" s="1857">
        <f>38815904.54</f>
        <v>38815904.539999999</v>
      </c>
      <c r="D35" s="1857">
        <f>31954959.18</f>
        <v>31954959.18</v>
      </c>
      <c r="E35" s="1857">
        <f>0</f>
        <v>0</v>
      </c>
      <c r="F35" s="1857">
        <f>0</f>
        <v>0</v>
      </c>
      <c r="G35" s="1857">
        <f>31954959.18</f>
        <v>31954959.18</v>
      </c>
      <c r="H35" s="1857">
        <f>0</f>
        <v>0</v>
      </c>
      <c r="I35" s="1857">
        <f>0</f>
        <v>0</v>
      </c>
      <c r="J35" s="1857">
        <f>0</f>
        <v>0</v>
      </c>
      <c r="K35" s="1857">
        <f>0</f>
        <v>0</v>
      </c>
      <c r="L35" s="1857">
        <f>4375417.48</f>
        <v>4375417.4800000004</v>
      </c>
      <c r="M35" s="1857">
        <f>1410527.88</f>
        <v>1410527.88</v>
      </c>
      <c r="N35" s="1857">
        <f>1075000</f>
        <v>1075000</v>
      </c>
      <c r="O35" s="1857">
        <f>0</f>
        <v>0</v>
      </c>
      <c r="P35" s="1857">
        <f>0</f>
        <v>0</v>
      </c>
      <c r="Q35" s="1857">
        <f>0</f>
        <v>0</v>
      </c>
    </row>
    <row r="36" spans="1:17">
      <c r="A36" s="1917" t="s">
        <v>699</v>
      </c>
      <c r="B36" s="1857">
        <f>282503127.06</f>
        <v>282503127.06</v>
      </c>
      <c r="C36" s="1857">
        <f>282503127.06</f>
        <v>282503127.06</v>
      </c>
      <c r="D36" s="1857">
        <f>202178003.64</f>
        <v>202178003.63999999</v>
      </c>
      <c r="E36" s="1857">
        <f>15450</f>
        <v>15450</v>
      </c>
      <c r="F36" s="1857">
        <f>14102403.2</f>
        <v>14102403.199999999</v>
      </c>
      <c r="G36" s="1857">
        <f>188060150.44</f>
        <v>188060150.44</v>
      </c>
      <c r="H36" s="1857">
        <f>0</f>
        <v>0</v>
      </c>
      <c r="I36" s="1857">
        <f>0</f>
        <v>0</v>
      </c>
      <c r="J36" s="1857">
        <f>0</f>
        <v>0</v>
      </c>
      <c r="K36" s="1857">
        <f>0</f>
        <v>0</v>
      </c>
      <c r="L36" s="1857">
        <f>66662587.22</f>
        <v>66662587.219999999</v>
      </c>
      <c r="M36" s="1857">
        <f>12629170.21</f>
        <v>12629170.210000001</v>
      </c>
      <c r="N36" s="1857">
        <f>1033365.99</f>
        <v>1033365.99</v>
      </c>
      <c r="O36" s="1857">
        <f>0</f>
        <v>0</v>
      </c>
      <c r="P36" s="1857">
        <f>0</f>
        <v>0</v>
      </c>
      <c r="Q36" s="1857">
        <f>0</f>
        <v>0</v>
      </c>
    </row>
    <row r="37" spans="1:17" ht="20.399999999999999">
      <c r="A37" s="1916" t="s">
        <v>700</v>
      </c>
      <c r="B37" s="1857">
        <f>8797420930.28</f>
        <v>8797420930.2800007</v>
      </c>
      <c r="C37" s="1857">
        <f>8797420930.28</f>
        <v>8797420930.2800007</v>
      </c>
      <c r="D37" s="1857">
        <f>106094.14</f>
        <v>106094.14</v>
      </c>
      <c r="E37" s="1857">
        <f>2814.08</f>
        <v>2814.08</v>
      </c>
      <c r="F37" s="1857">
        <f>2640</f>
        <v>2640</v>
      </c>
      <c r="G37" s="1857">
        <f>100640.06</f>
        <v>100640.06</v>
      </c>
      <c r="H37" s="1857">
        <f>0</f>
        <v>0</v>
      </c>
      <c r="I37" s="1857">
        <f>4506146.18</f>
        <v>4506146.18</v>
      </c>
      <c r="J37" s="1857">
        <f>8792554217.83</f>
        <v>8792554217.8299999</v>
      </c>
      <c r="K37" s="1857">
        <f>16701.58</f>
        <v>16701.580000000002</v>
      </c>
      <c r="L37" s="1857">
        <f>139763.33</f>
        <v>139763.32999999999</v>
      </c>
      <c r="M37" s="1857">
        <f>2000</f>
        <v>2000</v>
      </c>
      <c r="N37" s="1857">
        <f>96007.22</f>
        <v>96007.22</v>
      </c>
      <c r="O37" s="1857">
        <f>0</f>
        <v>0</v>
      </c>
      <c r="P37" s="1857">
        <f>0</f>
        <v>0</v>
      </c>
      <c r="Q37" s="1857">
        <f>0</f>
        <v>0</v>
      </c>
    </row>
    <row r="38" spans="1:17">
      <c r="A38" s="1917" t="s">
        <v>701</v>
      </c>
      <c r="B38" s="1857">
        <f>69928.51</f>
        <v>69928.509999999995</v>
      </c>
      <c r="C38" s="1857">
        <f>69928.51</f>
        <v>69928.509999999995</v>
      </c>
      <c r="D38" s="1857">
        <f>69928.51</f>
        <v>69928.509999999995</v>
      </c>
      <c r="E38" s="1857">
        <f>0</f>
        <v>0</v>
      </c>
      <c r="F38" s="1857">
        <f>0</f>
        <v>0</v>
      </c>
      <c r="G38" s="1857">
        <f>69928.51</f>
        <v>69928.509999999995</v>
      </c>
      <c r="H38" s="1857">
        <f>0</f>
        <v>0</v>
      </c>
      <c r="I38" s="1857">
        <f>0</f>
        <v>0</v>
      </c>
      <c r="J38" s="1857">
        <f>0</f>
        <v>0</v>
      </c>
      <c r="K38" s="1857">
        <f>0</f>
        <v>0</v>
      </c>
      <c r="L38" s="1857">
        <f>0</f>
        <v>0</v>
      </c>
      <c r="M38" s="1857">
        <f>0</f>
        <v>0</v>
      </c>
      <c r="N38" s="1857">
        <f>0</f>
        <v>0</v>
      </c>
      <c r="O38" s="1857">
        <f>0</f>
        <v>0</v>
      </c>
      <c r="P38" s="1857">
        <f>0</f>
        <v>0</v>
      </c>
      <c r="Q38" s="1857">
        <f>0</f>
        <v>0</v>
      </c>
    </row>
    <row r="39" spans="1:17">
      <c r="A39" s="1917" t="s">
        <v>702</v>
      </c>
      <c r="B39" s="1857">
        <f>8568687779.44</f>
        <v>8568687779.4399996</v>
      </c>
      <c r="C39" s="1857">
        <f>8568687779.44</f>
        <v>8568687779.4399996</v>
      </c>
      <c r="D39" s="1857">
        <f>26867.5</f>
        <v>26867.5</v>
      </c>
      <c r="E39" s="1857">
        <f>1284.55</f>
        <v>1284.55</v>
      </c>
      <c r="F39" s="1857">
        <f>0</f>
        <v>0</v>
      </c>
      <c r="G39" s="1857">
        <f>25582.95</f>
        <v>25582.95</v>
      </c>
      <c r="H39" s="1857">
        <f>0</f>
        <v>0</v>
      </c>
      <c r="I39" s="1857">
        <f>4506146.18</f>
        <v>4506146.18</v>
      </c>
      <c r="J39" s="1857">
        <f>8564015379.27</f>
        <v>8564015379.2700005</v>
      </c>
      <c r="K39" s="1857">
        <f>14211.48</f>
        <v>14211.48</v>
      </c>
      <c r="L39" s="1857">
        <f>29167.79</f>
        <v>29167.79</v>
      </c>
      <c r="M39" s="1857">
        <f>0</f>
        <v>0</v>
      </c>
      <c r="N39" s="1857">
        <f>96007.22</f>
        <v>96007.22</v>
      </c>
      <c r="O39" s="1857">
        <f>0</f>
        <v>0</v>
      </c>
      <c r="P39" s="1857">
        <f>0</f>
        <v>0</v>
      </c>
      <c r="Q39" s="1857">
        <f>0</f>
        <v>0</v>
      </c>
    </row>
    <row r="40" spans="1:17">
      <c r="A40" s="1917" t="s">
        <v>703</v>
      </c>
      <c r="B40" s="1857">
        <f>228663222.33</f>
        <v>228663222.33000001</v>
      </c>
      <c r="C40" s="1857">
        <f>228663222.33</f>
        <v>228663222.33000001</v>
      </c>
      <c r="D40" s="1857">
        <f>9298.13</f>
        <v>9298.1299999999992</v>
      </c>
      <c r="E40" s="1857">
        <f>1529.53</f>
        <v>1529.53</v>
      </c>
      <c r="F40" s="1857">
        <f>2640</f>
        <v>2640</v>
      </c>
      <c r="G40" s="1857">
        <f>5128.6</f>
        <v>5128.6000000000004</v>
      </c>
      <c r="H40" s="1857">
        <f>0</f>
        <v>0</v>
      </c>
      <c r="I40" s="1857">
        <f>0</f>
        <v>0</v>
      </c>
      <c r="J40" s="1857">
        <f>228538838.56</f>
        <v>228538838.56</v>
      </c>
      <c r="K40" s="1857">
        <f>2490.1</f>
        <v>2490.1</v>
      </c>
      <c r="L40" s="1857">
        <f>110595.54</f>
        <v>110595.54</v>
      </c>
      <c r="M40" s="1857">
        <f>2000</f>
        <v>2000</v>
      </c>
      <c r="N40" s="1857">
        <f>0</f>
        <v>0</v>
      </c>
      <c r="O40" s="1857">
        <f>0</f>
        <v>0</v>
      </c>
      <c r="P40" s="1857">
        <f>0</f>
        <v>0</v>
      </c>
      <c r="Q40" s="1857">
        <f>0</f>
        <v>0</v>
      </c>
    </row>
    <row r="41" spans="1:17" ht="20.399999999999999">
      <c r="A41" s="1916" t="s">
        <v>704</v>
      </c>
      <c r="B41" s="1857">
        <f>918068666.08</f>
        <v>918068666.08000004</v>
      </c>
      <c r="C41" s="1857">
        <f>916994467.73</f>
        <v>916994467.73000002</v>
      </c>
      <c r="D41" s="1857">
        <f>35043673.48</f>
        <v>35043673.479999997</v>
      </c>
      <c r="E41" s="1857">
        <f>11165974.54</f>
        <v>11165974.539999999</v>
      </c>
      <c r="F41" s="1857">
        <f>1302810.03</f>
        <v>1302810.03</v>
      </c>
      <c r="G41" s="1857">
        <f>22569668.5</f>
        <v>22569668.5</v>
      </c>
      <c r="H41" s="1857">
        <f>5220.41</f>
        <v>5220.41</v>
      </c>
      <c r="I41" s="1857">
        <f>0</f>
        <v>0</v>
      </c>
      <c r="J41" s="1857">
        <f>3123971.32</f>
        <v>3123971.32</v>
      </c>
      <c r="K41" s="1857">
        <f>737325.98</f>
        <v>737325.98</v>
      </c>
      <c r="L41" s="1857">
        <f>240525381.95</f>
        <v>240525381.94999999</v>
      </c>
      <c r="M41" s="1857">
        <f>632599356.91</f>
        <v>632599356.90999997</v>
      </c>
      <c r="N41" s="1857">
        <f>4964758.09</f>
        <v>4964758.09</v>
      </c>
      <c r="O41" s="1857">
        <f>1074198.35</f>
        <v>1074198.3500000001</v>
      </c>
      <c r="P41" s="1857">
        <f>385419.19</f>
        <v>385419.19</v>
      </c>
      <c r="Q41" s="1857">
        <f>688779.16</f>
        <v>688779.16</v>
      </c>
    </row>
    <row r="42" spans="1:17" ht="20.399999999999999">
      <c r="A42" s="1917" t="s">
        <v>705</v>
      </c>
      <c r="B42" s="1857">
        <f>161595561.97</f>
        <v>161595561.97</v>
      </c>
      <c r="C42" s="1857">
        <f>161547592.92</f>
        <v>161547592.91999999</v>
      </c>
      <c r="D42" s="1857">
        <f>5069494.87</f>
        <v>5069494.87</v>
      </c>
      <c r="E42" s="1857">
        <f>1387432.28</f>
        <v>1387432.28</v>
      </c>
      <c r="F42" s="1857">
        <f>486318.85</f>
        <v>486318.85</v>
      </c>
      <c r="G42" s="1857">
        <f>3194368.25</f>
        <v>3194368.25</v>
      </c>
      <c r="H42" s="1857">
        <f>1375.49</f>
        <v>1375.49</v>
      </c>
      <c r="I42" s="1857">
        <f>0</f>
        <v>0</v>
      </c>
      <c r="J42" s="1857">
        <f>5328.04</f>
        <v>5328.04</v>
      </c>
      <c r="K42" s="1857">
        <f>511243.61</f>
        <v>511243.61</v>
      </c>
      <c r="L42" s="1857">
        <f>52617625.47</f>
        <v>52617625.469999999</v>
      </c>
      <c r="M42" s="1857">
        <f>101908234.67</f>
        <v>101908234.67</v>
      </c>
      <c r="N42" s="1857">
        <f>1435666.26</f>
        <v>1435666.26</v>
      </c>
      <c r="O42" s="1857">
        <f>47969.05</f>
        <v>47969.05</v>
      </c>
      <c r="P42" s="1857">
        <f>38736.54</f>
        <v>38736.54</v>
      </c>
      <c r="Q42" s="1857">
        <f>9232.51</f>
        <v>9232.51</v>
      </c>
    </row>
    <row r="43" spans="1:17">
      <c r="A43" s="2502" t="s">
        <v>706</v>
      </c>
      <c r="B43" s="1857">
        <f>756473104.11</f>
        <v>756473104.11000001</v>
      </c>
      <c r="C43" s="1857">
        <f>755446874.81</f>
        <v>755446874.80999994</v>
      </c>
      <c r="D43" s="1857">
        <f>29974178.61</f>
        <v>29974178.609999999</v>
      </c>
      <c r="E43" s="1857">
        <f>9778542.26</f>
        <v>9778542.2599999998</v>
      </c>
      <c r="F43" s="1857">
        <f>816491.18</f>
        <v>816491.18</v>
      </c>
      <c r="G43" s="1857">
        <f>19375300.25</f>
        <v>19375300.25</v>
      </c>
      <c r="H43" s="1857">
        <f>3844.92</f>
        <v>3844.92</v>
      </c>
      <c r="I43" s="1857">
        <f>0</f>
        <v>0</v>
      </c>
      <c r="J43" s="1857">
        <f>3118643.28</f>
        <v>3118643.28</v>
      </c>
      <c r="K43" s="1857">
        <f>226082.37</f>
        <v>226082.37</v>
      </c>
      <c r="L43" s="1857">
        <f>187907756.48</f>
        <v>187907756.47999999</v>
      </c>
      <c r="M43" s="1857">
        <f>530691122.24</f>
        <v>530691122.24000001</v>
      </c>
      <c r="N43" s="1857">
        <f>3529091.83</f>
        <v>3529091.83</v>
      </c>
      <c r="O43" s="1857">
        <f>1026229.3</f>
        <v>1026229.3</v>
      </c>
      <c r="P43" s="1857">
        <f>346682.65</f>
        <v>346682.65</v>
      </c>
      <c r="Q43" s="1857">
        <f>679546.65</f>
        <v>679546.65</v>
      </c>
    </row>
    <row r="44" spans="1:17" ht="20.399999999999999">
      <c r="A44" s="1916" t="s">
        <v>707</v>
      </c>
      <c r="B44" s="1857">
        <f>837651615.61</f>
        <v>837651615.61000001</v>
      </c>
      <c r="C44" s="1857">
        <f>837280643.33</f>
        <v>837280643.33000004</v>
      </c>
      <c r="D44" s="1857">
        <f>222760507.38</f>
        <v>222760507.38</v>
      </c>
      <c r="E44" s="1857">
        <f>20059348.54</f>
        <v>20059348.539999999</v>
      </c>
      <c r="F44" s="1857">
        <f>3796122.33</f>
        <v>3796122.33</v>
      </c>
      <c r="G44" s="1857">
        <f>196138927.43</f>
        <v>196138927.43000001</v>
      </c>
      <c r="H44" s="1857">
        <f>2766109.08</f>
        <v>2766109.08</v>
      </c>
      <c r="I44" s="1857">
        <f>0</f>
        <v>0</v>
      </c>
      <c r="J44" s="1857">
        <f>167952.25</f>
        <v>167952.25</v>
      </c>
      <c r="K44" s="1857">
        <f>15847274.54</f>
        <v>15847274.539999999</v>
      </c>
      <c r="L44" s="1857">
        <f>485823276.65</f>
        <v>485823276.64999998</v>
      </c>
      <c r="M44" s="1857">
        <f>106591439.79</f>
        <v>106591439.79000001</v>
      </c>
      <c r="N44" s="1857">
        <f>6090192.72</f>
        <v>6090192.7199999997</v>
      </c>
      <c r="O44" s="1857">
        <f>370972.28</f>
        <v>370972.28</v>
      </c>
      <c r="P44" s="1857">
        <f>70582.7</f>
        <v>70582.7</v>
      </c>
      <c r="Q44" s="1857">
        <f>300389.58</f>
        <v>300389.58</v>
      </c>
    </row>
    <row r="45" spans="1:17" ht="20.399999999999999">
      <c r="A45" s="1917" t="s">
        <v>708</v>
      </c>
      <c r="B45" s="1857">
        <f>58416722.77</f>
        <v>58416722.770000003</v>
      </c>
      <c r="C45" s="1857">
        <f>58330846.65</f>
        <v>58330846.649999999</v>
      </c>
      <c r="D45" s="1857">
        <f>18854486.74</f>
        <v>18854486.739999998</v>
      </c>
      <c r="E45" s="1857">
        <f>599620.82</f>
        <v>599620.81999999995</v>
      </c>
      <c r="F45" s="1857">
        <f>738557.89</f>
        <v>738557.89</v>
      </c>
      <c r="G45" s="1857">
        <f>15411311.07</f>
        <v>15411311.07</v>
      </c>
      <c r="H45" s="1857">
        <f>2104996.96</f>
        <v>2104996.96</v>
      </c>
      <c r="I45" s="1857">
        <f>0</f>
        <v>0</v>
      </c>
      <c r="J45" s="1857">
        <f>90490.54</f>
        <v>90490.54</v>
      </c>
      <c r="K45" s="1857">
        <f>162401.13</f>
        <v>162401.13</v>
      </c>
      <c r="L45" s="1857">
        <f>22259784.46</f>
        <v>22259784.460000001</v>
      </c>
      <c r="M45" s="1857">
        <f>16033123.08</f>
        <v>16033123.08</v>
      </c>
      <c r="N45" s="1857">
        <f>930560.7</f>
        <v>930560.7</v>
      </c>
      <c r="O45" s="1857">
        <f>85876.12</f>
        <v>85876.12</v>
      </c>
      <c r="P45" s="1857">
        <f>70418.02</f>
        <v>70418.02</v>
      </c>
      <c r="Q45" s="1857">
        <f>15458.1</f>
        <v>15458.1</v>
      </c>
    </row>
    <row r="46" spans="1:17" ht="20.399999999999999">
      <c r="A46" s="1917" t="s">
        <v>709</v>
      </c>
      <c r="B46" s="1857">
        <f>7732300.16</f>
        <v>7732300.1600000001</v>
      </c>
      <c r="C46" s="1857">
        <f>7732300.16</f>
        <v>7732300.1600000001</v>
      </c>
      <c r="D46" s="1857">
        <f>3106606.1</f>
        <v>3106606.1</v>
      </c>
      <c r="E46" s="1857">
        <f>186394.67</f>
        <v>186394.67</v>
      </c>
      <c r="F46" s="1857">
        <f>127</f>
        <v>127</v>
      </c>
      <c r="G46" s="1857">
        <f>2679395.86</f>
        <v>2679395.86</v>
      </c>
      <c r="H46" s="1857">
        <f>240688.57</f>
        <v>240688.57</v>
      </c>
      <c r="I46" s="1857">
        <f>0</f>
        <v>0</v>
      </c>
      <c r="J46" s="1857">
        <f>0</f>
        <v>0</v>
      </c>
      <c r="K46" s="1857">
        <f>6147.44</f>
        <v>6147.44</v>
      </c>
      <c r="L46" s="1857">
        <f>4052962.57</f>
        <v>4052962.57</v>
      </c>
      <c r="M46" s="1857">
        <f>562801.2</f>
        <v>562801.19999999995</v>
      </c>
      <c r="N46" s="1857">
        <f>3782.85</f>
        <v>3782.85</v>
      </c>
      <c r="O46" s="1857">
        <f>0</f>
        <v>0</v>
      </c>
      <c r="P46" s="1857">
        <f>0</f>
        <v>0</v>
      </c>
      <c r="Q46" s="1857">
        <f>0</f>
        <v>0</v>
      </c>
    </row>
    <row r="47" spans="1:17" ht="20.399999999999999">
      <c r="A47" s="1917" t="s">
        <v>710</v>
      </c>
      <c r="B47" s="1857">
        <f>771502592.68</f>
        <v>771502592.67999995</v>
      </c>
      <c r="C47" s="1857">
        <f>771217496.52</f>
        <v>771217496.51999998</v>
      </c>
      <c r="D47" s="1857">
        <f>200799414.54</f>
        <v>200799414.53999999</v>
      </c>
      <c r="E47" s="1857">
        <f>19273333.05</f>
        <v>19273333.050000001</v>
      </c>
      <c r="F47" s="1857">
        <f>3057437.44</f>
        <v>3057437.44</v>
      </c>
      <c r="G47" s="1857">
        <f>178048220.5</f>
        <v>178048220.5</v>
      </c>
      <c r="H47" s="1857">
        <f>420423.55</f>
        <v>420423.55</v>
      </c>
      <c r="I47" s="1857">
        <f>0</f>
        <v>0</v>
      </c>
      <c r="J47" s="1857">
        <f>77461.71</f>
        <v>77461.710000000006</v>
      </c>
      <c r="K47" s="1857">
        <f>15678725.97</f>
        <v>15678725.970000001</v>
      </c>
      <c r="L47" s="1857">
        <f>459510529.62</f>
        <v>459510529.62</v>
      </c>
      <c r="M47" s="1857">
        <f>89995515.51</f>
        <v>89995515.510000005</v>
      </c>
      <c r="N47" s="1857">
        <f>5155849.17</f>
        <v>5155849.17</v>
      </c>
      <c r="O47" s="1857">
        <f>285096.16</f>
        <v>285096.15999999997</v>
      </c>
      <c r="P47" s="1857">
        <f>164.68</f>
        <v>164.68</v>
      </c>
      <c r="Q47" s="1857">
        <f>284931.48</f>
        <v>284931.48</v>
      </c>
    </row>
    <row r="48" spans="1:17">
      <c r="A48" s="1855"/>
      <c r="B48" s="1855"/>
      <c r="C48" s="1855"/>
      <c r="D48" s="1855"/>
      <c r="E48" s="1855"/>
      <c r="F48" s="1855"/>
      <c r="G48" s="1855"/>
      <c r="H48" s="1855"/>
      <c r="I48" s="1855"/>
      <c r="J48" s="1855"/>
      <c r="K48" s="1855"/>
      <c r="L48" s="1855"/>
      <c r="M48" s="1855"/>
      <c r="N48" s="1855"/>
      <c r="O48" s="1855"/>
      <c r="P48" s="1855"/>
      <c r="Q48" s="1855"/>
    </row>
    <row r="49" spans="1:17" ht="14.25" customHeight="1">
      <c r="A49" s="1855"/>
      <c r="B49" s="2105" t="s">
        <v>711</v>
      </c>
      <c r="C49" s="2105"/>
      <c r="D49" s="2105"/>
      <c r="E49" s="2105"/>
      <c r="F49" s="2105"/>
      <c r="G49" s="2105"/>
      <c r="H49" s="2105"/>
      <c r="I49" s="2105"/>
      <c r="J49" s="2105"/>
      <c r="K49" s="2105"/>
      <c r="L49" s="2105"/>
      <c r="M49" s="2105"/>
      <c r="N49" s="1855"/>
      <c r="O49" s="1855"/>
      <c r="P49" s="1855"/>
      <c r="Q49" s="1855"/>
    </row>
    <row r="50" spans="1:17" ht="25.2" customHeight="1">
      <c r="A50" s="1855"/>
      <c r="B50" s="1855"/>
      <c r="C50" s="1855"/>
      <c r="D50" s="1855"/>
      <c r="E50" s="1855"/>
      <c r="F50" s="1855"/>
      <c r="G50" s="1855"/>
      <c r="H50" s="1855"/>
      <c r="I50" s="1855"/>
      <c r="J50" s="1855"/>
      <c r="K50" s="1855"/>
      <c r="L50" s="1855"/>
      <c r="M50" s="1855"/>
      <c r="N50" s="1855"/>
      <c r="O50" s="1855"/>
      <c r="P50" s="1855"/>
      <c r="Q50" s="1855"/>
    </row>
    <row r="51" spans="1:17" ht="27" customHeight="1">
      <c r="A51" s="1855"/>
      <c r="B51" s="2306" t="s">
        <v>1</v>
      </c>
      <c r="C51" s="2307"/>
      <c r="D51" s="2307"/>
      <c r="E51" s="2308"/>
      <c r="F51" s="2315" t="s">
        <v>712</v>
      </c>
      <c r="G51" s="2304" t="s">
        <v>713</v>
      </c>
      <c r="H51" s="2318"/>
      <c r="I51" s="2318"/>
      <c r="J51" s="2318"/>
      <c r="K51" s="2318"/>
      <c r="L51" s="2319"/>
      <c r="M51" s="1855"/>
      <c r="N51" s="1855"/>
      <c r="O51" s="1855"/>
      <c r="P51" s="1855"/>
      <c r="Q51" s="1855"/>
    </row>
    <row r="52" spans="1:17" ht="22.95" customHeight="1">
      <c r="A52" s="1855"/>
      <c r="B52" s="2309"/>
      <c r="C52" s="2310"/>
      <c r="D52" s="2310"/>
      <c r="E52" s="2311"/>
      <c r="F52" s="2316"/>
      <c r="G52" s="2320" t="s">
        <v>714</v>
      </c>
      <c r="H52" s="2303" t="s">
        <v>660</v>
      </c>
      <c r="I52" s="2303" t="s">
        <v>661</v>
      </c>
      <c r="J52" s="2303" t="s">
        <v>692</v>
      </c>
      <c r="K52" s="2303" t="s">
        <v>715</v>
      </c>
      <c r="L52" s="2325" t="s">
        <v>716</v>
      </c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/>
      <c r="H53" s="2303"/>
      <c r="I53" s="2303"/>
      <c r="J53" s="2303"/>
      <c r="K53" s="2303"/>
      <c r="L53" s="2325"/>
      <c r="M53" s="1855"/>
      <c r="N53" s="1855"/>
      <c r="O53" s="1855"/>
      <c r="P53" s="1855"/>
      <c r="Q53" s="1855"/>
    </row>
    <row r="54" spans="1:17" ht="13.2" customHeight="1">
      <c r="A54" s="1855"/>
      <c r="B54" s="2309"/>
      <c r="C54" s="2310"/>
      <c r="D54" s="2310"/>
      <c r="E54" s="2311"/>
      <c r="F54" s="2316"/>
      <c r="G54" s="2320"/>
      <c r="H54" s="2303"/>
      <c r="I54" s="2303"/>
      <c r="J54" s="2303"/>
      <c r="K54" s="2303"/>
      <c r="L54" s="2325"/>
      <c r="M54" s="1855"/>
      <c r="N54" s="1855"/>
      <c r="O54" s="1855"/>
      <c r="P54" s="1855"/>
      <c r="Q54" s="1855"/>
    </row>
    <row r="55" spans="1:17" hidden="1">
      <c r="A55" s="1855"/>
      <c r="B55" s="2312"/>
      <c r="C55" s="2313"/>
      <c r="D55" s="2313"/>
      <c r="E55" s="2314"/>
      <c r="F55" s="2317"/>
      <c r="G55" s="2320"/>
      <c r="H55" s="2303"/>
      <c r="I55" s="2303"/>
      <c r="J55" s="2303"/>
      <c r="K55" s="2303"/>
      <c r="L55" s="2325"/>
      <c r="M55" s="1855"/>
      <c r="N55" s="1855"/>
      <c r="O55" s="1855"/>
      <c r="P55" s="1855"/>
      <c r="Q55" s="1855"/>
    </row>
    <row r="56" spans="1:17">
      <c r="A56" s="1855"/>
      <c r="B56" s="2303">
        <v>1</v>
      </c>
      <c r="C56" s="2303"/>
      <c r="D56" s="2303"/>
      <c r="E56" s="2303"/>
      <c r="F56" s="1861">
        <v>2</v>
      </c>
      <c r="G56" s="1861">
        <v>3</v>
      </c>
      <c r="H56" s="1861">
        <v>4</v>
      </c>
      <c r="I56" s="1861">
        <v>5</v>
      </c>
      <c r="J56" s="1861">
        <v>6</v>
      </c>
      <c r="K56" s="1861">
        <v>7</v>
      </c>
      <c r="L56" s="1861">
        <v>8</v>
      </c>
      <c r="M56" s="1855"/>
      <c r="N56" s="1855"/>
      <c r="O56" s="1855"/>
      <c r="P56" s="1855"/>
      <c r="Q56" s="1855"/>
    </row>
    <row r="57" spans="1:17" ht="14.4">
      <c r="A57" s="1855"/>
      <c r="B57" s="2303"/>
      <c r="C57" s="2303"/>
      <c r="D57" s="2303"/>
      <c r="E57" s="2303"/>
      <c r="F57" s="2304" t="s">
        <v>163</v>
      </c>
      <c r="G57" s="2305"/>
      <c r="H57" s="2305"/>
      <c r="I57" s="2305"/>
      <c r="J57" s="2305"/>
      <c r="K57" s="2305"/>
      <c r="L57" s="2285"/>
      <c r="M57" s="1855"/>
      <c r="N57" s="1855"/>
      <c r="O57" s="1855"/>
      <c r="P57" s="1855"/>
      <c r="Q57" s="1855"/>
    </row>
    <row r="58" spans="1:17" ht="33" customHeight="1">
      <c r="A58" s="1855"/>
      <c r="B58" s="2300" t="s">
        <v>717</v>
      </c>
      <c r="C58" s="2301"/>
      <c r="D58" s="2301"/>
      <c r="E58" s="2302"/>
      <c r="F58" s="1851">
        <f>527581522.26</f>
        <v>527581522.25999999</v>
      </c>
      <c r="G58" s="1851">
        <f>285092903.04</f>
        <v>285092903.04000002</v>
      </c>
      <c r="H58" s="1851">
        <f>47928222.04</f>
        <v>47928222.039999999</v>
      </c>
      <c r="I58" s="1851">
        <f>5149217.03</f>
        <v>5149217.03</v>
      </c>
      <c r="J58" s="1851">
        <f>225505544.13</f>
        <v>225505544.13</v>
      </c>
      <c r="K58" s="1851">
        <f>6509919.84</f>
        <v>6509919.8399999999</v>
      </c>
      <c r="L58" s="1851">
        <f>242488619.22</f>
        <v>242488619.22</v>
      </c>
      <c r="M58" s="1855"/>
      <c r="N58" s="1855"/>
      <c r="O58" s="1855"/>
      <c r="P58" s="1855"/>
      <c r="Q58" s="1855"/>
    </row>
    <row r="59" spans="1:17" ht="38.25" customHeight="1">
      <c r="A59" s="1855"/>
      <c r="B59" s="2300" t="s">
        <v>718</v>
      </c>
      <c r="C59" s="2301"/>
      <c r="D59" s="2301"/>
      <c r="E59" s="2302"/>
      <c r="F59" s="1851">
        <f>0</f>
        <v>0</v>
      </c>
      <c r="G59" s="1851">
        <f>0</f>
        <v>0</v>
      </c>
      <c r="H59" s="1851">
        <f>0</f>
        <v>0</v>
      </c>
      <c r="I59" s="1851">
        <f>0</f>
        <v>0</v>
      </c>
      <c r="J59" s="1851">
        <f>0</f>
        <v>0</v>
      </c>
      <c r="K59" s="1851">
        <f>0</f>
        <v>0</v>
      </c>
      <c r="L59" s="1851">
        <f>0</f>
        <v>0</v>
      </c>
      <c r="M59" s="1855"/>
      <c r="N59" s="1855"/>
      <c r="O59" s="1855"/>
      <c r="P59" s="1855"/>
      <c r="Q59" s="1855"/>
    </row>
    <row r="60" spans="1:17" ht="29.25" customHeight="1">
      <c r="A60" s="1855"/>
      <c r="B60" s="2300" t="s">
        <v>719</v>
      </c>
      <c r="C60" s="2301"/>
      <c r="D60" s="2301"/>
      <c r="E60" s="2302"/>
      <c r="F60" s="1851">
        <f>101682312.43</f>
        <v>101682312.43000001</v>
      </c>
      <c r="G60" s="1851">
        <f>56893805.7</f>
        <v>56893805.700000003</v>
      </c>
      <c r="H60" s="1851">
        <f>0</f>
        <v>0</v>
      </c>
      <c r="I60" s="1851">
        <f>0</f>
        <v>0</v>
      </c>
      <c r="J60" s="1851">
        <f>56893805.7</f>
        <v>56893805.700000003</v>
      </c>
      <c r="K60" s="1851">
        <f>0</f>
        <v>0</v>
      </c>
      <c r="L60" s="1851">
        <f>44788506.73</f>
        <v>44788506.729999997</v>
      </c>
      <c r="M60" s="1855"/>
      <c r="N60" s="1855"/>
      <c r="O60" s="1855"/>
      <c r="P60" s="1855"/>
      <c r="Q60" s="1855"/>
    </row>
    <row r="61" spans="1:17" ht="21.75" customHeight="1">
      <c r="A61" s="1855"/>
      <c r="B61" s="2300" t="s">
        <v>720</v>
      </c>
      <c r="C61" s="2301"/>
      <c r="D61" s="2301"/>
      <c r="E61" s="2302"/>
      <c r="F61" s="1851">
        <f>49235336.45</f>
        <v>49235336.450000003</v>
      </c>
      <c r="G61" s="1851">
        <f>20405696.25</f>
        <v>20405696.25</v>
      </c>
      <c r="H61" s="1851">
        <f>0</f>
        <v>0</v>
      </c>
      <c r="I61" s="1851">
        <f>0</f>
        <v>0</v>
      </c>
      <c r="J61" s="1851">
        <f>20405696.25</f>
        <v>20405696.25</v>
      </c>
      <c r="K61" s="1851">
        <f>0</f>
        <v>0</v>
      </c>
      <c r="L61" s="1851">
        <f>28829640.2</f>
        <v>28829640.199999999</v>
      </c>
      <c r="M61" s="1855"/>
      <c r="N61" s="1855"/>
      <c r="O61" s="1855"/>
      <c r="P61" s="1855"/>
      <c r="Q61" s="1855"/>
    </row>
    <row r="62" spans="1:17" ht="28.5" customHeight="1">
      <c r="A62" s="1855"/>
      <c r="B62" s="2300" t="s">
        <v>721</v>
      </c>
      <c r="C62" s="2301"/>
      <c r="D62" s="2301"/>
      <c r="E62" s="2302"/>
      <c r="F62" s="1851">
        <f>13729737.39</f>
        <v>13729737.390000001</v>
      </c>
      <c r="G62" s="1851">
        <f>13729737.39</f>
        <v>13729737.390000001</v>
      </c>
      <c r="H62" s="1851">
        <f>0</f>
        <v>0</v>
      </c>
      <c r="I62" s="1851">
        <f>0</f>
        <v>0</v>
      </c>
      <c r="J62" s="1851">
        <f>13729737.39</f>
        <v>13729737.390000001</v>
      </c>
      <c r="K62" s="1851">
        <f>0</f>
        <v>0</v>
      </c>
      <c r="L62" s="1851">
        <f>0</f>
        <v>0</v>
      </c>
      <c r="M62" s="1855"/>
      <c r="N62" s="1855"/>
      <c r="O62" s="1855"/>
      <c r="P62" s="1855"/>
      <c r="Q62" s="1855"/>
    </row>
    <row r="63" spans="1:17" ht="29.25" customHeight="1">
      <c r="A63" s="1855"/>
      <c r="B63" s="2300" t="s">
        <v>722</v>
      </c>
      <c r="C63" s="2301"/>
      <c r="D63" s="2301"/>
      <c r="E63" s="2302"/>
      <c r="F63" s="1851">
        <f>6396161.65</f>
        <v>6396161.6500000004</v>
      </c>
      <c r="G63" s="1851">
        <f>1684075.51</f>
        <v>1684075.51</v>
      </c>
      <c r="H63" s="1851">
        <f>0</f>
        <v>0</v>
      </c>
      <c r="I63" s="1851">
        <f>0</f>
        <v>0</v>
      </c>
      <c r="J63" s="1851">
        <f>1684075.51</f>
        <v>1684075.51</v>
      </c>
      <c r="K63" s="1851">
        <f>0</f>
        <v>0</v>
      </c>
      <c r="L63" s="1851">
        <f>4712086.14</f>
        <v>4712086.1399999997</v>
      </c>
      <c r="M63" s="1855"/>
      <c r="N63" s="1855"/>
      <c r="O63" s="1855"/>
      <c r="P63" s="1855"/>
      <c r="Q63" s="1855"/>
    </row>
    <row r="64" spans="1:17" ht="40.5" customHeight="1">
      <c r="A64" s="1855"/>
      <c r="B64" s="2300" t="s">
        <v>723</v>
      </c>
      <c r="C64" s="2301"/>
      <c r="D64" s="2301"/>
      <c r="E64" s="2302"/>
      <c r="F64" s="1851">
        <f>1589067.8</f>
        <v>1589067.8</v>
      </c>
      <c r="G64" s="1851">
        <f>1214725.62</f>
        <v>1214725.6200000001</v>
      </c>
      <c r="H64" s="1851">
        <f>0</f>
        <v>0</v>
      </c>
      <c r="I64" s="1851">
        <f>0</f>
        <v>0</v>
      </c>
      <c r="J64" s="1851">
        <f>1214725.62</f>
        <v>1214725.6200000001</v>
      </c>
      <c r="K64" s="1851">
        <f>0</f>
        <v>0</v>
      </c>
      <c r="L64" s="1851">
        <f>374342.18</f>
        <v>374342.18</v>
      </c>
      <c r="M64" s="1855"/>
      <c r="N64" s="1855"/>
      <c r="O64" s="1855"/>
      <c r="P64" s="1855"/>
      <c r="Q64" s="1855"/>
    </row>
    <row r="66" spans="1:7">
      <c r="A66" s="2046" t="s">
        <v>884</v>
      </c>
      <c r="B66" s="2046"/>
      <c r="C66" s="2046"/>
      <c r="D66" s="2046"/>
      <c r="E66" s="2044"/>
      <c r="F66" s="2044"/>
      <c r="G66" s="2044"/>
    </row>
  </sheetData>
  <mergeCells count="63">
    <mergeCell ref="A1:M1"/>
    <mergeCell ref="C2:M2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A3:A7"/>
    <mergeCell ref="C25:C28"/>
    <mergeCell ref="D25:D28"/>
    <mergeCell ref="E25:E28"/>
    <mergeCell ref="B9:Q9"/>
    <mergeCell ref="P25:P28"/>
    <mergeCell ref="Q25:Q28"/>
    <mergeCell ref="I25:I28"/>
    <mergeCell ref="J25:J28"/>
    <mergeCell ref="B51:E55"/>
    <mergeCell ref="A22:M22"/>
    <mergeCell ref="A24:A28"/>
    <mergeCell ref="B24:B28"/>
    <mergeCell ref="C24:N24"/>
    <mergeCell ref="B30:Q30"/>
    <mergeCell ref="B49:M49"/>
    <mergeCell ref="K25:K28"/>
    <mergeCell ref="L25:L28"/>
    <mergeCell ref="M25:M28"/>
    <mergeCell ref="N25:N28"/>
    <mergeCell ref="O25:O28"/>
    <mergeCell ref="F25:F28"/>
    <mergeCell ref="G25:G28"/>
    <mergeCell ref="H25:H28"/>
    <mergeCell ref="O24:Q24"/>
    <mergeCell ref="B3:B7"/>
    <mergeCell ref="C3:N3"/>
    <mergeCell ref="L4:L7"/>
    <mergeCell ref="M4:M7"/>
    <mergeCell ref="N4:N7"/>
    <mergeCell ref="F51:F55"/>
    <mergeCell ref="G51:L51"/>
    <mergeCell ref="G52:G55"/>
    <mergeCell ref="H52:H55"/>
    <mergeCell ref="I52:I55"/>
    <mergeCell ref="J52:J55"/>
    <mergeCell ref="K52:K55"/>
    <mergeCell ref="L52:L55"/>
    <mergeCell ref="B56:E56"/>
    <mergeCell ref="B57:E57"/>
    <mergeCell ref="F57:L57"/>
    <mergeCell ref="B58:E58"/>
    <mergeCell ref="B59:E59"/>
    <mergeCell ref="B60:E60"/>
    <mergeCell ref="B61:E61"/>
    <mergeCell ref="B62:E62"/>
    <mergeCell ref="B63:E63"/>
    <mergeCell ref="B64:E64"/>
  </mergeCells>
  <pageMargins left="0.51181102362204722" right="0.31496062992125984" top="0.74803149606299213" bottom="0.55118110236220474" header="0.31496062992125984" footer="0.31496062992125984"/>
  <pageSetup paperSize="9" scale="71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B2DE-430B-48E8-855C-06D970C8A8A0}">
  <dimension ref="A1:G26"/>
  <sheetViews>
    <sheetView view="pageBreakPreview" zoomScaleNormal="120" zoomScaleSheetLayoutView="100" workbookViewId="0">
      <selection activeCell="F8" sqref="F8"/>
    </sheetView>
  </sheetViews>
  <sheetFormatPr defaultColWidth="9.21875" defaultRowHeight="13.8"/>
  <cols>
    <col min="1" max="1" width="5.21875" style="441" customWidth="1"/>
    <col min="2" max="2" width="15.77734375" style="441" customWidth="1"/>
    <col min="3" max="3" width="9.77734375" style="441" customWidth="1"/>
    <col min="4" max="6" width="9.21875" style="441"/>
    <col min="7" max="7" width="10.77734375" style="441" customWidth="1"/>
    <col min="8" max="16384" width="9.21875" style="441"/>
  </cols>
  <sheetData>
    <row r="1" spans="1:7" ht="14.4">
      <c r="A1" s="280" t="s">
        <v>999</v>
      </c>
      <c r="B1" s="443"/>
      <c r="C1" s="443"/>
      <c r="D1" s="443"/>
      <c r="E1" s="443"/>
      <c r="F1" s="443"/>
      <c r="G1" s="443"/>
    </row>
    <row r="3" spans="1:7">
      <c r="A3" s="2138" t="s">
        <v>87</v>
      </c>
      <c r="B3" s="2140" t="s">
        <v>1</v>
      </c>
      <c r="C3" s="2142" t="s">
        <v>157</v>
      </c>
      <c r="D3" s="378" t="s">
        <v>158</v>
      </c>
      <c r="E3" s="378" t="s">
        <v>159</v>
      </c>
      <c r="F3" s="378" t="s">
        <v>160</v>
      </c>
      <c r="G3" s="376" t="s">
        <v>161</v>
      </c>
    </row>
    <row r="4" spans="1:7">
      <c r="A4" s="2139"/>
      <c r="B4" s="2141"/>
      <c r="C4" s="2143"/>
      <c r="D4" s="2144" t="s">
        <v>162</v>
      </c>
      <c r="E4" s="2145"/>
      <c r="F4" s="2145"/>
      <c r="G4" s="2146"/>
    </row>
    <row r="5" spans="1:7" ht="14.4">
      <c r="A5" s="2139"/>
      <c r="B5" s="2141"/>
      <c r="C5" s="297"/>
      <c r="D5" s="2147" t="s">
        <v>163</v>
      </c>
      <c r="E5" s="2148"/>
      <c r="F5" s="2148"/>
      <c r="G5" s="2149"/>
    </row>
    <row r="6" spans="1:7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9" t="s">
        <v>16</v>
      </c>
    </row>
    <row r="7" spans="1:7">
      <c r="A7" s="299"/>
      <c r="B7" s="300" t="s">
        <v>129</v>
      </c>
      <c r="C7" s="303">
        <v>25238257</v>
      </c>
      <c r="D7" s="309">
        <v>2400.6999999999998</v>
      </c>
      <c r="E7" s="309">
        <v>2327.6999999999998</v>
      </c>
      <c r="F7" s="309">
        <v>73</v>
      </c>
      <c r="G7" s="306">
        <v>282.60000000000002</v>
      </c>
    </row>
    <row r="8" spans="1:7">
      <c r="A8" s="366" t="s">
        <v>96</v>
      </c>
      <c r="B8" s="301" t="s">
        <v>97</v>
      </c>
      <c r="C8" s="304">
        <v>1931595</v>
      </c>
      <c r="D8" s="310">
        <v>2504.8000000000002</v>
      </c>
      <c r="E8" s="310">
        <v>2458.4</v>
      </c>
      <c r="F8" s="310">
        <v>46.4</v>
      </c>
      <c r="G8" s="307">
        <v>257.2</v>
      </c>
    </row>
    <row r="9" spans="1:7">
      <c r="A9" s="366" t="s">
        <v>98</v>
      </c>
      <c r="B9" s="301" t="s">
        <v>99</v>
      </c>
      <c r="C9" s="304">
        <v>1279549</v>
      </c>
      <c r="D9" s="310">
        <v>2343.6</v>
      </c>
      <c r="E9" s="310">
        <v>2272.6</v>
      </c>
      <c r="F9" s="310">
        <v>71</v>
      </c>
      <c r="G9" s="307">
        <v>214.8</v>
      </c>
    </row>
    <row r="10" spans="1:7">
      <c r="A10" s="366" t="s">
        <v>100</v>
      </c>
      <c r="B10" s="301" t="s">
        <v>101</v>
      </c>
      <c r="C10" s="304">
        <v>1500297</v>
      </c>
      <c r="D10" s="310">
        <v>2492.1999999999998</v>
      </c>
      <c r="E10" s="310">
        <v>2427.1</v>
      </c>
      <c r="F10" s="310">
        <v>65.099999999999994</v>
      </c>
      <c r="G10" s="307">
        <v>400.8</v>
      </c>
    </row>
    <row r="11" spans="1:7">
      <c r="A11" s="366" t="s">
        <v>102</v>
      </c>
      <c r="B11" s="301" t="s">
        <v>103</v>
      </c>
      <c r="C11" s="304">
        <v>716250</v>
      </c>
      <c r="D11" s="310">
        <v>2348.6999999999998</v>
      </c>
      <c r="E11" s="310">
        <v>2307.9</v>
      </c>
      <c r="F11" s="310">
        <v>40.799999999999997</v>
      </c>
      <c r="G11" s="307">
        <v>347.4</v>
      </c>
    </row>
    <row r="12" spans="1:7">
      <c r="A12" s="366" t="s">
        <v>104</v>
      </c>
      <c r="B12" s="301" t="s">
        <v>105</v>
      </c>
      <c r="C12" s="304">
        <v>1589088</v>
      </c>
      <c r="D12" s="310">
        <v>2304.8000000000002</v>
      </c>
      <c r="E12" s="310">
        <v>2246.3000000000002</v>
      </c>
      <c r="F12" s="310">
        <v>58.5</v>
      </c>
      <c r="G12" s="307">
        <v>305.89999999999998</v>
      </c>
    </row>
    <row r="13" spans="1:7">
      <c r="A13" s="366" t="s">
        <v>106</v>
      </c>
      <c r="B13" s="301" t="s">
        <v>107</v>
      </c>
      <c r="C13" s="304">
        <v>2437972</v>
      </c>
      <c r="D13" s="310">
        <v>2067.6</v>
      </c>
      <c r="E13" s="310">
        <v>2026</v>
      </c>
      <c r="F13" s="310">
        <v>41.6</v>
      </c>
      <c r="G13" s="307">
        <v>254.5</v>
      </c>
    </row>
    <row r="14" spans="1:7">
      <c r="A14" s="366" t="s">
        <v>108</v>
      </c>
      <c r="B14" s="301" t="s">
        <v>109</v>
      </c>
      <c r="C14" s="304">
        <v>3218209</v>
      </c>
      <c r="D14" s="310">
        <v>2415.6</v>
      </c>
      <c r="E14" s="310">
        <v>2316.1</v>
      </c>
      <c r="F14" s="310">
        <v>99.5</v>
      </c>
      <c r="G14" s="307">
        <v>363.7</v>
      </c>
    </row>
    <row r="15" spans="1:7">
      <c r="A15" s="366" t="s">
        <v>110</v>
      </c>
      <c r="B15" s="301" t="s">
        <v>111</v>
      </c>
      <c r="C15" s="304">
        <v>804804</v>
      </c>
      <c r="D15" s="310">
        <v>2369.9</v>
      </c>
      <c r="E15" s="310">
        <v>2334.3000000000002</v>
      </c>
      <c r="F15" s="310">
        <v>35.700000000000003</v>
      </c>
      <c r="G15" s="307">
        <v>372.2</v>
      </c>
    </row>
    <row r="16" spans="1:7">
      <c r="A16" s="366" t="s">
        <v>112</v>
      </c>
      <c r="B16" s="301" t="s">
        <v>113</v>
      </c>
      <c r="C16" s="304">
        <v>1722570</v>
      </c>
      <c r="D16" s="310">
        <v>2441.5</v>
      </c>
      <c r="E16" s="310">
        <v>2317.4</v>
      </c>
      <c r="F16" s="310">
        <v>124</v>
      </c>
      <c r="G16" s="307">
        <v>192.8</v>
      </c>
    </row>
    <row r="17" spans="1:7">
      <c r="A17" s="366" t="s">
        <v>114</v>
      </c>
      <c r="B17" s="301" t="s">
        <v>115</v>
      </c>
      <c r="C17" s="304">
        <v>714849</v>
      </c>
      <c r="D17" s="310">
        <v>2683.1</v>
      </c>
      <c r="E17" s="310">
        <v>2588.8000000000002</v>
      </c>
      <c r="F17" s="310">
        <v>94.2</v>
      </c>
      <c r="G17" s="307">
        <v>186.7</v>
      </c>
    </row>
    <row r="18" spans="1:7">
      <c r="A18" s="366" t="s">
        <v>116</v>
      </c>
      <c r="B18" s="301" t="s">
        <v>117</v>
      </c>
      <c r="C18" s="304">
        <v>1514547</v>
      </c>
      <c r="D18" s="310">
        <v>2512.3000000000002</v>
      </c>
      <c r="E18" s="310">
        <v>2463.3000000000002</v>
      </c>
      <c r="F18" s="310">
        <v>49</v>
      </c>
      <c r="G18" s="307">
        <v>313.39999999999998</v>
      </c>
    </row>
    <row r="19" spans="1:7">
      <c r="A19" s="366" t="s">
        <v>118</v>
      </c>
      <c r="B19" s="301" t="s">
        <v>119</v>
      </c>
      <c r="C19" s="304">
        <v>1941847</v>
      </c>
      <c r="D19" s="310">
        <v>2135</v>
      </c>
      <c r="E19" s="310">
        <v>2068.6999999999998</v>
      </c>
      <c r="F19" s="310">
        <v>66.3</v>
      </c>
      <c r="G19" s="307">
        <v>125.8</v>
      </c>
    </row>
    <row r="20" spans="1:7">
      <c r="A20" s="366" t="s">
        <v>120</v>
      </c>
      <c r="B20" s="301" t="s">
        <v>121</v>
      </c>
      <c r="C20" s="304">
        <v>977454</v>
      </c>
      <c r="D20" s="310">
        <v>2620.4</v>
      </c>
      <c r="E20" s="310">
        <v>2530.8000000000002</v>
      </c>
      <c r="F20" s="310">
        <v>89.5</v>
      </c>
      <c r="G20" s="307">
        <v>194.5</v>
      </c>
    </row>
    <row r="21" spans="1:7">
      <c r="A21" s="366" t="s">
        <v>122</v>
      </c>
      <c r="B21" s="301" t="s">
        <v>123</v>
      </c>
      <c r="C21" s="304">
        <v>1070728</v>
      </c>
      <c r="D21" s="310">
        <v>2823.5</v>
      </c>
      <c r="E21" s="310">
        <v>2697.9</v>
      </c>
      <c r="F21" s="310">
        <v>125.6</v>
      </c>
      <c r="G21" s="307">
        <v>319.5</v>
      </c>
    </row>
    <row r="22" spans="1:7">
      <c r="A22" s="366" t="s">
        <v>124</v>
      </c>
      <c r="B22" s="301" t="s">
        <v>125</v>
      </c>
      <c r="C22" s="304">
        <v>2726248</v>
      </c>
      <c r="D22" s="310">
        <v>2257.6999999999998</v>
      </c>
      <c r="E22" s="310">
        <v>2183.1</v>
      </c>
      <c r="F22" s="310">
        <v>74.599999999999994</v>
      </c>
      <c r="G22" s="307">
        <v>311.7</v>
      </c>
    </row>
    <row r="23" spans="1:7">
      <c r="A23" s="367" t="s">
        <v>126</v>
      </c>
      <c r="B23" s="302" t="s">
        <v>127</v>
      </c>
      <c r="C23" s="305">
        <v>1092250</v>
      </c>
      <c r="D23" s="311">
        <v>2868.8</v>
      </c>
      <c r="E23" s="311">
        <v>2793.3</v>
      </c>
      <c r="F23" s="311">
        <v>75.5</v>
      </c>
      <c r="G23" s="308">
        <v>337.8</v>
      </c>
    </row>
    <row r="25" spans="1:7" ht="14.4">
      <c r="A25" s="802" t="s">
        <v>128</v>
      </c>
      <c r="B25" s="724" t="s">
        <v>909</v>
      </c>
      <c r="C25" s="295"/>
      <c r="D25" s="295"/>
      <c r="E25" s="295"/>
      <c r="F25" s="295"/>
      <c r="G25" s="295"/>
    </row>
    <row r="26" spans="1:7" ht="14.4">
      <c r="A26" s="802"/>
      <c r="B26" s="724" t="s">
        <v>910</v>
      </c>
      <c r="C26" s="295"/>
      <c r="D26" s="295"/>
      <c r="E26" s="295"/>
      <c r="F26" s="295"/>
      <c r="G26" s="295"/>
    </row>
  </sheetData>
  <mergeCells count="5">
    <mergeCell ref="A3:A5"/>
    <mergeCell ref="B3:B5"/>
    <mergeCell ref="C3:C4"/>
    <mergeCell ref="D4:G4"/>
    <mergeCell ref="D5:G5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0F33-5111-4FE4-92D7-3B5AE20CD2C3}">
  <dimension ref="A1:H29"/>
  <sheetViews>
    <sheetView view="pageBreakPreview" zoomScaleNormal="100" zoomScaleSheetLayoutView="100" workbookViewId="0">
      <selection activeCell="F8" sqref="F8"/>
    </sheetView>
  </sheetViews>
  <sheetFormatPr defaultColWidth="9.21875" defaultRowHeight="13.2"/>
  <cols>
    <col min="1" max="1" width="39.21875" style="529" customWidth="1"/>
    <col min="2" max="2" width="12.77734375" style="529" bestFit="1" customWidth="1"/>
    <col min="3" max="3" width="12.5546875" style="529" bestFit="1" customWidth="1"/>
    <col min="4" max="4" width="12.77734375" style="529" customWidth="1"/>
    <col min="5" max="7" width="7.77734375" style="529" customWidth="1"/>
    <col min="8" max="16384" width="9.21875" style="529"/>
  </cols>
  <sheetData>
    <row r="1" spans="1:8" ht="13.8">
      <c r="A1" s="2412" t="s">
        <v>1000</v>
      </c>
      <c r="B1" s="2412"/>
      <c r="C1" s="2412"/>
      <c r="D1" s="2412"/>
      <c r="E1" s="2412"/>
      <c r="F1" s="2412"/>
      <c r="G1" s="2412"/>
      <c r="H1" s="547"/>
    </row>
    <row r="3" spans="1:8">
      <c r="A3" s="2413" t="s">
        <v>1</v>
      </c>
      <c r="B3" s="2415" t="s">
        <v>843</v>
      </c>
      <c r="C3" s="2362" t="s">
        <v>923</v>
      </c>
      <c r="D3" s="2417" t="s">
        <v>926</v>
      </c>
      <c r="E3" s="2360" t="s">
        <v>793</v>
      </c>
      <c r="F3" s="2362" t="s">
        <v>5</v>
      </c>
      <c r="G3" s="2364" t="s">
        <v>782</v>
      </c>
    </row>
    <row r="4" spans="1:8">
      <c r="A4" s="2414"/>
      <c r="B4" s="2416"/>
      <c r="C4" s="2363"/>
      <c r="D4" s="2418"/>
      <c r="E4" s="2361"/>
      <c r="F4" s="2363"/>
      <c r="G4" s="2365"/>
    </row>
    <row r="5" spans="1:8">
      <c r="A5" s="2414"/>
      <c r="B5" s="2416"/>
      <c r="C5" s="2363"/>
      <c r="D5" s="2418"/>
      <c r="E5" s="2361"/>
      <c r="F5" s="2363"/>
      <c r="G5" s="2365"/>
    </row>
    <row r="6" spans="1:8">
      <c r="A6" s="2414"/>
      <c r="B6" s="2164" t="s">
        <v>163</v>
      </c>
      <c r="C6" s="2366"/>
      <c r="D6" s="2165"/>
      <c r="E6" s="2419" t="s">
        <v>134</v>
      </c>
      <c r="F6" s="2367"/>
      <c r="G6" s="2368"/>
    </row>
    <row r="7" spans="1:8">
      <c r="A7" s="750" t="s">
        <v>10</v>
      </c>
      <c r="B7" s="735" t="s">
        <v>11</v>
      </c>
      <c r="C7" s="734" t="s">
        <v>12</v>
      </c>
      <c r="D7" s="751" t="s">
        <v>13</v>
      </c>
      <c r="E7" s="742" t="s">
        <v>14</v>
      </c>
      <c r="F7" s="734" t="s">
        <v>15</v>
      </c>
      <c r="G7" s="743" t="s">
        <v>16</v>
      </c>
    </row>
    <row r="8" spans="1:8" ht="26.4">
      <c r="A8" s="499" t="s">
        <v>783</v>
      </c>
      <c r="B8" s="1735">
        <v>55596895875.209999</v>
      </c>
      <c r="C8" s="1732">
        <v>61041361040.629997</v>
      </c>
      <c r="D8" s="736">
        <v>60590149141.419998</v>
      </c>
      <c r="E8" s="502">
        <f>D8/C8*100</f>
        <v>99.260809569908403</v>
      </c>
      <c r="F8" s="503">
        <f>D8/$D$8*100</f>
        <v>100</v>
      </c>
      <c r="G8" s="504">
        <f>D8/B8*100</f>
        <v>108.98117275723021</v>
      </c>
    </row>
    <row r="9" spans="1:8" ht="26.4">
      <c r="A9" s="505" t="s">
        <v>784</v>
      </c>
      <c r="B9" s="1736">
        <v>18898771009.550003</v>
      </c>
      <c r="C9" s="1733">
        <v>34097045344.159996</v>
      </c>
      <c r="D9" s="737">
        <v>34576727032.919998</v>
      </c>
      <c r="E9" s="502">
        <f t="shared" ref="E9:E17" si="0">D9/C9*100</f>
        <v>101.40681306523283</v>
      </c>
      <c r="F9" s="503">
        <f t="shared" ref="F9:F17" si="1">D9/$D$8*100</f>
        <v>57.066581817147267</v>
      </c>
      <c r="G9" s="504">
        <f t="shared" ref="G9:G17" si="2">D9/B9*100</f>
        <v>182.95754266479841</v>
      </c>
    </row>
    <row r="10" spans="1:8">
      <c r="A10" s="509" t="s">
        <v>786</v>
      </c>
      <c r="B10" s="1737">
        <v>8920467891</v>
      </c>
      <c r="C10" s="1734">
        <v>21447616237.189999</v>
      </c>
      <c r="D10" s="738">
        <v>21461526453.32</v>
      </c>
      <c r="E10" s="513">
        <f t="shared" si="0"/>
        <v>100.06485670004615</v>
      </c>
      <c r="F10" s="514">
        <f t="shared" si="1"/>
        <v>35.420818000014954</v>
      </c>
      <c r="G10" s="515">
        <f t="shared" si="2"/>
        <v>240.58745253679876</v>
      </c>
    </row>
    <row r="11" spans="1:8">
      <c r="A11" s="509" t="s">
        <v>785</v>
      </c>
      <c r="B11" s="1737">
        <v>597023640</v>
      </c>
      <c r="C11" s="1734">
        <v>3464730104.3000002</v>
      </c>
      <c r="D11" s="738">
        <v>3464994632.3800001</v>
      </c>
      <c r="E11" s="513">
        <f t="shared" si="0"/>
        <v>100.0076348827192</v>
      </c>
      <c r="F11" s="514">
        <f t="shared" si="1"/>
        <v>5.7187425373265786</v>
      </c>
      <c r="G11" s="515">
        <f t="shared" si="2"/>
        <v>580.37812914409892</v>
      </c>
    </row>
    <row r="12" spans="1:8">
      <c r="A12" s="509" t="s">
        <v>594</v>
      </c>
      <c r="B12" s="1738">
        <v>358725409.04000002</v>
      </c>
      <c r="C12" s="1734">
        <v>351478411.99000001</v>
      </c>
      <c r="D12" s="749">
        <v>333415195.05000001</v>
      </c>
      <c r="E12" s="513">
        <f t="shared" si="0"/>
        <v>94.860789077277971</v>
      </c>
      <c r="F12" s="514">
        <f t="shared" si="1"/>
        <v>0.55027954176477545</v>
      </c>
      <c r="G12" s="515">
        <f t="shared" si="2"/>
        <v>92.944404451936165</v>
      </c>
    </row>
    <row r="13" spans="1:8">
      <c r="A13" s="509" t="s">
        <v>787</v>
      </c>
      <c r="B13" s="1737">
        <v>9022554069.5100021</v>
      </c>
      <c r="C13" s="1734">
        <v>8833220590.6799984</v>
      </c>
      <c r="D13" s="738">
        <v>9316790752.1699982</v>
      </c>
      <c r="E13" s="513">
        <f t="shared" si="0"/>
        <v>105.47444905882027</v>
      </c>
      <c r="F13" s="514">
        <f t="shared" si="1"/>
        <v>15.376741738040964</v>
      </c>
      <c r="G13" s="515">
        <f t="shared" si="2"/>
        <v>103.26112407188906</v>
      </c>
    </row>
    <row r="14" spans="1:8" ht="26.4">
      <c r="A14" s="505" t="s">
        <v>788</v>
      </c>
      <c r="B14" s="1736">
        <v>12990090082.659998</v>
      </c>
      <c r="C14" s="1733">
        <v>15402194688.58</v>
      </c>
      <c r="D14" s="737">
        <v>14410546245.24</v>
      </c>
      <c r="E14" s="502">
        <f t="shared" si="0"/>
        <v>93.561641938760459</v>
      </c>
      <c r="F14" s="503">
        <f t="shared" si="1"/>
        <v>23.783645443098628</v>
      </c>
      <c r="G14" s="504">
        <f t="shared" si="2"/>
        <v>110.93492157129931</v>
      </c>
    </row>
    <row r="15" spans="1:8">
      <c r="A15" s="509" t="s">
        <v>789</v>
      </c>
      <c r="B15" s="1737">
        <v>11679962747.799999</v>
      </c>
      <c r="C15" s="1734">
        <v>13054339692.710001</v>
      </c>
      <c r="D15" s="738">
        <v>12439025739.800001</v>
      </c>
      <c r="E15" s="513">
        <f t="shared" si="0"/>
        <v>95.286517990231161</v>
      </c>
      <c r="F15" s="514">
        <f t="shared" si="1"/>
        <v>20.529782342616095</v>
      </c>
      <c r="G15" s="515">
        <f t="shared" si="2"/>
        <v>106.49884771373073</v>
      </c>
    </row>
    <row r="16" spans="1:8" ht="52.8">
      <c r="A16" s="516" t="s">
        <v>790</v>
      </c>
      <c r="B16" s="738">
        <v>1310127334.8599999</v>
      </c>
      <c r="C16" s="1734">
        <v>2347854995.8699999</v>
      </c>
      <c r="D16" s="738">
        <v>1971520505.4400001</v>
      </c>
      <c r="E16" s="513">
        <f t="shared" si="0"/>
        <v>83.971135734873243</v>
      </c>
      <c r="F16" s="514">
        <f t="shared" si="1"/>
        <v>3.2538631004825338</v>
      </c>
      <c r="G16" s="515">
        <f t="shared" si="2"/>
        <v>150.48312121895208</v>
      </c>
    </row>
    <row r="17" spans="1:7">
      <c r="A17" s="549" t="s">
        <v>791</v>
      </c>
      <c r="B17" s="739">
        <v>23708034783</v>
      </c>
      <c r="C17" s="1739">
        <v>11542121007.889999</v>
      </c>
      <c r="D17" s="739">
        <v>11602875863.26</v>
      </c>
      <c r="E17" s="521">
        <f t="shared" si="0"/>
        <v>100.52637513788385</v>
      </c>
      <c r="F17" s="522">
        <f t="shared" si="1"/>
        <v>19.149772739754102</v>
      </c>
      <c r="G17" s="523">
        <f t="shared" si="2"/>
        <v>48.940690232072363</v>
      </c>
    </row>
    <row r="19" spans="1:7">
      <c r="A19" s="524" t="s">
        <v>927</v>
      </c>
    </row>
    <row r="21" spans="1:7">
      <c r="F21" s="550"/>
    </row>
    <row r="29" spans="1:7">
      <c r="E29" s="546" t="s">
        <v>742</v>
      </c>
      <c r="F29" s="546" t="s">
        <v>742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754A-CE56-4060-A81F-5D2A3EB17DBE}">
  <sheetPr codeName="Arkusz9"/>
  <dimension ref="A1:H42"/>
  <sheetViews>
    <sheetView view="pageBreakPreview" zoomScaleNormal="100" zoomScaleSheetLayoutView="100" workbookViewId="0">
      <selection activeCell="F8" sqref="F8"/>
    </sheetView>
  </sheetViews>
  <sheetFormatPr defaultColWidth="8.77734375" defaultRowHeight="13.2"/>
  <cols>
    <col min="1" max="1" width="6.21875" style="17" customWidth="1"/>
    <col min="2" max="2" width="29.21875" style="1" customWidth="1"/>
    <col min="3" max="4" width="12.44140625" style="2" customWidth="1"/>
    <col min="5" max="5" width="12.5546875" style="2" bestFit="1" customWidth="1"/>
    <col min="6" max="8" width="7.21875" style="2" customWidth="1"/>
    <col min="9" max="16384" width="8.77734375" style="2"/>
  </cols>
  <sheetData>
    <row r="1" spans="1:8" ht="13.8">
      <c r="A1" s="442" t="s">
        <v>1001</v>
      </c>
    </row>
    <row r="3" spans="1:8">
      <c r="A3" s="2167" t="s">
        <v>0</v>
      </c>
      <c r="B3" s="2170" t="s">
        <v>1</v>
      </c>
      <c r="C3" s="3" t="s">
        <v>2</v>
      </c>
      <c r="D3" s="4" t="s">
        <v>3</v>
      </c>
      <c r="E3" s="4" t="s">
        <v>2</v>
      </c>
      <c r="F3" s="5" t="s">
        <v>4</v>
      </c>
      <c r="G3" s="2173" t="s">
        <v>5</v>
      </c>
      <c r="H3" s="6" t="s">
        <v>6</v>
      </c>
    </row>
    <row r="4" spans="1:8">
      <c r="A4" s="2168"/>
      <c r="B4" s="2171"/>
      <c r="C4" s="7">
        <v>2024</v>
      </c>
      <c r="D4" s="8">
        <v>2025</v>
      </c>
      <c r="E4" s="8">
        <v>2025</v>
      </c>
      <c r="F4" s="9" t="s">
        <v>7</v>
      </c>
      <c r="G4" s="2174"/>
      <c r="H4" s="10" t="s">
        <v>8</v>
      </c>
    </row>
    <row r="5" spans="1:8">
      <c r="A5" s="2169"/>
      <c r="B5" s="2172"/>
      <c r="C5" s="2175" t="s">
        <v>93</v>
      </c>
      <c r="D5" s="2175"/>
      <c r="E5" s="2176"/>
      <c r="F5" s="2177" t="s">
        <v>9</v>
      </c>
      <c r="G5" s="2175"/>
      <c r="H5" s="2178"/>
    </row>
    <row r="6" spans="1:8">
      <c r="A6" s="11" t="s">
        <v>10</v>
      </c>
      <c r="B6" s="12" t="s">
        <v>11</v>
      </c>
      <c r="C6" s="13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5" t="s">
        <v>17</v>
      </c>
    </row>
    <row r="7" spans="1:8">
      <c r="A7" s="662"/>
      <c r="B7" s="667" t="s">
        <v>18</v>
      </c>
      <c r="C7" s="666">
        <v>55596895875.209999</v>
      </c>
      <c r="D7" s="663">
        <v>61041361040.629997</v>
      </c>
      <c r="E7" s="663">
        <v>60590149141.419998</v>
      </c>
      <c r="F7" s="664">
        <v>99.3</v>
      </c>
      <c r="G7" s="664">
        <v>100</v>
      </c>
      <c r="H7" s="665">
        <v>109</v>
      </c>
    </row>
    <row r="8" spans="1:8">
      <c r="A8" s="657" t="s">
        <v>19</v>
      </c>
      <c r="B8" s="668" t="s">
        <v>20</v>
      </c>
      <c r="C8" s="670">
        <v>482437859.26999998</v>
      </c>
      <c r="D8" s="671">
        <v>703557514.63</v>
      </c>
      <c r="E8" s="671">
        <v>685753321.08000004</v>
      </c>
      <c r="F8" s="656">
        <v>97.5</v>
      </c>
      <c r="G8" s="656">
        <v>1.1000000000000001</v>
      </c>
      <c r="H8" s="658">
        <v>142.1</v>
      </c>
    </row>
    <row r="9" spans="1:8">
      <c r="A9" s="657" t="s">
        <v>21</v>
      </c>
      <c r="B9" s="668" t="s">
        <v>22</v>
      </c>
      <c r="C9" s="670">
        <v>5913412.0700000003</v>
      </c>
      <c r="D9" s="671">
        <v>4808608.8600000003</v>
      </c>
      <c r="E9" s="671">
        <v>5065558.6399999997</v>
      </c>
      <c r="F9" s="656">
        <v>105.3</v>
      </c>
      <c r="G9" s="656">
        <v>0</v>
      </c>
      <c r="H9" s="658">
        <v>85.7</v>
      </c>
    </row>
    <row r="10" spans="1:8">
      <c r="A10" s="657" t="s">
        <v>23</v>
      </c>
      <c r="B10" s="668" t="s">
        <v>24</v>
      </c>
      <c r="C10" s="670">
        <v>298445.84999999998</v>
      </c>
      <c r="D10" s="671">
        <v>18210</v>
      </c>
      <c r="E10" s="671">
        <v>22587</v>
      </c>
      <c r="F10" s="656">
        <v>124</v>
      </c>
      <c r="G10" s="656">
        <v>0</v>
      </c>
      <c r="H10" s="658">
        <v>7.6</v>
      </c>
    </row>
    <row r="11" spans="1:8">
      <c r="A11" s="657" t="s">
        <v>25</v>
      </c>
      <c r="B11" s="668" t="s">
        <v>26</v>
      </c>
      <c r="C11" s="670">
        <v>792410.44</v>
      </c>
      <c r="D11" s="671">
        <v>3554668.56</v>
      </c>
      <c r="E11" s="671">
        <v>3663071.77</v>
      </c>
      <c r="F11" s="656">
        <v>103</v>
      </c>
      <c r="G11" s="656">
        <v>0</v>
      </c>
      <c r="H11" s="658">
        <v>462.3</v>
      </c>
    </row>
    <row r="12" spans="1:8">
      <c r="A12" s="657" t="s">
        <v>27</v>
      </c>
      <c r="B12" s="668" t="s">
        <v>28</v>
      </c>
      <c r="C12" s="670">
        <v>7721689.6900000004</v>
      </c>
      <c r="D12" s="671">
        <v>1288514.1000000001</v>
      </c>
      <c r="E12" s="671">
        <v>903698.01</v>
      </c>
      <c r="F12" s="656">
        <v>70.099999999999994</v>
      </c>
      <c r="G12" s="656">
        <v>0</v>
      </c>
      <c r="H12" s="658">
        <v>11.7</v>
      </c>
    </row>
    <row r="13" spans="1:8" ht="26.4">
      <c r="A13" s="657" t="s">
        <v>29</v>
      </c>
      <c r="B13" s="668" t="s">
        <v>30</v>
      </c>
      <c r="C13" s="670">
        <v>461467.69</v>
      </c>
      <c r="D13" s="671">
        <v>562725.35</v>
      </c>
      <c r="E13" s="671">
        <v>670553.26</v>
      </c>
      <c r="F13" s="656">
        <v>119.2</v>
      </c>
      <c r="G13" s="656">
        <v>0</v>
      </c>
      <c r="H13" s="658">
        <v>145.30000000000001</v>
      </c>
    </row>
    <row r="14" spans="1:8">
      <c r="A14" s="657" t="s">
        <v>31</v>
      </c>
      <c r="B14" s="668" t="s">
        <v>32</v>
      </c>
      <c r="C14" s="670">
        <v>0</v>
      </c>
      <c r="D14" s="671">
        <v>0</v>
      </c>
      <c r="E14" s="671">
        <v>0</v>
      </c>
      <c r="F14" s="2055" t="s">
        <v>936</v>
      </c>
      <c r="G14" s="2055" t="s">
        <v>936</v>
      </c>
      <c r="H14" s="2056" t="s">
        <v>936</v>
      </c>
    </row>
    <row r="15" spans="1:8">
      <c r="A15" s="657" t="s">
        <v>33</v>
      </c>
      <c r="B15" s="668" t="s">
        <v>34</v>
      </c>
      <c r="C15" s="670">
        <v>0</v>
      </c>
      <c r="D15" s="671">
        <v>0</v>
      </c>
      <c r="E15" s="671">
        <v>0</v>
      </c>
      <c r="F15" s="2055" t="s">
        <v>936</v>
      </c>
      <c r="G15" s="2055" t="s">
        <v>936</v>
      </c>
      <c r="H15" s="2056" t="s">
        <v>936</v>
      </c>
    </row>
    <row r="16" spans="1:8">
      <c r="A16" s="657" t="s">
        <v>35</v>
      </c>
      <c r="B16" s="668" t="s">
        <v>36</v>
      </c>
      <c r="C16" s="670">
        <v>6057202984.3900003</v>
      </c>
      <c r="D16" s="671">
        <v>4913141470.8299999</v>
      </c>
      <c r="E16" s="671">
        <v>4750679646.6499996</v>
      </c>
      <c r="F16" s="656">
        <v>96.7</v>
      </c>
      <c r="G16" s="656">
        <v>7.8</v>
      </c>
      <c r="H16" s="658">
        <v>78.400000000000006</v>
      </c>
    </row>
    <row r="17" spans="1:8">
      <c r="A17" s="657" t="s">
        <v>37</v>
      </c>
      <c r="B17" s="668" t="s">
        <v>38</v>
      </c>
      <c r="C17" s="670">
        <v>10866103.66</v>
      </c>
      <c r="D17" s="671">
        <v>11311895.970000001</v>
      </c>
      <c r="E17" s="671">
        <v>8101121.1900000004</v>
      </c>
      <c r="F17" s="656">
        <v>71.599999999999994</v>
      </c>
      <c r="G17" s="656">
        <v>0</v>
      </c>
      <c r="H17" s="658">
        <v>74.599999999999994</v>
      </c>
    </row>
    <row r="18" spans="1:8">
      <c r="A18" s="657" t="s">
        <v>39</v>
      </c>
      <c r="B18" s="668" t="s">
        <v>40</v>
      </c>
      <c r="C18" s="670">
        <v>777105801.09000003</v>
      </c>
      <c r="D18" s="671">
        <v>749728294.95000005</v>
      </c>
      <c r="E18" s="671">
        <v>755207570.12</v>
      </c>
      <c r="F18" s="656">
        <v>100.7</v>
      </c>
      <c r="G18" s="656">
        <v>1.2</v>
      </c>
      <c r="H18" s="658">
        <v>97.2</v>
      </c>
    </row>
    <row r="19" spans="1:8">
      <c r="A19" s="657" t="s">
        <v>41</v>
      </c>
      <c r="B19" s="668" t="s">
        <v>42</v>
      </c>
      <c r="C19" s="670">
        <v>805135302.91999996</v>
      </c>
      <c r="D19" s="671">
        <v>931187388.07000005</v>
      </c>
      <c r="E19" s="671">
        <v>946019121.80999994</v>
      </c>
      <c r="F19" s="656">
        <v>101.6</v>
      </c>
      <c r="G19" s="656">
        <v>1.6</v>
      </c>
      <c r="H19" s="658">
        <v>117.5</v>
      </c>
    </row>
    <row r="20" spans="1:8">
      <c r="A20" s="657" t="s">
        <v>43</v>
      </c>
      <c r="B20" s="668" t="s">
        <v>44</v>
      </c>
      <c r="C20" s="670">
        <v>23560559.359999999</v>
      </c>
      <c r="D20" s="671">
        <v>21679548.050000001</v>
      </c>
      <c r="E20" s="671">
        <v>21972127.780000001</v>
      </c>
      <c r="F20" s="656">
        <v>101.3</v>
      </c>
      <c r="G20" s="656">
        <v>0</v>
      </c>
      <c r="H20" s="658">
        <v>93.3</v>
      </c>
    </row>
    <row r="21" spans="1:8">
      <c r="A21" s="657" t="s">
        <v>45</v>
      </c>
      <c r="B21" s="668" t="s">
        <v>46</v>
      </c>
      <c r="C21" s="670">
        <v>66603.839999999997</v>
      </c>
      <c r="D21" s="671">
        <v>116014</v>
      </c>
      <c r="E21" s="671">
        <v>155705.26</v>
      </c>
      <c r="F21" s="656">
        <v>134.19999999999999</v>
      </c>
      <c r="G21" s="656">
        <v>0</v>
      </c>
      <c r="H21" s="658">
        <v>233.8</v>
      </c>
    </row>
    <row r="22" spans="1:8">
      <c r="A22" s="657" t="s">
        <v>47</v>
      </c>
      <c r="B22" s="668" t="s">
        <v>48</v>
      </c>
      <c r="C22" s="670">
        <v>490669039.37</v>
      </c>
      <c r="D22" s="671">
        <v>545103911.71000004</v>
      </c>
      <c r="E22" s="671">
        <v>562237207.00999999</v>
      </c>
      <c r="F22" s="656">
        <v>103.1</v>
      </c>
      <c r="G22" s="656">
        <v>0.9</v>
      </c>
      <c r="H22" s="658">
        <v>114.6</v>
      </c>
    </row>
    <row r="23" spans="1:8" ht="39.6">
      <c r="A23" s="657" t="s">
        <v>49</v>
      </c>
      <c r="B23" s="668" t="s">
        <v>50</v>
      </c>
      <c r="C23" s="670">
        <v>28569028.84</v>
      </c>
      <c r="D23" s="671">
        <v>17770</v>
      </c>
      <c r="E23" s="671">
        <v>16339.01</v>
      </c>
      <c r="F23" s="656">
        <v>91.9</v>
      </c>
      <c r="G23" s="656">
        <v>0</v>
      </c>
      <c r="H23" s="658">
        <v>0.1</v>
      </c>
    </row>
    <row r="24" spans="1:8">
      <c r="A24" s="657" t="s">
        <v>51</v>
      </c>
      <c r="B24" s="668" t="s">
        <v>52</v>
      </c>
      <c r="C24" s="670">
        <v>32251296.760000002</v>
      </c>
      <c r="D24" s="671">
        <v>1141256425.46</v>
      </c>
      <c r="E24" s="671">
        <v>996517000.38999999</v>
      </c>
      <c r="F24" s="656">
        <v>87.3</v>
      </c>
      <c r="G24" s="656">
        <v>1.6</v>
      </c>
      <c r="H24" s="658">
        <v>3089.9</v>
      </c>
    </row>
    <row r="25" spans="1:8">
      <c r="A25" s="657" t="s">
        <v>53</v>
      </c>
      <c r="B25" s="668" t="s">
        <v>54</v>
      </c>
      <c r="C25" s="670">
        <v>0</v>
      </c>
      <c r="D25" s="671">
        <v>0</v>
      </c>
      <c r="E25" s="671">
        <v>0</v>
      </c>
      <c r="F25" s="2055" t="s">
        <v>936</v>
      </c>
      <c r="G25" s="2055" t="s">
        <v>936</v>
      </c>
      <c r="H25" s="2056" t="s">
        <v>936</v>
      </c>
    </row>
    <row r="26" spans="1:8" ht="26.4">
      <c r="A26" s="657" t="s">
        <v>55</v>
      </c>
      <c r="B26" s="668" t="s">
        <v>56</v>
      </c>
      <c r="C26" s="670">
        <v>3033204675.3099999</v>
      </c>
      <c r="D26" s="671">
        <v>3162432566.6599998</v>
      </c>
      <c r="E26" s="671">
        <v>3142537228.8400002</v>
      </c>
      <c r="F26" s="656">
        <v>99.4</v>
      </c>
      <c r="G26" s="656">
        <v>5.2</v>
      </c>
      <c r="H26" s="658">
        <v>103.6</v>
      </c>
    </row>
    <row r="27" spans="1:8">
      <c r="A27" s="657" t="s">
        <v>57</v>
      </c>
      <c r="B27" s="668" t="s">
        <v>58</v>
      </c>
      <c r="C27" s="670">
        <v>71826776.099999994</v>
      </c>
      <c r="D27" s="671">
        <v>75502269.219999999</v>
      </c>
      <c r="E27" s="671">
        <v>74866153.609999999</v>
      </c>
      <c r="F27" s="656">
        <v>99.2</v>
      </c>
      <c r="G27" s="656">
        <v>0.1</v>
      </c>
      <c r="H27" s="658">
        <v>104.2</v>
      </c>
    </row>
    <row r="28" spans="1:8" ht="52.8">
      <c r="A28" s="657" t="s">
        <v>59</v>
      </c>
      <c r="B28" s="668" t="s">
        <v>60</v>
      </c>
      <c r="C28" s="670">
        <v>10142345533.139999</v>
      </c>
      <c r="D28" s="671">
        <v>25537814283.810001</v>
      </c>
      <c r="E28" s="671">
        <v>25583537473.310001</v>
      </c>
      <c r="F28" s="656">
        <v>100.2</v>
      </c>
      <c r="G28" s="656">
        <v>42.2</v>
      </c>
      <c r="H28" s="658">
        <v>252.2</v>
      </c>
    </row>
    <row r="29" spans="1:8">
      <c r="A29" s="657" t="s">
        <v>61</v>
      </c>
      <c r="B29" s="668" t="s">
        <v>62</v>
      </c>
      <c r="C29" s="670">
        <v>1316463.72</v>
      </c>
      <c r="D29" s="671">
        <v>1080294</v>
      </c>
      <c r="E29" s="671">
        <v>1225970.25</v>
      </c>
      <c r="F29" s="656">
        <v>113.5</v>
      </c>
      <c r="G29" s="656">
        <v>0</v>
      </c>
      <c r="H29" s="658">
        <v>93.1</v>
      </c>
    </row>
    <row r="30" spans="1:8">
      <c r="A30" s="657" t="s">
        <v>63</v>
      </c>
      <c r="B30" s="668" t="s">
        <v>64</v>
      </c>
      <c r="C30" s="670">
        <v>24971139012.669998</v>
      </c>
      <c r="D30" s="671">
        <v>12807309362.43</v>
      </c>
      <c r="E30" s="671">
        <v>12835844719.16</v>
      </c>
      <c r="F30" s="656">
        <v>100.2</v>
      </c>
      <c r="G30" s="656">
        <v>21.2</v>
      </c>
      <c r="H30" s="658">
        <v>51.4</v>
      </c>
    </row>
    <row r="31" spans="1:8">
      <c r="A31" s="657" t="s">
        <v>65</v>
      </c>
      <c r="B31" s="668" t="s">
        <v>66</v>
      </c>
      <c r="C31" s="670">
        <v>1212816894.98</v>
      </c>
      <c r="D31" s="671">
        <v>1587431646.8399999</v>
      </c>
      <c r="E31" s="671">
        <v>1443707376.5999999</v>
      </c>
      <c r="F31" s="656">
        <v>90.9</v>
      </c>
      <c r="G31" s="656">
        <v>2.4</v>
      </c>
      <c r="H31" s="658">
        <v>119</v>
      </c>
    </row>
    <row r="32" spans="1:8">
      <c r="A32" s="657" t="s">
        <v>67</v>
      </c>
      <c r="B32" s="668" t="s">
        <v>68</v>
      </c>
      <c r="C32" s="670">
        <v>278263693.97000003</v>
      </c>
      <c r="D32" s="671">
        <v>414267234.82999998</v>
      </c>
      <c r="E32" s="671">
        <v>376320725.74000001</v>
      </c>
      <c r="F32" s="656">
        <v>90.8</v>
      </c>
      <c r="G32" s="656">
        <v>0.6</v>
      </c>
      <c r="H32" s="658">
        <v>135.19999999999999</v>
      </c>
    </row>
    <row r="33" spans="1:8">
      <c r="A33" s="657" t="s">
        <v>69</v>
      </c>
      <c r="B33" s="668" t="s">
        <v>70</v>
      </c>
      <c r="C33" s="670">
        <v>4578399519.3299999</v>
      </c>
      <c r="D33" s="671">
        <v>5494735663.1899996</v>
      </c>
      <c r="E33" s="671">
        <v>5469350549.0200005</v>
      </c>
      <c r="F33" s="656">
        <v>99.5</v>
      </c>
      <c r="G33" s="656">
        <v>9</v>
      </c>
      <c r="H33" s="658">
        <v>119.5</v>
      </c>
    </row>
    <row r="34" spans="1:8" ht="26.4">
      <c r="A34" s="657" t="s">
        <v>71</v>
      </c>
      <c r="B34" s="668" t="s">
        <v>72</v>
      </c>
      <c r="C34" s="670">
        <v>645270858.69000006</v>
      </c>
      <c r="D34" s="671">
        <v>722993459.73000002</v>
      </c>
      <c r="E34" s="671">
        <v>698138965.80999994</v>
      </c>
      <c r="F34" s="656">
        <v>96.6</v>
      </c>
      <c r="G34" s="656">
        <v>1.2</v>
      </c>
      <c r="H34" s="658">
        <v>108.2</v>
      </c>
    </row>
    <row r="35" spans="1:8">
      <c r="A35" s="657" t="s">
        <v>73</v>
      </c>
      <c r="B35" s="668" t="s">
        <v>74</v>
      </c>
      <c r="C35" s="670">
        <v>267228431.90000001</v>
      </c>
      <c r="D35" s="671">
        <v>288207799.45999998</v>
      </c>
      <c r="E35" s="671">
        <v>283579404.68000001</v>
      </c>
      <c r="F35" s="656">
        <v>98.4</v>
      </c>
      <c r="G35" s="656">
        <v>0.5</v>
      </c>
      <c r="H35" s="658">
        <v>106.1</v>
      </c>
    </row>
    <row r="36" spans="1:8">
      <c r="A36" s="657" t="s">
        <v>75</v>
      </c>
      <c r="B36" s="668" t="s">
        <v>76</v>
      </c>
      <c r="C36" s="670">
        <v>1143624383.78</v>
      </c>
      <c r="D36" s="671">
        <v>1284511732.8299999</v>
      </c>
      <c r="E36" s="671">
        <v>1356398927.1500001</v>
      </c>
      <c r="F36" s="656">
        <v>105.6</v>
      </c>
      <c r="G36" s="656">
        <v>2.2000000000000002</v>
      </c>
      <c r="H36" s="658">
        <v>118.6</v>
      </c>
    </row>
    <row r="37" spans="1:8" ht="26.4">
      <c r="A37" s="657" t="s">
        <v>77</v>
      </c>
      <c r="B37" s="668" t="s">
        <v>78</v>
      </c>
      <c r="C37" s="670">
        <v>148142521.53</v>
      </c>
      <c r="D37" s="671">
        <v>215336228.00999999</v>
      </c>
      <c r="E37" s="671">
        <v>193468215.27000001</v>
      </c>
      <c r="F37" s="656">
        <v>89.8</v>
      </c>
      <c r="G37" s="656">
        <v>0.3</v>
      </c>
      <c r="H37" s="658">
        <v>130.6</v>
      </c>
    </row>
    <row r="38" spans="1:8">
      <c r="A38" s="657" t="s">
        <v>79</v>
      </c>
      <c r="B38" s="668" t="s">
        <v>80</v>
      </c>
      <c r="C38" s="670">
        <v>186953028.06999999</v>
      </c>
      <c r="D38" s="671">
        <v>234719154.36000001</v>
      </c>
      <c r="E38" s="671">
        <v>207565594.69999999</v>
      </c>
      <c r="F38" s="656">
        <v>88.4</v>
      </c>
      <c r="G38" s="656">
        <v>0.3</v>
      </c>
      <c r="H38" s="658">
        <v>111</v>
      </c>
    </row>
    <row r="39" spans="1:8" ht="26.4">
      <c r="A39" s="657" t="s">
        <v>81</v>
      </c>
      <c r="B39" s="668" t="s">
        <v>82</v>
      </c>
      <c r="C39" s="670">
        <v>561776.88</v>
      </c>
      <c r="D39" s="671">
        <v>150000</v>
      </c>
      <c r="E39" s="671">
        <v>150000</v>
      </c>
      <c r="F39" s="656">
        <v>100</v>
      </c>
      <c r="G39" s="656">
        <v>0</v>
      </c>
      <c r="H39" s="658">
        <v>26.7</v>
      </c>
    </row>
    <row r="40" spans="1:8">
      <c r="A40" s="659" t="s">
        <v>83</v>
      </c>
      <c r="B40" s="669" t="s">
        <v>84</v>
      </c>
      <c r="C40" s="672">
        <v>192750299.90000001</v>
      </c>
      <c r="D40" s="673">
        <v>187536384.72</v>
      </c>
      <c r="E40" s="673">
        <v>186473208.30000001</v>
      </c>
      <c r="F40" s="660">
        <v>99.4</v>
      </c>
      <c r="G40" s="660">
        <v>0.3</v>
      </c>
      <c r="H40" s="661">
        <v>96.7</v>
      </c>
    </row>
    <row r="42" spans="1:8">
      <c r="A42" s="16" t="s">
        <v>908</v>
      </c>
    </row>
  </sheetData>
  <mergeCells count="5">
    <mergeCell ref="A3:A5"/>
    <mergeCell ref="B3:B5"/>
    <mergeCell ref="G3:G4"/>
    <mergeCell ref="C5:E5"/>
    <mergeCell ref="F5:H5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D4A4-DF36-422E-972D-BA10545AA94F}">
  <dimension ref="A1:L322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4" customWidth="1"/>
    <col min="2" max="2" width="3.77734375" customWidth="1"/>
    <col min="3" max="3" width="15.77734375" bestFit="1" customWidth="1"/>
    <col min="4" max="5" width="13.77734375" customWidth="1"/>
    <col min="6" max="6" width="7.77734375" customWidth="1"/>
    <col min="7" max="8" width="13.77734375" customWidth="1"/>
    <col min="9" max="9" width="7.21875" bestFit="1" customWidth="1"/>
    <col min="10" max="10" width="13.77734375" customWidth="1"/>
    <col min="11" max="11" width="11.44140625" customWidth="1"/>
    <col min="12" max="12" width="13.77734375" customWidth="1"/>
  </cols>
  <sheetData>
    <row r="1" spans="1:12">
      <c r="A1" s="263" t="s">
        <v>1002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3" spans="1:12">
      <c r="A3" s="2420" t="s">
        <v>87</v>
      </c>
      <c r="B3" s="2423" t="s">
        <v>171</v>
      </c>
      <c r="C3" s="2426" t="s">
        <v>172</v>
      </c>
      <c r="D3" s="2349" t="s">
        <v>164</v>
      </c>
      <c r="E3" s="2350"/>
      <c r="F3" s="2351" t="s">
        <v>165</v>
      </c>
      <c r="G3" s="2350" t="s">
        <v>152</v>
      </c>
      <c r="H3" s="2350"/>
      <c r="I3" s="2351" t="s">
        <v>166</v>
      </c>
      <c r="J3" s="2351" t="s">
        <v>167</v>
      </c>
      <c r="K3" s="2351" t="s">
        <v>161</v>
      </c>
      <c r="L3" s="2353" t="s">
        <v>168</v>
      </c>
    </row>
    <row r="4" spans="1:12" ht="50.55" customHeight="1">
      <c r="A4" s="2421"/>
      <c r="B4" s="2424"/>
      <c r="C4" s="2427"/>
      <c r="D4" s="254" t="s">
        <v>3</v>
      </c>
      <c r="E4" s="258" t="s">
        <v>2</v>
      </c>
      <c r="F4" s="2352"/>
      <c r="G4" s="258" t="s">
        <v>3</v>
      </c>
      <c r="H4" s="258" t="s">
        <v>2</v>
      </c>
      <c r="I4" s="2352"/>
      <c r="J4" s="2352"/>
      <c r="K4" s="2352"/>
      <c r="L4" s="2354"/>
    </row>
    <row r="5" spans="1:12">
      <c r="A5" s="2422"/>
      <c r="B5" s="2425"/>
      <c r="C5" s="2428"/>
      <c r="D5" s="2355" t="s">
        <v>93</v>
      </c>
      <c r="E5" s="2356"/>
      <c r="F5" s="259" t="s">
        <v>169</v>
      </c>
      <c r="G5" s="2356" t="s">
        <v>93</v>
      </c>
      <c r="H5" s="2356"/>
      <c r="I5" s="259" t="s">
        <v>169</v>
      </c>
      <c r="J5" s="2356" t="s">
        <v>93</v>
      </c>
      <c r="K5" s="2356"/>
      <c r="L5" s="260" t="s">
        <v>169</v>
      </c>
    </row>
    <row r="6" spans="1:12">
      <c r="A6" s="275" t="s">
        <v>10</v>
      </c>
      <c r="B6" s="276" t="s">
        <v>11</v>
      </c>
      <c r="C6" s="277" t="s">
        <v>12</v>
      </c>
      <c r="D6" s="255" t="s">
        <v>13</v>
      </c>
      <c r="E6" s="261" t="s">
        <v>14</v>
      </c>
      <c r="F6" s="261" t="s">
        <v>15</v>
      </c>
      <c r="G6" s="261" t="s">
        <v>16</v>
      </c>
      <c r="H6" s="261" t="s">
        <v>17</v>
      </c>
      <c r="I6" s="261" t="s">
        <v>94</v>
      </c>
      <c r="J6" s="261" t="s">
        <v>150</v>
      </c>
      <c r="K6" s="261" t="s">
        <v>170</v>
      </c>
      <c r="L6" s="262" t="s">
        <v>173</v>
      </c>
    </row>
    <row r="7" spans="1:12">
      <c r="A7" s="752">
        <v>2</v>
      </c>
      <c r="B7" s="753">
        <v>1</v>
      </c>
      <c r="C7" s="763" t="s">
        <v>174</v>
      </c>
      <c r="D7" s="629">
        <v>201606768.69999999</v>
      </c>
      <c r="E7" s="630">
        <v>199702224.25999999</v>
      </c>
      <c r="F7" s="248">
        <v>99.1</v>
      </c>
      <c r="G7" s="630">
        <v>206693088.69999999</v>
      </c>
      <c r="H7" s="630">
        <v>193168983.97</v>
      </c>
      <c r="I7" s="248">
        <v>93.5</v>
      </c>
      <c r="J7" s="630">
        <v>6533240.2899999917</v>
      </c>
      <c r="K7" s="630">
        <v>7900000</v>
      </c>
      <c r="L7" s="249">
        <v>4</v>
      </c>
    </row>
    <row r="8" spans="1:12">
      <c r="A8" s="754">
        <v>2</v>
      </c>
      <c r="B8" s="278">
        <v>2</v>
      </c>
      <c r="C8" s="764" t="s">
        <v>175</v>
      </c>
      <c r="D8" s="761">
        <v>193362363.61000001</v>
      </c>
      <c r="E8" s="635">
        <v>195988041.63999999</v>
      </c>
      <c r="F8" s="279">
        <v>101.4</v>
      </c>
      <c r="G8" s="635">
        <v>205343695.44999999</v>
      </c>
      <c r="H8" s="635">
        <v>193828569.63</v>
      </c>
      <c r="I8" s="279">
        <v>94.4</v>
      </c>
      <c r="J8" s="635">
        <v>2159472.0099999905</v>
      </c>
      <c r="K8" s="635">
        <v>0</v>
      </c>
      <c r="L8" s="755">
        <v>0</v>
      </c>
    </row>
    <row r="9" spans="1:12">
      <c r="A9" s="754">
        <v>2</v>
      </c>
      <c r="B9" s="278">
        <v>3</v>
      </c>
      <c r="C9" s="764" t="s">
        <v>176</v>
      </c>
      <c r="D9" s="761">
        <v>252887348</v>
      </c>
      <c r="E9" s="635">
        <v>251984749.38</v>
      </c>
      <c r="F9" s="279">
        <v>99.6</v>
      </c>
      <c r="G9" s="635">
        <v>257183824</v>
      </c>
      <c r="H9" s="635">
        <v>244507748.68000001</v>
      </c>
      <c r="I9" s="279">
        <v>95.1</v>
      </c>
      <c r="J9" s="635">
        <v>7477000.6999999881</v>
      </c>
      <c r="K9" s="635">
        <v>18000000</v>
      </c>
      <c r="L9" s="755">
        <v>7.1</v>
      </c>
    </row>
    <row r="10" spans="1:12">
      <c r="A10" s="754">
        <v>2</v>
      </c>
      <c r="B10" s="278">
        <v>4</v>
      </c>
      <c r="C10" s="764" t="s">
        <v>177</v>
      </c>
      <c r="D10" s="761">
        <v>104151613.09999999</v>
      </c>
      <c r="E10" s="635">
        <v>102207644.48</v>
      </c>
      <c r="F10" s="279">
        <v>98.1</v>
      </c>
      <c r="G10" s="635">
        <v>110661312.09999999</v>
      </c>
      <c r="H10" s="635">
        <v>96512938.689999998</v>
      </c>
      <c r="I10" s="279">
        <v>87.2</v>
      </c>
      <c r="J10" s="635">
        <v>5694705.7900000066</v>
      </c>
      <c r="K10" s="635">
        <v>8416615.0999999996</v>
      </c>
      <c r="L10" s="755">
        <v>8.1999999999999993</v>
      </c>
    </row>
    <row r="11" spans="1:12">
      <c r="A11" s="754">
        <v>2</v>
      </c>
      <c r="B11" s="278">
        <v>5</v>
      </c>
      <c r="C11" s="764" t="s">
        <v>178</v>
      </c>
      <c r="D11" s="761">
        <v>159870692.63</v>
      </c>
      <c r="E11" s="635">
        <v>161648089.49000001</v>
      </c>
      <c r="F11" s="279">
        <v>101.1</v>
      </c>
      <c r="G11" s="635">
        <v>178023306.96000001</v>
      </c>
      <c r="H11" s="635">
        <v>158492802.88999999</v>
      </c>
      <c r="I11" s="279">
        <v>89</v>
      </c>
      <c r="J11" s="635">
        <v>3155286.6000000238</v>
      </c>
      <c r="K11" s="635">
        <v>4646380.33</v>
      </c>
      <c r="L11" s="755">
        <v>2.9</v>
      </c>
    </row>
    <row r="12" spans="1:12">
      <c r="A12" s="754">
        <v>2</v>
      </c>
      <c r="B12" s="278">
        <v>6</v>
      </c>
      <c r="C12" s="764" t="s">
        <v>179</v>
      </c>
      <c r="D12" s="761">
        <v>167774590.52000001</v>
      </c>
      <c r="E12" s="635">
        <v>166679274.72999999</v>
      </c>
      <c r="F12" s="279">
        <v>99.3</v>
      </c>
      <c r="G12" s="635">
        <v>180781907.50999999</v>
      </c>
      <c r="H12" s="635">
        <v>172566762.91999999</v>
      </c>
      <c r="I12" s="279">
        <v>95.5</v>
      </c>
      <c r="J12" s="635">
        <v>-5887488.1899999976</v>
      </c>
      <c r="K12" s="635">
        <v>16794608.32</v>
      </c>
      <c r="L12" s="755">
        <v>10.1</v>
      </c>
    </row>
    <row r="13" spans="1:12">
      <c r="A13" s="754">
        <v>2</v>
      </c>
      <c r="B13" s="278">
        <v>7</v>
      </c>
      <c r="C13" s="764" t="s">
        <v>180</v>
      </c>
      <c r="D13" s="761">
        <v>121694621.38</v>
      </c>
      <c r="E13" s="635">
        <v>121728813.39</v>
      </c>
      <c r="F13" s="279">
        <v>100</v>
      </c>
      <c r="G13" s="635">
        <v>128432653.04000001</v>
      </c>
      <c r="H13" s="635">
        <v>121209338.76000001</v>
      </c>
      <c r="I13" s="279">
        <v>94.4</v>
      </c>
      <c r="J13" s="635">
        <v>519474.62999999523</v>
      </c>
      <c r="K13" s="635">
        <v>12000000</v>
      </c>
      <c r="L13" s="755">
        <v>9.9</v>
      </c>
    </row>
    <row r="14" spans="1:12">
      <c r="A14" s="754">
        <v>2</v>
      </c>
      <c r="B14" s="278">
        <v>8</v>
      </c>
      <c r="C14" s="764" t="s">
        <v>181</v>
      </c>
      <c r="D14" s="761">
        <v>434062425.94999999</v>
      </c>
      <c r="E14" s="635">
        <v>434948225.38999999</v>
      </c>
      <c r="F14" s="279">
        <v>100.2</v>
      </c>
      <c r="G14" s="635">
        <v>471108793.62</v>
      </c>
      <c r="H14" s="635">
        <v>443799998.14999998</v>
      </c>
      <c r="I14" s="279">
        <v>94.2</v>
      </c>
      <c r="J14" s="635">
        <v>-8851772.7599999905</v>
      </c>
      <c r="K14" s="635">
        <v>11700000</v>
      </c>
      <c r="L14" s="755">
        <v>2.7</v>
      </c>
    </row>
    <row r="15" spans="1:12">
      <c r="A15" s="754">
        <v>2</v>
      </c>
      <c r="B15" s="278">
        <v>9</v>
      </c>
      <c r="C15" s="764" t="s">
        <v>182</v>
      </c>
      <c r="D15" s="761">
        <v>176793426.28999999</v>
      </c>
      <c r="E15" s="635">
        <v>172330210.93000001</v>
      </c>
      <c r="F15" s="279">
        <v>97.5</v>
      </c>
      <c r="G15" s="635">
        <v>184674034.41</v>
      </c>
      <c r="H15" s="635">
        <v>174599679.09</v>
      </c>
      <c r="I15" s="279">
        <v>94.5</v>
      </c>
      <c r="J15" s="635">
        <v>-2269468.1599999964</v>
      </c>
      <c r="K15" s="635">
        <v>27520168.719999999</v>
      </c>
      <c r="L15" s="755">
        <v>16</v>
      </c>
    </row>
    <row r="16" spans="1:12">
      <c r="A16" s="754">
        <v>2</v>
      </c>
      <c r="B16" s="278">
        <v>10</v>
      </c>
      <c r="C16" s="764" t="s">
        <v>183</v>
      </c>
      <c r="D16" s="761">
        <v>133575090.5</v>
      </c>
      <c r="E16" s="635">
        <v>133469004.17</v>
      </c>
      <c r="F16" s="279">
        <v>99.9</v>
      </c>
      <c r="G16" s="635">
        <v>140161679.18000001</v>
      </c>
      <c r="H16" s="635">
        <v>131792377.16</v>
      </c>
      <c r="I16" s="279">
        <v>94</v>
      </c>
      <c r="J16" s="635">
        <v>1676627.0100000054</v>
      </c>
      <c r="K16" s="635">
        <v>18683795.73</v>
      </c>
      <c r="L16" s="755">
        <v>14</v>
      </c>
    </row>
    <row r="17" spans="1:12">
      <c r="A17" s="754">
        <v>2</v>
      </c>
      <c r="B17" s="278">
        <v>11</v>
      </c>
      <c r="C17" s="764" t="s">
        <v>184</v>
      </c>
      <c r="D17" s="761">
        <v>271036642.63</v>
      </c>
      <c r="E17" s="635">
        <v>267984438.53999999</v>
      </c>
      <c r="F17" s="279">
        <v>98.9</v>
      </c>
      <c r="G17" s="635">
        <v>278300791.52999997</v>
      </c>
      <c r="H17" s="635">
        <v>249290848.93000001</v>
      </c>
      <c r="I17" s="279">
        <v>89.6</v>
      </c>
      <c r="J17" s="635">
        <v>18693589.609999985</v>
      </c>
      <c r="K17" s="635">
        <v>48348492.060000002</v>
      </c>
      <c r="L17" s="755">
        <v>18</v>
      </c>
    </row>
    <row r="18" spans="1:12">
      <c r="A18" s="754">
        <v>2</v>
      </c>
      <c r="B18" s="278">
        <v>12</v>
      </c>
      <c r="C18" s="764" t="s">
        <v>185</v>
      </c>
      <c r="D18" s="761">
        <v>164250600.58000001</v>
      </c>
      <c r="E18" s="635">
        <v>161809365.02000001</v>
      </c>
      <c r="F18" s="279">
        <v>98.5</v>
      </c>
      <c r="G18" s="635">
        <v>162231318.44</v>
      </c>
      <c r="H18" s="635">
        <v>151221601.34</v>
      </c>
      <c r="I18" s="279">
        <v>93.2</v>
      </c>
      <c r="J18" s="635">
        <v>10587763.680000007</v>
      </c>
      <c r="K18" s="635">
        <v>11900000</v>
      </c>
      <c r="L18" s="755">
        <v>7.4</v>
      </c>
    </row>
    <row r="19" spans="1:12">
      <c r="A19" s="754">
        <v>2</v>
      </c>
      <c r="B19" s="278">
        <v>13</v>
      </c>
      <c r="C19" s="764" t="s">
        <v>186</v>
      </c>
      <c r="D19" s="761">
        <v>117185302.20999999</v>
      </c>
      <c r="E19" s="635">
        <v>117040697.44</v>
      </c>
      <c r="F19" s="279">
        <v>99.9</v>
      </c>
      <c r="G19" s="635">
        <v>123836368.20999999</v>
      </c>
      <c r="H19" s="635">
        <v>117742560.55</v>
      </c>
      <c r="I19" s="279">
        <v>95.1</v>
      </c>
      <c r="J19" s="635">
        <v>-701863.1099999994</v>
      </c>
      <c r="K19" s="635">
        <v>20402638.34</v>
      </c>
      <c r="L19" s="755">
        <v>17.399999999999999</v>
      </c>
    </row>
    <row r="20" spans="1:12">
      <c r="A20" s="754">
        <v>2</v>
      </c>
      <c r="B20" s="278">
        <v>14</v>
      </c>
      <c r="C20" s="764" t="s">
        <v>187</v>
      </c>
      <c r="D20" s="761">
        <v>247277496.08000001</v>
      </c>
      <c r="E20" s="635">
        <v>248426893.94999999</v>
      </c>
      <c r="F20" s="279">
        <v>100.5</v>
      </c>
      <c r="G20" s="635">
        <v>253009832.81</v>
      </c>
      <c r="H20" s="635">
        <v>242207098.81999999</v>
      </c>
      <c r="I20" s="279">
        <v>95.7</v>
      </c>
      <c r="J20" s="635">
        <v>6219795.1299999952</v>
      </c>
      <c r="K20" s="635">
        <v>24273383.559999999</v>
      </c>
      <c r="L20" s="755">
        <v>9.8000000000000007</v>
      </c>
    </row>
    <row r="21" spans="1:12">
      <c r="A21" s="754">
        <v>2</v>
      </c>
      <c r="B21" s="278">
        <v>15</v>
      </c>
      <c r="C21" s="764" t="s">
        <v>188</v>
      </c>
      <c r="D21" s="761">
        <v>194218708.19</v>
      </c>
      <c r="E21" s="635">
        <v>191315417.63</v>
      </c>
      <c r="F21" s="279">
        <v>98.5</v>
      </c>
      <c r="G21" s="635">
        <v>200198962.13</v>
      </c>
      <c r="H21" s="635">
        <v>184475671.78</v>
      </c>
      <c r="I21" s="279">
        <v>92.1</v>
      </c>
      <c r="J21" s="635">
        <v>6839745.849999994</v>
      </c>
      <c r="K21" s="635">
        <v>31400000</v>
      </c>
      <c r="L21" s="755">
        <v>16.399999999999999</v>
      </c>
    </row>
    <row r="22" spans="1:12">
      <c r="A22" s="754">
        <v>2</v>
      </c>
      <c r="B22" s="278">
        <v>16</v>
      </c>
      <c r="C22" s="764" t="s">
        <v>189</v>
      </c>
      <c r="D22" s="761">
        <v>128188539</v>
      </c>
      <c r="E22" s="635">
        <v>128757797.90000001</v>
      </c>
      <c r="F22" s="279">
        <v>100.4</v>
      </c>
      <c r="G22" s="635">
        <v>139409591</v>
      </c>
      <c r="H22" s="635">
        <v>119736890.03</v>
      </c>
      <c r="I22" s="279">
        <v>85.9</v>
      </c>
      <c r="J22" s="635">
        <v>9020907.8700000048</v>
      </c>
      <c r="K22" s="635">
        <v>6000000</v>
      </c>
      <c r="L22" s="755">
        <v>4.7</v>
      </c>
    </row>
    <row r="23" spans="1:12">
      <c r="A23" s="754">
        <v>2</v>
      </c>
      <c r="B23" s="278">
        <v>17</v>
      </c>
      <c r="C23" s="764" t="s">
        <v>190</v>
      </c>
      <c r="D23" s="761">
        <v>110729255.48999999</v>
      </c>
      <c r="E23" s="635">
        <v>110702368.59</v>
      </c>
      <c r="F23" s="279">
        <v>100</v>
      </c>
      <c r="G23" s="635">
        <v>115601846.09</v>
      </c>
      <c r="H23" s="635">
        <v>111414028.7</v>
      </c>
      <c r="I23" s="279">
        <v>96.4</v>
      </c>
      <c r="J23" s="635">
        <v>-711660.1099999994</v>
      </c>
      <c r="K23" s="635">
        <v>10728759.359999999</v>
      </c>
      <c r="L23" s="755">
        <v>9.6999999999999993</v>
      </c>
    </row>
    <row r="24" spans="1:12">
      <c r="A24" s="754">
        <v>2</v>
      </c>
      <c r="B24" s="278">
        <v>18</v>
      </c>
      <c r="C24" s="764" t="s">
        <v>191</v>
      </c>
      <c r="D24" s="761">
        <v>112124989.94</v>
      </c>
      <c r="E24" s="635">
        <v>111263099.3</v>
      </c>
      <c r="F24" s="279">
        <v>99.2</v>
      </c>
      <c r="G24" s="635">
        <v>115985749.97</v>
      </c>
      <c r="H24" s="635">
        <v>110444114.3</v>
      </c>
      <c r="I24" s="279">
        <v>95.2</v>
      </c>
      <c r="J24" s="635">
        <v>818985</v>
      </c>
      <c r="K24" s="635">
        <v>21000000</v>
      </c>
      <c r="L24" s="755">
        <v>18.899999999999999</v>
      </c>
    </row>
    <row r="25" spans="1:12">
      <c r="A25" s="754">
        <v>2</v>
      </c>
      <c r="B25" s="278">
        <v>19</v>
      </c>
      <c r="C25" s="764" t="s">
        <v>192</v>
      </c>
      <c r="D25" s="761">
        <v>363187203.22000003</v>
      </c>
      <c r="E25" s="635">
        <v>359347084.33999997</v>
      </c>
      <c r="F25" s="279">
        <v>98.9</v>
      </c>
      <c r="G25" s="635">
        <v>366359267.08999997</v>
      </c>
      <c r="H25" s="635">
        <v>353386142</v>
      </c>
      <c r="I25" s="279">
        <v>96.5</v>
      </c>
      <c r="J25" s="635">
        <v>5960942.3399999738</v>
      </c>
      <c r="K25" s="635">
        <v>27699000</v>
      </c>
      <c r="L25" s="755">
        <v>7.7</v>
      </c>
    </row>
    <row r="26" spans="1:12">
      <c r="A26" s="754">
        <v>2</v>
      </c>
      <c r="B26" s="278">
        <v>20</v>
      </c>
      <c r="C26" s="764" t="s">
        <v>193</v>
      </c>
      <c r="D26" s="761">
        <v>175232375.13999999</v>
      </c>
      <c r="E26" s="635">
        <v>173961784.37</v>
      </c>
      <c r="F26" s="279">
        <v>99.3</v>
      </c>
      <c r="G26" s="635">
        <v>197832694.88999999</v>
      </c>
      <c r="H26" s="635">
        <v>181747200.22999999</v>
      </c>
      <c r="I26" s="279">
        <v>91.9</v>
      </c>
      <c r="J26" s="635">
        <v>-7785415.8599999845</v>
      </c>
      <c r="K26" s="635">
        <v>53859314</v>
      </c>
      <c r="L26" s="755">
        <v>31</v>
      </c>
    </row>
    <row r="27" spans="1:12">
      <c r="A27" s="754">
        <v>2</v>
      </c>
      <c r="B27" s="278">
        <v>21</v>
      </c>
      <c r="C27" s="764" t="s">
        <v>194</v>
      </c>
      <c r="D27" s="761">
        <v>102839568.58</v>
      </c>
      <c r="E27" s="635">
        <v>107727864.15000001</v>
      </c>
      <c r="F27" s="279">
        <v>104.8</v>
      </c>
      <c r="G27" s="635">
        <v>110656130.36</v>
      </c>
      <c r="H27" s="635">
        <v>91869984.540000007</v>
      </c>
      <c r="I27" s="279">
        <v>83</v>
      </c>
      <c r="J27" s="635">
        <v>15857879.609999999</v>
      </c>
      <c r="K27" s="635">
        <v>12473328.859999999</v>
      </c>
      <c r="L27" s="755">
        <v>11.6</v>
      </c>
    </row>
    <row r="28" spans="1:12">
      <c r="A28" s="754">
        <v>2</v>
      </c>
      <c r="B28" s="278">
        <v>22</v>
      </c>
      <c r="C28" s="764" t="s">
        <v>195</v>
      </c>
      <c r="D28" s="761">
        <v>142897385.33000001</v>
      </c>
      <c r="E28" s="635">
        <v>143046746.80000001</v>
      </c>
      <c r="F28" s="279">
        <v>100.1</v>
      </c>
      <c r="G28" s="635">
        <v>149267385.33000001</v>
      </c>
      <c r="H28" s="635">
        <v>143733706.05000001</v>
      </c>
      <c r="I28" s="279">
        <v>96.3</v>
      </c>
      <c r="J28" s="635">
        <v>-686959.25</v>
      </c>
      <c r="K28" s="635">
        <v>23177162.41</v>
      </c>
      <c r="L28" s="755">
        <v>16.2</v>
      </c>
    </row>
    <row r="29" spans="1:12">
      <c r="A29" s="754">
        <v>2</v>
      </c>
      <c r="B29" s="278">
        <v>23</v>
      </c>
      <c r="C29" s="764" t="s">
        <v>196</v>
      </c>
      <c r="D29" s="761">
        <v>267939680.47999999</v>
      </c>
      <c r="E29" s="635">
        <v>270927189.20999998</v>
      </c>
      <c r="F29" s="279">
        <v>101.1</v>
      </c>
      <c r="G29" s="635">
        <v>279138001.51999998</v>
      </c>
      <c r="H29" s="635">
        <v>255245233.63</v>
      </c>
      <c r="I29" s="279">
        <v>91.4</v>
      </c>
      <c r="J29" s="635">
        <v>15681955.579999983</v>
      </c>
      <c r="K29" s="635">
        <v>0</v>
      </c>
      <c r="L29" s="755">
        <v>0</v>
      </c>
    </row>
    <row r="30" spans="1:12">
      <c r="A30" s="754">
        <v>2</v>
      </c>
      <c r="B30" s="278">
        <v>24</v>
      </c>
      <c r="C30" s="764" t="s">
        <v>197</v>
      </c>
      <c r="D30" s="761">
        <v>190592669.91999999</v>
      </c>
      <c r="E30" s="635">
        <v>193383301.91999999</v>
      </c>
      <c r="F30" s="279">
        <v>101.5</v>
      </c>
      <c r="G30" s="635">
        <v>199550928.75</v>
      </c>
      <c r="H30" s="635">
        <v>189611060.75999999</v>
      </c>
      <c r="I30" s="279">
        <v>95</v>
      </c>
      <c r="J30" s="635">
        <v>3772241.1599999964</v>
      </c>
      <c r="K30" s="635">
        <v>32566051.260000002</v>
      </c>
      <c r="L30" s="755">
        <v>16.8</v>
      </c>
    </row>
    <row r="31" spans="1:12">
      <c r="A31" s="754">
        <v>2</v>
      </c>
      <c r="B31" s="278">
        <v>25</v>
      </c>
      <c r="C31" s="764" t="s">
        <v>198</v>
      </c>
      <c r="D31" s="761">
        <v>215001377</v>
      </c>
      <c r="E31" s="635">
        <v>211555558.06999999</v>
      </c>
      <c r="F31" s="279">
        <v>98.4</v>
      </c>
      <c r="G31" s="635">
        <v>231271377</v>
      </c>
      <c r="H31" s="635">
        <v>216379539.99000001</v>
      </c>
      <c r="I31" s="279">
        <v>93.6</v>
      </c>
      <c r="J31" s="635">
        <v>-4823981.9200000167</v>
      </c>
      <c r="K31" s="635">
        <v>24617000</v>
      </c>
      <c r="L31" s="755">
        <v>11.6</v>
      </c>
    </row>
    <row r="32" spans="1:12">
      <c r="A32" s="754">
        <v>2</v>
      </c>
      <c r="B32" s="278">
        <v>26</v>
      </c>
      <c r="C32" s="764" t="s">
        <v>199</v>
      </c>
      <c r="D32" s="761">
        <v>114682112.76000001</v>
      </c>
      <c r="E32" s="635">
        <v>100340930.14</v>
      </c>
      <c r="F32" s="279">
        <v>87.5</v>
      </c>
      <c r="G32" s="635">
        <v>113717206.5</v>
      </c>
      <c r="H32" s="635">
        <v>99594996.409999996</v>
      </c>
      <c r="I32" s="279">
        <v>87.6</v>
      </c>
      <c r="J32" s="635">
        <v>745933.73000000417</v>
      </c>
      <c r="K32" s="635">
        <v>22623813.829999998</v>
      </c>
      <c r="L32" s="755">
        <v>22.5</v>
      </c>
    </row>
    <row r="33" spans="1:12">
      <c r="A33" s="754">
        <v>4</v>
      </c>
      <c r="B33" s="278">
        <v>1</v>
      </c>
      <c r="C33" s="764" t="s">
        <v>200</v>
      </c>
      <c r="D33" s="761">
        <v>128066470.58</v>
      </c>
      <c r="E33" s="635">
        <v>128176625</v>
      </c>
      <c r="F33" s="279">
        <v>100.1</v>
      </c>
      <c r="G33" s="635">
        <v>133739628.58</v>
      </c>
      <c r="H33" s="635">
        <v>127355638.23999999</v>
      </c>
      <c r="I33" s="279">
        <v>95.2</v>
      </c>
      <c r="J33" s="635">
        <v>820986.76000000536</v>
      </c>
      <c r="K33" s="635">
        <v>2986000</v>
      </c>
      <c r="L33" s="755">
        <v>2.2999999999999998</v>
      </c>
    </row>
    <row r="34" spans="1:12">
      <c r="A34" s="754">
        <v>4</v>
      </c>
      <c r="B34" s="278">
        <v>2</v>
      </c>
      <c r="C34" s="764" t="s">
        <v>201</v>
      </c>
      <c r="D34" s="761">
        <v>164253305.46000001</v>
      </c>
      <c r="E34" s="635">
        <v>162526079.69999999</v>
      </c>
      <c r="F34" s="279">
        <v>98.9</v>
      </c>
      <c r="G34" s="635">
        <v>170777305.46000001</v>
      </c>
      <c r="H34" s="635">
        <v>154836937.74000001</v>
      </c>
      <c r="I34" s="279">
        <v>90.7</v>
      </c>
      <c r="J34" s="635">
        <v>7689141.9599999785</v>
      </c>
      <c r="K34" s="635">
        <v>2010000</v>
      </c>
      <c r="L34" s="755">
        <v>1.2</v>
      </c>
    </row>
    <row r="35" spans="1:12">
      <c r="A35" s="754">
        <v>4</v>
      </c>
      <c r="B35" s="278">
        <v>3</v>
      </c>
      <c r="C35" s="764" t="s">
        <v>202</v>
      </c>
      <c r="D35" s="761">
        <v>169131587.41999999</v>
      </c>
      <c r="E35" s="635">
        <v>170045088.93000001</v>
      </c>
      <c r="F35" s="279">
        <v>100.5</v>
      </c>
      <c r="G35" s="635">
        <v>160061778.58000001</v>
      </c>
      <c r="H35" s="635">
        <v>149343447.83000001</v>
      </c>
      <c r="I35" s="279">
        <v>93.3</v>
      </c>
      <c r="J35" s="635">
        <v>20701641.099999994</v>
      </c>
      <c r="K35" s="635">
        <v>0</v>
      </c>
      <c r="L35" s="755">
        <v>0</v>
      </c>
    </row>
    <row r="36" spans="1:12">
      <c r="A36" s="754">
        <v>4</v>
      </c>
      <c r="B36" s="278">
        <v>4</v>
      </c>
      <c r="C36" s="764" t="s">
        <v>203</v>
      </c>
      <c r="D36" s="761">
        <v>152625652.05000001</v>
      </c>
      <c r="E36" s="635">
        <v>151867518.88</v>
      </c>
      <c r="F36" s="279">
        <v>99.5</v>
      </c>
      <c r="G36" s="635">
        <v>131763297.45999999</v>
      </c>
      <c r="H36" s="635">
        <v>125535221.72</v>
      </c>
      <c r="I36" s="279">
        <v>95.3</v>
      </c>
      <c r="J36" s="635">
        <v>26332297.159999996</v>
      </c>
      <c r="K36" s="635">
        <v>11204832.24</v>
      </c>
      <c r="L36" s="755">
        <v>7.4</v>
      </c>
    </row>
    <row r="37" spans="1:12">
      <c r="A37" s="754">
        <v>4</v>
      </c>
      <c r="B37" s="278">
        <v>5</v>
      </c>
      <c r="C37" s="764" t="s">
        <v>204</v>
      </c>
      <c r="D37" s="761">
        <v>112608084.17</v>
      </c>
      <c r="E37" s="635">
        <v>109243662.2</v>
      </c>
      <c r="F37" s="279">
        <v>97</v>
      </c>
      <c r="G37" s="635">
        <v>118634245.12</v>
      </c>
      <c r="H37" s="635">
        <v>104040121.79000001</v>
      </c>
      <c r="I37" s="279">
        <v>87.7</v>
      </c>
      <c r="J37" s="635">
        <v>5203540.4099999964</v>
      </c>
      <c r="K37" s="635">
        <v>51480678.490000002</v>
      </c>
      <c r="L37" s="755">
        <v>47.1</v>
      </c>
    </row>
    <row r="38" spans="1:12">
      <c r="A38" s="754">
        <v>4</v>
      </c>
      <c r="B38" s="278">
        <v>6</v>
      </c>
      <c r="C38" s="764" t="s">
        <v>205</v>
      </c>
      <c r="D38" s="761">
        <v>71811128.200000003</v>
      </c>
      <c r="E38" s="635">
        <v>73539188.219999999</v>
      </c>
      <c r="F38" s="279">
        <v>102.4</v>
      </c>
      <c r="G38" s="635">
        <v>81511324.379999995</v>
      </c>
      <c r="H38" s="635">
        <v>72153983.859999999</v>
      </c>
      <c r="I38" s="279">
        <v>88.5</v>
      </c>
      <c r="J38" s="635">
        <v>1385204.3599999994</v>
      </c>
      <c r="K38" s="635">
        <v>4785404.7</v>
      </c>
      <c r="L38" s="755">
        <v>6.5</v>
      </c>
    </row>
    <row r="39" spans="1:12">
      <c r="A39" s="754">
        <v>4</v>
      </c>
      <c r="B39" s="278">
        <v>7</v>
      </c>
      <c r="C39" s="764" t="s">
        <v>206</v>
      </c>
      <c r="D39" s="761">
        <v>350711661.05000001</v>
      </c>
      <c r="E39" s="635">
        <v>351025320.26999998</v>
      </c>
      <c r="F39" s="279">
        <v>100.1</v>
      </c>
      <c r="G39" s="635">
        <v>353149935</v>
      </c>
      <c r="H39" s="635">
        <v>334013596.42000002</v>
      </c>
      <c r="I39" s="279">
        <v>94.6</v>
      </c>
      <c r="J39" s="635">
        <v>17011723.849999964</v>
      </c>
      <c r="K39" s="635">
        <v>22141598</v>
      </c>
      <c r="L39" s="755">
        <v>6.3</v>
      </c>
    </row>
    <row r="40" spans="1:12">
      <c r="A40" s="754">
        <v>4</v>
      </c>
      <c r="B40" s="278">
        <v>8</v>
      </c>
      <c r="C40" s="764" t="s">
        <v>207</v>
      </c>
      <c r="D40" s="761">
        <v>149797220.41</v>
      </c>
      <c r="E40" s="635">
        <v>146922260.41</v>
      </c>
      <c r="F40" s="279">
        <v>98.1</v>
      </c>
      <c r="G40" s="635">
        <v>155212008.75</v>
      </c>
      <c r="H40" s="635">
        <v>148003505.68000001</v>
      </c>
      <c r="I40" s="279">
        <v>95.4</v>
      </c>
      <c r="J40" s="635">
        <v>-1081245.2700000107</v>
      </c>
      <c r="K40" s="635">
        <v>26346926</v>
      </c>
      <c r="L40" s="755">
        <v>17.899999999999999</v>
      </c>
    </row>
    <row r="41" spans="1:12">
      <c r="A41" s="754">
        <v>4</v>
      </c>
      <c r="B41" s="278">
        <v>9</v>
      </c>
      <c r="C41" s="764" t="s">
        <v>208</v>
      </c>
      <c r="D41" s="761">
        <v>134886798.94</v>
      </c>
      <c r="E41" s="635">
        <v>137968213.81999999</v>
      </c>
      <c r="F41" s="279">
        <v>102.3</v>
      </c>
      <c r="G41" s="635">
        <v>139974862.81</v>
      </c>
      <c r="H41" s="635">
        <v>131622186.06</v>
      </c>
      <c r="I41" s="279">
        <v>94</v>
      </c>
      <c r="J41" s="635">
        <v>6346027.7599999905</v>
      </c>
      <c r="K41" s="635">
        <v>3715320</v>
      </c>
      <c r="L41" s="755">
        <v>2.7</v>
      </c>
    </row>
    <row r="42" spans="1:12">
      <c r="A42" s="754">
        <v>4</v>
      </c>
      <c r="B42" s="278">
        <v>10</v>
      </c>
      <c r="C42" s="764" t="s">
        <v>209</v>
      </c>
      <c r="D42" s="761">
        <v>190286045.25</v>
      </c>
      <c r="E42" s="635">
        <v>187276467.87</v>
      </c>
      <c r="F42" s="279">
        <v>98.4</v>
      </c>
      <c r="G42" s="635">
        <v>213001765.06999999</v>
      </c>
      <c r="H42" s="635">
        <v>195271519.27000001</v>
      </c>
      <c r="I42" s="279">
        <v>91.7</v>
      </c>
      <c r="J42" s="635">
        <v>-7995051.400000006</v>
      </c>
      <c r="K42" s="635">
        <v>33122838</v>
      </c>
      <c r="L42" s="755">
        <v>17.7</v>
      </c>
    </row>
    <row r="43" spans="1:12">
      <c r="A43" s="754">
        <v>4</v>
      </c>
      <c r="B43" s="278">
        <v>11</v>
      </c>
      <c r="C43" s="764" t="s">
        <v>210</v>
      </c>
      <c r="D43" s="761">
        <v>135709565.41999999</v>
      </c>
      <c r="E43" s="635">
        <v>135877456.78</v>
      </c>
      <c r="F43" s="279">
        <v>100.1</v>
      </c>
      <c r="G43" s="635">
        <v>138451965.28999999</v>
      </c>
      <c r="H43" s="635">
        <v>130720140.90000001</v>
      </c>
      <c r="I43" s="279">
        <v>94.4</v>
      </c>
      <c r="J43" s="635">
        <v>5157315.8799999952</v>
      </c>
      <c r="K43" s="635">
        <v>859703.23</v>
      </c>
      <c r="L43" s="755">
        <v>0.6</v>
      </c>
    </row>
    <row r="44" spans="1:12">
      <c r="A44" s="754">
        <v>4</v>
      </c>
      <c r="B44" s="278">
        <v>12</v>
      </c>
      <c r="C44" s="764" t="s">
        <v>211</v>
      </c>
      <c r="D44" s="761">
        <v>141874319.06999999</v>
      </c>
      <c r="E44" s="635">
        <v>142426076.18000001</v>
      </c>
      <c r="F44" s="279">
        <v>100.4</v>
      </c>
      <c r="G44" s="635">
        <v>148071746.47999999</v>
      </c>
      <c r="H44" s="635">
        <v>141984118.41</v>
      </c>
      <c r="I44" s="279">
        <v>95.9</v>
      </c>
      <c r="J44" s="635">
        <v>441957.77000001073</v>
      </c>
      <c r="K44" s="635">
        <v>617647</v>
      </c>
      <c r="L44" s="755">
        <v>0.4</v>
      </c>
    </row>
    <row r="45" spans="1:12">
      <c r="A45" s="754">
        <v>4</v>
      </c>
      <c r="B45" s="278">
        <v>13</v>
      </c>
      <c r="C45" s="764" t="s">
        <v>212</v>
      </c>
      <c r="D45" s="761">
        <v>107462494.79000001</v>
      </c>
      <c r="E45" s="635">
        <v>107025231.56999999</v>
      </c>
      <c r="F45" s="279">
        <v>99.6</v>
      </c>
      <c r="G45" s="635">
        <v>108313527.79000001</v>
      </c>
      <c r="H45" s="635">
        <v>103606900.70999999</v>
      </c>
      <c r="I45" s="279">
        <v>95.7</v>
      </c>
      <c r="J45" s="635">
        <v>3418330.8599999994</v>
      </c>
      <c r="K45" s="635">
        <v>8385090.7000000002</v>
      </c>
      <c r="L45" s="755">
        <v>7.8</v>
      </c>
    </row>
    <row r="46" spans="1:12">
      <c r="A46" s="754">
        <v>4</v>
      </c>
      <c r="B46" s="278">
        <v>14</v>
      </c>
      <c r="C46" s="764" t="s">
        <v>213</v>
      </c>
      <c r="D46" s="761">
        <v>195484385.90000001</v>
      </c>
      <c r="E46" s="635">
        <v>194128664.88999999</v>
      </c>
      <c r="F46" s="279">
        <v>99.3</v>
      </c>
      <c r="G46" s="635">
        <v>202619760.90000001</v>
      </c>
      <c r="H46" s="635">
        <v>179569925.69999999</v>
      </c>
      <c r="I46" s="279">
        <v>88.6</v>
      </c>
      <c r="J46" s="635">
        <v>14558739.189999998</v>
      </c>
      <c r="K46" s="635">
        <v>9100000</v>
      </c>
      <c r="L46" s="755">
        <v>4.7</v>
      </c>
    </row>
    <row r="47" spans="1:12">
      <c r="A47" s="754">
        <v>4</v>
      </c>
      <c r="B47" s="278">
        <v>15</v>
      </c>
      <c r="C47" s="764" t="s">
        <v>214</v>
      </c>
      <c r="D47" s="761">
        <v>203687177</v>
      </c>
      <c r="E47" s="635">
        <v>205808193.44999999</v>
      </c>
      <c r="F47" s="279">
        <v>101</v>
      </c>
      <c r="G47" s="635">
        <v>220453658</v>
      </c>
      <c r="H47" s="635">
        <v>212641209.88999999</v>
      </c>
      <c r="I47" s="279">
        <v>96.5</v>
      </c>
      <c r="J47" s="635">
        <v>-6833016.4399999976</v>
      </c>
      <c r="K47" s="635">
        <v>22950000</v>
      </c>
      <c r="L47" s="755">
        <v>11.2</v>
      </c>
    </row>
    <row r="48" spans="1:12">
      <c r="A48" s="754">
        <v>4</v>
      </c>
      <c r="B48" s="278">
        <v>16</v>
      </c>
      <c r="C48" s="764" t="s">
        <v>215</v>
      </c>
      <c r="D48" s="761">
        <v>132509231.01000001</v>
      </c>
      <c r="E48" s="635">
        <v>130378333.48999999</v>
      </c>
      <c r="F48" s="279">
        <v>98.4</v>
      </c>
      <c r="G48" s="635">
        <v>141574459.63</v>
      </c>
      <c r="H48" s="635">
        <v>130922797.88</v>
      </c>
      <c r="I48" s="279">
        <v>92.5</v>
      </c>
      <c r="J48" s="635">
        <v>-544464.3900000006</v>
      </c>
      <c r="K48" s="635">
        <v>9945223.5199999996</v>
      </c>
      <c r="L48" s="755">
        <v>7.6</v>
      </c>
    </row>
    <row r="49" spans="1:12">
      <c r="A49" s="754">
        <v>4</v>
      </c>
      <c r="B49" s="278">
        <v>17</v>
      </c>
      <c r="C49" s="764" t="s">
        <v>216</v>
      </c>
      <c r="D49" s="761">
        <v>92929097.439999998</v>
      </c>
      <c r="E49" s="635">
        <v>92166293.099999994</v>
      </c>
      <c r="F49" s="279">
        <v>99.2</v>
      </c>
      <c r="G49" s="635">
        <v>98919953.170000002</v>
      </c>
      <c r="H49" s="635">
        <v>91280260.200000003</v>
      </c>
      <c r="I49" s="279">
        <v>92.3</v>
      </c>
      <c r="J49" s="635">
        <v>886032.89999999106</v>
      </c>
      <c r="K49" s="635">
        <v>11803373</v>
      </c>
      <c r="L49" s="755">
        <v>12.8</v>
      </c>
    </row>
    <row r="50" spans="1:12">
      <c r="A50" s="754">
        <v>4</v>
      </c>
      <c r="B50" s="278">
        <v>18</v>
      </c>
      <c r="C50" s="764" t="s">
        <v>217</v>
      </c>
      <c r="D50" s="761">
        <v>220894131.66999999</v>
      </c>
      <c r="E50" s="635">
        <v>221113762.13999999</v>
      </c>
      <c r="F50" s="279">
        <v>100.1</v>
      </c>
      <c r="G50" s="635">
        <v>222320023.66999999</v>
      </c>
      <c r="H50" s="635">
        <v>218214260.38</v>
      </c>
      <c r="I50" s="279">
        <v>98.2</v>
      </c>
      <c r="J50" s="635">
        <v>2899501.7599999905</v>
      </c>
      <c r="K50" s="635">
        <v>31331430.039999999</v>
      </c>
      <c r="L50" s="755">
        <v>14.2</v>
      </c>
    </row>
    <row r="51" spans="1:12">
      <c r="A51" s="754">
        <v>4</v>
      </c>
      <c r="B51" s="278">
        <v>19</v>
      </c>
      <c r="C51" s="764" t="s">
        <v>218</v>
      </c>
      <c r="D51" s="761">
        <v>151816797.02000001</v>
      </c>
      <c r="E51" s="635">
        <v>151285554.47</v>
      </c>
      <c r="F51" s="279">
        <v>99.7</v>
      </c>
      <c r="G51" s="635">
        <v>160324529.02000001</v>
      </c>
      <c r="H51" s="635">
        <v>156805329.84999999</v>
      </c>
      <c r="I51" s="279">
        <v>97.8</v>
      </c>
      <c r="J51" s="635">
        <v>-5519775.3799999952</v>
      </c>
      <c r="K51" s="635">
        <v>22000000</v>
      </c>
      <c r="L51" s="755">
        <v>14.5</v>
      </c>
    </row>
    <row r="52" spans="1:12">
      <c r="A52" s="754">
        <v>6</v>
      </c>
      <c r="B52" s="278">
        <v>1</v>
      </c>
      <c r="C52" s="764" t="s">
        <v>219</v>
      </c>
      <c r="D52" s="761">
        <v>234269738.81</v>
      </c>
      <c r="E52" s="635">
        <v>241558242.30000001</v>
      </c>
      <c r="F52" s="279">
        <v>103.1</v>
      </c>
      <c r="G52" s="635">
        <v>278536649.56999999</v>
      </c>
      <c r="H52" s="635">
        <v>236949128.49000001</v>
      </c>
      <c r="I52" s="279">
        <v>85.1</v>
      </c>
      <c r="J52" s="635">
        <v>4609113.8100000024</v>
      </c>
      <c r="K52" s="635">
        <v>52150000</v>
      </c>
      <c r="L52" s="755">
        <v>21.6</v>
      </c>
    </row>
    <row r="53" spans="1:12">
      <c r="A53" s="754">
        <v>6</v>
      </c>
      <c r="B53" s="278">
        <v>2</v>
      </c>
      <c r="C53" s="764" t="s">
        <v>220</v>
      </c>
      <c r="D53" s="761">
        <v>242378079.41999999</v>
      </c>
      <c r="E53" s="635">
        <v>232764722.08000001</v>
      </c>
      <c r="F53" s="279">
        <v>96</v>
      </c>
      <c r="G53" s="635">
        <v>271947877.18000001</v>
      </c>
      <c r="H53" s="635">
        <v>249247616.78999999</v>
      </c>
      <c r="I53" s="279">
        <v>91.7</v>
      </c>
      <c r="J53" s="635">
        <v>-16482894.709999979</v>
      </c>
      <c r="K53" s="635">
        <v>73785923.810000002</v>
      </c>
      <c r="L53" s="755">
        <v>31.7</v>
      </c>
    </row>
    <row r="54" spans="1:12">
      <c r="A54" s="754">
        <v>6</v>
      </c>
      <c r="B54" s="278">
        <v>3</v>
      </c>
      <c r="C54" s="764" t="s">
        <v>221</v>
      </c>
      <c r="D54" s="761">
        <v>176396786.21000001</v>
      </c>
      <c r="E54" s="635">
        <v>180207758.58000001</v>
      </c>
      <c r="F54" s="279">
        <v>102.2</v>
      </c>
      <c r="G54" s="635">
        <v>162196786.21000001</v>
      </c>
      <c r="H54" s="635">
        <v>150746462.94</v>
      </c>
      <c r="I54" s="279">
        <v>92.9</v>
      </c>
      <c r="J54" s="635">
        <v>29461295.640000015</v>
      </c>
      <c r="K54" s="635">
        <v>26000000</v>
      </c>
      <c r="L54" s="755">
        <v>14.4</v>
      </c>
    </row>
    <row r="55" spans="1:12">
      <c r="A55" s="754">
        <v>6</v>
      </c>
      <c r="B55" s="278">
        <v>4</v>
      </c>
      <c r="C55" s="764" t="s">
        <v>222</v>
      </c>
      <c r="D55" s="761">
        <v>158166472.55000001</v>
      </c>
      <c r="E55" s="635">
        <v>156237346.47999999</v>
      </c>
      <c r="F55" s="279">
        <v>98.8</v>
      </c>
      <c r="G55" s="635">
        <v>152018774.83000001</v>
      </c>
      <c r="H55" s="635">
        <v>138111178.5</v>
      </c>
      <c r="I55" s="279">
        <v>90.9</v>
      </c>
      <c r="J55" s="635">
        <v>18126167.979999989</v>
      </c>
      <c r="K55" s="635">
        <v>19400000</v>
      </c>
      <c r="L55" s="755">
        <v>12.4</v>
      </c>
    </row>
    <row r="56" spans="1:12">
      <c r="A56" s="754">
        <v>6</v>
      </c>
      <c r="B56" s="278">
        <v>5</v>
      </c>
      <c r="C56" s="764" t="s">
        <v>223</v>
      </c>
      <c r="D56" s="761">
        <v>155282781.36000001</v>
      </c>
      <c r="E56" s="635">
        <v>161125692.47999999</v>
      </c>
      <c r="F56" s="279">
        <v>103.8</v>
      </c>
      <c r="G56" s="635">
        <v>149149378.36000001</v>
      </c>
      <c r="H56" s="635">
        <v>144052792.84</v>
      </c>
      <c r="I56" s="279">
        <v>96.6</v>
      </c>
      <c r="J56" s="635">
        <v>17072899.639999986</v>
      </c>
      <c r="K56" s="635">
        <v>15694487</v>
      </c>
      <c r="L56" s="755">
        <v>9.6999999999999993</v>
      </c>
    </row>
    <row r="57" spans="1:12">
      <c r="A57" s="754">
        <v>6</v>
      </c>
      <c r="B57" s="278">
        <v>6</v>
      </c>
      <c r="C57" s="764" t="s">
        <v>224</v>
      </c>
      <c r="D57" s="761">
        <v>203201441.13999999</v>
      </c>
      <c r="E57" s="635">
        <v>202487111.66</v>
      </c>
      <c r="F57" s="279">
        <v>99.6</v>
      </c>
      <c r="G57" s="635">
        <v>212433062.96000001</v>
      </c>
      <c r="H57" s="635">
        <v>193702550.88</v>
      </c>
      <c r="I57" s="279">
        <v>91.2</v>
      </c>
      <c r="J57" s="635">
        <v>8784560.7800000012</v>
      </c>
      <c r="K57" s="635">
        <v>9814622.0800000001</v>
      </c>
      <c r="L57" s="755">
        <v>4.8</v>
      </c>
    </row>
    <row r="58" spans="1:12">
      <c r="A58" s="754">
        <v>6</v>
      </c>
      <c r="B58" s="278">
        <v>7</v>
      </c>
      <c r="C58" s="764" t="s">
        <v>225</v>
      </c>
      <c r="D58" s="761">
        <v>237361861.19999999</v>
      </c>
      <c r="E58" s="635">
        <v>234612054.59999999</v>
      </c>
      <c r="F58" s="279">
        <v>98.8</v>
      </c>
      <c r="G58" s="635">
        <v>238647831.13</v>
      </c>
      <c r="H58" s="635">
        <v>222636895.94999999</v>
      </c>
      <c r="I58" s="279">
        <v>93.3</v>
      </c>
      <c r="J58" s="635">
        <v>11975158.650000006</v>
      </c>
      <c r="K58" s="635">
        <v>10817772.539999999</v>
      </c>
      <c r="L58" s="755">
        <v>4.5999999999999996</v>
      </c>
    </row>
    <row r="59" spans="1:12">
      <c r="A59" s="754">
        <v>6</v>
      </c>
      <c r="B59" s="278">
        <v>8</v>
      </c>
      <c r="C59" s="764" t="s">
        <v>226</v>
      </c>
      <c r="D59" s="761">
        <v>207095325.03999999</v>
      </c>
      <c r="E59" s="635">
        <v>206566082.75999999</v>
      </c>
      <c r="F59" s="279">
        <v>99.7</v>
      </c>
      <c r="G59" s="635">
        <v>196785620.86000001</v>
      </c>
      <c r="H59" s="635">
        <v>181931329.40000001</v>
      </c>
      <c r="I59" s="279">
        <v>92.5</v>
      </c>
      <c r="J59" s="635">
        <v>24634753.359999985</v>
      </c>
      <c r="K59" s="635">
        <v>45353000</v>
      </c>
      <c r="L59" s="755">
        <v>22</v>
      </c>
    </row>
    <row r="60" spans="1:12">
      <c r="A60" s="754">
        <v>6</v>
      </c>
      <c r="B60" s="278">
        <v>9</v>
      </c>
      <c r="C60" s="764" t="s">
        <v>227</v>
      </c>
      <c r="D60" s="761">
        <v>275123145.36000001</v>
      </c>
      <c r="E60" s="635">
        <v>284299092.00999999</v>
      </c>
      <c r="F60" s="279">
        <v>103.3</v>
      </c>
      <c r="G60" s="635">
        <v>317833134.36000001</v>
      </c>
      <c r="H60" s="635">
        <v>303623226.30000001</v>
      </c>
      <c r="I60" s="279">
        <v>95.5</v>
      </c>
      <c r="J60" s="635">
        <v>-19324134.290000021</v>
      </c>
      <c r="K60" s="635">
        <v>58531616.759999998</v>
      </c>
      <c r="L60" s="755">
        <v>20.6</v>
      </c>
    </row>
    <row r="61" spans="1:12">
      <c r="A61" s="754">
        <v>6</v>
      </c>
      <c r="B61" s="278">
        <v>10</v>
      </c>
      <c r="C61" s="764" t="s">
        <v>228</v>
      </c>
      <c r="D61" s="761">
        <v>146301087.90000001</v>
      </c>
      <c r="E61" s="635">
        <v>138892692.25</v>
      </c>
      <c r="F61" s="279">
        <v>94.9</v>
      </c>
      <c r="G61" s="635">
        <v>161527139.90000001</v>
      </c>
      <c r="H61" s="635">
        <v>146716427.96000001</v>
      </c>
      <c r="I61" s="279">
        <v>90.8</v>
      </c>
      <c r="J61" s="635">
        <v>-7823735.7100000083</v>
      </c>
      <c r="K61" s="635">
        <v>46309219</v>
      </c>
      <c r="L61" s="755">
        <v>33.299999999999997</v>
      </c>
    </row>
    <row r="62" spans="1:12">
      <c r="A62" s="754">
        <v>6</v>
      </c>
      <c r="B62" s="278">
        <v>11</v>
      </c>
      <c r="C62" s="764" t="s">
        <v>229</v>
      </c>
      <c r="D62" s="761">
        <v>223559693.03999999</v>
      </c>
      <c r="E62" s="635">
        <v>229301129.81999999</v>
      </c>
      <c r="F62" s="279">
        <v>102.6</v>
      </c>
      <c r="G62" s="635">
        <v>228399582.46000001</v>
      </c>
      <c r="H62" s="635">
        <v>221196287.37</v>
      </c>
      <c r="I62" s="279">
        <v>96.8</v>
      </c>
      <c r="J62" s="635">
        <v>8104842.4499999881</v>
      </c>
      <c r="K62" s="635">
        <v>47966508</v>
      </c>
      <c r="L62" s="755">
        <v>20.9</v>
      </c>
    </row>
    <row r="63" spans="1:12">
      <c r="A63" s="754">
        <v>6</v>
      </c>
      <c r="B63" s="278">
        <v>12</v>
      </c>
      <c r="C63" s="764" t="s">
        <v>230</v>
      </c>
      <c r="D63" s="761">
        <v>114559063.8</v>
      </c>
      <c r="E63" s="635">
        <v>112958184.5</v>
      </c>
      <c r="F63" s="279">
        <v>98.6</v>
      </c>
      <c r="G63" s="635">
        <v>128446339.72</v>
      </c>
      <c r="H63" s="635">
        <v>123808898.76000001</v>
      </c>
      <c r="I63" s="279">
        <v>96.4</v>
      </c>
      <c r="J63" s="635">
        <v>-10850714.260000005</v>
      </c>
      <c r="K63" s="635">
        <v>30305000</v>
      </c>
      <c r="L63" s="755">
        <v>26.8</v>
      </c>
    </row>
    <row r="64" spans="1:12">
      <c r="A64" s="754">
        <v>6</v>
      </c>
      <c r="B64" s="278">
        <v>13</v>
      </c>
      <c r="C64" s="764" t="s">
        <v>231</v>
      </c>
      <c r="D64" s="761">
        <v>94408599.019999996</v>
      </c>
      <c r="E64" s="635">
        <v>92740198.969999999</v>
      </c>
      <c r="F64" s="279">
        <v>98.2</v>
      </c>
      <c r="G64" s="635">
        <v>98898870.510000005</v>
      </c>
      <c r="H64" s="635">
        <v>87337328.269999996</v>
      </c>
      <c r="I64" s="279">
        <v>88.3</v>
      </c>
      <c r="J64" s="635">
        <v>5402870.700000003</v>
      </c>
      <c r="K64" s="635">
        <v>11823000</v>
      </c>
      <c r="L64" s="755">
        <v>12.7</v>
      </c>
    </row>
    <row r="65" spans="1:12">
      <c r="A65" s="754">
        <v>6</v>
      </c>
      <c r="B65" s="278">
        <v>14</v>
      </c>
      <c r="C65" s="764" t="s">
        <v>232</v>
      </c>
      <c r="D65" s="761">
        <v>258124149.81</v>
      </c>
      <c r="E65" s="635">
        <v>261385459.30000001</v>
      </c>
      <c r="F65" s="279">
        <v>101.3</v>
      </c>
      <c r="G65" s="635">
        <v>270408587.93000001</v>
      </c>
      <c r="H65" s="635">
        <v>256078418.24000001</v>
      </c>
      <c r="I65" s="279">
        <v>94.7</v>
      </c>
      <c r="J65" s="635">
        <v>5307041.0600000024</v>
      </c>
      <c r="K65" s="635">
        <v>12900000</v>
      </c>
      <c r="L65" s="755">
        <v>4.9000000000000004</v>
      </c>
    </row>
    <row r="66" spans="1:12">
      <c r="A66" s="754">
        <v>6</v>
      </c>
      <c r="B66" s="278">
        <v>15</v>
      </c>
      <c r="C66" s="764" t="s">
        <v>233</v>
      </c>
      <c r="D66" s="761">
        <v>144247412.28</v>
      </c>
      <c r="E66" s="635">
        <v>142256581.38</v>
      </c>
      <c r="F66" s="279">
        <v>98.6</v>
      </c>
      <c r="G66" s="635">
        <v>164602101.22</v>
      </c>
      <c r="H66" s="635">
        <v>151888006.66</v>
      </c>
      <c r="I66" s="279">
        <v>92.3</v>
      </c>
      <c r="J66" s="635">
        <v>-9631425.2800000012</v>
      </c>
      <c r="K66" s="635">
        <v>22200000</v>
      </c>
      <c r="L66" s="755">
        <v>15.6</v>
      </c>
    </row>
    <row r="67" spans="1:12">
      <c r="A67" s="754">
        <v>6</v>
      </c>
      <c r="B67" s="278">
        <v>16</v>
      </c>
      <c r="C67" s="764" t="s">
        <v>234</v>
      </c>
      <c r="D67" s="761">
        <v>117593998.69</v>
      </c>
      <c r="E67" s="635">
        <v>116734799.15000001</v>
      </c>
      <c r="F67" s="279">
        <v>99.3</v>
      </c>
      <c r="G67" s="635">
        <v>132190215.59999999</v>
      </c>
      <c r="H67" s="635">
        <v>127840946.39</v>
      </c>
      <c r="I67" s="279">
        <v>96.7</v>
      </c>
      <c r="J67" s="635">
        <v>-11106147.239999995</v>
      </c>
      <c r="K67" s="635">
        <v>34922400</v>
      </c>
      <c r="L67" s="755">
        <v>29.9</v>
      </c>
    </row>
    <row r="68" spans="1:12">
      <c r="A68" s="754">
        <v>6</v>
      </c>
      <c r="B68" s="278">
        <v>17</v>
      </c>
      <c r="C68" s="764" t="s">
        <v>192</v>
      </c>
      <c r="D68" s="761">
        <v>195341445.43000001</v>
      </c>
      <c r="E68" s="635">
        <v>196937645.31999999</v>
      </c>
      <c r="F68" s="279">
        <v>100.8</v>
      </c>
      <c r="G68" s="635">
        <v>202235695.5</v>
      </c>
      <c r="H68" s="635">
        <v>192738357.03</v>
      </c>
      <c r="I68" s="279">
        <v>95.3</v>
      </c>
      <c r="J68" s="635">
        <v>4199288.2899999917</v>
      </c>
      <c r="K68" s="635">
        <v>5124609.53</v>
      </c>
      <c r="L68" s="755">
        <v>2.6</v>
      </c>
    </row>
    <row r="69" spans="1:12">
      <c r="A69" s="754">
        <v>6</v>
      </c>
      <c r="B69" s="278">
        <v>18</v>
      </c>
      <c r="C69" s="764" t="s">
        <v>235</v>
      </c>
      <c r="D69" s="761">
        <v>236187036.22</v>
      </c>
      <c r="E69" s="635">
        <v>236343408.47</v>
      </c>
      <c r="F69" s="279">
        <v>100.1</v>
      </c>
      <c r="G69" s="635">
        <v>238890525.25999999</v>
      </c>
      <c r="H69" s="635">
        <v>228942001.91999999</v>
      </c>
      <c r="I69" s="279">
        <v>95.8</v>
      </c>
      <c r="J69" s="635">
        <v>7401406.5500000119</v>
      </c>
      <c r="K69" s="635">
        <v>46329686.75</v>
      </c>
      <c r="L69" s="755">
        <v>19.600000000000001</v>
      </c>
    </row>
    <row r="70" spans="1:12">
      <c r="A70" s="754">
        <v>6</v>
      </c>
      <c r="B70" s="278">
        <v>19</v>
      </c>
      <c r="C70" s="764" t="s">
        <v>236</v>
      </c>
      <c r="D70" s="761">
        <v>144129238.12</v>
      </c>
      <c r="E70" s="635">
        <v>144548340.88999999</v>
      </c>
      <c r="F70" s="279">
        <v>100.3</v>
      </c>
      <c r="G70" s="635">
        <v>145042485.43000001</v>
      </c>
      <c r="H70" s="635">
        <v>133863478.34999999</v>
      </c>
      <c r="I70" s="279">
        <v>92.3</v>
      </c>
      <c r="J70" s="635">
        <v>10684862.539999992</v>
      </c>
      <c r="K70" s="635">
        <v>14140709.27</v>
      </c>
      <c r="L70" s="755">
        <v>9.8000000000000007</v>
      </c>
    </row>
    <row r="71" spans="1:12">
      <c r="A71" s="754">
        <v>6</v>
      </c>
      <c r="B71" s="278">
        <v>20</v>
      </c>
      <c r="C71" s="764" t="s">
        <v>237</v>
      </c>
      <c r="D71" s="761">
        <v>166877811.62</v>
      </c>
      <c r="E71" s="635">
        <v>167073806.97999999</v>
      </c>
      <c r="F71" s="279">
        <v>100.1</v>
      </c>
      <c r="G71" s="635">
        <v>160265173.84999999</v>
      </c>
      <c r="H71" s="635">
        <v>149950557.63</v>
      </c>
      <c r="I71" s="279">
        <v>93.6</v>
      </c>
      <c r="J71" s="635">
        <v>17123249.349999994</v>
      </c>
      <c r="K71" s="635">
        <v>17717727.329999998</v>
      </c>
      <c r="L71" s="755">
        <v>10.6</v>
      </c>
    </row>
    <row r="72" spans="1:12">
      <c r="A72" s="754">
        <v>8</v>
      </c>
      <c r="B72" s="278">
        <v>1</v>
      </c>
      <c r="C72" s="764" t="s">
        <v>238</v>
      </c>
      <c r="D72" s="761">
        <v>129471132.52</v>
      </c>
      <c r="E72" s="635">
        <v>120641959.27</v>
      </c>
      <c r="F72" s="279">
        <v>93.2</v>
      </c>
      <c r="G72" s="635">
        <v>137205843.52000001</v>
      </c>
      <c r="H72" s="635">
        <v>109529180.84</v>
      </c>
      <c r="I72" s="279">
        <v>79.8</v>
      </c>
      <c r="J72" s="635">
        <v>11112778.429999992</v>
      </c>
      <c r="K72" s="635">
        <v>51576475.649999999</v>
      </c>
      <c r="L72" s="755">
        <v>42.8</v>
      </c>
    </row>
    <row r="73" spans="1:12">
      <c r="A73" s="754">
        <v>8</v>
      </c>
      <c r="B73" s="278">
        <v>2</v>
      </c>
      <c r="C73" s="764" t="s">
        <v>239</v>
      </c>
      <c r="D73" s="761">
        <v>116872642.56999999</v>
      </c>
      <c r="E73" s="635">
        <v>120740338.43000001</v>
      </c>
      <c r="F73" s="279">
        <v>103.3</v>
      </c>
      <c r="G73" s="635">
        <v>123611673.56999999</v>
      </c>
      <c r="H73" s="635">
        <v>119107388.78</v>
      </c>
      <c r="I73" s="279">
        <v>96.4</v>
      </c>
      <c r="J73" s="635">
        <v>1632949.650000006</v>
      </c>
      <c r="K73" s="635">
        <v>12465060</v>
      </c>
      <c r="L73" s="755">
        <v>10.3</v>
      </c>
    </row>
    <row r="74" spans="1:12">
      <c r="A74" s="754">
        <v>8</v>
      </c>
      <c r="B74" s="278">
        <v>3</v>
      </c>
      <c r="C74" s="764" t="s">
        <v>240</v>
      </c>
      <c r="D74" s="761">
        <v>175898589.63999999</v>
      </c>
      <c r="E74" s="635">
        <v>152698656.41999999</v>
      </c>
      <c r="F74" s="279">
        <v>86.8</v>
      </c>
      <c r="G74" s="635">
        <v>197924255.65000001</v>
      </c>
      <c r="H74" s="635">
        <v>163691326.34999999</v>
      </c>
      <c r="I74" s="279">
        <v>82.7</v>
      </c>
      <c r="J74" s="635">
        <v>-10992669.930000007</v>
      </c>
      <c r="K74" s="635">
        <v>40993085.729999997</v>
      </c>
      <c r="L74" s="755">
        <v>26.8</v>
      </c>
    </row>
    <row r="75" spans="1:12">
      <c r="A75" s="754">
        <v>8</v>
      </c>
      <c r="B75" s="278">
        <v>4</v>
      </c>
      <c r="C75" s="764" t="s">
        <v>241</v>
      </c>
      <c r="D75" s="761">
        <v>193389646.84</v>
      </c>
      <c r="E75" s="635">
        <v>191936510.93000001</v>
      </c>
      <c r="F75" s="279">
        <v>99.2</v>
      </c>
      <c r="G75" s="635">
        <v>198350460.22</v>
      </c>
      <c r="H75" s="635">
        <v>183284253.05000001</v>
      </c>
      <c r="I75" s="279">
        <v>92.4</v>
      </c>
      <c r="J75" s="635">
        <v>8652257.8799999952</v>
      </c>
      <c r="K75" s="635">
        <v>34790000</v>
      </c>
      <c r="L75" s="755">
        <v>18.100000000000001</v>
      </c>
    </row>
    <row r="76" spans="1:12">
      <c r="A76" s="754">
        <v>8</v>
      </c>
      <c r="B76" s="278">
        <v>5</v>
      </c>
      <c r="C76" s="764" t="s">
        <v>242</v>
      </c>
      <c r="D76" s="761">
        <v>105781069.2</v>
      </c>
      <c r="E76" s="635">
        <v>102235714.73999999</v>
      </c>
      <c r="F76" s="279">
        <v>96.6</v>
      </c>
      <c r="G76" s="635">
        <v>105137069.19</v>
      </c>
      <c r="H76" s="635">
        <v>95152520.819999993</v>
      </c>
      <c r="I76" s="279">
        <v>90.5</v>
      </c>
      <c r="J76" s="635">
        <v>7083193.9200000018</v>
      </c>
      <c r="K76" s="635">
        <v>14566724</v>
      </c>
      <c r="L76" s="755">
        <v>14.2</v>
      </c>
    </row>
    <row r="77" spans="1:12">
      <c r="A77" s="754">
        <v>8</v>
      </c>
      <c r="B77" s="278">
        <v>6</v>
      </c>
      <c r="C77" s="764" t="s">
        <v>243</v>
      </c>
      <c r="D77" s="761">
        <v>107204963.04000001</v>
      </c>
      <c r="E77" s="635">
        <v>106194525.17</v>
      </c>
      <c r="F77" s="279">
        <v>99.1</v>
      </c>
      <c r="G77" s="635">
        <v>109922126.44</v>
      </c>
      <c r="H77" s="635">
        <v>101697743.02</v>
      </c>
      <c r="I77" s="279">
        <v>92.5</v>
      </c>
      <c r="J77" s="635">
        <v>4496782.150000006</v>
      </c>
      <c r="K77" s="635">
        <v>0</v>
      </c>
      <c r="L77" s="755">
        <v>0</v>
      </c>
    </row>
    <row r="78" spans="1:12">
      <c r="A78" s="754">
        <v>8</v>
      </c>
      <c r="B78" s="278">
        <v>7</v>
      </c>
      <c r="C78" s="764" t="s">
        <v>244</v>
      </c>
      <c r="D78" s="761">
        <v>97439564.040000007</v>
      </c>
      <c r="E78" s="635">
        <v>98644796.650000006</v>
      </c>
      <c r="F78" s="279">
        <v>101.2</v>
      </c>
      <c r="G78" s="635">
        <v>101389410.8</v>
      </c>
      <c r="H78" s="635">
        <v>96312540.420000002</v>
      </c>
      <c r="I78" s="279">
        <v>95</v>
      </c>
      <c r="J78" s="635">
        <v>2332256.2300000042</v>
      </c>
      <c r="K78" s="635">
        <v>5266000</v>
      </c>
      <c r="L78" s="755">
        <v>5.3</v>
      </c>
    </row>
    <row r="79" spans="1:12">
      <c r="A79" s="754">
        <v>8</v>
      </c>
      <c r="B79" s="278">
        <v>8</v>
      </c>
      <c r="C79" s="764" t="s">
        <v>245</v>
      </c>
      <c r="D79" s="761">
        <v>154961303.66999999</v>
      </c>
      <c r="E79" s="635">
        <v>155368726.25999999</v>
      </c>
      <c r="F79" s="279">
        <v>100.3</v>
      </c>
      <c r="G79" s="635">
        <v>165484043.81999999</v>
      </c>
      <c r="H79" s="635">
        <v>154021024.44999999</v>
      </c>
      <c r="I79" s="279">
        <v>93.1</v>
      </c>
      <c r="J79" s="635">
        <v>1347701.8100000024</v>
      </c>
      <c r="K79" s="635">
        <v>27000048.949999999</v>
      </c>
      <c r="L79" s="755">
        <v>17.399999999999999</v>
      </c>
    </row>
    <row r="80" spans="1:12">
      <c r="A80" s="754">
        <v>8</v>
      </c>
      <c r="B80" s="278">
        <v>9</v>
      </c>
      <c r="C80" s="764" t="s">
        <v>246</v>
      </c>
      <c r="D80" s="761">
        <v>155233238.53999999</v>
      </c>
      <c r="E80" s="635">
        <v>152731053.50999999</v>
      </c>
      <c r="F80" s="279">
        <v>98.4</v>
      </c>
      <c r="G80" s="635">
        <v>162606209.49000001</v>
      </c>
      <c r="H80" s="635">
        <v>152416661.47999999</v>
      </c>
      <c r="I80" s="279">
        <v>93.7</v>
      </c>
      <c r="J80" s="635">
        <v>314392.03000000119</v>
      </c>
      <c r="K80" s="635">
        <v>7555659</v>
      </c>
      <c r="L80" s="755">
        <v>4.9000000000000004</v>
      </c>
    </row>
    <row r="81" spans="1:12">
      <c r="A81" s="754">
        <v>8</v>
      </c>
      <c r="B81" s="278">
        <v>10</v>
      </c>
      <c r="C81" s="764" t="s">
        <v>247</v>
      </c>
      <c r="D81" s="761">
        <v>150524267.56999999</v>
      </c>
      <c r="E81" s="635">
        <v>150365025.5</v>
      </c>
      <c r="F81" s="279">
        <v>99.9</v>
      </c>
      <c r="G81" s="635">
        <v>157343721.88999999</v>
      </c>
      <c r="H81" s="635">
        <v>150261132.56</v>
      </c>
      <c r="I81" s="279">
        <v>95.5</v>
      </c>
      <c r="J81" s="635">
        <v>103892.93999999762</v>
      </c>
      <c r="K81" s="635">
        <v>21640000</v>
      </c>
      <c r="L81" s="755">
        <v>14.4</v>
      </c>
    </row>
    <row r="82" spans="1:12">
      <c r="A82" s="754">
        <v>8</v>
      </c>
      <c r="B82" s="278">
        <v>11</v>
      </c>
      <c r="C82" s="764" t="s">
        <v>248</v>
      </c>
      <c r="D82" s="761">
        <v>214347766.13999999</v>
      </c>
      <c r="E82" s="635">
        <v>224606121.90000001</v>
      </c>
      <c r="F82" s="279">
        <v>104.8</v>
      </c>
      <c r="G82" s="635">
        <v>233866957.16</v>
      </c>
      <c r="H82" s="635">
        <v>220447989.06999999</v>
      </c>
      <c r="I82" s="279">
        <v>94.3</v>
      </c>
      <c r="J82" s="635">
        <v>4158132.8300000131</v>
      </c>
      <c r="K82" s="635">
        <v>12000000</v>
      </c>
      <c r="L82" s="755">
        <v>5.3</v>
      </c>
    </row>
    <row r="83" spans="1:12">
      <c r="A83" s="754">
        <v>8</v>
      </c>
      <c r="B83" s="278">
        <v>12</v>
      </c>
      <c r="C83" s="764" t="s">
        <v>249</v>
      </c>
      <c r="D83" s="761">
        <v>105996767.98</v>
      </c>
      <c r="E83" s="635">
        <v>106062129.36</v>
      </c>
      <c r="F83" s="279">
        <v>100.1</v>
      </c>
      <c r="G83" s="635">
        <v>114551631.7</v>
      </c>
      <c r="H83" s="635">
        <v>107103486.78</v>
      </c>
      <c r="I83" s="279">
        <v>93.5</v>
      </c>
      <c r="J83" s="635">
        <v>-1041357.4200000018</v>
      </c>
      <c r="K83" s="635">
        <v>20950000</v>
      </c>
      <c r="L83" s="755">
        <v>19.8</v>
      </c>
    </row>
    <row r="84" spans="1:12">
      <c r="A84" s="754">
        <v>10</v>
      </c>
      <c r="B84" s="278">
        <v>1</v>
      </c>
      <c r="C84" s="764" t="s">
        <v>250</v>
      </c>
      <c r="D84" s="761">
        <v>250431512</v>
      </c>
      <c r="E84" s="635">
        <v>249705572</v>
      </c>
      <c r="F84" s="279">
        <v>99.7</v>
      </c>
      <c r="G84" s="635">
        <v>255279131</v>
      </c>
      <c r="H84" s="635">
        <v>240300305.18000001</v>
      </c>
      <c r="I84" s="279">
        <v>94.1</v>
      </c>
      <c r="J84" s="635">
        <v>9405266.8199999928</v>
      </c>
      <c r="K84" s="635">
        <v>34602706.020000003</v>
      </c>
      <c r="L84" s="755">
        <v>13.9</v>
      </c>
    </row>
    <row r="85" spans="1:12">
      <c r="A85" s="754">
        <v>10</v>
      </c>
      <c r="B85" s="278">
        <v>2</v>
      </c>
      <c r="C85" s="764" t="s">
        <v>251</v>
      </c>
      <c r="D85" s="761">
        <v>268577998.5</v>
      </c>
      <c r="E85" s="635">
        <v>258095697.56999999</v>
      </c>
      <c r="F85" s="279">
        <v>96.1</v>
      </c>
      <c r="G85" s="635">
        <v>304983581.61000001</v>
      </c>
      <c r="H85" s="635">
        <v>255918599.44999999</v>
      </c>
      <c r="I85" s="279">
        <v>83.9</v>
      </c>
      <c r="J85" s="635">
        <v>2177098.1200000048</v>
      </c>
      <c r="K85" s="635">
        <v>37218774.549999997</v>
      </c>
      <c r="L85" s="755">
        <v>14.4</v>
      </c>
    </row>
    <row r="86" spans="1:12">
      <c r="A86" s="754">
        <v>10</v>
      </c>
      <c r="B86" s="278">
        <v>3</v>
      </c>
      <c r="C86" s="764" t="s">
        <v>252</v>
      </c>
      <c r="D86" s="761">
        <v>95703416</v>
      </c>
      <c r="E86" s="635">
        <v>98963260.459999993</v>
      </c>
      <c r="F86" s="279">
        <v>103.4</v>
      </c>
      <c r="G86" s="635">
        <v>97601265.260000005</v>
      </c>
      <c r="H86" s="635">
        <v>87936447.299999997</v>
      </c>
      <c r="I86" s="279">
        <v>90.1</v>
      </c>
      <c r="J86" s="635">
        <v>11026813.159999996</v>
      </c>
      <c r="K86" s="635">
        <v>10753740.640000001</v>
      </c>
      <c r="L86" s="755">
        <v>10.9</v>
      </c>
    </row>
    <row r="87" spans="1:12">
      <c r="A87" s="754">
        <v>10</v>
      </c>
      <c r="B87" s="278">
        <v>4</v>
      </c>
      <c r="C87" s="764" t="s">
        <v>253</v>
      </c>
      <c r="D87" s="761">
        <v>131835785.34</v>
      </c>
      <c r="E87" s="635">
        <v>129615192.23</v>
      </c>
      <c r="F87" s="279">
        <v>98.3</v>
      </c>
      <c r="G87" s="635">
        <v>131890762.39</v>
      </c>
      <c r="H87" s="635">
        <v>123599459.27</v>
      </c>
      <c r="I87" s="279">
        <v>93.7</v>
      </c>
      <c r="J87" s="635">
        <v>6015732.9600000083</v>
      </c>
      <c r="K87" s="635">
        <v>260925</v>
      </c>
      <c r="L87" s="755">
        <v>0.2</v>
      </c>
    </row>
    <row r="88" spans="1:12">
      <c r="A88" s="754">
        <v>10</v>
      </c>
      <c r="B88" s="278">
        <v>5</v>
      </c>
      <c r="C88" s="764" t="s">
        <v>254</v>
      </c>
      <c r="D88" s="761">
        <v>185028244.37</v>
      </c>
      <c r="E88" s="635">
        <v>171111619.66999999</v>
      </c>
      <c r="F88" s="279">
        <v>92.5</v>
      </c>
      <c r="G88" s="635">
        <v>201624747.53</v>
      </c>
      <c r="H88" s="635">
        <v>177671772.49000001</v>
      </c>
      <c r="I88" s="279">
        <v>88.1</v>
      </c>
      <c r="J88" s="635">
        <v>-6560152.8200000226</v>
      </c>
      <c r="K88" s="635">
        <v>41076565</v>
      </c>
      <c r="L88" s="755">
        <v>24</v>
      </c>
    </row>
    <row r="89" spans="1:12">
      <c r="A89" s="754">
        <v>10</v>
      </c>
      <c r="B89" s="278">
        <v>6</v>
      </c>
      <c r="C89" s="764" t="s">
        <v>255</v>
      </c>
      <c r="D89" s="761">
        <v>161995027.33000001</v>
      </c>
      <c r="E89" s="635">
        <v>158636688.12</v>
      </c>
      <c r="F89" s="279">
        <v>97.9</v>
      </c>
      <c r="G89" s="635">
        <v>152994759.31999999</v>
      </c>
      <c r="H89" s="635">
        <v>137616376.16</v>
      </c>
      <c r="I89" s="279">
        <v>89.9</v>
      </c>
      <c r="J89" s="635">
        <v>21020311.960000008</v>
      </c>
      <c r="K89" s="635">
        <v>0</v>
      </c>
      <c r="L89" s="755">
        <v>0</v>
      </c>
    </row>
    <row r="90" spans="1:12">
      <c r="A90" s="754">
        <v>10</v>
      </c>
      <c r="B90" s="278">
        <v>7</v>
      </c>
      <c r="C90" s="764" t="s">
        <v>256</v>
      </c>
      <c r="D90" s="761">
        <v>176309193.00999999</v>
      </c>
      <c r="E90" s="635">
        <v>175251482.19</v>
      </c>
      <c r="F90" s="279">
        <v>99.4</v>
      </c>
      <c r="G90" s="635">
        <v>195881607.93000001</v>
      </c>
      <c r="H90" s="635">
        <v>172945389.06999999</v>
      </c>
      <c r="I90" s="279">
        <v>88.3</v>
      </c>
      <c r="J90" s="635">
        <v>2306093.1200000048</v>
      </c>
      <c r="K90" s="635">
        <v>15626269.65</v>
      </c>
      <c r="L90" s="755">
        <v>8.9</v>
      </c>
    </row>
    <row r="91" spans="1:12">
      <c r="A91" s="754">
        <v>10</v>
      </c>
      <c r="B91" s="278">
        <v>8</v>
      </c>
      <c r="C91" s="764" t="s">
        <v>257</v>
      </c>
      <c r="D91" s="761">
        <v>227864452.97999999</v>
      </c>
      <c r="E91" s="635">
        <v>225200652</v>
      </c>
      <c r="F91" s="279">
        <v>98.8</v>
      </c>
      <c r="G91" s="635">
        <v>236685507.28</v>
      </c>
      <c r="H91" s="635">
        <v>221246277.31</v>
      </c>
      <c r="I91" s="279">
        <v>93.5</v>
      </c>
      <c r="J91" s="635">
        <v>3954374.6899999976</v>
      </c>
      <c r="K91" s="635">
        <v>6086626</v>
      </c>
      <c r="L91" s="755">
        <v>2.7</v>
      </c>
    </row>
    <row r="92" spans="1:12">
      <c r="A92" s="754">
        <v>10</v>
      </c>
      <c r="B92" s="278">
        <v>9</v>
      </c>
      <c r="C92" s="764" t="s">
        <v>258</v>
      </c>
      <c r="D92" s="761">
        <v>95693065.060000002</v>
      </c>
      <c r="E92" s="635">
        <v>97501878.670000002</v>
      </c>
      <c r="F92" s="279">
        <v>101.9</v>
      </c>
      <c r="G92" s="635">
        <v>98087084.019999996</v>
      </c>
      <c r="H92" s="635">
        <v>89727199.060000002</v>
      </c>
      <c r="I92" s="279">
        <v>91.5</v>
      </c>
      <c r="J92" s="635">
        <v>7774679.6099999994</v>
      </c>
      <c r="K92" s="635">
        <v>4239000</v>
      </c>
      <c r="L92" s="755">
        <v>4.3</v>
      </c>
    </row>
    <row r="93" spans="1:12">
      <c r="A93" s="754">
        <v>10</v>
      </c>
      <c r="B93" s="278">
        <v>10</v>
      </c>
      <c r="C93" s="764" t="s">
        <v>259</v>
      </c>
      <c r="D93" s="761">
        <v>128596900.48999999</v>
      </c>
      <c r="E93" s="635">
        <v>125407698.95999999</v>
      </c>
      <c r="F93" s="279">
        <v>97.5</v>
      </c>
      <c r="G93" s="635">
        <v>141937610.27000001</v>
      </c>
      <c r="H93" s="635">
        <v>121291317.23</v>
      </c>
      <c r="I93" s="279">
        <v>85.5</v>
      </c>
      <c r="J93" s="635">
        <v>4116381.7299999893</v>
      </c>
      <c r="K93" s="635">
        <v>56881728.149999999</v>
      </c>
      <c r="L93" s="755">
        <v>45.4</v>
      </c>
    </row>
    <row r="94" spans="1:12">
      <c r="A94" s="754">
        <v>10</v>
      </c>
      <c r="B94" s="278">
        <v>11</v>
      </c>
      <c r="C94" s="764" t="s">
        <v>260</v>
      </c>
      <c r="D94" s="761">
        <v>102492092.42</v>
      </c>
      <c r="E94" s="635">
        <v>102663048.26000001</v>
      </c>
      <c r="F94" s="279">
        <v>100.2</v>
      </c>
      <c r="G94" s="635">
        <v>106388849.04000001</v>
      </c>
      <c r="H94" s="635">
        <v>96992776.659999996</v>
      </c>
      <c r="I94" s="279">
        <v>91.2</v>
      </c>
      <c r="J94" s="635">
        <v>5670271.6000000089</v>
      </c>
      <c r="K94" s="635">
        <v>11968466.17</v>
      </c>
      <c r="L94" s="755">
        <v>11.7</v>
      </c>
    </row>
    <row r="95" spans="1:12">
      <c r="A95" s="754">
        <v>10</v>
      </c>
      <c r="B95" s="278">
        <v>12</v>
      </c>
      <c r="C95" s="764" t="s">
        <v>261</v>
      </c>
      <c r="D95" s="761">
        <v>230084584.53</v>
      </c>
      <c r="E95" s="635">
        <v>229215442.36000001</v>
      </c>
      <c r="F95" s="279">
        <v>99.6</v>
      </c>
      <c r="G95" s="635">
        <v>245872573.56999999</v>
      </c>
      <c r="H95" s="635">
        <v>224694208.5</v>
      </c>
      <c r="I95" s="279">
        <v>91.4</v>
      </c>
      <c r="J95" s="635">
        <v>4521233.8600000143</v>
      </c>
      <c r="K95" s="635">
        <v>2000000</v>
      </c>
      <c r="L95" s="755">
        <v>0.9</v>
      </c>
    </row>
    <row r="96" spans="1:12">
      <c r="A96" s="754">
        <v>10</v>
      </c>
      <c r="B96" s="278">
        <v>13</v>
      </c>
      <c r="C96" s="764" t="s">
        <v>262</v>
      </c>
      <c r="D96" s="761">
        <v>124216708.65000001</v>
      </c>
      <c r="E96" s="635">
        <v>119549821.77</v>
      </c>
      <c r="F96" s="279">
        <v>96.2</v>
      </c>
      <c r="G96" s="635">
        <v>133704938.5</v>
      </c>
      <c r="H96" s="635">
        <v>126009613.27</v>
      </c>
      <c r="I96" s="279">
        <v>94.2</v>
      </c>
      <c r="J96" s="635">
        <v>-6459791.5</v>
      </c>
      <c r="K96" s="635">
        <v>49754165.079999998</v>
      </c>
      <c r="L96" s="755">
        <v>41.6</v>
      </c>
    </row>
    <row r="97" spans="1:12">
      <c r="A97" s="754">
        <v>10</v>
      </c>
      <c r="B97" s="278">
        <v>14</v>
      </c>
      <c r="C97" s="764" t="s">
        <v>263</v>
      </c>
      <c r="D97" s="761">
        <v>300160387.12</v>
      </c>
      <c r="E97" s="635">
        <v>294855210.04000002</v>
      </c>
      <c r="F97" s="279">
        <v>98.2</v>
      </c>
      <c r="G97" s="635">
        <v>305028691.75999999</v>
      </c>
      <c r="H97" s="635">
        <v>283017304.22000003</v>
      </c>
      <c r="I97" s="279">
        <v>92.8</v>
      </c>
      <c r="J97" s="635">
        <v>11837905.819999993</v>
      </c>
      <c r="K97" s="635">
        <v>27730494.920000002</v>
      </c>
      <c r="L97" s="755">
        <v>9.4</v>
      </c>
    </row>
    <row r="98" spans="1:12">
      <c r="A98" s="754">
        <v>10</v>
      </c>
      <c r="B98" s="278">
        <v>15</v>
      </c>
      <c r="C98" s="764" t="s">
        <v>264</v>
      </c>
      <c r="D98" s="761">
        <v>55031837.109999999</v>
      </c>
      <c r="E98" s="635">
        <v>55432584.210000001</v>
      </c>
      <c r="F98" s="279">
        <v>100.7</v>
      </c>
      <c r="G98" s="635">
        <v>64270841.390000001</v>
      </c>
      <c r="H98" s="635">
        <v>59759286.609999999</v>
      </c>
      <c r="I98" s="279">
        <v>93</v>
      </c>
      <c r="J98" s="635">
        <v>-4326702.3999999985</v>
      </c>
      <c r="K98" s="635">
        <v>7614350.0199999996</v>
      </c>
      <c r="L98" s="755">
        <v>13.7</v>
      </c>
    </row>
    <row r="99" spans="1:12">
      <c r="A99" s="754">
        <v>10</v>
      </c>
      <c r="B99" s="278">
        <v>16</v>
      </c>
      <c r="C99" s="764" t="s">
        <v>235</v>
      </c>
      <c r="D99" s="761">
        <v>267288401</v>
      </c>
      <c r="E99" s="635">
        <v>267203937.38999999</v>
      </c>
      <c r="F99" s="279">
        <v>100</v>
      </c>
      <c r="G99" s="635">
        <v>268948715.74000001</v>
      </c>
      <c r="H99" s="635">
        <v>258026126.75999999</v>
      </c>
      <c r="I99" s="279">
        <v>95.9</v>
      </c>
      <c r="J99" s="635">
        <v>9177810.6299999952</v>
      </c>
      <c r="K99" s="635">
        <v>63281745.109999999</v>
      </c>
      <c r="L99" s="755">
        <v>23.7</v>
      </c>
    </row>
    <row r="100" spans="1:12">
      <c r="A100" s="754">
        <v>10</v>
      </c>
      <c r="B100" s="278">
        <v>17</v>
      </c>
      <c r="C100" s="764" t="s">
        <v>265</v>
      </c>
      <c r="D100" s="761">
        <v>226010091.74000001</v>
      </c>
      <c r="E100" s="635">
        <v>220258514.38999999</v>
      </c>
      <c r="F100" s="279">
        <v>97.5</v>
      </c>
      <c r="G100" s="635">
        <v>237858242.28999999</v>
      </c>
      <c r="H100" s="635">
        <v>224633583.93000001</v>
      </c>
      <c r="I100" s="279">
        <v>94.4</v>
      </c>
      <c r="J100" s="635">
        <v>-4375069.5400000215</v>
      </c>
      <c r="K100" s="635">
        <v>17635438.149999999</v>
      </c>
      <c r="L100" s="755">
        <v>8</v>
      </c>
    </row>
    <row r="101" spans="1:12">
      <c r="A101" s="754">
        <v>10</v>
      </c>
      <c r="B101" s="278">
        <v>18</v>
      </c>
      <c r="C101" s="764" t="s">
        <v>266</v>
      </c>
      <c r="D101" s="761">
        <v>100052077.08</v>
      </c>
      <c r="E101" s="635">
        <v>99780762.799999997</v>
      </c>
      <c r="F101" s="279">
        <v>99.7</v>
      </c>
      <c r="G101" s="635">
        <v>99299225.700000003</v>
      </c>
      <c r="H101" s="635">
        <v>93833208.650000006</v>
      </c>
      <c r="I101" s="279">
        <v>94.5</v>
      </c>
      <c r="J101" s="635">
        <v>5947554.1499999911</v>
      </c>
      <c r="K101" s="635">
        <v>2267151</v>
      </c>
      <c r="L101" s="755">
        <v>2.2999999999999998</v>
      </c>
    </row>
    <row r="102" spans="1:12">
      <c r="A102" s="754">
        <v>10</v>
      </c>
      <c r="B102" s="278">
        <v>19</v>
      </c>
      <c r="C102" s="764" t="s">
        <v>267</v>
      </c>
      <c r="D102" s="761">
        <v>196390896.56999999</v>
      </c>
      <c r="E102" s="635">
        <v>194230548.09</v>
      </c>
      <c r="F102" s="279">
        <v>98.9</v>
      </c>
      <c r="G102" s="635">
        <v>198100895.56999999</v>
      </c>
      <c r="H102" s="635">
        <v>187896376.38</v>
      </c>
      <c r="I102" s="279">
        <v>94.8</v>
      </c>
      <c r="J102" s="635">
        <v>6334171.7100000083</v>
      </c>
      <c r="K102" s="635">
        <v>55688991.5</v>
      </c>
      <c r="L102" s="755">
        <v>28.7</v>
      </c>
    </row>
    <row r="103" spans="1:12">
      <c r="A103" s="754">
        <v>10</v>
      </c>
      <c r="B103" s="278">
        <v>20</v>
      </c>
      <c r="C103" s="764" t="s">
        <v>268</v>
      </c>
      <c r="D103" s="761">
        <v>307342395.42000002</v>
      </c>
      <c r="E103" s="635">
        <v>305720015.54000002</v>
      </c>
      <c r="F103" s="279">
        <v>99.5</v>
      </c>
      <c r="G103" s="635">
        <v>318118072.00999999</v>
      </c>
      <c r="H103" s="635">
        <v>300428143.11000001</v>
      </c>
      <c r="I103" s="279">
        <v>94.4</v>
      </c>
      <c r="J103" s="635">
        <v>5291872.4300000072</v>
      </c>
      <c r="K103" s="635">
        <v>14053476.99</v>
      </c>
      <c r="L103" s="755">
        <v>4.5999999999999996</v>
      </c>
    </row>
    <row r="104" spans="1:12">
      <c r="A104" s="754">
        <v>10</v>
      </c>
      <c r="B104" s="278">
        <v>21</v>
      </c>
      <c r="C104" s="764" t="s">
        <v>269</v>
      </c>
      <c r="D104" s="761">
        <v>85367181.400000006</v>
      </c>
      <c r="E104" s="635">
        <v>84090202.340000004</v>
      </c>
      <c r="F104" s="279">
        <v>98.5</v>
      </c>
      <c r="G104" s="635">
        <v>91301445.219999999</v>
      </c>
      <c r="H104" s="635">
        <v>85998270.760000005</v>
      </c>
      <c r="I104" s="279">
        <v>94.2</v>
      </c>
      <c r="J104" s="635">
        <v>-1908068.4200000018</v>
      </c>
      <c r="K104" s="635">
        <v>27324567.16</v>
      </c>
      <c r="L104" s="755">
        <v>32.5</v>
      </c>
    </row>
    <row r="105" spans="1:12">
      <c r="A105" s="754">
        <v>12</v>
      </c>
      <c r="B105" s="278">
        <v>1</v>
      </c>
      <c r="C105" s="764" t="s">
        <v>270</v>
      </c>
      <c r="D105" s="761">
        <v>238703402.83000001</v>
      </c>
      <c r="E105" s="635">
        <v>239652980.91999999</v>
      </c>
      <c r="F105" s="279">
        <v>100.4</v>
      </c>
      <c r="G105" s="635">
        <v>248477611.94999999</v>
      </c>
      <c r="H105" s="635">
        <v>244286797.75999999</v>
      </c>
      <c r="I105" s="279">
        <v>98.3</v>
      </c>
      <c r="J105" s="635">
        <v>-4633816.8400000036</v>
      </c>
      <c r="K105" s="635">
        <v>83939399.019999996</v>
      </c>
      <c r="L105" s="755">
        <v>35</v>
      </c>
    </row>
    <row r="106" spans="1:12">
      <c r="A106" s="754">
        <v>12</v>
      </c>
      <c r="B106" s="278">
        <v>2</v>
      </c>
      <c r="C106" s="764" t="s">
        <v>271</v>
      </c>
      <c r="D106" s="761">
        <v>215740460.40000001</v>
      </c>
      <c r="E106" s="635">
        <v>200854914.33000001</v>
      </c>
      <c r="F106" s="279">
        <v>93.1</v>
      </c>
      <c r="G106" s="635">
        <v>240180030.63999999</v>
      </c>
      <c r="H106" s="635">
        <v>207247837.03</v>
      </c>
      <c r="I106" s="279">
        <v>86.3</v>
      </c>
      <c r="J106" s="635">
        <v>-6392922.6999999881</v>
      </c>
      <c r="K106" s="635">
        <v>60438600</v>
      </c>
      <c r="L106" s="755">
        <v>30.1</v>
      </c>
    </row>
    <row r="107" spans="1:12">
      <c r="A107" s="754">
        <v>12</v>
      </c>
      <c r="B107" s="278">
        <v>3</v>
      </c>
      <c r="C107" s="764" t="s">
        <v>272</v>
      </c>
      <c r="D107" s="761">
        <v>256319549.56</v>
      </c>
      <c r="E107" s="635">
        <v>257820480.19999999</v>
      </c>
      <c r="F107" s="279">
        <v>100.6</v>
      </c>
      <c r="G107" s="635">
        <v>266255926.44</v>
      </c>
      <c r="H107" s="635">
        <v>255547511.34</v>
      </c>
      <c r="I107" s="279">
        <v>96</v>
      </c>
      <c r="J107" s="635">
        <v>2272968.8599999845</v>
      </c>
      <c r="K107" s="635">
        <v>35770000</v>
      </c>
      <c r="L107" s="755">
        <v>13.9</v>
      </c>
    </row>
    <row r="108" spans="1:12">
      <c r="A108" s="754">
        <v>12</v>
      </c>
      <c r="B108" s="278">
        <v>4</v>
      </c>
      <c r="C108" s="764" t="s">
        <v>273</v>
      </c>
      <c r="D108" s="761">
        <v>109980333.89</v>
      </c>
      <c r="E108" s="635">
        <v>111294895.34</v>
      </c>
      <c r="F108" s="279">
        <v>101.2</v>
      </c>
      <c r="G108" s="635">
        <v>108327447.89</v>
      </c>
      <c r="H108" s="635">
        <v>99271308.659999996</v>
      </c>
      <c r="I108" s="279">
        <v>91.6</v>
      </c>
      <c r="J108" s="635">
        <v>12023586.680000007</v>
      </c>
      <c r="K108" s="635">
        <v>2442816</v>
      </c>
      <c r="L108" s="755">
        <v>2.2000000000000002</v>
      </c>
    </row>
    <row r="109" spans="1:12">
      <c r="A109" s="754">
        <v>12</v>
      </c>
      <c r="B109" s="278">
        <v>5</v>
      </c>
      <c r="C109" s="764" t="s">
        <v>274</v>
      </c>
      <c r="D109" s="761">
        <v>275020463</v>
      </c>
      <c r="E109" s="635">
        <v>278661233.72000003</v>
      </c>
      <c r="F109" s="279">
        <v>101.3</v>
      </c>
      <c r="G109" s="635">
        <v>288040257</v>
      </c>
      <c r="H109" s="635">
        <v>282635167.42000002</v>
      </c>
      <c r="I109" s="279">
        <v>98.1</v>
      </c>
      <c r="J109" s="635">
        <v>-3973933.6999999881</v>
      </c>
      <c r="K109" s="635">
        <v>28597277</v>
      </c>
      <c r="L109" s="755">
        <v>10.3</v>
      </c>
    </row>
    <row r="110" spans="1:12">
      <c r="A110" s="754">
        <v>12</v>
      </c>
      <c r="B110" s="278">
        <v>6</v>
      </c>
      <c r="C110" s="764" t="s">
        <v>275</v>
      </c>
      <c r="D110" s="761">
        <v>514567579</v>
      </c>
      <c r="E110" s="635">
        <v>512456672.36000001</v>
      </c>
      <c r="F110" s="279">
        <v>99.6</v>
      </c>
      <c r="G110" s="635">
        <v>533454622</v>
      </c>
      <c r="H110" s="635">
        <v>515479696.05000001</v>
      </c>
      <c r="I110" s="279">
        <v>96.6</v>
      </c>
      <c r="J110" s="635">
        <v>-3023023.6899999976</v>
      </c>
      <c r="K110" s="635">
        <v>1800000</v>
      </c>
      <c r="L110" s="755">
        <v>0.4</v>
      </c>
    </row>
    <row r="111" spans="1:12">
      <c r="A111" s="754">
        <v>12</v>
      </c>
      <c r="B111" s="278">
        <v>7</v>
      </c>
      <c r="C111" s="764" t="s">
        <v>276</v>
      </c>
      <c r="D111" s="761">
        <v>284887750.31999999</v>
      </c>
      <c r="E111" s="635">
        <v>283485161.19999999</v>
      </c>
      <c r="F111" s="279">
        <v>99.5</v>
      </c>
      <c r="G111" s="635">
        <v>283381172.52999997</v>
      </c>
      <c r="H111" s="635">
        <v>267287314.31999999</v>
      </c>
      <c r="I111" s="279">
        <v>94.3</v>
      </c>
      <c r="J111" s="635">
        <v>16197846.879999995</v>
      </c>
      <c r="K111" s="635">
        <v>47369023.259999998</v>
      </c>
      <c r="L111" s="755">
        <v>16.7</v>
      </c>
    </row>
    <row r="112" spans="1:12">
      <c r="A112" s="754">
        <v>12</v>
      </c>
      <c r="B112" s="278">
        <v>8</v>
      </c>
      <c r="C112" s="764" t="s">
        <v>277</v>
      </c>
      <c r="D112" s="761">
        <v>187490339.56</v>
      </c>
      <c r="E112" s="635">
        <v>188575088.90000001</v>
      </c>
      <c r="F112" s="279">
        <v>100.6</v>
      </c>
      <c r="G112" s="635">
        <v>201644248.77000001</v>
      </c>
      <c r="H112" s="635">
        <v>194436202.44999999</v>
      </c>
      <c r="I112" s="279">
        <v>96.4</v>
      </c>
      <c r="J112" s="635">
        <v>-5861113.5499999821</v>
      </c>
      <c r="K112" s="635">
        <v>55565643.93</v>
      </c>
      <c r="L112" s="755">
        <v>29.5</v>
      </c>
    </row>
    <row r="113" spans="1:12">
      <c r="A113" s="754">
        <v>12</v>
      </c>
      <c r="B113" s="278">
        <v>9</v>
      </c>
      <c r="C113" s="764" t="s">
        <v>278</v>
      </c>
      <c r="D113" s="761">
        <v>265679309.81999999</v>
      </c>
      <c r="E113" s="635">
        <v>267758472.72999999</v>
      </c>
      <c r="F113" s="279">
        <v>100.8</v>
      </c>
      <c r="G113" s="635">
        <v>268176313.47</v>
      </c>
      <c r="H113" s="635">
        <v>255768115.41999999</v>
      </c>
      <c r="I113" s="279">
        <v>95.4</v>
      </c>
      <c r="J113" s="635">
        <v>11990357.310000002</v>
      </c>
      <c r="K113" s="635">
        <v>18606650.460000001</v>
      </c>
      <c r="L113" s="755">
        <v>6.9</v>
      </c>
    </row>
    <row r="114" spans="1:12">
      <c r="A114" s="754">
        <v>12</v>
      </c>
      <c r="B114" s="278">
        <v>10</v>
      </c>
      <c r="C114" s="764" t="s">
        <v>279</v>
      </c>
      <c r="D114" s="761">
        <v>339536792.81999999</v>
      </c>
      <c r="E114" s="635">
        <v>346137625.30000001</v>
      </c>
      <c r="F114" s="279">
        <v>101.9</v>
      </c>
      <c r="G114" s="635">
        <v>343948643.61000001</v>
      </c>
      <c r="H114" s="635">
        <v>327424018.5</v>
      </c>
      <c r="I114" s="279">
        <v>95.2</v>
      </c>
      <c r="J114" s="635">
        <v>18713606.800000012</v>
      </c>
      <c r="K114" s="635">
        <v>64590000</v>
      </c>
      <c r="L114" s="755">
        <v>18.7</v>
      </c>
    </row>
    <row r="115" spans="1:12">
      <c r="A115" s="754">
        <v>12</v>
      </c>
      <c r="B115" s="278">
        <v>11</v>
      </c>
      <c r="C115" s="764" t="s">
        <v>280</v>
      </c>
      <c r="D115" s="761">
        <v>427723175.82999998</v>
      </c>
      <c r="E115" s="635">
        <v>432593522.95999998</v>
      </c>
      <c r="F115" s="279">
        <v>101.1</v>
      </c>
      <c r="G115" s="635">
        <v>432435497.63</v>
      </c>
      <c r="H115" s="635">
        <v>408213388.91000003</v>
      </c>
      <c r="I115" s="279">
        <v>94.4</v>
      </c>
      <c r="J115" s="635">
        <v>24380134.049999952</v>
      </c>
      <c r="K115" s="635">
        <v>8400158.5999999996</v>
      </c>
      <c r="L115" s="755">
        <v>1.9</v>
      </c>
    </row>
    <row r="116" spans="1:12">
      <c r="A116" s="754">
        <v>12</v>
      </c>
      <c r="B116" s="278">
        <v>12</v>
      </c>
      <c r="C116" s="764" t="s">
        <v>281</v>
      </c>
      <c r="D116" s="761">
        <v>240659430.61000001</v>
      </c>
      <c r="E116" s="635">
        <v>240704599.72999999</v>
      </c>
      <c r="F116" s="279">
        <v>100</v>
      </c>
      <c r="G116" s="635">
        <v>255567431.37</v>
      </c>
      <c r="H116" s="635">
        <v>244170515.38999999</v>
      </c>
      <c r="I116" s="279">
        <v>95.5</v>
      </c>
      <c r="J116" s="635">
        <v>-3465915.6599999964</v>
      </c>
      <c r="K116" s="635">
        <v>27992048.379999999</v>
      </c>
      <c r="L116" s="755">
        <v>11.6</v>
      </c>
    </row>
    <row r="117" spans="1:12">
      <c r="A117" s="754">
        <v>12</v>
      </c>
      <c r="B117" s="278">
        <v>13</v>
      </c>
      <c r="C117" s="764" t="s">
        <v>282</v>
      </c>
      <c r="D117" s="761">
        <v>343210100</v>
      </c>
      <c r="E117" s="635">
        <v>346522647.86000001</v>
      </c>
      <c r="F117" s="279">
        <v>101</v>
      </c>
      <c r="G117" s="635">
        <v>361817667</v>
      </c>
      <c r="H117" s="635">
        <v>340149966.08999997</v>
      </c>
      <c r="I117" s="279">
        <v>94</v>
      </c>
      <c r="J117" s="635">
        <v>6372681.7700000405</v>
      </c>
      <c r="K117" s="635">
        <v>39707000</v>
      </c>
      <c r="L117" s="755">
        <v>11.5</v>
      </c>
    </row>
    <row r="118" spans="1:12">
      <c r="A118" s="754">
        <v>12</v>
      </c>
      <c r="B118" s="278">
        <v>14</v>
      </c>
      <c r="C118" s="764" t="s">
        <v>283</v>
      </c>
      <c r="D118" s="761">
        <v>107495660.77</v>
      </c>
      <c r="E118" s="635">
        <v>107077551.05</v>
      </c>
      <c r="F118" s="279">
        <v>99.6</v>
      </c>
      <c r="G118" s="635">
        <v>116924422.04000001</v>
      </c>
      <c r="H118" s="635">
        <v>104920629.68000001</v>
      </c>
      <c r="I118" s="279">
        <v>89.7</v>
      </c>
      <c r="J118" s="635">
        <v>2156921.3699999899</v>
      </c>
      <c r="K118" s="635">
        <v>2600000</v>
      </c>
      <c r="L118" s="755">
        <v>2.4</v>
      </c>
    </row>
    <row r="119" spans="1:12">
      <c r="A119" s="754">
        <v>12</v>
      </c>
      <c r="B119" s="278">
        <v>15</v>
      </c>
      <c r="C119" s="764" t="s">
        <v>284</v>
      </c>
      <c r="D119" s="761">
        <v>211012041.24000001</v>
      </c>
      <c r="E119" s="635">
        <v>218358036.31</v>
      </c>
      <c r="F119" s="279">
        <v>103.5</v>
      </c>
      <c r="G119" s="635">
        <v>218188069.13</v>
      </c>
      <c r="H119" s="635">
        <v>209319265.46000001</v>
      </c>
      <c r="I119" s="279">
        <v>95.9</v>
      </c>
      <c r="J119" s="635">
        <v>9038770.849999994</v>
      </c>
      <c r="K119" s="635">
        <v>16826866</v>
      </c>
      <c r="L119" s="755">
        <v>7.7</v>
      </c>
    </row>
    <row r="120" spans="1:12">
      <c r="A120" s="754">
        <v>12</v>
      </c>
      <c r="B120" s="278">
        <v>16</v>
      </c>
      <c r="C120" s="764" t="s">
        <v>285</v>
      </c>
      <c r="D120" s="761">
        <v>281842620.38999999</v>
      </c>
      <c r="E120" s="635">
        <v>294187764.10000002</v>
      </c>
      <c r="F120" s="279">
        <v>104.4</v>
      </c>
      <c r="G120" s="635">
        <v>305683122.07999998</v>
      </c>
      <c r="H120" s="635">
        <v>284823609.42000002</v>
      </c>
      <c r="I120" s="279">
        <v>93.2</v>
      </c>
      <c r="J120" s="635">
        <v>9364154.6800000072</v>
      </c>
      <c r="K120" s="635">
        <v>35110000</v>
      </c>
      <c r="L120" s="755">
        <v>11.9</v>
      </c>
    </row>
    <row r="121" spans="1:12">
      <c r="A121" s="754">
        <v>12</v>
      </c>
      <c r="B121" s="278">
        <v>17</v>
      </c>
      <c r="C121" s="764" t="s">
        <v>286</v>
      </c>
      <c r="D121" s="761">
        <v>148527023.16</v>
      </c>
      <c r="E121" s="635">
        <v>150181785</v>
      </c>
      <c r="F121" s="279">
        <v>101.1</v>
      </c>
      <c r="G121" s="635">
        <v>163139688.16</v>
      </c>
      <c r="H121" s="635">
        <v>144734315.18000001</v>
      </c>
      <c r="I121" s="279">
        <v>88.7</v>
      </c>
      <c r="J121" s="635">
        <v>5447469.8199999928</v>
      </c>
      <c r="K121" s="635">
        <v>0</v>
      </c>
      <c r="L121" s="755">
        <v>0</v>
      </c>
    </row>
    <row r="122" spans="1:12">
      <c r="A122" s="754">
        <v>12</v>
      </c>
      <c r="B122" s="278">
        <v>18</v>
      </c>
      <c r="C122" s="764" t="s">
        <v>287</v>
      </c>
      <c r="D122" s="761">
        <v>324251470.48000002</v>
      </c>
      <c r="E122" s="635">
        <v>327476026.20999998</v>
      </c>
      <c r="F122" s="279">
        <v>101</v>
      </c>
      <c r="G122" s="635">
        <v>328550548.43000001</v>
      </c>
      <c r="H122" s="635">
        <v>313569512.25</v>
      </c>
      <c r="I122" s="279">
        <v>95.4</v>
      </c>
      <c r="J122" s="635">
        <v>13906513.959999979</v>
      </c>
      <c r="K122" s="635">
        <v>36600000</v>
      </c>
      <c r="L122" s="755">
        <v>11.2</v>
      </c>
    </row>
    <row r="123" spans="1:12">
      <c r="A123" s="754">
        <v>12</v>
      </c>
      <c r="B123" s="278">
        <v>19</v>
      </c>
      <c r="C123" s="764" t="s">
        <v>288</v>
      </c>
      <c r="D123" s="761">
        <v>236642232.53999999</v>
      </c>
      <c r="E123" s="635">
        <v>236910609.94999999</v>
      </c>
      <c r="F123" s="279">
        <v>100.1</v>
      </c>
      <c r="G123" s="635">
        <v>247878909.63</v>
      </c>
      <c r="H123" s="635">
        <v>240103572.71000001</v>
      </c>
      <c r="I123" s="279">
        <v>96.9</v>
      </c>
      <c r="J123" s="635">
        <v>-3192962.7600000203</v>
      </c>
      <c r="K123" s="635">
        <v>54000000</v>
      </c>
      <c r="L123" s="755">
        <v>22.8</v>
      </c>
    </row>
    <row r="124" spans="1:12">
      <c r="A124" s="754">
        <v>14</v>
      </c>
      <c r="B124" s="278">
        <v>1</v>
      </c>
      <c r="C124" s="764" t="s">
        <v>289</v>
      </c>
      <c r="D124" s="761">
        <v>76611035.900000006</v>
      </c>
      <c r="E124" s="635">
        <v>76480325.150000006</v>
      </c>
      <c r="F124" s="279">
        <v>99.8</v>
      </c>
      <c r="G124" s="635">
        <v>77751645.439999998</v>
      </c>
      <c r="H124" s="635">
        <v>68948489.329999998</v>
      </c>
      <c r="I124" s="279">
        <v>88.7</v>
      </c>
      <c r="J124" s="635">
        <v>7531835.8200000077</v>
      </c>
      <c r="K124" s="635">
        <v>1115527.92</v>
      </c>
      <c r="L124" s="755">
        <v>1.5</v>
      </c>
    </row>
    <row r="125" spans="1:12">
      <c r="A125" s="754">
        <v>14</v>
      </c>
      <c r="B125" s="278">
        <v>2</v>
      </c>
      <c r="C125" s="764" t="s">
        <v>290</v>
      </c>
      <c r="D125" s="761">
        <v>224408703.62</v>
      </c>
      <c r="E125" s="635">
        <v>225408380.22</v>
      </c>
      <c r="F125" s="279">
        <v>100.4</v>
      </c>
      <c r="G125" s="635">
        <v>232706441.75999999</v>
      </c>
      <c r="H125" s="635">
        <v>219375120.27000001</v>
      </c>
      <c r="I125" s="279">
        <v>94.3</v>
      </c>
      <c r="J125" s="635">
        <v>6033259.9499999881</v>
      </c>
      <c r="K125" s="635">
        <v>49660074</v>
      </c>
      <c r="L125" s="755">
        <v>22</v>
      </c>
    </row>
    <row r="126" spans="1:12">
      <c r="A126" s="754">
        <v>14</v>
      </c>
      <c r="B126" s="278">
        <v>3</v>
      </c>
      <c r="C126" s="764" t="s">
        <v>291</v>
      </c>
      <c r="D126" s="761">
        <v>266231150.49000001</v>
      </c>
      <c r="E126" s="635">
        <v>267710615.83000001</v>
      </c>
      <c r="F126" s="279">
        <v>100.6</v>
      </c>
      <c r="G126" s="635">
        <v>276471393.63999999</v>
      </c>
      <c r="H126" s="635">
        <v>263592089.34</v>
      </c>
      <c r="I126" s="279">
        <v>95.3</v>
      </c>
      <c r="J126" s="635">
        <v>4118526.4900000095</v>
      </c>
      <c r="K126" s="635">
        <v>36913877.020000003</v>
      </c>
      <c r="L126" s="755">
        <v>13.8</v>
      </c>
    </row>
    <row r="127" spans="1:12">
      <c r="A127" s="754">
        <v>14</v>
      </c>
      <c r="B127" s="278">
        <v>4</v>
      </c>
      <c r="C127" s="764" t="s">
        <v>292</v>
      </c>
      <c r="D127" s="761">
        <v>125629153.89</v>
      </c>
      <c r="E127" s="635">
        <v>125061364.31</v>
      </c>
      <c r="F127" s="279">
        <v>99.5</v>
      </c>
      <c r="G127" s="635">
        <v>134359825.25999999</v>
      </c>
      <c r="H127" s="635">
        <v>125590288.8</v>
      </c>
      <c r="I127" s="279">
        <v>93.5</v>
      </c>
      <c r="J127" s="635">
        <v>-528924.48999999464</v>
      </c>
      <c r="K127" s="635">
        <v>3082215.68</v>
      </c>
      <c r="L127" s="755">
        <v>2.5</v>
      </c>
    </row>
    <row r="128" spans="1:12">
      <c r="A128" s="754">
        <v>14</v>
      </c>
      <c r="B128" s="278">
        <v>5</v>
      </c>
      <c r="C128" s="764" t="s">
        <v>293</v>
      </c>
      <c r="D128" s="761">
        <v>238235173.78</v>
      </c>
      <c r="E128" s="635">
        <v>238649817.94</v>
      </c>
      <c r="F128" s="279">
        <v>100.2</v>
      </c>
      <c r="G128" s="635">
        <v>246373270.56</v>
      </c>
      <c r="H128" s="635">
        <v>228536542.03999999</v>
      </c>
      <c r="I128" s="279">
        <v>92.8</v>
      </c>
      <c r="J128" s="635">
        <v>10113275.900000006</v>
      </c>
      <c r="K128" s="635">
        <v>16134000</v>
      </c>
      <c r="L128" s="755">
        <v>6.8</v>
      </c>
    </row>
    <row r="129" spans="1:12">
      <c r="A129" s="754">
        <v>14</v>
      </c>
      <c r="B129" s="278">
        <v>6</v>
      </c>
      <c r="C129" s="764" t="s">
        <v>294</v>
      </c>
      <c r="D129" s="761">
        <v>285323941.06999999</v>
      </c>
      <c r="E129" s="635">
        <v>284608908.88999999</v>
      </c>
      <c r="F129" s="279">
        <v>99.7</v>
      </c>
      <c r="G129" s="635">
        <v>324078497</v>
      </c>
      <c r="H129" s="635">
        <v>300788151.42000002</v>
      </c>
      <c r="I129" s="279">
        <v>92.8</v>
      </c>
      <c r="J129" s="635">
        <v>-16179242.530000031</v>
      </c>
      <c r="K129" s="635">
        <v>64879637.729999997</v>
      </c>
      <c r="L129" s="755">
        <v>22.8</v>
      </c>
    </row>
    <row r="130" spans="1:12">
      <c r="A130" s="754">
        <v>14</v>
      </c>
      <c r="B130" s="278">
        <v>7</v>
      </c>
      <c r="C130" s="764" t="s">
        <v>295</v>
      </c>
      <c r="D130" s="761">
        <v>122012656.54000001</v>
      </c>
      <c r="E130" s="635">
        <v>123690129.40000001</v>
      </c>
      <c r="F130" s="279">
        <v>101.4</v>
      </c>
      <c r="G130" s="635">
        <v>128998150.59</v>
      </c>
      <c r="H130" s="635">
        <v>117352946.17</v>
      </c>
      <c r="I130" s="279">
        <v>91</v>
      </c>
      <c r="J130" s="635">
        <v>6337183.2300000042</v>
      </c>
      <c r="K130" s="635">
        <v>9700000</v>
      </c>
      <c r="L130" s="755">
        <v>7.8</v>
      </c>
    </row>
    <row r="131" spans="1:12">
      <c r="A131" s="754">
        <v>14</v>
      </c>
      <c r="B131" s="278">
        <v>8</v>
      </c>
      <c r="C131" s="764" t="s">
        <v>296</v>
      </c>
      <c r="D131" s="761">
        <v>235326113.77000001</v>
      </c>
      <c r="E131" s="635">
        <v>236307322.97999999</v>
      </c>
      <c r="F131" s="279">
        <v>100.4</v>
      </c>
      <c r="G131" s="635">
        <v>239167819.19999999</v>
      </c>
      <c r="H131" s="635">
        <v>218764620.30000001</v>
      </c>
      <c r="I131" s="279">
        <v>91.5</v>
      </c>
      <c r="J131" s="635">
        <v>17542702.679999977</v>
      </c>
      <c r="K131" s="635">
        <v>376354.26</v>
      </c>
      <c r="L131" s="755">
        <v>0.2</v>
      </c>
    </row>
    <row r="132" spans="1:12">
      <c r="A132" s="754">
        <v>14</v>
      </c>
      <c r="B132" s="278">
        <v>9</v>
      </c>
      <c r="C132" s="764" t="s">
        <v>297</v>
      </c>
      <c r="D132" s="761">
        <v>130719185.92</v>
      </c>
      <c r="E132" s="635">
        <v>130419788.34999999</v>
      </c>
      <c r="F132" s="279">
        <v>99.8</v>
      </c>
      <c r="G132" s="635">
        <v>134124617.39</v>
      </c>
      <c r="H132" s="635">
        <v>125624395.43000001</v>
      </c>
      <c r="I132" s="279">
        <v>93.7</v>
      </c>
      <c r="J132" s="635">
        <v>4795392.9199999869</v>
      </c>
      <c r="K132" s="635">
        <v>5800000</v>
      </c>
      <c r="L132" s="755">
        <v>4.4000000000000004</v>
      </c>
    </row>
    <row r="133" spans="1:12">
      <c r="A133" s="754">
        <v>14</v>
      </c>
      <c r="B133" s="278">
        <v>10</v>
      </c>
      <c r="C133" s="764" t="s">
        <v>298</v>
      </c>
      <c r="D133" s="761">
        <v>93223554.450000003</v>
      </c>
      <c r="E133" s="635">
        <v>84199304.230000004</v>
      </c>
      <c r="F133" s="279">
        <v>90.3</v>
      </c>
      <c r="G133" s="635">
        <v>92463554.450000003</v>
      </c>
      <c r="H133" s="635">
        <v>77314704.409999996</v>
      </c>
      <c r="I133" s="279">
        <v>83.6</v>
      </c>
      <c r="J133" s="635">
        <v>6884599.8200000077</v>
      </c>
      <c r="K133" s="635">
        <v>3508942</v>
      </c>
      <c r="L133" s="755">
        <v>4.2</v>
      </c>
    </row>
    <row r="134" spans="1:12">
      <c r="A134" s="754">
        <v>14</v>
      </c>
      <c r="B134" s="278">
        <v>11</v>
      </c>
      <c r="C134" s="764" t="s">
        <v>299</v>
      </c>
      <c r="D134" s="761">
        <v>129987929.8</v>
      </c>
      <c r="E134" s="635">
        <v>128962537.84</v>
      </c>
      <c r="F134" s="279">
        <v>99.2</v>
      </c>
      <c r="G134" s="635">
        <v>135183466.63999999</v>
      </c>
      <c r="H134" s="635">
        <v>127293832</v>
      </c>
      <c r="I134" s="279">
        <v>94.2</v>
      </c>
      <c r="J134" s="635">
        <v>1668705.8400000036</v>
      </c>
      <c r="K134" s="635">
        <v>17000800</v>
      </c>
      <c r="L134" s="755">
        <v>13.2</v>
      </c>
    </row>
    <row r="135" spans="1:12">
      <c r="A135" s="754">
        <v>14</v>
      </c>
      <c r="B135" s="278">
        <v>12</v>
      </c>
      <c r="C135" s="764" t="s">
        <v>300</v>
      </c>
      <c r="D135" s="761">
        <v>336868348.73000002</v>
      </c>
      <c r="E135" s="635">
        <v>338514647.06</v>
      </c>
      <c r="F135" s="279">
        <v>100.5</v>
      </c>
      <c r="G135" s="635">
        <v>350559768.69</v>
      </c>
      <c r="H135" s="635">
        <v>335482159.64999998</v>
      </c>
      <c r="I135" s="279">
        <v>95.7</v>
      </c>
      <c r="J135" s="635">
        <v>3032487.4100000262</v>
      </c>
      <c r="K135" s="635">
        <v>5994000</v>
      </c>
      <c r="L135" s="755">
        <v>1.8</v>
      </c>
    </row>
    <row r="136" spans="1:12">
      <c r="A136" s="754">
        <v>14</v>
      </c>
      <c r="B136" s="278">
        <v>13</v>
      </c>
      <c r="C136" s="764" t="s">
        <v>301</v>
      </c>
      <c r="D136" s="761">
        <v>174051158.31</v>
      </c>
      <c r="E136" s="635">
        <v>174056324.12</v>
      </c>
      <c r="F136" s="279">
        <v>100</v>
      </c>
      <c r="G136" s="635">
        <v>182816176.46000001</v>
      </c>
      <c r="H136" s="635">
        <v>173384234.06</v>
      </c>
      <c r="I136" s="279">
        <v>94.8</v>
      </c>
      <c r="J136" s="635">
        <v>672090.06000000238</v>
      </c>
      <c r="K136" s="635">
        <v>25440000</v>
      </c>
      <c r="L136" s="755">
        <v>14.6</v>
      </c>
    </row>
    <row r="137" spans="1:12">
      <c r="A137" s="754">
        <v>14</v>
      </c>
      <c r="B137" s="278">
        <v>14</v>
      </c>
      <c r="C137" s="764" t="s">
        <v>302</v>
      </c>
      <c r="D137" s="761">
        <v>139567883.66999999</v>
      </c>
      <c r="E137" s="635">
        <v>138340232.96000001</v>
      </c>
      <c r="F137" s="279">
        <v>99.1</v>
      </c>
      <c r="G137" s="635">
        <v>133546318.15000001</v>
      </c>
      <c r="H137" s="635">
        <v>118763065.18000001</v>
      </c>
      <c r="I137" s="279">
        <v>88.9</v>
      </c>
      <c r="J137" s="635">
        <v>19577167.780000001</v>
      </c>
      <c r="K137" s="635">
        <v>14096764</v>
      </c>
      <c r="L137" s="755">
        <v>10.199999999999999</v>
      </c>
    </row>
    <row r="138" spans="1:12">
      <c r="A138" s="754">
        <v>14</v>
      </c>
      <c r="B138" s="278">
        <v>15</v>
      </c>
      <c r="C138" s="764" t="s">
        <v>303</v>
      </c>
      <c r="D138" s="761">
        <v>205071642.15000001</v>
      </c>
      <c r="E138" s="635">
        <v>190142059.69</v>
      </c>
      <c r="F138" s="279">
        <v>92.7</v>
      </c>
      <c r="G138" s="635">
        <v>241004321.78</v>
      </c>
      <c r="H138" s="635">
        <v>208016836.13</v>
      </c>
      <c r="I138" s="279">
        <v>86.3</v>
      </c>
      <c r="J138" s="635">
        <v>-17874776.439999998</v>
      </c>
      <c r="K138" s="635">
        <v>91670000</v>
      </c>
      <c r="L138" s="755">
        <v>48.2</v>
      </c>
    </row>
    <row r="139" spans="1:12">
      <c r="A139" s="754">
        <v>14</v>
      </c>
      <c r="B139" s="278">
        <v>16</v>
      </c>
      <c r="C139" s="764" t="s">
        <v>304</v>
      </c>
      <c r="D139" s="761">
        <v>147768140.16999999</v>
      </c>
      <c r="E139" s="635">
        <v>147844642.78</v>
      </c>
      <c r="F139" s="279">
        <v>100.1</v>
      </c>
      <c r="G139" s="635">
        <v>166472086.74000001</v>
      </c>
      <c r="H139" s="635">
        <v>149427564.88999999</v>
      </c>
      <c r="I139" s="279">
        <v>89.8</v>
      </c>
      <c r="J139" s="635">
        <v>-1582922.1099999845</v>
      </c>
      <c r="K139" s="635">
        <v>18470000</v>
      </c>
      <c r="L139" s="755">
        <v>12.5</v>
      </c>
    </row>
    <row r="140" spans="1:12">
      <c r="A140" s="754">
        <v>14</v>
      </c>
      <c r="B140" s="278">
        <v>17</v>
      </c>
      <c r="C140" s="764" t="s">
        <v>305</v>
      </c>
      <c r="D140" s="761">
        <v>318014581.54000002</v>
      </c>
      <c r="E140" s="635">
        <v>316335300.50999999</v>
      </c>
      <c r="F140" s="279">
        <v>99.5</v>
      </c>
      <c r="G140" s="635">
        <v>324758539.55000001</v>
      </c>
      <c r="H140" s="635">
        <v>314417513.33999997</v>
      </c>
      <c r="I140" s="279">
        <v>96.8</v>
      </c>
      <c r="J140" s="635">
        <v>1917787.1700000167</v>
      </c>
      <c r="K140" s="635">
        <v>94840525.319999993</v>
      </c>
      <c r="L140" s="755">
        <v>30</v>
      </c>
    </row>
    <row r="141" spans="1:12">
      <c r="A141" s="754">
        <v>14</v>
      </c>
      <c r="B141" s="278">
        <v>18</v>
      </c>
      <c r="C141" s="764" t="s">
        <v>306</v>
      </c>
      <c r="D141" s="761">
        <v>490613477.48000002</v>
      </c>
      <c r="E141" s="635">
        <v>491994489.79000002</v>
      </c>
      <c r="F141" s="279">
        <v>100.3</v>
      </c>
      <c r="G141" s="635">
        <v>512264956.95999998</v>
      </c>
      <c r="H141" s="635">
        <v>462220762.97000003</v>
      </c>
      <c r="I141" s="279">
        <v>90.2</v>
      </c>
      <c r="J141" s="635">
        <v>29773726.819999993</v>
      </c>
      <c r="K141" s="635">
        <v>51500000</v>
      </c>
      <c r="L141" s="755">
        <v>10.5</v>
      </c>
    </row>
    <row r="142" spans="1:12">
      <c r="A142" s="754">
        <v>14</v>
      </c>
      <c r="B142" s="278">
        <v>19</v>
      </c>
      <c r="C142" s="764" t="s">
        <v>307</v>
      </c>
      <c r="D142" s="761">
        <v>262125298.61000001</v>
      </c>
      <c r="E142" s="635">
        <v>293461268.63</v>
      </c>
      <c r="F142" s="279">
        <v>112</v>
      </c>
      <c r="G142" s="635">
        <v>262816376.40000001</v>
      </c>
      <c r="H142" s="635">
        <v>245982674.91999999</v>
      </c>
      <c r="I142" s="279">
        <v>93.6</v>
      </c>
      <c r="J142" s="635">
        <v>47478593.710000008</v>
      </c>
      <c r="K142" s="635">
        <v>44000000</v>
      </c>
      <c r="L142" s="755">
        <v>15</v>
      </c>
    </row>
    <row r="143" spans="1:12">
      <c r="A143" s="754">
        <v>14</v>
      </c>
      <c r="B143" s="278">
        <v>20</v>
      </c>
      <c r="C143" s="764" t="s">
        <v>308</v>
      </c>
      <c r="D143" s="761">
        <v>265292523.25</v>
      </c>
      <c r="E143" s="635">
        <v>264526594.37</v>
      </c>
      <c r="F143" s="279">
        <v>99.7</v>
      </c>
      <c r="G143" s="635">
        <v>274192380.60000002</v>
      </c>
      <c r="H143" s="635">
        <v>241266817.13</v>
      </c>
      <c r="I143" s="279">
        <v>88</v>
      </c>
      <c r="J143" s="635">
        <v>23259777.24000001</v>
      </c>
      <c r="K143" s="635">
        <v>56050555.289999999</v>
      </c>
      <c r="L143" s="755">
        <v>21.2</v>
      </c>
    </row>
    <row r="144" spans="1:12">
      <c r="A144" s="754">
        <v>14</v>
      </c>
      <c r="B144" s="278">
        <v>21</v>
      </c>
      <c r="C144" s="764" t="s">
        <v>309</v>
      </c>
      <c r="D144" s="761">
        <v>343346460.47000003</v>
      </c>
      <c r="E144" s="635">
        <v>335451860.42000002</v>
      </c>
      <c r="F144" s="279">
        <v>97.7</v>
      </c>
      <c r="G144" s="635">
        <v>349635219.19</v>
      </c>
      <c r="H144" s="635">
        <v>323517176.04000002</v>
      </c>
      <c r="I144" s="279">
        <v>92.5</v>
      </c>
      <c r="J144" s="635">
        <v>11934684.379999995</v>
      </c>
      <c r="K144" s="635">
        <v>131448920</v>
      </c>
      <c r="L144" s="755">
        <v>39.200000000000003</v>
      </c>
    </row>
    <row r="145" spans="1:12">
      <c r="A145" s="754">
        <v>14</v>
      </c>
      <c r="B145" s="278">
        <v>22</v>
      </c>
      <c r="C145" s="764" t="s">
        <v>310</v>
      </c>
      <c r="D145" s="761">
        <v>164531511.81999999</v>
      </c>
      <c r="E145" s="635">
        <v>161605742.94</v>
      </c>
      <c r="F145" s="279">
        <v>98.2</v>
      </c>
      <c r="G145" s="635">
        <v>164977247.96000001</v>
      </c>
      <c r="H145" s="635">
        <v>152099051.61000001</v>
      </c>
      <c r="I145" s="279">
        <v>92.2</v>
      </c>
      <c r="J145" s="635">
        <v>9506691.3299999833</v>
      </c>
      <c r="K145" s="635">
        <v>54280000</v>
      </c>
      <c r="L145" s="755">
        <v>33.6</v>
      </c>
    </row>
    <row r="146" spans="1:12">
      <c r="A146" s="754">
        <v>14</v>
      </c>
      <c r="B146" s="278">
        <v>23</v>
      </c>
      <c r="C146" s="764" t="s">
        <v>311</v>
      </c>
      <c r="D146" s="761">
        <v>167248874.22</v>
      </c>
      <c r="E146" s="635">
        <v>169617889.69</v>
      </c>
      <c r="F146" s="279">
        <v>101.4</v>
      </c>
      <c r="G146" s="635">
        <v>191921705.11000001</v>
      </c>
      <c r="H146" s="635">
        <v>171788065.16</v>
      </c>
      <c r="I146" s="279">
        <v>89.5</v>
      </c>
      <c r="J146" s="635">
        <v>-2170175.4699999988</v>
      </c>
      <c r="K146" s="635">
        <v>0</v>
      </c>
      <c r="L146" s="755">
        <v>0</v>
      </c>
    </row>
    <row r="147" spans="1:12">
      <c r="A147" s="754">
        <v>14</v>
      </c>
      <c r="B147" s="278">
        <v>24</v>
      </c>
      <c r="C147" s="764" t="s">
        <v>312</v>
      </c>
      <c r="D147" s="761">
        <v>198067886.41</v>
      </c>
      <c r="E147" s="635">
        <v>197449909.28</v>
      </c>
      <c r="F147" s="279">
        <v>99.7</v>
      </c>
      <c r="G147" s="635">
        <v>198358472.40000001</v>
      </c>
      <c r="H147" s="635">
        <v>189809720.56999999</v>
      </c>
      <c r="I147" s="279">
        <v>95.7</v>
      </c>
      <c r="J147" s="635">
        <v>7640188.7100000083</v>
      </c>
      <c r="K147" s="635">
        <v>44835156</v>
      </c>
      <c r="L147" s="755">
        <v>22.7</v>
      </c>
    </row>
    <row r="148" spans="1:12">
      <c r="A148" s="754">
        <v>14</v>
      </c>
      <c r="B148" s="278">
        <v>25</v>
      </c>
      <c r="C148" s="764" t="s">
        <v>313</v>
      </c>
      <c r="D148" s="761">
        <v>334260196.11000001</v>
      </c>
      <c r="E148" s="635">
        <v>341879440.70999998</v>
      </c>
      <c r="F148" s="279">
        <v>102.3</v>
      </c>
      <c r="G148" s="635">
        <v>334452158.04000002</v>
      </c>
      <c r="H148" s="635">
        <v>280080552.30000001</v>
      </c>
      <c r="I148" s="279">
        <v>83.7</v>
      </c>
      <c r="J148" s="635">
        <v>61798888.409999967</v>
      </c>
      <c r="K148" s="635">
        <v>6080776.4000000004</v>
      </c>
      <c r="L148" s="755">
        <v>1.8</v>
      </c>
    </row>
    <row r="149" spans="1:12">
      <c r="A149" s="754">
        <v>14</v>
      </c>
      <c r="B149" s="278">
        <v>26</v>
      </c>
      <c r="C149" s="764" t="s">
        <v>314</v>
      </c>
      <c r="D149" s="761">
        <v>125347457.52</v>
      </c>
      <c r="E149" s="635">
        <v>122389738.19</v>
      </c>
      <c r="F149" s="279">
        <v>97.6</v>
      </c>
      <c r="G149" s="635">
        <v>125488705.52</v>
      </c>
      <c r="H149" s="635">
        <v>105689212.08</v>
      </c>
      <c r="I149" s="279">
        <v>84.2</v>
      </c>
      <c r="J149" s="635">
        <v>16700526.109999999</v>
      </c>
      <c r="K149" s="635">
        <v>0</v>
      </c>
      <c r="L149" s="755">
        <v>0</v>
      </c>
    </row>
    <row r="150" spans="1:12">
      <c r="A150" s="754">
        <v>14</v>
      </c>
      <c r="B150" s="278">
        <v>27</v>
      </c>
      <c r="C150" s="764" t="s">
        <v>315</v>
      </c>
      <c r="D150" s="761">
        <v>124884853.03</v>
      </c>
      <c r="E150" s="635">
        <v>123347067.48999999</v>
      </c>
      <c r="F150" s="279">
        <v>98.8</v>
      </c>
      <c r="G150" s="635">
        <v>129299961.67</v>
      </c>
      <c r="H150" s="635">
        <v>122872291.56999999</v>
      </c>
      <c r="I150" s="279">
        <v>95</v>
      </c>
      <c r="J150" s="635">
        <v>474775.92000000179</v>
      </c>
      <c r="K150" s="635">
        <v>24320000</v>
      </c>
      <c r="L150" s="755">
        <v>19.7</v>
      </c>
    </row>
    <row r="151" spans="1:12">
      <c r="A151" s="754">
        <v>14</v>
      </c>
      <c r="B151" s="278">
        <v>28</v>
      </c>
      <c r="C151" s="764" t="s">
        <v>316</v>
      </c>
      <c r="D151" s="761">
        <v>193002259.41</v>
      </c>
      <c r="E151" s="635">
        <v>191544831.25</v>
      </c>
      <c r="F151" s="279">
        <v>99.2</v>
      </c>
      <c r="G151" s="635">
        <v>200822043.96000001</v>
      </c>
      <c r="H151" s="635">
        <v>181170710.50999999</v>
      </c>
      <c r="I151" s="279">
        <v>90.2</v>
      </c>
      <c r="J151" s="635">
        <v>10374120.74000001</v>
      </c>
      <c r="K151" s="635">
        <v>947197.8</v>
      </c>
      <c r="L151" s="755">
        <v>0.5</v>
      </c>
    </row>
    <row r="152" spans="1:12">
      <c r="A152" s="754">
        <v>14</v>
      </c>
      <c r="B152" s="278">
        <v>29</v>
      </c>
      <c r="C152" s="764" t="s">
        <v>317</v>
      </c>
      <c r="D152" s="761">
        <v>160480365.88</v>
      </c>
      <c r="E152" s="635">
        <v>161064478.43000001</v>
      </c>
      <c r="F152" s="279">
        <v>100.4</v>
      </c>
      <c r="G152" s="635">
        <v>168821652.31</v>
      </c>
      <c r="H152" s="635">
        <v>162881742.61000001</v>
      </c>
      <c r="I152" s="279">
        <v>96.5</v>
      </c>
      <c r="J152" s="635">
        <v>-1817264.1800000072</v>
      </c>
      <c r="K152" s="635">
        <v>33907729.5</v>
      </c>
      <c r="L152" s="755">
        <v>21.1</v>
      </c>
    </row>
    <row r="153" spans="1:12">
      <c r="A153" s="754">
        <v>14</v>
      </c>
      <c r="B153" s="278">
        <v>30</v>
      </c>
      <c r="C153" s="764" t="s">
        <v>318</v>
      </c>
      <c r="D153" s="761">
        <v>117095030.18000001</v>
      </c>
      <c r="E153" s="635">
        <v>110523369.98999999</v>
      </c>
      <c r="F153" s="279">
        <v>94.4</v>
      </c>
      <c r="G153" s="635">
        <v>124262583.14</v>
      </c>
      <c r="H153" s="635">
        <v>110522561.81</v>
      </c>
      <c r="I153" s="279">
        <v>88.9</v>
      </c>
      <c r="J153" s="635">
        <v>808.1799999922514</v>
      </c>
      <c r="K153" s="635">
        <v>12800000</v>
      </c>
      <c r="L153" s="755">
        <v>11.6</v>
      </c>
    </row>
    <row r="154" spans="1:12">
      <c r="A154" s="754">
        <v>14</v>
      </c>
      <c r="B154" s="278">
        <v>32</v>
      </c>
      <c r="C154" s="764" t="s">
        <v>319</v>
      </c>
      <c r="D154" s="761">
        <v>315176445.83999997</v>
      </c>
      <c r="E154" s="635">
        <v>315078389.72000003</v>
      </c>
      <c r="F154" s="279">
        <v>100</v>
      </c>
      <c r="G154" s="635">
        <v>315065451.48000002</v>
      </c>
      <c r="H154" s="635">
        <v>301859231.69</v>
      </c>
      <c r="I154" s="279">
        <v>95.8</v>
      </c>
      <c r="J154" s="635">
        <v>13219158.030000031</v>
      </c>
      <c r="K154" s="635">
        <v>24261392</v>
      </c>
      <c r="L154" s="755">
        <v>7.7</v>
      </c>
    </row>
    <row r="155" spans="1:12">
      <c r="A155" s="754">
        <v>14</v>
      </c>
      <c r="B155" s="278">
        <v>33</v>
      </c>
      <c r="C155" s="764" t="s">
        <v>320</v>
      </c>
      <c r="D155" s="761">
        <v>155567641.27000001</v>
      </c>
      <c r="E155" s="635">
        <v>161423898.47</v>
      </c>
      <c r="F155" s="279">
        <v>103.8</v>
      </c>
      <c r="G155" s="635">
        <v>159830981.30000001</v>
      </c>
      <c r="H155" s="635">
        <v>151198915.50999999</v>
      </c>
      <c r="I155" s="279">
        <v>94.6</v>
      </c>
      <c r="J155" s="635">
        <v>10224982.960000008</v>
      </c>
      <c r="K155" s="635">
        <v>55325024.359999999</v>
      </c>
      <c r="L155" s="755">
        <v>34.299999999999997</v>
      </c>
    </row>
    <row r="156" spans="1:12">
      <c r="A156" s="754">
        <v>14</v>
      </c>
      <c r="B156" s="278">
        <v>34</v>
      </c>
      <c r="C156" s="764" t="s">
        <v>321</v>
      </c>
      <c r="D156" s="761">
        <v>511776743.32999998</v>
      </c>
      <c r="E156" s="635">
        <v>507836839.61000001</v>
      </c>
      <c r="F156" s="279">
        <v>99.2</v>
      </c>
      <c r="G156" s="635">
        <v>548596612.10000002</v>
      </c>
      <c r="H156" s="635">
        <v>498733388.08999997</v>
      </c>
      <c r="I156" s="279">
        <v>90.9</v>
      </c>
      <c r="J156" s="635">
        <v>9103451.5200000405</v>
      </c>
      <c r="K156" s="635">
        <v>96969273.590000004</v>
      </c>
      <c r="L156" s="755">
        <v>19.100000000000001</v>
      </c>
    </row>
    <row r="157" spans="1:12">
      <c r="A157" s="754">
        <v>14</v>
      </c>
      <c r="B157" s="278">
        <v>35</v>
      </c>
      <c r="C157" s="764" t="s">
        <v>322</v>
      </c>
      <c r="D157" s="761">
        <v>225906687.16999999</v>
      </c>
      <c r="E157" s="635">
        <v>225409748.99000001</v>
      </c>
      <c r="F157" s="279">
        <v>99.8</v>
      </c>
      <c r="G157" s="635">
        <v>225316687.16999999</v>
      </c>
      <c r="H157" s="635">
        <v>210878148.90000001</v>
      </c>
      <c r="I157" s="279">
        <v>93.6</v>
      </c>
      <c r="J157" s="635">
        <v>14531600.090000004</v>
      </c>
      <c r="K157" s="635">
        <v>1933200</v>
      </c>
      <c r="L157" s="755">
        <v>0.9</v>
      </c>
    </row>
    <row r="158" spans="1:12">
      <c r="A158" s="754">
        <v>14</v>
      </c>
      <c r="B158" s="278">
        <v>36</v>
      </c>
      <c r="C158" s="764" t="s">
        <v>323</v>
      </c>
      <c r="D158" s="761">
        <v>81533747.75</v>
      </c>
      <c r="E158" s="635">
        <v>83004190.239999995</v>
      </c>
      <c r="F158" s="279">
        <v>101.8</v>
      </c>
      <c r="G158" s="635">
        <v>82366234.280000001</v>
      </c>
      <c r="H158" s="635">
        <v>75903657.760000005</v>
      </c>
      <c r="I158" s="279">
        <v>92.2</v>
      </c>
      <c r="J158" s="635">
        <v>7100532.4799999893</v>
      </c>
      <c r="K158" s="635">
        <v>6400000</v>
      </c>
      <c r="L158" s="755">
        <v>7.7</v>
      </c>
    </row>
    <row r="159" spans="1:12">
      <c r="A159" s="754">
        <v>14</v>
      </c>
      <c r="B159" s="278">
        <v>37</v>
      </c>
      <c r="C159" s="764" t="s">
        <v>324</v>
      </c>
      <c r="D159" s="761">
        <v>96381891.030000001</v>
      </c>
      <c r="E159" s="635">
        <v>98624798.549999997</v>
      </c>
      <c r="F159" s="279">
        <v>102.3</v>
      </c>
      <c r="G159" s="635">
        <v>101079945.92</v>
      </c>
      <c r="H159" s="635">
        <v>94920469.030000001</v>
      </c>
      <c r="I159" s="279">
        <v>93.9</v>
      </c>
      <c r="J159" s="635">
        <v>3704329.5199999958</v>
      </c>
      <c r="K159" s="635">
        <v>22665390</v>
      </c>
      <c r="L159" s="755">
        <v>23</v>
      </c>
    </row>
    <row r="160" spans="1:12">
      <c r="A160" s="754">
        <v>14</v>
      </c>
      <c r="B160" s="278">
        <v>38</v>
      </c>
      <c r="C160" s="764" t="s">
        <v>325</v>
      </c>
      <c r="D160" s="761">
        <v>222300000</v>
      </c>
      <c r="E160" s="635">
        <v>190904878.31999999</v>
      </c>
      <c r="F160" s="279">
        <v>85.9</v>
      </c>
      <c r="G160" s="635">
        <v>237300000</v>
      </c>
      <c r="H160" s="635">
        <v>197657458.03999999</v>
      </c>
      <c r="I160" s="279">
        <v>83.3</v>
      </c>
      <c r="J160" s="635">
        <v>-6752579.7199999988</v>
      </c>
      <c r="K160" s="635">
        <v>44080642.960000001</v>
      </c>
      <c r="L160" s="755">
        <v>23.1</v>
      </c>
    </row>
    <row r="161" spans="1:12">
      <c r="A161" s="754">
        <v>16</v>
      </c>
      <c r="B161" s="278">
        <v>1</v>
      </c>
      <c r="C161" s="764" t="s">
        <v>271</v>
      </c>
      <c r="D161" s="761">
        <v>213373442</v>
      </c>
      <c r="E161" s="635">
        <v>204152865.71000001</v>
      </c>
      <c r="F161" s="279">
        <v>95.7</v>
      </c>
      <c r="G161" s="635">
        <v>229152713.58000001</v>
      </c>
      <c r="H161" s="635">
        <v>203275174.46000001</v>
      </c>
      <c r="I161" s="279">
        <v>88.7</v>
      </c>
      <c r="J161" s="635">
        <v>877691.25</v>
      </c>
      <c r="K161" s="635">
        <v>19409545.440000001</v>
      </c>
      <c r="L161" s="755">
        <v>9.5</v>
      </c>
    </row>
    <row r="162" spans="1:12">
      <c r="A162" s="754">
        <v>16</v>
      </c>
      <c r="B162" s="278">
        <v>2</v>
      </c>
      <c r="C162" s="764" t="s">
        <v>326</v>
      </c>
      <c r="D162" s="761">
        <v>164424782</v>
      </c>
      <c r="E162" s="635">
        <v>162447497.50999999</v>
      </c>
      <c r="F162" s="279">
        <v>98.8</v>
      </c>
      <c r="G162" s="635">
        <v>166204962</v>
      </c>
      <c r="H162" s="635">
        <v>156606673.41999999</v>
      </c>
      <c r="I162" s="279">
        <v>94.2</v>
      </c>
      <c r="J162" s="635">
        <v>5840824.0900000036</v>
      </c>
      <c r="K162" s="635">
        <v>18660816.530000001</v>
      </c>
      <c r="L162" s="755">
        <v>11.5</v>
      </c>
    </row>
    <row r="163" spans="1:12">
      <c r="A163" s="754">
        <v>16</v>
      </c>
      <c r="B163" s="278">
        <v>3</v>
      </c>
      <c r="C163" s="764" t="s">
        <v>327</v>
      </c>
      <c r="D163" s="761">
        <v>199399149.08000001</v>
      </c>
      <c r="E163" s="635">
        <v>198230156.59</v>
      </c>
      <c r="F163" s="279">
        <v>99.4</v>
      </c>
      <c r="G163" s="635">
        <v>218307357.02000001</v>
      </c>
      <c r="H163" s="635">
        <v>199339531.61000001</v>
      </c>
      <c r="I163" s="279">
        <v>91.3</v>
      </c>
      <c r="J163" s="635">
        <v>-1109375.0200000107</v>
      </c>
      <c r="K163" s="635">
        <v>12378060.5</v>
      </c>
      <c r="L163" s="755">
        <v>6.2</v>
      </c>
    </row>
    <row r="164" spans="1:12">
      <c r="A164" s="754">
        <v>16</v>
      </c>
      <c r="B164" s="278">
        <v>4</v>
      </c>
      <c r="C164" s="764" t="s">
        <v>328</v>
      </c>
      <c r="D164" s="761">
        <v>174202207.97999999</v>
      </c>
      <c r="E164" s="635">
        <v>156927270.31999999</v>
      </c>
      <c r="F164" s="279">
        <v>90.1</v>
      </c>
      <c r="G164" s="635">
        <v>172805050.93000001</v>
      </c>
      <c r="H164" s="635">
        <v>154440944.22</v>
      </c>
      <c r="I164" s="279">
        <v>89.4</v>
      </c>
      <c r="J164" s="635">
        <v>2486326.099999994</v>
      </c>
      <c r="K164" s="635">
        <v>64036161.649999999</v>
      </c>
      <c r="L164" s="755">
        <v>40.799999999999997</v>
      </c>
    </row>
    <row r="165" spans="1:12">
      <c r="A165" s="754">
        <v>16</v>
      </c>
      <c r="B165" s="278">
        <v>5</v>
      </c>
      <c r="C165" s="764" t="s">
        <v>329</v>
      </c>
      <c r="D165" s="761">
        <v>128620885.40000001</v>
      </c>
      <c r="E165" s="635">
        <v>126914253.36</v>
      </c>
      <c r="F165" s="279">
        <v>98.7</v>
      </c>
      <c r="G165" s="635">
        <v>150596866.96000001</v>
      </c>
      <c r="H165" s="635">
        <v>142984169.87</v>
      </c>
      <c r="I165" s="279">
        <v>94.9</v>
      </c>
      <c r="J165" s="635">
        <v>-16069916.510000005</v>
      </c>
      <c r="K165" s="635">
        <v>37727888</v>
      </c>
      <c r="L165" s="755">
        <v>29.7</v>
      </c>
    </row>
    <row r="166" spans="1:12">
      <c r="A166" s="754">
        <v>16</v>
      </c>
      <c r="B166" s="278">
        <v>6</v>
      </c>
      <c r="C166" s="764" t="s">
        <v>330</v>
      </c>
      <c r="D166" s="761">
        <v>113562979.59</v>
      </c>
      <c r="E166" s="635">
        <v>112883362.72</v>
      </c>
      <c r="F166" s="279">
        <v>99.4</v>
      </c>
      <c r="G166" s="635">
        <v>119058281.22</v>
      </c>
      <c r="H166" s="635">
        <v>106366208.40000001</v>
      </c>
      <c r="I166" s="279">
        <v>89.3</v>
      </c>
      <c r="J166" s="635">
        <v>6517154.3199999928</v>
      </c>
      <c r="K166" s="635">
        <v>6346632</v>
      </c>
      <c r="L166" s="755">
        <v>5.6</v>
      </c>
    </row>
    <row r="167" spans="1:12">
      <c r="A167" s="754">
        <v>16</v>
      </c>
      <c r="B167" s="278">
        <v>7</v>
      </c>
      <c r="C167" s="764" t="s">
        <v>331</v>
      </c>
      <c r="D167" s="761">
        <v>298823230.00999999</v>
      </c>
      <c r="E167" s="635">
        <v>311889927.5</v>
      </c>
      <c r="F167" s="279">
        <v>104.4</v>
      </c>
      <c r="G167" s="635">
        <v>334572186.95999998</v>
      </c>
      <c r="H167" s="635">
        <v>305934071.37</v>
      </c>
      <c r="I167" s="279">
        <v>91.4</v>
      </c>
      <c r="J167" s="635">
        <v>5955856.1299999952</v>
      </c>
      <c r="K167" s="635">
        <v>90427586.319999993</v>
      </c>
      <c r="L167" s="755">
        <v>29</v>
      </c>
    </row>
    <row r="168" spans="1:12">
      <c r="A168" s="754">
        <v>16</v>
      </c>
      <c r="B168" s="278">
        <v>8</v>
      </c>
      <c r="C168" s="764" t="s">
        <v>332</v>
      </c>
      <c r="D168" s="761">
        <v>127973680.29000001</v>
      </c>
      <c r="E168" s="635">
        <v>128879376.34999999</v>
      </c>
      <c r="F168" s="279">
        <v>100.7</v>
      </c>
      <c r="G168" s="635">
        <v>130505048.55</v>
      </c>
      <c r="H168" s="635">
        <v>122347386.39</v>
      </c>
      <c r="I168" s="279">
        <v>93.7</v>
      </c>
      <c r="J168" s="635">
        <v>6531989.9599999934</v>
      </c>
      <c r="K168" s="635">
        <v>1720000</v>
      </c>
      <c r="L168" s="755">
        <v>1.3</v>
      </c>
    </row>
    <row r="169" spans="1:12">
      <c r="A169" s="754">
        <v>16</v>
      </c>
      <c r="B169" s="278">
        <v>9</v>
      </c>
      <c r="C169" s="764" t="s">
        <v>230</v>
      </c>
      <c r="D169" s="761">
        <v>183310679.52000001</v>
      </c>
      <c r="E169" s="635">
        <v>184299052.58000001</v>
      </c>
      <c r="F169" s="279">
        <v>100.5</v>
      </c>
      <c r="G169" s="635">
        <v>184799268.19</v>
      </c>
      <c r="H169" s="635">
        <v>174432757.40000001</v>
      </c>
      <c r="I169" s="279">
        <v>94.4</v>
      </c>
      <c r="J169" s="635">
        <v>9866295.1800000072</v>
      </c>
      <c r="K169" s="635">
        <v>0</v>
      </c>
      <c r="L169" s="755">
        <v>0</v>
      </c>
    </row>
    <row r="170" spans="1:12">
      <c r="A170" s="754">
        <v>16</v>
      </c>
      <c r="B170" s="278">
        <v>10</v>
      </c>
      <c r="C170" s="764" t="s">
        <v>333</v>
      </c>
      <c r="D170" s="761">
        <v>134532148.38</v>
      </c>
      <c r="E170" s="635">
        <v>134836039.93000001</v>
      </c>
      <c r="F170" s="279">
        <v>100.2</v>
      </c>
      <c r="G170" s="635">
        <v>140819570.24000001</v>
      </c>
      <c r="H170" s="635">
        <v>130957215.14</v>
      </c>
      <c r="I170" s="279">
        <v>93</v>
      </c>
      <c r="J170" s="635">
        <v>3878824.7900000066</v>
      </c>
      <c r="K170" s="635">
        <v>23952857.989999998</v>
      </c>
      <c r="L170" s="755">
        <v>17.8</v>
      </c>
    </row>
    <row r="171" spans="1:12">
      <c r="A171" s="754">
        <v>16</v>
      </c>
      <c r="B171" s="278">
        <v>11</v>
      </c>
      <c r="C171" s="764" t="s">
        <v>334</v>
      </c>
      <c r="D171" s="761">
        <v>188699270.33000001</v>
      </c>
      <c r="E171" s="635">
        <v>185870709.34</v>
      </c>
      <c r="F171" s="279">
        <v>98.5</v>
      </c>
      <c r="G171" s="635">
        <v>195951076.62</v>
      </c>
      <c r="H171" s="635">
        <v>181953039.75999999</v>
      </c>
      <c r="I171" s="279">
        <v>92.9</v>
      </c>
      <c r="J171" s="635">
        <v>3917669.5800000131</v>
      </c>
      <c r="K171" s="635">
        <v>24925723.920000002</v>
      </c>
      <c r="L171" s="755">
        <v>13.4</v>
      </c>
    </row>
    <row r="172" spans="1:12">
      <c r="A172" s="754">
        <v>18</v>
      </c>
      <c r="B172" s="278">
        <v>1</v>
      </c>
      <c r="C172" s="764" t="s">
        <v>335</v>
      </c>
      <c r="D172" s="761">
        <v>78045087.829999998</v>
      </c>
      <c r="E172" s="635">
        <v>77010092.469999999</v>
      </c>
      <c r="F172" s="279">
        <v>98.7</v>
      </c>
      <c r="G172" s="635">
        <v>79691874.540000007</v>
      </c>
      <c r="H172" s="635">
        <v>74061831.909999996</v>
      </c>
      <c r="I172" s="279">
        <v>92.9</v>
      </c>
      <c r="J172" s="635">
        <v>2948260.5600000024</v>
      </c>
      <c r="K172" s="635">
        <v>23634038.359999999</v>
      </c>
      <c r="L172" s="755">
        <v>30.7</v>
      </c>
    </row>
    <row r="173" spans="1:12">
      <c r="A173" s="754">
        <v>18</v>
      </c>
      <c r="B173" s="278">
        <v>2</v>
      </c>
      <c r="C173" s="764" t="s">
        <v>336</v>
      </c>
      <c r="D173" s="761">
        <v>187152550.44</v>
      </c>
      <c r="E173" s="635">
        <v>185107384.06</v>
      </c>
      <c r="F173" s="279">
        <v>98.9</v>
      </c>
      <c r="G173" s="635">
        <v>191664055.47999999</v>
      </c>
      <c r="H173" s="635">
        <v>168084004.25</v>
      </c>
      <c r="I173" s="279">
        <v>87.7</v>
      </c>
      <c r="J173" s="635">
        <v>17023379.810000002</v>
      </c>
      <c r="K173" s="635">
        <v>0</v>
      </c>
      <c r="L173" s="755">
        <v>0</v>
      </c>
    </row>
    <row r="174" spans="1:12">
      <c r="A174" s="754">
        <v>18</v>
      </c>
      <c r="B174" s="278">
        <v>3</v>
      </c>
      <c r="C174" s="764" t="s">
        <v>337</v>
      </c>
      <c r="D174" s="761">
        <v>260077056.61000001</v>
      </c>
      <c r="E174" s="635">
        <v>277651566.61000001</v>
      </c>
      <c r="F174" s="279">
        <v>106.8</v>
      </c>
      <c r="G174" s="635">
        <v>282417478.79000002</v>
      </c>
      <c r="H174" s="635">
        <v>262213744.55000001</v>
      </c>
      <c r="I174" s="279">
        <v>92.8</v>
      </c>
      <c r="J174" s="635">
        <v>15437822.060000002</v>
      </c>
      <c r="K174" s="635">
        <v>0</v>
      </c>
      <c r="L174" s="755">
        <v>0</v>
      </c>
    </row>
    <row r="175" spans="1:12">
      <c r="A175" s="754">
        <v>18</v>
      </c>
      <c r="B175" s="278">
        <v>4</v>
      </c>
      <c r="C175" s="764" t="s">
        <v>338</v>
      </c>
      <c r="D175" s="761">
        <v>371694396.10000002</v>
      </c>
      <c r="E175" s="635">
        <v>370532452.64999998</v>
      </c>
      <c r="F175" s="279">
        <v>99.7</v>
      </c>
      <c r="G175" s="635">
        <v>385637025.48000002</v>
      </c>
      <c r="H175" s="635">
        <v>352699518.26999998</v>
      </c>
      <c r="I175" s="279">
        <v>91.5</v>
      </c>
      <c r="J175" s="635">
        <v>17832934.379999995</v>
      </c>
      <c r="K175" s="635">
        <v>15000925.49</v>
      </c>
      <c r="L175" s="755">
        <v>4</v>
      </c>
    </row>
    <row r="176" spans="1:12">
      <c r="A176" s="754">
        <v>18</v>
      </c>
      <c r="B176" s="278">
        <v>5</v>
      </c>
      <c r="C176" s="764" t="s">
        <v>339</v>
      </c>
      <c r="D176" s="761">
        <v>275678622.38999999</v>
      </c>
      <c r="E176" s="635">
        <v>279495401.08999997</v>
      </c>
      <c r="F176" s="279">
        <v>101.4</v>
      </c>
      <c r="G176" s="635">
        <v>279834883.93000001</v>
      </c>
      <c r="H176" s="635">
        <v>263506078.53999999</v>
      </c>
      <c r="I176" s="279">
        <v>94.2</v>
      </c>
      <c r="J176" s="635">
        <v>15989322.549999982</v>
      </c>
      <c r="K176" s="635">
        <v>14240000</v>
      </c>
      <c r="L176" s="755">
        <v>5.0999999999999996</v>
      </c>
    </row>
    <row r="177" spans="1:12">
      <c r="A177" s="754">
        <v>18</v>
      </c>
      <c r="B177" s="278">
        <v>6</v>
      </c>
      <c r="C177" s="764" t="s">
        <v>340</v>
      </c>
      <c r="D177" s="761">
        <v>122370075.02</v>
      </c>
      <c r="E177" s="635">
        <v>112459759.51000001</v>
      </c>
      <c r="F177" s="279">
        <v>91.9</v>
      </c>
      <c r="G177" s="635">
        <v>123896075.02</v>
      </c>
      <c r="H177" s="635">
        <v>103666540.91</v>
      </c>
      <c r="I177" s="279">
        <v>83.7</v>
      </c>
      <c r="J177" s="635">
        <v>8793218.6000000089</v>
      </c>
      <c r="K177" s="635">
        <v>4370777</v>
      </c>
      <c r="L177" s="755">
        <v>3.9</v>
      </c>
    </row>
    <row r="178" spans="1:12">
      <c r="A178" s="754">
        <v>18</v>
      </c>
      <c r="B178" s="278">
        <v>7</v>
      </c>
      <c r="C178" s="764" t="s">
        <v>239</v>
      </c>
      <c r="D178" s="761">
        <v>218794057</v>
      </c>
      <c r="E178" s="635">
        <v>220068864.19</v>
      </c>
      <c r="F178" s="279">
        <v>100.6</v>
      </c>
      <c r="G178" s="635">
        <v>220672465.75999999</v>
      </c>
      <c r="H178" s="635">
        <v>198979037.36000001</v>
      </c>
      <c r="I178" s="279">
        <v>90.2</v>
      </c>
      <c r="J178" s="635">
        <v>21089826.829999983</v>
      </c>
      <c r="K178" s="635">
        <v>150000</v>
      </c>
      <c r="L178" s="755">
        <v>0.1</v>
      </c>
    </row>
    <row r="179" spans="1:12">
      <c r="A179" s="754">
        <v>18</v>
      </c>
      <c r="B179" s="278">
        <v>8</v>
      </c>
      <c r="C179" s="764" t="s">
        <v>341</v>
      </c>
      <c r="D179" s="761">
        <v>236686680.40000001</v>
      </c>
      <c r="E179" s="635">
        <v>240023402.09</v>
      </c>
      <c r="F179" s="279">
        <v>101.4</v>
      </c>
      <c r="G179" s="635">
        <v>247056546.91</v>
      </c>
      <c r="H179" s="635">
        <v>219012749.56</v>
      </c>
      <c r="I179" s="279">
        <v>88.6</v>
      </c>
      <c r="J179" s="635">
        <v>21010652.530000001</v>
      </c>
      <c r="K179" s="635">
        <v>0</v>
      </c>
      <c r="L179" s="755">
        <v>0</v>
      </c>
    </row>
    <row r="180" spans="1:12">
      <c r="A180" s="754">
        <v>18</v>
      </c>
      <c r="B180" s="278">
        <v>9</v>
      </c>
      <c r="C180" s="764" t="s">
        <v>342</v>
      </c>
      <c r="D180" s="761">
        <v>160660600.72</v>
      </c>
      <c r="E180" s="635">
        <v>157760962.71000001</v>
      </c>
      <c r="F180" s="279">
        <v>98.2</v>
      </c>
      <c r="G180" s="635">
        <v>164332255.72</v>
      </c>
      <c r="H180" s="635">
        <v>149184988.68000001</v>
      </c>
      <c r="I180" s="279">
        <v>90.8</v>
      </c>
      <c r="J180" s="635">
        <v>8575974.0300000012</v>
      </c>
      <c r="K180" s="635">
        <v>15230557.4</v>
      </c>
      <c r="L180" s="755">
        <v>9.6999999999999993</v>
      </c>
    </row>
    <row r="181" spans="1:12">
      <c r="A181" s="754">
        <v>18</v>
      </c>
      <c r="B181" s="278">
        <v>10</v>
      </c>
      <c r="C181" s="764" t="s">
        <v>343</v>
      </c>
      <c r="D181" s="761">
        <v>188643154.59</v>
      </c>
      <c r="E181" s="635">
        <v>189050259.47999999</v>
      </c>
      <c r="F181" s="279">
        <v>100.2</v>
      </c>
      <c r="G181" s="635">
        <v>202750566.83000001</v>
      </c>
      <c r="H181" s="635">
        <v>174978426.81999999</v>
      </c>
      <c r="I181" s="279">
        <v>86.3</v>
      </c>
      <c r="J181" s="635">
        <v>14071832.659999996</v>
      </c>
      <c r="K181" s="635">
        <v>3375000</v>
      </c>
      <c r="L181" s="755">
        <v>1.8</v>
      </c>
    </row>
    <row r="182" spans="1:12">
      <c r="A182" s="754">
        <v>18</v>
      </c>
      <c r="B182" s="278">
        <v>11</v>
      </c>
      <c r="C182" s="764" t="s">
        <v>344</v>
      </c>
      <c r="D182" s="761">
        <v>319521760.61000001</v>
      </c>
      <c r="E182" s="635">
        <v>320779985.04000002</v>
      </c>
      <c r="F182" s="279">
        <v>100.4</v>
      </c>
      <c r="G182" s="635">
        <v>332331953.99000001</v>
      </c>
      <c r="H182" s="635">
        <v>309182804.91000003</v>
      </c>
      <c r="I182" s="279">
        <v>93</v>
      </c>
      <c r="J182" s="635">
        <v>11597180.129999995</v>
      </c>
      <c r="K182" s="635">
        <v>18467153</v>
      </c>
      <c r="L182" s="755">
        <v>5.8</v>
      </c>
    </row>
    <row r="183" spans="1:12">
      <c r="A183" s="754">
        <v>18</v>
      </c>
      <c r="B183" s="278">
        <v>12</v>
      </c>
      <c r="C183" s="764" t="s">
        <v>345</v>
      </c>
      <c r="D183" s="761">
        <v>170069711.59</v>
      </c>
      <c r="E183" s="635">
        <v>165169082.56999999</v>
      </c>
      <c r="F183" s="279">
        <v>97.1</v>
      </c>
      <c r="G183" s="635">
        <v>179205358.90000001</v>
      </c>
      <c r="H183" s="635">
        <v>157242545.06</v>
      </c>
      <c r="I183" s="279">
        <v>87.7</v>
      </c>
      <c r="J183" s="635">
        <v>7926537.5099999905</v>
      </c>
      <c r="K183" s="635">
        <v>0</v>
      </c>
      <c r="L183" s="755">
        <v>0</v>
      </c>
    </row>
    <row r="184" spans="1:12">
      <c r="A184" s="754">
        <v>18</v>
      </c>
      <c r="B184" s="278">
        <v>13</v>
      </c>
      <c r="C184" s="764" t="s">
        <v>346</v>
      </c>
      <c r="D184" s="761">
        <v>128100057.17</v>
      </c>
      <c r="E184" s="635">
        <v>134961867.34999999</v>
      </c>
      <c r="F184" s="279">
        <v>105.4</v>
      </c>
      <c r="G184" s="635">
        <v>133918295.98</v>
      </c>
      <c r="H184" s="635">
        <v>101851593.68000001</v>
      </c>
      <c r="I184" s="279">
        <v>76.099999999999994</v>
      </c>
      <c r="J184" s="635">
        <v>33110273.669999987</v>
      </c>
      <c r="K184" s="635">
        <v>400000</v>
      </c>
      <c r="L184" s="755">
        <v>0.3</v>
      </c>
    </row>
    <row r="185" spans="1:12">
      <c r="A185" s="754">
        <v>18</v>
      </c>
      <c r="B185" s="278">
        <v>14</v>
      </c>
      <c r="C185" s="764" t="s">
        <v>347</v>
      </c>
      <c r="D185" s="761">
        <v>177194785.25</v>
      </c>
      <c r="E185" s="635">
        <v>176138523.87</v>
      </c>
      <c r="F185" s="279">
        <v>99.4</v>
      </c>
      <c r="G185" s="635">
        <v>177300933.41</v>
      </c>
      <c r="H185" s="635">
        <v>161459884</v>
      </c>
      <c r="I185" s="279">
        <v>91.1</v>
      </c>
      <c r="J185" s="635">
        <v>14678639.870000005</v>
      </c>
      <c r="K185" s="635">
        <v>35676258.780000001</v>
      </c>
      <c r="L185" s="755">
        <v>20.3</v>
      </c>
    </row>
    <row r="186" spans="1:12">
      <c r="A186" s="754">
        <v>18</v>
      </c>
      <c r="B186" s="278">
        <v>15</v>
      </c>
      <c r="C186" s="764" t="s">
        <v>348</v>
      </c>
      <c r="D186" s="761">
        <v>193505031.16</v>
      </c>
      <c r="E186" s="635">
        <v>188566718.75</v>
      </c>
      <c r="F186" s="279">
        <v>97.4</v>
      </c>
      <c r="G186" s="635">
        <v>204967790.88</v>
      </c>
      <c r="H186" s="635">
        <v>176902527.47</v>
      </c>
      <c r="I186" s="279">
        <v>86.3</v>
      </c>
      <c r="J186" s="635">
        <v>11664191.280000001</v>
      </c>
      <c r="K186" s="635">
        <v>10485194.800000001</v>
      </c>
      <c r="L186" s="755">
        <v>5.6</v>
      </c>
    </row>
    <row r="187" spans="1:12">
      <c r="A187" s="754">
        <v>18</v>
      </c>
      <c r="B187" s="278">
        <v>16</v>
      </c>
      <c r="C187" s="764" t="s">
        <v>349</v>
      </c>
      <c r="D187" s="761">
        <v>288836999.68000001</v>
      </c>
      <c r="E187" s="635">
        <v>293200561.93000001</v>
      </c>
      <c r="F187" s="279">
        <v>101.5</v>
      </c>
      <c r="G187" s="635">
        <v>291849453.25</v>
      </c>
      <c r="H187" s="635">
        <v>274834063.95999998</v>
      </c>
      <c r="I187" s="279">
        <v>94.2</v>
      </c>
      <c r="J187" s="635">
        <v>18366497.970000029</v>
      </c>
      <c r="K187" s="635">
        <v>10796703</v>
      </c>
      <c r="L187" s="755">
        <v>3.7</v>
      </c>
    </row>
    <row r="188" spans="1:12">
      <c r="A188" s="754">
        <v>18</v>
      </c>
      <c r="B188" s="278">
        <v>17</v>
      </c>
      <c r="C188" s="764" t="s">
        <v>350</v>
      </c>
      <c r="D188" s="761">
        <v>186067648.31999999</v>
      </c>
      <c r="E188" s="635">
        <v>180816952.46000001</v>
      </c>
      <c r="F188" s="279">
        <v>97.2</v>
      </c>
      <c r="G188" s="635">
        <v>207808235.18000001</v>
      </c>
      <c r="H188" s="635">
        <v>188515426.25999999</v>
      </c>
      <c r="I188" s="279">
        <v>90.7</v>
      </c>
      <c r="J188" s="635">
        <v>-7698473.7999999821</v>
      </c>
      <c r="K188" s="635">
        <v>52219083</v>
      </c>
      <c r="L188" s="755">
        <v>28.9</v>
      </c>
    </row>
    <row r="189" spans="1:12">
      <c r="A189" s="754">
        <v>18</v>
      </c>
      <c r="B189" s="278">
        <v>18</v>
      </c>
      <c r="C189" s="764" t="s">
        <v>351</v>
      </c>
      <c r="D189" s="761">
        <v>261314435.03999999</v>
      </c>
      <c r="E189" s="635">
        <v>255839354.47999999</v>
      </c>
      <c r="F189" s="279">
        <v>97.9</v>
      </c>
      <c r="G189" s="635">
        <v>281670982.93000001</v>
      </c>
      <c r="H189" s="635">
        <v>266540402.69</v>
      </c>
      <c r="I189" s="279">
        <v>94.6</v>
      </c>
      <c r="J189" s="635">
        <v>-10701048.210000008</v>
      </c>
      <c r="K189" s="635">
        <v>84585000</v>
      </c>
      <c r="L189" s="755">
        <v>33.1</v>
      </c>
    </row>
    <row r="190" spans="1:12">
      <c r="A190" s="754">
        <v>18</v>
      </c>
      <c r="B190" s="278">
        <v>19</v>
      </c>
      <c r="C190" s="764" t="s">
        <v>352</v>
      </c>
      <c r="D190" s="761">
        <v>194437336.31</v>
      </c>
      <c r="E190" s="635">
        <v>194320113.02000001</v>
      </c>
      <c r="F190" s="279">
        <v>99.9</v>
      </c>
      <c r="G190" s="635">
        <v>207802381.59</v>
      </c>
      <c r="H190" s="635">
        <v>201504036.56999999</v>
      </c>
      <c r="I190" s="279">
        <v>97</v>
      </c>
      <c r="J190" s="635">
        <v>-7183923.5499999821</v>
      </c>
      <c r="K190" s="635">
        <v>37487263</v>
      </c>
      <c r="L190" s="755">
        <v>19.3</v>
      </c>
    </row>
    <row r="191" spans="1:12">
      <c r="A191" s="754">
        <v>18</v>
      </c>
      <c r="B191" s="278">
        <v>20</v>
      </c>
      <c r="C191" s="764" t="s">
        <v>353</v>
      </c>
      <c r="D191" s="761">
        <v>113418292</v>
      </c>
      <c r="E191" s="635">
        <v>110250147.17</v>
      </c>
      <c r="F191" s="279">
        <v>97.2</v>
      </c>
      <c r="G191" s="635">
        <v>121743686</v>
      </c>
      <c r="H191" s="635">
        <v>115513089.19</v>
      </c>
      <c r="I191" s="279">
        <v>94.9</v>
      </c>
      <c r="J191" s="635">
        <v>-5262942.0199999958</v>
      </c>
      <c r="K191" s="635">
        <v>3140000</v>
      </c>
      <c r="L191" s="755">
        <v>2.8</v>
      </c>
    </row>
    <row r="192" spans="1:12">
      <c r="A192" s="754">
        <v>18</v>
      </c>
      <c r="B192" s="278">
        <v>21</v>
      </c>
      <c r="C192" s="764" t="s">
        <v>354</v>
      </c>
      <c r="D192" s="761">
        <v>76354748.209999993</v>
      </c>
      <c r="E192" s="635">
        <v>76375255.560000002</v>
      </c>
      <c r="F192" s="279">
        <v>100</v>
      </c>
      <c r="G192" s="635">
        <v>73798663.280000001</v>
      </c>
      <c r="H192" s="635">
        <v>71974169.859999999</v>
      </c>
      <c r="I192" s="279">
        <v>97.5</v>
      </c>
      <c r="J192" s="635">
        <v>4401085.700000003</v>
      </c>
      <c r="K192" s="635">
        <v>2860214.2</v>
      </c>
      <c r="L192" s="755">
        <v>3.7</v>
      </c>
    </row>
    <row r="193" spans="1:12">
      <c r="A193" s="754">
        <v>20</v>
      </c>
      <c r="B193" s="278">
        <v>1</v>
      </c>
      <c r="C193" s="764" t="s">
        <v>355</v>
      </c>
      <c r="D193" s="761">
        <v>141302308</v>
      </c>
      <c r="E193" s="635">
        <v>137305006.86000001</v>
      </c>
      <c r="F193" s="279">
        <v>97.2</v>
      </c>
      <c r="G193" s="635">
        <v>146324805</v>
      </c>
      <c r="H193" s="635">
        <v>131774933.84999999</v>
      </c>
      <c r="I193" s="279">
        <v>90.1</v>
      </c>
      <c r="J193" s="635">
        <v>5530073.0100000203</v>
      </c>
      <c r="K193" s="635">
        <v>5836000</v>
      </c>
      <c r="L193" s="755">
        <v>4.3</v>
      </c>
    </row>
    <row r="194" spans="1:12">
      <c r="A194" s="754">
        <v>20</v>
      </c>
      <c r="B194" s="278">
        <v>2</v>
      </c>
      <c r="C194" s="764" t="s">
        <v>356</v>
      </c>
      <c r="D194" s="761">
        <v>278337185.26999998</v>
      </c>
      <c r="E194" s="635">
        <v>286174306.76999998</v>
      </c>
      <c r="F194" s="279">
        <v>102.8</v>
      </c>
      <c r="G194" s="635">
        <v>292352458.06999999</v>
      </c>
      <c r="H194" s="635">
        <v>265426863.16</v>
      </c>
      <c r="I194" s="279">
        <v>90.8</v>
      </c>
      <c r="J194" s="635">
        <v>20747443.609999985</v>
      </c>
      <c r="K194" s="635">
        <v>29601411.84</v>
      </c>
      <c r="L194" s="755">
        <v>10.3</v>
      </c>
    </row>
    <row r="195" spans="1:12">
      <c r="A195" s="754">
        <v>20</v>
      </c>
      <c r="B195" s="278">
        <v>3</v>
      </c>
      <c r="C195" s="764" t="s">
        <v>357</v>
      </c>
      <c r="D195" s="761">
        <v>118571256.48999999</v>
      </c>
      <c r="E195" s="635">
        <v>121151735.55</v>
      </c>
      <c r="F195" s="279">
        <v>102.2</v>
      </c>
      <c r="G195" s="635">
        <v>123874299.41</v>
      </c>
      <c r="H195" s="635">
        <v>115860682.78</v>
      </c>
      <c r="I195" s="279">
        <v>93.5</v>
      </c>
      <c r="J195" s="635">
        <v>5291052.7699999958</v>
      </c>
      <c r="K195" s="635">
        <v>0</v>
      </c>
      <c r="L195" s="755">
        <v>0</v>
      </c>
    </row>
    <row r="196" spans="1:12">
      <c r="A196" s="754">
        <v>20</v>
      </c>
      <c r="B196" s="278">
        <v>4</v>
      </c>
      <c r="C196" s="764" t="s">
        <v>358</v>
      </c>
      <c r="D196" s="761">
        <v>154212532</v>
      </c>
      <c r="E196" s="635">
        <v>160420768.41</v>
      </c>
      <c r="F196" s="279">
        <v>104</v>
      </c>
      <c r="G196" s="635">
        <v>155784615</v>
      </c>
      <c r="H196" s="635">
        <v>150483675.55000001</v>
      </c>
      <c r="I196" s="279">
        <v>96.6</v>
      </c>
      <c r="J196" s="635">
        <v>9937092.8599999845</v>
      </c>
      <c r="K196" s="635">
        <v>8179.62</v>
      </c>
      <c r="L196" s="755">
        <v>0</v>
      </c>
    </row>
    <row r="197" spans="1:12">
      <c r="A197" s="754">
        <v>20</v>
      </c>
      <c r="B197" s="278">
        <v>5</v>
      </c>
      <c r="C197" s="764" t="s">
        <v>359</v>
      </c>
      <c r="D197" s="761">
        <v>124209454.93000001</v>
      </c>
      <c r="E197" s="635">
        <v>124220614.76000001</v>
      </c>
      <c r="F197" s="279">
        <v>100</v>
      </c>
      <c r="G197" s="635">
        <v>123116107.43000001</v>
      </c>
      <c r="H197" s="635">
        <v>116078739.34</v>
      </c>
      <c r="I197" s="279">
        <v>94.3</v>
      </c>
      <c r="J197" s="635">
        <v>8141875.4200000018</v>
      </c>
      <c r="K197" s="635">
        <v>14114984</v>
      </c>
      <c r="L197" s="755">
        <v>11.4</v>
      </c>
    </row>
    <row r="198" spans="1:12">
      <c r="A198" s="754">
        <v>20</v>
      </c>
      <c r="B198" s="278">
        <v>6</v>
      </c>
      <c r="C198" s="764" t="s">
        <v>360</v>
      </c>
      <c r="D198" s="761">
        <v>77718648.879999995</v>
      </c>
      <c r="E198" s="635">
        <v>84658493.090000004</v>
      </c>
      <c r="F198" s="279">
        <v>108.9</v>
      </c>
      <c r="G198" s="635">
        <v>77945636.609999999</v>
      </c>
      <c r="H198" s="635">
        <v>63577579.719999999</v>
      </c>
      <c r="I198" s="279">
        <v>81.599999999999994</v>
      </c>
      <c r="J198" s="635">
        <v>21080913.370000005</v>
      </c>
      <c r="K198" s="635">
        <v>0</v>
      </c>
      <c r="L198" s="755">
        <v>0</v>
      </c>
    </row>
    <row r="199" spans="1:12">
      <c r="A199" s="754">
        <v>20</v>
      </c>
      <c r="B199" s="278">
        <v>7</v>
      </c>
      <c r="C199" s="764" t="s">
        <v>361</v>
      </c>
      <c r="D199" s="761">
        <v>80650163.269999996</v>
      </c>
      <c r="E199" s="635">
        <v>81556842.379999995</v>
      </c>
      <c r="F199" s="279">
        <v>101.1</v>
      </c>
      <c r="G199" s="635">
        <v>92940331.200000003</v>
      </c>
      <c r="H199" s="635">
        <v>84647739.379999995</v>
      </c>
      <c r="I199" s="279">
        <v>91.1</v>
      </c>
      <c r="J199" s="635">
        <v>-3090897</v>
      </c>
      <c r="K199" s="635">
        <v>0</v>
      </c>
      <c r="L199" s="755">
        <v>0</v>
      </c>
    </row>
    <row r="200" spans="1:12">
      <c r="A200" s="754">
        <v>20</v>
      </c>
      <c r="B200" s="278">
        <v>8</v>
      </c>
      <c r="C200" s="764" t="s">
        <v>362</v>
      </c>
      <c r="D200" s="761">
        <v>122649438</v>
      </c>
      <c r="E200" s="635">
        <v>122216053.92</v>
      </c>
      <c r="F200" s="279">
        <v>99.6</v>
      </c>
      <c r="G200" s="635">
        <v>136787221</v>
      </c>
      <c r="H200" s="635">
        <v>129980753.34</v>
      </c>
      <c r="I200" s="279">
        <v>95</v>
      </c>
      <c r="J200" s="635">
        <v>-7764699.4200000018</v>
      </c>
      <c r="K200" s="635">
        <v>8219096</v>
      </c>
      <c r="L200" s="755">
        <v>6.7</v>
      </c>
    </row>
    <row r="201" spans="1:12">
      <c r="A201" s="754">
        <v>20</v>
      </c>
      <c r="B201" s="278">
        <v>9</v>
      </c>
      <c r="C201" s="764" t="s">
        <v>363</v>
      </c>
      <c r="D201" s="761">
        <v>53456872</v>
      </c>
      <c r="E201" s="635">
        <v>54605194.520000003</v>
      </c>
      <c r="F201" s="279">
        <v>102.1</v>
      </c>
      <c r="G201" s="635">
        <v>58968802</v>
      </c>
      <c r="H201" s="635">
        <v>53268110.079999998</v>
      </c>
      <c r="I201" s="279">
        <v>90.3</v>
      </c>
      <c r="J201" s="635">
        <v>1337084.4400000051</v>
      </c>
      <c r="K201" s="635">
        <v>315563</v>
      </c>
      <c r="L201" s="755">
        <v>0.6</v>
      </c>
    </row>
    <row r="202" spans="1:12">
      <c r="A202" s="754">
        <v>20</v>
      </c>
      <c r="B202" s="278">
        <v>10</v>
      </c>
      <c r="C202" s="764" t="s">
        <v>364</v>
      </c>
      <c r="D202" s="761">
        <v>183824215.21000001</v>
      </c>
      <c r="E202" s="635">
        <v>177487387.59999999</v>
      </c>
      <c r="F202" s="279">
        <v>96.6</v>
      </c>
      <c r="G202" s="635">
        <v>184203289.56</v>
      </c>
      <c r="H202" s="635">
        <v>175840281.91999999</v>
      </c>
      <c r="I202" s="279">
        <v>95.5</v>
      </c>
      <c r="J202" s="635">
        <v>1647105.6800000072</v>
      </c>
      <c r="K202" s="635">
        <v>14860000</v>
      </c>
      <c r="L202" s="755">
        <v>8.4</v>
      </c>
    </row>
    <row r="203" spans="1:12">
      <c r="A203" s="754">
        <v>20</v>
      </c>
      <c r="B203" s="278">
        <v>11</v>
      </c>
      <c r="C203" s="764" t="s">
        <v>365</v>
      </c>
      <c r="D203" s="761">
        <v>238860332.71000001</v>
      </c>
      <c r="E203" s="635">
        <v>215641849.30000001</v>
      </c>
      <c r="F203" s="279">
        <v>90.3</v>
      </c>
      <c r="G203" s="635">
        <v>259109810.65000001</v>
      </c>
      <c r="H203" s="635">
        <v>218976096.27000001</v>
      </c>
      <c r="I203" s="279">
        <v>84.5</v>
      </c>
      <c r="J203" s="635">
        <v>-3334246.9699999988</v>
      </c>
      <c r="K203" s="635">
        <v>54300000</v>
      </c>
      <c r="L203" s="755">
        <v>25.2</v>
      </c>
    </row>
    <row r="204" spans="1:12">
      <c r="A204" s="754">
        <v>20</v>
      </c>
      <c r="B204" s="278">
        <v>12</v>
      </c>
      <c r="C204" s="764" t="s">
        <v>366</v>
      </c>
      <c r="D204" s="761">
        <v>63755565.329999998</v>
      </c>
      <c r="E204" s="635">
        <v>64346659.609999999</v>
      </c>
      <c r="F204" s="279">
        <v>100.9</v>
      </c>
      <c r="G204" s="635">
        <v>66427241.859999999</v>
      </c>
      <c r="H204" s="635">
        <v>57321876.640000001</v>
      </c>
      <c r="I204" s="279">
        <v>86.3</v>
      </c>
      <c r="J204" s="635">
        <v>7024782.9699999988</v>
      </c>
      <c r="K204" s="635">
        <v>840000</v>
      </c>
      <c r="L204" s="755">
        <v>1.3</v>
      </c>
    </row>
    <row r="205" spans="1:12">
      <c r="A205" s="754">
        <v>20</v>
      </c>
      <c r="B205" s="278">
        <v>13</v>
      </c>
      <c r="C205" s="764" t="s">
        <v>367</v>
      </c>
      <c r="D205" s="761">
        <v>189257715.75999999</v>
      </c>
      <c r="E205" s="635">
        <v>175087291.16</v>
      </c>
      <c r="F205" s="279">
        <v>92.5</v>
      </c>
      <c r="G205" s="635">
        <v>214384666.21000001</v>
      </c>
      <c r="H205" s="635">
        <v>183185069.08000001</v>
      </c>
      <c r="I205" s="279">
        <v>85.4</v>
      </c>
      <c r="J205" s="635">
        <v>-8097777.9200000167</v>
      </c>
      <c r="K205" s="635">
        <v>0</v>
      </c>
      <c r="L205" s="755">
        <v>0</v>
      </c>
    </row>
    <row r="206" spans="1:12">
      <c r="A206" s="754">
        <v>20</v>
      </c>
      <c r="B206" s="278">
        <v>14</v>
      </c>
      <c r="C206" s="764" t="s">
        <v>368</v>
      </c>
      <c r="D206" s="761">
        <v>111930897.42</v>
      </c>
      <c r="E206" s="635">
        <v>113105260.72</v>
      </c>
      <c r="F206" s="279">
        <v>101</v>
      </c>
      <c r="G206" s="635">
        <v>112613035.52</v>
      </c>
      <c r="H206" s="635">
        <v>104193484.98999999</v>
      </c>
      <c r="I206" s="279">
        <v>92.5</v>
      </c>
      <c r="J206" s="635">
        <v>8911775.7300000042</v>
      </c>
      <c r="K206" s="635">
        <v>5339718.12</v>
      </c>
      <c r="L206" s="755">
        <v>4.7</v>
      </c>
    </row>
    <row r="207" spans="1:12">
      <c r="A207" s="754">
        <v>22</v>
      </c>
      <c r="B207" s="278">
        <v>1</v>
      </c>
      <c r="C207" s="764" t="s">
        <v>369</v>
      </c>
      <c r="D207" s="761">
        <v>236604999.47</v>
      </c>
      <c r="E207" s="635">
        <v>232139375.5</v>
      </c>
      <c r="F207" s="279">
        <v>98.1</v>
      </c>
      <c r="G207" s="635">
        <v>245589701.47</v>
      </c>
      <c r="H207" s="635">
        <v>223681574.80000001</v>
      </c>
      <c r="I207" s="279">
        <v>91.1</v>
      </c>
      <c r="J207" s="635">
        <v>8457800.6999999881</v>
      </c>
      <c r="K207" s="635">
        <v>29583016.739999998</v>
      </c>
      <c r="L207" s="755">
        <v>12.7</v>
      </c>
    </row>
    <row r="208" spans="1:12">
      <c r="A208" s="754">
        <v>22</v>
      </c>
      <c r="B208" s="278">
        <v>2</v>
      </c>
      <c r="C208" s="764" t="s">
        <v>370</v>
      </c>
      <c r="D208" s="761">
        <v>269337818.79000002</v>
      </c>
      <c r="E208" s="635">
        <v>271304434.20999998</v>
      </c>
      <c r="F208" s="279">
        <v>100.7</v>
      </c>
      <c r="G208" s="635">
        <v>274337818.79000002</v>
      </c>
      <c r="H208" s="635">
        <v>258475867.80000001</v>
      </c>
      <c r="I208" s="279">
        <v>94.2</v>
      </c>
      <c r="J208" s="635">
        <v>12828566.409999967</v>
      </c>
      <c r="K208" s="635">
        <v>13900000</v>
      </c>
      <c r="L208" s="755">
        <v>5.0999999999999996</v>
      </c>
    </row>
    <row r="209" spans="1:12">
      <c r="A209" s="754">
        <v>22</v>
      </c>
      <c r="B209" s="278">
        <v>3</v>
      </c>
      <c r="C209" s="764" t="s">
        <v>371</v>
      </c>
      <c r="D209" s="761">
        <v>232015492.49000001</v>
      </c>
      <c r="E209" s="635">
        <v>228082738.40000001</v>
      </c>
      <c r="F209" s="279">
        <v>98.3</v>
      </c>
      <c r="G209" s="635">
        <v>239008026.24000001</v>
      </c>
      <c r="H209" s="635">
        <v>227804291.36000001</v>
      </c>
      <c r="I209" s="279">
        <v>95.3</v>
      </c>
      <c r="J209" s="635">
        <v>278447.03999999166</v>
      </c>
      <c r="K209" s="635">
        <v>47915592.659999996</v>
      </c>
      <c r="L209" s="755">
        <v>21</v>
      </c>
    </row>
    <row r="210" spans="1:12">
      <c r="A210" s="754">
        <v>22</v>
      </c>
      <c r="B210" s="278">
        <v>4</v>
      </c>
      <c r="C210" s="764" t="s">
        <v>372</v>
      </c>
      <c r="D210" s="761">
        <v>250596134.72999999</v>
      </c>
      <c r="E210" s="635">
        <v>250097143.63</v>
      </c>
      <c r="F210" s="279">
        <v>99.8</v>
      </c>
      <c r="G210" s="635">
        <v>254660198.63999999</v>
      </c>
      <c r="H210" s="635">
        <v>222386853.80000001</v>
      </c>
      <c r="I210" s="279">
        <v>87.3</v>
      </c>
      <c r="J210" s="635">
        <v>27710289.829999983</v>
      </c>
      <c r="K210" s="635">
        <v>15600000</v>
      </c>
      <c r="L210" s="755">
        <v>6.2</v>
      </c>
    </row>
    <row r="211" spans="1:12">
      <c r="A211" s="754">
        <v>22</v>
      </c>
      <c r="B211" s="278">
        <v>5</v>
      </c>
      <c r="C211" s="764" t="s">
        <v>373</v>
      </c>
      <c r="D211" s="761">
        <v>309274061</v>
      </c>
      <c r="E211" s="635">
        <v>304792999.75999999</v>
      </c>
      <c r="F211" s="279">
        <v>98.6</v>
      </c>
      <c r="G211" s="635">
        <v>332088975</v>
      </c>
      <c r="H211" s="635">
        <v>310068883.05000001</v>
      </c>
      <c r="I211" s="279">
        <v>93.4</v>
      </c>
      <c r="J211" s="635">
        <v>-5275883.2900000215</v>
      </c>
      <c r="K211" s="635">
        <v>69000000</v>
      </c>
      <c r="L211" s="755">
        <v>22.6</v>
      </c>
    </row>
    <row r="212" spans="1:12">
      <c r="A212" s="754">
        <v>22</v>
      </c>
      <c r="B212" s="278">
        <v>6</v>
      </c>
      <c r="C212" s="764" t="s">
        <v>374</v>
      </c>
      <c r="D212" s="761">
        <v>178118311.05000001</v>
      </c>
      <c r="E212" s="635">
        <v>175552145.91999999</v>
      </c>
      <c r="F212" s="279">
        <v>98.6</v>
      </c>
      <c r="G212" s="635">
        <v>176283208.80000001</v>
      </c>
      <c r="H212" s="635">
        <v>166694565.68000001</v>
      </c>
      <c r="I212" s="279">
        <v>94.6</v>
      </c>
      <c r="J212" s="635">
        <v>8857580.2399999797</v>
      </c>
      <c r="K212" s="635">
        <v>12183531.560000001</v>
      </c>
      <c r="L212" s="755">
        <v>6.9</v>
      </c>
    </row>
    <row r="213" spans="1:12">
      <c r="A213" s="754">
        <v>22</v>
      </c>
      <c r="B213" s="278">
        <v>7</v>
      </c>
      <c r="C213" s="764" t="s">
        <v>375</v>
      </c>
      <c r="D213" s="761">
        <v>217670343</v>
      </c>
      <c r="E213" s="635">
        <v>216310252.00999999</v>
      </c>
      <c r="F213" s="279">
        <v>99.4</v>
      </c>
      <c r="G213" s="635">
        <v>225719869</v>
      </c>
      <c r="H213" s="635">
        <v>208409293.46000001</v>
      </c>
      <c r="I213" s="279">
        <v>92.3</v>
      </c>
      <c r="J213" s="635">
        <v>7900958.5499999821</v>
      </c>
      <c r="K213" s="635">
        <v>0</v>
      </c>
      <c r="L213" s="755">
        <v>0</v>
      </c>
    </row>
    <row r="214" spans="1:12">
      <c r="A214" s="754">
        <v>22</v>
      </c>
      <c r="B214" s="278">
        <v>8</v>
      </c>
      <c r="C214" s="764" t="s">
        <v>376</v>
      </c>
      <c r="D214" s="761">
        <v>186999469</v>
      </c>
      <c r="E214" s="635">
        <v>185178691.94999999</v>
      </c>
      <c r="F214" s="279">
        <v>99</v>
      </c>
      <c r="G214" s="635">
        <v>203482127</v>
      </c>
      <c r="H214" s="635">
        <v>184815402.80000001</v>
      </c>
      <c r="I214" s="279">
        <v>90.8</v>
      </c>
      <c r="J214" s="635">
        <v>363289.14999997616</v>
      </c>
      <c r="K214" s="635">
        <v>14900000</v>
      </c>
      <c r="L214" s="755">
        <v>8</v>
      </c>
    </row>
    <row r="215" spans="1:12">
      <c r="A215" s="754">
        <v>22</v>
      </c>
      <c r="B215" s="278">
        <v>9</v>
      </c>
      <c r="C215" s="764" t="s">
        <v>377</v>
      </c>
      <c r="D215" s="761">
        <v>185717428.44</v>
      </c>
      <c r="E215" s="635">
        <v>181061062</v>
      </c>
      <c r="F215" s="279">
        <v>97.5</v>
      </c>
      <c r="G215" s="635">
        <v>192364160.44</v>
      </c>
      <c r="H215" s="635">
        <v>172006670.81</v>
      </c>
      <c r="I215" s="279">
        <v>89.4</v>
      </c>
      <c r="J215" s="635">
        <v>9054391.1899999976</v>
      </c>
      <c r="K215" s="635">
        <v>30921554.079999998</v>
      </c>
      <c r="L215" s="755">
        <v>17.100000000000001</v>
      </c>
    </row>
    <row r="216" spans="1:12">
      <c r="A216" s="754">
        <v>22</v>
      </c>
      <c r="B216" s="278">
        <v>10</v>
      </c>
      <c r="C216" s="764" t="s">
        <v>302</v>
      </c>
      <c r="D216" s="761">
        <v>97983293.920000002</v>
      </c>
      <c r="E216" s="635">
        <v>99683041.150000006</v>
      </c>
      <c r="F216" s="279">
        <v>101.7</v>
      </c>
      <c r="G216" s="635">
        <v>100499494.40000001</v>
      </c>
      <c r="H216" s="635">
        <v>92021824.040000007</v>
      </c>
      <c r="I216" s="279">
        <v>91.6</v>
      </c>
      <c r="J216" s="635">
        <v>7661217.1099999994</v>
      </c>
      <c r="K216" s="635">
        <v>16463050.6</v>
      </c>
      <c r="L216" s="755">
        <v>16.5</v>
      </c>
    </row>
    <row r="217" spans="1:12">
      <c r="A217" s="754">
        <v>22</v>
      </c>
      <c r="B217" s="278">
        <v>11</v>
      </c>
      <c r="C217" s="764" t="s">
        <v>378</v>
      </c>
      <c r="D217" s="761">
        <v>196473880</v>
      </c>
      <c r="E217" s="635">
        <v>195934557.25999999</v>
      </c>
      <c r="F217" s="279">
        <v>99.7</v>
      </c>
      <c r="G217" s="635">
        <v>208876208</v>
      </c>
      <c r="H217" s="635">
        <v>197017199.90000001</v>
      </c>
      <c r="I217" s="279">
        <v>94.3</v>
      </c>
      <c r="J217" s="635">
        <v>-1082642.6400000155</v>
      </c>
      <c r="K217" s="635">
        <v>21200000</v>
      </c>
      <c r="L217" s="755">
        <v>10.8</v>
      </c>
    </row>
    <row r="218" spans="1:12">
      <c r="A218" s="754">
        <v>22</v>
      </c>
      <c r="B218" s="278">
        <v>12</v>
      </c>
      <c r="C218" s="764" t="s">
        <v>379</v>
      </c>
      <c r="D218" s="761">
        <v>263440585.62</v>
      </c>
      <c r="E218" s="635">
        <v>252602375.15000001</v>
      </c>
      <c r="F218" s="279">
        <v>95.9</v>
      </c>
      <c r="G218" s="635">
        <v>284693974.99000001</v>
      </c>
      <c r="H218" s="635">
        <v>254245336.63999999</v>
      </c>
      <c r="I218" s="279">
        <v>89.3</v>
      </c>
      <c r="J218" s="635">
        <v>-1642961.4899999797</v>
      </c>
      <c r="K218" s="635">
        <v>31768000</v>
      </c>
      <c r="L218" s="755">
        <v>12.6</v>
      </c>
    </row>
    <row r="219" spans="1:12">
      <c r="A219" s="754">
        <v>22</v>
      </c>
      <c r="B219" s="278">
        <v>13</v>
      </c>
      <c r="C219" s="764" t="s">
        <v>380</v>
      </c>
      <c r="D219" s="761">
        <v>344012286.56</v>
      </c>
      <c r="E219" s="635">
        <v>334536492.12</v>
      </c>
      <c r="F219" s="279">
        <v>97.2</v>
      </c>
      <c r="G219" s="635">
        <v>357680015.56</v>
      </c>
      <c r="H219" s="635">
        <v>334566139.55000001</v>
      </c>
      <c r="I219" s="279">
        <v>93.5</v>
      </c>
      <c r="J219" s="635">
        <v>-29647.430000007153</v>
      </c>
      <c r="K219" s="635">
        <v>92740454.239999995</v>
      </c>
      <c r="L219" s="755">
        <v>27.7</v>
      </c>
    </row>
    <row r="220" spans="1:12">
      <c r="A220" s="754">
        <v>22</v>
      </c>
      <c r="B220" s="278">
        <v>14</v>
      </c>
      <c r="C220" s="764" t="s">
        <v>381</v>
      </c>
      <c r="D220" s="761">
        <v>322796440.13999999</v>
      </c>
      <c r="E220" s="635">
        <v>320487038.93000001</v>
      </c>
      <c r="F220" s="279">
        <v>99.3</v>
      </c>
      <c r="G220" s="635">
        <v>320596440.13999999</v>
      </c>
      <c r="H220" s="635">
        <v>306444252.44</v>
      </c>
      <c r="I220" s="279">
        <v>95.6</v>
      </c>
      <c r="J220" s="635">
        <v>14042786.49000001</v>
      </c>
      <c r="K220" s="635">
        <v>40500000</v>
      </c>
      <c r="L220" s="755">
        <v>12.6</v>
      </c>
    </row>
    <row r="221" spans="1:12">
      <c r="A221" s="754">
        <v>22</v>
      </c>
      <c r="B221" s="278">
        <v>15</v>
      </c>
      <c r="C221" s="764" t="s">
        <v>382</v>
      </c>
      <c r="D221" s="761">
        <v>449408824.11000001</v>
      </c>
      <c r="E221" s="635">
        <v>460740967.74000001</v>
      </c>
      <c r="F221" s="279">
        <v>102.5</v>
      </c>
      <c r="G221" s="635">
        <v>515940775.11000001</v>
      </c>
      <c r="H221" s="635">
        <v>477381940.56</v>
      </c>
      <c r="I221" s="279">
        <v>92.5</v>
      </c>
      <c r="J221" s="635">
        <v>-16640972.819999993</v>
      </c>
      <c r="K221" s="635">
        <v>35223000</v>
      </c>
      <c r="L221" s="755">
        <v>7.6</v>
      </c>
    </row>
    <row r="222" spans="1:12">
      <c r="A222" s="754">
        <v>22</v>
      </c>
      <c r="B222" s="278">
        <v>16</v>
      </c>
      <c r="C222" s="764" t="s">
        <v>383</v>
      </c>
      <c r="D222" s="761">
        <v>97979000</v>
      </c>
      <c r="E222" s="635">
        <v>96511441.510000005</v>
      </c>
      <c r="F222" s="279">
        <v>98.5</v>
      </c>
      <c r="G222" s="635">
        <v>103962100</v>
      </c>
      <c r="H222" s="635">
        <v>94787802.730000004</v>
      </c>
      <c r="I222" s="279">
        <v>91.2</v>
      </c>
      <c r="J222" s="635">
        <v>1723638.7800000012</v>
      </c>
      <c r="K222" s="635">
        <v>2720000</v>
      </c>
      <c r="L222" s="755">
        <v>2.8</v>
      </c>
    </row>
    <row r="223" spans="1:12">
      <c r="A223" s="754">
        <v>24</v>
      </c>
      <c r="B223" s="278">
        <v>1</v>
      </c>
      <c r="C223" s="764" t="s">
        <v>384</v>
      </c>
      <c r="D223" s="761">
        <v>271470927.82999998</v>
      </c>
      <c r="E223" s="635">
        <v>267279079.83000001</v>
      </c>
      <c r="F223" s="279">
        <v>98.5</v>
      </c>
      <c r="G223" s="635">
        <v>272601674.89999998</v>
      </c>
      <c r="H223" s="635">
        <v>253223993.5</v>
      </c>
      <c r="I223" s="279">
        <v>92.9</v>
      </c>
      <c r="J223" s="635">
        <v>14055086.330000013</v>
      </c>
      <c r="K223" s="635">
        <v>9000000</v>
      </c>
      <c r="L223" s="755">
        <v>3.4</v>
      </c>
    </row>
    <row r="224" spans="1:12">
      <c r="A224" s="754">
        <v>24</v>
      </c>
      <c r="B224" s="278">
        <v>2</v>
      </c>
      <c r="C224" s="764" t="s">
        <v>357</v>
      </c>
      <c r="D224" s="761">
        <v>258721801.94999999</v>
      </c>
      <c r="E224" s="635">
        <v>278124548.25999999</v>
      </c>
      <c r="F224" s="279">
        <v>107.5</v>
      </c>
      <c r="G224" s="635">
        <v>288986597.13</v>
      </c>
      <c r="H224" s="635">
        <v>249445723.09999999</v>
      </c>
      <c r="I224" s="279">
        <v>86.3</v>
      </c>
      <c r="J224" s="635">
        <v>28678825.159999996</v>
      </c>
      <c r="K224" s="635">
        <v>0</v>
      </c>
      <c r="L224" s="755">
        <v>0</v>
      </c>
    </row>
    <row r="225" spans="1:12">
      <c r="A225" s="754">
        <v>24</v>
      </c>
      <c r="B225" s="278">
        <v>3</v>
      </c>
      <c r="C225" s="764" t="s">
        <v>385</v>
      </c>
      <c r="D225" s="761">
        <v>435139792</v>
      </c>
      <c r="E225" s="635">
        <v>409285941.32999998</v>
      </c>
      <c r="F225" s="279">
        <v>94.1</v>
      </c>
      <c r="G225" s="635">
        <v>445652744</v>
      </c>
      <c r="H225" s="635">
        <v>417816977.07999998</v>
      </c>
      <c r="I225" s="279">
        <v>93.8</v>
      </c>
      <c r="J225" s="635">
        <v>-8531035.75</v>
      </c>
      <c r="K225" s="635">
        <v>0</v>
      </c>
      <c r="L225" s="755">
        <v>0</v>
      </c>
    </row>
    <row r="226" spans="1:12">
      <c r="A226" s="754">
        <v>24</v>
      </c>
      <c r="B226" s="278">
        <v>4</v>
      </c>
      <c r="C226" s="764" t="s">
        <v>386</v>
      </c>
      <c r="D226" s="761">
        <v>207477016.38999999</v>
      </c>
      <c r="E226" s="635">
        <v>209797200.78999999</v>
      </c>
      <c r="F226" s="279">
        <v>101.1</v>
      </c>
      <c r="G226" s="635">
        <v>217681739.38999999</v>
      </c>
      <c r="H226" s="635">
        <v>205274398.38999999</v>
      </c>
      <c r="I226" s="279">
        <v>94.3</v>
      </c>
      <c r="J226" s="635">
        <v>4522802.400000006</v>
      </c>
      <c r="K226" s="635">
        <v>17712827.600000001</v>
      </c>
      <c r="L226" s="755">
        <v>8.4</v>
      </c>
    </row>
    <row r="227" spans="1:12">
      <c r="A227" s="754">
        <v>24</v>
      </c>
      <c r="B227" s="278">
        <v>5</v>
      </c>
      <c r="C227" s="764" t="s">
        <v>387</v>
      </c>
      <c r="D227" s="761">
        <v>202435537</v>
      </c>
      <c r="E227" s="635">
        <v>203694454.53999999</v>
      </c>
      <c r="F227" s="279">
        <v>100.6</v>
      </c>
      <c r="G227" s="635">
        <v>215279983</v>
      </c>
      <c r="H227" s="635">
        <v>196630655.27000001</v>
      </c>
      <c r="I227" s="279">
        <v>91.3</v>
      </c>
      <c r="J227" s="635">
        <v>7063799.2699999809</v>
      </c>
      <c r="K227" s="635">
        <v>0</v>
      </c>
      <c r="L227" s="755">
        <v>0</v>
      </c>
    </row>
    <row r="228" spans="1:12">
      <c r="A228" s="754">
        <v>24</v>
      </c>
      <c r="B228" s="278">
        <v>6</v>
      </c>
      <c r="C228" s="764" t="s">
        <v>388</v>
      </c>
      <c r="D228" s="761">
        <v>138236463.09</v>
      </c>
      <c r="E228" s="635">
        <v>138438371.72999999</v>
      </c>
      <c r="F228" s="279">
        <v>100.1</v>
      </c>
      <c r="G228" s="635">
        <v>139152294.09</v>
      </c>
      <c r="H228" s="635">
        <v>129171335.31</v>
      </c>
      <c r="I228" s="279">
        <v>92.8</v>
      </c>
      <c r="J228" s="635">
        <v>9267036.4199999869</v>
      </c>
      <c r="K228" s="635">
        <v>5858400</v>
      </c>
      <c r="L228" s="755">
        <v>4.2</v>
      </c>
    </row>
    <row r="229" spans="1:12">
      <c r="A229" s="754">
        <v>24</v>
      </c>
      <c r="B229" s="278">
        <v>7</v>
      </c>
      <c r="C229" s="764" t="s">
        <v>389</v>
      </c>
      <c r="D229" s="761">
        <v>190977333.63999999</v>
      </c>
      <c r="E229" s="635">
        <v>191293193.49000001</v>
      </c>
      <c r="F229" s="279">
        <v>100.2</v>
      </c>
      <c r="G229" s="635">
        <v>195498294.87</v>
      </c>
      <c r="H229" s="635">
        <v>186534084.69</v>
      </c>
      <c r="I229" s="279">
        <v>95.4</v>
      </c>
      <c r="J229" s="635">
        <v>4759108.8000000119</v>
      </c>
      <c r="K229" s="635">
        <v>7060080</v>
      </c>
      <c r="L229" s="755">
        <v>3.7</v>
      </c>
    </row>
    <row r="230" spans="1:12">
      <c r="A230" s="754">
        <v>24</v>
      </c>
      <c r="B230" s="278">
        <v>8</v>
      </c>
      <c r="C230" s="764" t="s">
        <v>390</v>
      </c>
      <c r="D230" s="761">
        <v>230292013.94999999</v>
      </c>
      <c r="E230" s="635">
        <v>225654027.34</v>
      </c>
      <c r="F230" s="279">
        <v>98</v>
      </c>
      <c r="G230" s="635">
        <v>247506245.47999999</v>
      </c>
      <c r="H230" s="635">
        <v>226848656.63</v>
      </c>
      <c r="I230" s="279">
        <v>91.7</v>
      </c>
      <c r="J230" s="635">
        <v>-1194629.2899999917</v>
      </c>
      <c r="K230" s="635">
        <v>44753212.32</v>
      </c>
      <c r="L230" s="755">
        <v>19.8</v>
      </c>
    </row>
    <row r="231" spans="1:12">
      <c r="A231" s="754">
        <v>24</v>
      </c>
      <c r="B231" s="278">
        <v>9</v>
      </c>
      <c r="C231" s="764" t="s">
        <v>391</v>
      </c>
      <c r="D231" s="761">
        <v>162708057.11000001</v>
      </c>
      <c r="E231" s="635">
        <v>149652156.81</v>
      </c>
      <c r="F231" s="279">
        <v>92</v>
      </c>
      <c r="G231" s="635">
        <v>178935098.72999999</v>
      </c>
      <c r="H231" s="635">
        <v>156052188.75</v>
      </c>
      <c r="I231" s="279">
        <v>87.2</v>
      </c>
      <c r="J231" s="635">
        <v>-6400031.9399999976</v>
      </c>
      <c r="K231" s="635">
        <v>12014570</v>
      </c>
      <c r="L231" s="755">
        <v>8</v>
      </c>
    </row>
    <row r="232" spans="1:12">
      <c r="A232" s="754">
        <v>24</v>
      </c>
      <c r="B232" s="278">
        <v>10</v>
      </c>
      <c r="C232" s="764" t="s">
        <v>392</v>
      </c>
      <c r="D232" s="761">
        <v>216115466.97</v>
      </c>
      <c r="E232" s="635">
        <v>211619661.38</v>
      </c>
      <c r="F232" s="279">
        <v>97.9</v>
      </c>
      <c r="G232" s="635">
        <v>228743091.21000001</v>
      </c>
      <c r="H232" s="635">
        <v>214809115.75999999</v>
      </c>
      <c r="I232" s="279">
        <v>93.9</v>
      </c>
      <c r="J232" s="635">
        <v>-3189454.3799999952</v>
      </c>
      <c r="K232" s="635">
        <v>20665524.870000001</v>
      </c>
      <c r="L232" s="755">
        <v>9.8000000000000007</v>
      </c>
    </row>
    <row r="233" spans="1:12">
      <c r="A233" s="754">
        <v>24</v>
      </c>
      <c r="B233" s="278">
        <v>11</v>
      </c>
      <c r="C233" s="764" t="s">
        <v>393</v>
      </c>
      <c r="D233" s="761">
        <v>294170246.14999998</v>
      </c>
      <c r="E233" s="635">
        <v>292063408.92000002</v>
      </c>
      <c r="F233" s="279">
        <v>99.3</v>
      </c>
      <c r="G233" s="635">
        <v>302738786.18000001</v>
      </c>
      <c r="H233" s="635">
        <v>281391191.60000002</v>
      </c>
      <c r="I233" s="279">
        <v>92.9</v>
      </c>
      <c r="J233" s="635">
        <v>10672217.319999993</v>
      </c>
      <c r="K233" s="635">
        <v>6109503.1699999999</v>
      </c>
      <c r="L233" s="755">
        <v>2.1</v>
      </c>
    </row>
    <row r="234" spans="1:12">
      <c r="A234" s="754">
        <v>24</v>
      </c>
      <c r="B234" s="278">
        <v>12</v>
      </c>
      <c r="C234" s="764" t="s">
        <v>394</v>
      </c>
      <c r="D234" s="761">
        <v>116286165.45</v>
      </c>
      <c r="E234" s="635">
        <v>117409814.09</v>
      </c>
      <c r="F234" s="279">
        <v>101</v>
      </c>
      <c r="G234" s="635">
        <v>124591342.05</v>
      </c>
      <c r="H234" s="635">
        <v>96463725.560000002</v>
      </c>
      <c r="I234" s="279">
        <v>77.400000000000006</v>
      </c>
      <c r="J234" s="635">
        <v>20946088.530000001</v>
      </c>
      <c r="K234" s="635">
        <v>0</v>
      </c>
      <c r="L234" s="755">
        <v>0</v>
      </c>
    </row>
    <row r="235" spans="1:12">
      <c r="A235" s="754">
        <v>24</v>
      </c>
      <c r="B235" s="278">
        <v>13</v>
      </c>
      <c r="C235" s="764" t="s">
        <v>395</v>
      </c>
      <c r="D235" s="761">
        <v>408990989.68000001</v>
      </c>
      <c r="E235" s="635">
        <v>398515012.97000003</v>
      </c>
      <c r="F235" s="279">
        <v>97.4</v>
      </c>
      <c r="G235" s="635">
        <v>426561136.55000001</v>
      </c>
      <c r="H235" s="635">
        <v>387271959.92000002</v>
      </c>
      <c r="I235" s="279">
        <v>90.8</v>
      </c>
      <c r="J235" s="635">
        <v>11243053.050000012</v>
      </c>
      <c r="K235" s="635">
        <v>21177098.239999998</v>
      </c>
      <c r="L235" s="755">
        <v>5.3</v>
      </c>
    </row>
    <row r="236" spans="1:12">
      <c r="A236" s="754">
        <v>24</v>
      </c>
      <c r="B236" s="278">
        <v>14</v>
      </c>
      <c r="C236" s="764" t="s">
        <v>396</v>
      </c>
      <c r="D236" s="761">
        <v>105550157.72</v>
      </c>
      <c r="E236" s="635">
        <v>104807153.15000001</v>
      </c>
      <c r="F236" s="279">
        <v>99.3</v>
      </c>
      <c r="G236" s="635">
        <v>110474918.63</v>
      </c>
      <c r="H236" s="635">
        <v>100653733.89</v>
      </c>
      <c r="I236" s="279">
        <v>91.1</v>
      </c>
      <c r="J236" s="635">
        <v>4153419.2600000054</v>
      </c>
      <c r="K236" s="635">
        <v>1460048</v>
      </c>
      <c r="L236" s="755">
        <v>1.4</v>
      </c>
    </row>
    <row r="237" spans="1:12">
      <c r="A237" s="754">
        <v>24</v>
      </c>
      <c r="B237" s="278">
        <v>15</v>
      </c>
      <c r="C237" s="764" t="s">
        <v>397</v>
      </c>
      <c r="D237" s="761">
        <v>340084874.72000003</v>
      </c>
      <c r="E237" s="635">
        <v>336757290.04000002</v>
      </c>
      <c r="F237" s="279">
        <v>99</v>
      </c>
      <c r="G237" s="635">
        <v>364640391.29000002</v>
      </c>
      <c r="H237" s="635">
        <v>343783618.32999998</v>
      </c>
      <c r="I237" s="279">
        <v>94.3</v>
      </c>
      <c r="J237" s="635">
        <v>-7026328.2899999619</v>
      </c>
      <c r="K237" s="635">
        <v>60211366</v>
      </c>
      <c r="L237" s="755">
        <v>17.899999999999999</v>
      </c>
    </row>
    <row r="238" spans="1:12">
      <c r="A238" s="754">
        <v>24</v>
      </c>
      <c r="B238" s="278">
        <v>16</v>
      </c>
      <c r="C238" s="764" t="s">
        <v>398</v>
      </c>
      <c r="D238" s="761">
        <v>248520916.31999999</v>
      </c>
      <c r="E238" s="635">
        <v>248157561.81</v>
      </c>
      <c r="F238" s="279">
        <v>99.9</v>
      </c>
      <c r="G238" s="635">
        <v>258338069.12</v>
      </c>
      <c r="H238" s="635">
        <v>236191372.81</v>
      </c>
      <c r="I238" s="279">
        <v>91.4</v>
      </c>
      <c r="J238" s="635">
        <v>11966189</v>
      </c>
      <c r="K238" s="635">
        <v>0</v>
      </c>
      <c r="L238" s="755">
        <v>0</v>
      </c>
    </row>
    <row r="239" spans="1:12">
      <c r="A239" s="754">
        <v>24</v>
      </c>
      <c r="B239" s="278">
        <v>17</v>
      </c>
      <c r="C239" s="764" t="s">
        <v>399</v>
      </c>
      <c r="D239" s="761">
        <v>369413772.67000002</v>
      </c>
      <c r="E239" s="635">
        <v>363377014.17000002</v>
      </c>
      <c r="F239" s="279">
        <v>98.4</v>
      </c>
      <c r="G239" s="635">
        <v>374333009.75999999</v>
      </c>
      <c r="H239" s="635">
        <v>335600116.29000002</v>
      </c>
      <c r="I239" s="279">
        <v>89.7</v>
      </c>
      <c r="J239" s="635">
        <v>27776897.879999995</v>
      </c>
      <c r="K239" s="635">
        <v>38210758</v>
      </c>
      <c r="L239" s="755">
        <v>10.5</v>
      </c>
    </row>
    <row r="240" spans="1:12">
      <c r="A240" s="754">
        <v>26</v>
      </c>
      <c r="B240" s="278">
        <v>1</v>
      </c>
      <c r="C240" s="764" t="s">
        <v>400</v>
      </c>
      <c r="D240" s="761">
        <v>190164654.21000001</v>
      </c>
      <c r="E240" s="635">
        <v>191924605.16</v>
      </c>
      <c r="F240" s="279">
        <v>100.9</v>
      </c>
      <c r="G240" s="635">
        <v>190364654.21000001</v>
      </c>
      <c r="H240" s="635">
        <v>182089913.68000001</v>
      </c>
      <c r="I240" s="279">
        <v>95.7</v>
      </c>
      <c r="J240" s="635">
        <v>9834691.4799999893</v>
      </c>
      <c r="K240" s="635">
        <v>10894552</v>
      </c>
      <c r="L240" s="755">
        <v>5.7</v>
      </c>
    </row>
    <row r="241" spans="1:12">
      <c r="A241" s="754">
        <v>26</v>
      </c>
      <c r="B241" s="278">
        <v>2</v>
      </c>
      <c r="C241" s="764" t="s">
        <v>401</v>
      </c>
      <c r="D241" s="761">
        <v>201333192.25999999</v>
      </c>
      <c r="E241" s="635">
        <v>200977001.31999999</v>
      </c>
      <c r="F241" s="279">
        <v>99.8</v>
      </c>
      <c r="G241" s="635">
        <v>201663192.25999999</v>
      </c>
      <c r="H241" s="635">
        <v>196882177.11000001</v>
      </c>
      <c r="I241" s="279">
        <v>97.6</v>
      </c>
      <c r="J241" s="635">
        <v>4094824.2099999785</v>
      </c>
      <c r="K241" s="635">
        <v>8587980</v>
      </c>
      <c r="L241" s="755">
        <v>4.3</v>
      </c>
    </row>
    <row r="242" spans="1:12">
      <c r="A242" s="754">
        <v>26</v>
      </c>
      <c r="B242" s="278">
        <v>3</v>
      </c>
      <c r="C242" s="764" t="s">
        <v>402</v>
      </c>
      <c r="D242" s="761">
        <v>117199337.06</v>
      </c>
      <c r="E242" s="635">
        <v>117633740.94</v>
      </c>
      <c r="F242" s="279">
        <v>100.4</v>
      </c>
      <c r="G242" s="635">
        <v>119375337.06</v>
      </c>
      <c r="H242" s="635">
        <v>112939023.3</v>
      </c>
      <c r="I242" s="279">
        <v>94.6</v>
      </c>
      <c r="J242" s="635">
        <v>4694717.6400000006</v>
      </c>
      <c r="K242" s="635">
        <v>8969600</v>
      </c>
      <c r="L242" s="755">
        <v>7.6</v>
      </c>
    </row>
    <row r="243" spans="1:12">
      <c r="A243" s="754">
        <v>26</v>
      </c>
      <c r="B243" s="278">
        <v>4</v>
      </c>
      <c r="C243" s="764" t="s">
        <v>403</v>
      </c>
      <c r="D243" s="761">
        <v>317517463.39999998</v>
      </c>
      <c r="E243" s="635">
        <v>323751552.60000002</v>
      </c>
      <c r="F243" s="279">
        <v>102</v>
      </c>
      <c r="G243" s="635">
        <v>353341360.25</v>
      </c>
      <c r="H243" s="635">
        <v>303223344.73000002</v>
      </c>
      <c r="I243" s="279">
        <v>85.8</v>
      </c>
      <c r="J243" s="635">
        <v>20528207.870000005</v>
      </c>
      <c r="K243" s="635">
        <v>17548523</v>
      </c>
      <c r="L243" s="755">
        <v>5.4</v>
      </c>
    </row>
    <row r="244" spans="1:12">
      <c r="A244" s="754">
        <v>26</v>
      </c>
      <c r="B244" s="278">
        <v>5</v>
      </c>
      <c r="C244" s="764" t="s">
        <v>404</v>
      </c>
      <c r="D244" s="761">
        <v>228970810.34999999</v>
      </c>
      <c r="E244" s="635">
        <v>214610826.63</v>
      </c>
      <c r="F244" s="279">
        <v>93.7</v>
      </c>
      <c r="G244" s="635">
        <v>236931862.31999999</v>
      </c>
      <c r="H244" s="635">
        <v>203621341.97999999</v>
      </c>
      <c r="I244" s="279">
        <v>85.9</v>
      </c>
      <c r="J244" s="635">
        <v>10989484.650000006</v>
      </c>
      <c r="K244" s="635">
        <v>400000</v>
      </c>
      <c r="L244" s="755">
        <v>0.2</v>
      </c>
    </row>
    <row r="245" spans="1:12">
      <c r="A245" s="754">
        <v>26</v>
      </c>
      <c r="B245" s="278">
        <v>6</v>
      </c>
      <c r="C245" s="764" t="s">
        <v>405</v>
      </c>
      <c r="D245" s="761">
        <v>195181611.81999999</v>
      </c>
      <c r="E245" s="635">
        <v>194873878.22999999</v>
      </c>
      <c r="F245" s="279">
        <v>99.8</v>
      </c>
      <c r="G245" s="635">
        <v>201901771.97999999</v>
      </c>
      <c r="H245" s="635">
        <v>178634025.49000001</v>
      </c>
      <c r="I245" s="279">
        <v>88.5</v>
      </c>
      <c r="J245" s="635">
        <v>16239852.73999998</v>
      </c>
      <c r="K245" s="635">
        <v>741796.7</v>
      </c>
      <c r="L245" s="755">
        <v>0.4</v>
      </c>
    </row>
    <row r="246" spans="1:12">
      <c r="A246" s="754">
        <v>26</v>
      </c>
      <c r="B246" s="278">
        <v>7</v>
      </c>
      <c r="C246" s="764" t="s">
        <v>406</v>
      </c>
      <c r="D246" s="761">
        <v>305827314.48000002</v>
      </c>
      <c r="E246" s="635">
        <v>293180787.38999999</v>
      </c>
      <c r="F246" s="279">
        <v>95.9</v>
      </c>
      <c r="G246" s="635">
        <v>306647709.12</v>
      </c>
      <c r="H246" s="635">
        <v>289462309.68000001</v>
      </c>
      <c r="I246" s="279">
        <v>94.4</v>
      </c>
      <c r="J246" s="635">
        <v>3718477.7099999785</v>
      </c>
      <c r="K246" s="635">
        <v>53299131.740000002</v>
      </c>
      <c r="L246" s="755">
        <v>18.2</v>
      </c>
    </row>
    <row r="247" spans="1:12">
      <c r="A247" s="754">
        <v>26</v>
      </c>
      <c r="B247" s="278">
        <v>8</v>
      </c>
      <c r="C247" s="764" t="s">
        <v>407</v>
      </c>
      <c r="D247" s="761">
        <v>111111907.38</v>
      </c>
      <c r="E247" s="635">
        <v>109163934.81999999</v>
      </c>
      <c r="F247" s="279">
        <v>98.2</v>
      </c>
      <c r="G247" s="635">
        <v>119071948.29000001</v>
      </c>
      <c r="H247" s="635">
        <v>103478603.77</v>
      </c>
      <c r="I247" s="279">
        <v>86.9</v>
      </c>
      <c r="J247" s="635">
        <v>5685331.049999997</v>
      </c>
      <c r="K247" s="635">
        <v>6290620.4400000004</v>
      </c>
      <c r="L247" s="755">
        <v>5.8</v>
      </c>
    </row>
    <row r="248" spans="1:12">
      <c r="A248" s="754">
        <v>26</v>
      </c>
      <c r="B248" s="278">
        <v>9</v>
      </c>
      <c r="C248" s="764" t="s">
        <v>408</v>
      </c>
      <c r="D248" s="761">
        <v>200952579.44</v>
      </c>
      <c r="E248" s="635">
        <v>188331903.87</v>
      </c>
      <c r="F248" s="279">
        <v>93.7</v>
      </c>
      <c r="G248" s="635">
        <v>205791719.83000001</v>
      </c>
      <c r="H248" s="635">
        <v>182722069.87</v>
      </c>
      <c r="I248" s="279">
        <v>88.8</v>
      </c>
      <c r="J248" s="635">
        <v>5609834</v>
      </c>
      <c r="K248" s="635">
        <v>19368711.699999999</v>
      </c>
      <c r="L248" s="755">
        <v>10.3</v>
      </c>
    </row>
    <row r="249" spans="1:12">
      <c r="A249" s="754">
        <v>26</v>
      </c>
      <c r="B249" s="278">
        <v>10</v>
      </c>
      <c r="C249" s="764" t="s">
        <v>409</v>
      </c>
      <c r="D249" s="761">
        <v>223096964.22999999</v>
      </c>
      <c r="E249" s="635">
        <v>221928205.46000001</v>
      </c>
      <c r="F249" s="279">
        <v>99.5</v>
      </c>
      <c r="G249" s="635">
        <v>230404516.63999999</v>
      </c>
      <c r="H249" s="635">
        <v>219424157.87</v>
      </c>
      <c r="I249" s="279">
        <v>95.2</v>
      </c>
      <c r="J249" s="635">
        <v>2504047.5900000036</v>
      </c>
      <c r="K249" s="635">
        <v>31698533</v>
      </c>
      <c r="L249" s="755">
        <v>14.3</v>
      </c>
    </row>
    <row r="250" spans="1:12">
      <c r="A250" s="754">
        <v>26</v>
      </c>
      <c r="B250" s="278">
        <v>11</v>
      </c>
      <c r="C250" s="764" t="s">
        <v>410</v>
      </c>
      <c r="D250" s="761">
        <v>241130699.68000001</v>
      </c>
      <c r="E250" s="635">
        <v>240046321.97</v>
      </c>
      <c r="F250" s="279">
        <v>99.6</v>
      </c>
      <c r="G250" s="635">
        <v>254089783.11000001</v>
      </c>
      <c r="H250" s="635">
        <v>242405558.55000001</v>
      </c>
      <c r="I250" s="279">
        <v>95.4</v>
      </c>
      <c r="J250" s="635">
        <v>-2359236.5800000131</v>
      </c>
      <c r="K250" s="635">
        <v>16518008</v>
      </c>
      <c r="L250" s="755">
        <v>6.9</v>
      </c>
    </row>
    <row r="251" spans="1:12">
      <c r="A251" s="754">
        <v>26</v>
      </c>
      <c r="B251" s="278">
        <v>12</v>
      </c>
      <c r="C251" s="764" t="s">
        <v>411</v>
      </c>
      <c r="D251" s="761">
        <v>139491578.37</v>
      </c>
      <c r="E251" s="635">
        <v>137342721.53</v>
      </c>
      <c r="F251" s="279">
        <v>98.5</v>
      </c>
      <c r="G251" s="635">
        <v>154877721.68000001</v>
      </c>
      <c r="H251" s="635">
        <v>143866765.30000001</v>
      </c>
      <c r="I251" s="279">
        <v>92.9</v>
      </c>
      <c r="J251" s="635">
        <v>-6524043.7700000107</v>
      </c>
      <c r="K251" s="635">
        <v>14075998.560000001</v>
      </c>
      <c r="L251" s="755">
        <v>10.199999999999999</v>
      </c>
    </row>
    <row r="252" spans="1:12">
      <c r="A252" s="754">
        <v>26</v>
      </c>
      <c r="B252" s="278">
        <v>13</v>
      </c>
      <c r="C252" s="764" t="s">
        <v>412</v>
      </c>
      <c r="D252" s="761">
        <v>122451636.27</v>
      </c>
      <c r="E252" s="635">
        <v>127519471.34999999</v>
      </c>
      <c r="F252" s="279">
        <v>104.1</v>
      </c>
      <c r="G252" s="635">
        <v>127518026.13</v>
      </c>
      <c r="H252" s="635">
        <v>115030205.48</v>
      </c>
      <c r="I252" s="279">
        <v>90.2</v>
      </c>
      <c r="J252" s="635">
        <v>12489265.86999999</v>
      </c>
      <c r="K252" s="635">
        <v>1748000</v>
      </c>
      <c r="L252" s="755">
        <v>1.4</v>
      </c>
    </row>
    <row r="253" spans="1:12">
      <c r="A253" s="754">
        <v>28</v>
      </c>
      <c r="B253" s="278">
        <v>1</v>
      </c>
      <c r="C253" s="764" t="s">
        <v>413</v>
      </c>
      <c r="D253" s="761">
        <v>181497025.15000001</v>
      </c>
      <c r="E253" s="635">
        <v>179592008.06999999</v>
      </c>
      <c r="F253" s="279">
        <v>99</v>
      </c>
      <c r="G253" s="635">
        <v>194045908.44999999</v>
      </c>
      <c r="H253" s="635">
        <v>175027485.62</v>
      </c>
      <c r="I253" s="279">
        <v>90.2</v>
      </c>
      <c r="J253" s="635">
        <v>4564522.4499999881</v>
      </c>
      <c r="K253" s="635">
        <v>54531500</v>
      </c>
      <c r="L253" s="755">
        <v>30.4</v>
      </c>
    </row>
    <row r="254" spans="1:12">
      <c r="A254" s="754">
        <v>28</v>
      </c>
      <c r="B254" s="278">
        <v>2</v>
      </c>
      <c r="C254" s="764" t="s">
        <v>414</v>
      </c>
      <c r="D254" s="761">
        <v>112211118.62</v>
      </c>
      <c r="E254" s="635">
        <v>108893581.27</v>
      </c>
      <c r="F254" s="279">
        <v>97</v>
      </c>
      <c r="G254" s="635">
        <v>113194068.62</v>
      </c>
      <c r="H254" s="635">
        <v>97943326.379999995</v>
      </c>
      <c r="I254" s="279">
        <v>86.5</v>
      </c>
      <c r="J254" s="635">
        <v>10950254.890000001</v>
      </c>
      <c r="K254" s="635">
        <v>5145246.04</v>
      </c>
      <c r="L254" s="755">
        <v>4.7</v>
      </c>
    </row>
    <row r="255" spans="1:12">
      <c r="A255" s="754">
        <v>28</v>
      </c>
      <c r="B255" s="278">
        <v>3</v>
      </c>
      <c r="C255" s="764" t="s">
        <v>415</v>
      </c>
      <c r="D255" s="761">
        <v>152288815.87</v>
      </c>
      <c r="E255" s="635">
        <v>154448734.15000001</v>
      </c>
      <c r="F255" s="279">
        <v>101.4</v>
      </c>
      <c r="G255" s="635">
        <v>164352690.18000001</v>
      </c>
      <c r="H255" s="635">
        <v>148785966.87</v>
      </c>
      <c r="I255" s="279">
        <v>90.5</v>
      </c>
      <c r="J255" s="635">
        <v>5662767.2800000012</v>
      </c>
      <c r="K255" s="635">
        <v>0</v>
      </c>
      <c r="L255" s="755">
        <v>0</v>
      </c>
    </row>
    <row r="256" spans="1:12">
      <c r="A256" s="754">
        <v>28</v>
      </c>
      <c r="B256" s="278">
        <v>4</v>
      </c>
      <c r="C256" s="764" t="s">
        <v>416</v>
      </c>
      <c r="D256" s="761">
        <v>154763626.87</v>
      </c>
      <c r="E256" s="635">
        <v>153890545.75999999</v>
      </c>
      <c r="F256" s="279">
        <v>99.4</v>
      </c>
      <c r="G256" s="635">
        <v>147301019.19999999</v>
      </c>
      <c r="H256" s="635">
        <v>139413423.09999999</v>
      </c>
      <c r="I256" s="279">
        <v>94.6</v>
      </c>
      <c r="J256" s="635">
        <v>14477122.659999996</v>
      </c>
      <c r="K256" s="635">
        <v>14952615.560000001</v>
      </c>
      <c r="L256" s="755">
        <v>9.6999999999999993</v>
      </c>
    </row>
    <row r="257" spans="1:12">
      <c r="A257" s="754">
        <v>28</v>
      </c>
      <c r="B257" s="278">
        <v>5</v>
      </c>
      <c r="C257" s="764" t="s">
        <v>417</v>
      </c>
      <c r="D257" s="761">
        <v>282511288.43000001</v>
      </c>
      <c r="E257" s="635">
        <v>272169383.57999998</v>
      </c>
      <c r="F257" s="279">
        <v>96.3</v>
      </c>
      <c r="G257" s="635">
        <v>294074506.18000001</v>
      </c>
      <c r="H257" s="635">
        <v>267676883.16999999</v>
      </c>
      <c r="I257" s="279">
        <v>91</v>
      </c>
      <c r="J257" s="635">
        <v>4492500.4099999964</v>
      </c>
      <c r="K257" s="635">
        <v>22000000</v>
      </c>
      <c r="L257" s="755">
        <v>8.1</v>
      </c>
    </row>
    <row r="258" spans="1:12">
      <c r="A258" s="754">
        <v>28</v>
      </c>
      <c r="B258" s="278">
        <v>6</v>
      </c>
      <c r="C258" s="764" t="s">
        <v>418</v>
      </c>
      <c r="D258" s="761">
        <v>176955856</v>
      </c>
      <c r="E258" s="635">
        <v>170665952.41999999</v>
      </c>
      <c r="F258" s="279">
        <v>96.4</v>
      </c>
      <c r="G258" s="635">
        <v>180162889</v>
      </c>
      <c r="H258" s="635">
        <v>168229408.56999999</v>
      </c>
      <c r="I258" s="279">
        <v>93.4</v>
      </c>
      <c r="J258" s="635">
        <v>2436543.849999994</v>
      </c>
      <c r="K258" s="635">
        <v>9800000</v>
      </c>
      <c r="L258" s="755">
        <v>5.7</v>
      </c>
    </row>
    <row r="259" spans="1:12">
      <c r="A259" s="754">
        <v>28</v>
      </c>
      <c r="B259" s="278">
        <v>7</v>
      </c>
      <c r="C259" s="764" t="s">
        <v>419</v>
      </c>
      <c r="D259" s="761">
        <v>236881590.50999999</v>
      </c>
      <c r="E259" s="635">
        <v>235527969</v>
      </c>
      <c r="F259" s="279">
        <v>99.4</v>
      </c>
      <c r="G259" s="635">
        <v>245453823.50999999</v>
      </c>
      <c r="H259" s="635">
        <v>233809069.80000001</v>
      </c>
      <c r="I259" s="279">
        <v>95.3</v>
      </c>
      <c r="J259" s="635">
        <v>1718899.1999999881</v>
      </c>
      <c r="K259" s="635">
        <v>35195772.350000001</v>
      </c>
      <c r="L259" s="755">
        <v>14.9</v>
      </c>
    </row>
    <row r="260" spans="1:12">
      <c r="A260" s="754">
        <v>28</v>
      </c>
      <c r="B260" s="278">
        <v>8</v>
      </c>
      <c r="C260" s="764" t="s">
        <v>420</v>
      </c>
      <c r="D260" s="761">
        <v>186113192</v>
      </c>
      <c r="E260" s="635">
        <v>184525753.71000001</v>
      </c>
      <c r="F260" s="279">
        <v>99.1</v>
      </c>
      <c r="G260" s="635">
        <v>179294646</v>
      </c>
      <c r="H260" s="635">
        <v>160132954.81999999</v>
      </c>
      <c r="I260" s="279">
        <v>89.3</v>
      </c>
      <c r="J260" s="635">
        <v>24392798.890000015</v>
      </c>
      <c r="K260" s="635">
        <v>0</v>
      </c>
      <c r="L260" s="755">
        <v>0</v>
      </c>
    </row>
    <row r="261" spans="1:12">
      <c r="A261" s="754">
        <v>28</v>
      </c>
      <c r="B261" s="278">
        <v>9</v>
      </c>
      <c r="C261" s="764" t="s">
        <v>421</v>
      </c>
      <c r="D261" s="761">
        <v>101233585.34</v>
      </c>
      <c r="E261" s="635">
        <v>101572301.64</v>
      </c>
      <c r="F261" s="279">
        <v>100.3</v>
      </c>
      <c r="G261" s="635">
        <v>101683393.75</v>
      </c>
      <c r="H261" s="635">
        <v>92570491.569999993</v>
      </c>
      <c r="I261" s="279">
        <v>91</v>
      </c>
      <c r="J261" s="635">
        <v>9001810.0700000077</v>
      </c>
      <c r="K261" s="635">
        <v>2134518.2799999998</v>
      </c>
      <c r="L261" s="755">
        <v>2.1</v>
      </c>
    </row>
    <row r="262" spans="1:12">
      <c r="A262" s="754">
        <v>28</v>
      </c>
      <c r="B262" s="278">
        <v>10</v>
      </c>
      <c r="C262" s="764" t="s">
        <v>422</v>
      </c>
      <c r="D262" s="761">
        <v>137555975.88999999</v>
      </c>
      <c r="E262" s="635">
        <v>134375809.71000001</v>
      </c>
      <c r="F262" s="279">
        <v>97.7</v>
      </c>
      <c r="G262" s="635">
        <v>142004766.97999999</v>
      </c>
      <c r="H262" s="635">
        <v>132824745.58</v>
      </c>
      <c r="I262" s="279">
        <v>93.5</v>
      </c>
      <c r="J262" s="635">
        <v>1551064.1300000101</v>
      </c>
      <c r="K262" s="635">
        <v>9090400</v>
      </c>
      <c r="L262" s="755">
        <v>6.8</v>
      </c>
    </row>
    <row r="263" spans="1:12">
      <c r="A263" s="754">
        <v>28</v>
      </c>
      <c r="B263" s="278">
        <v>11</v>
      </c>
      <c r="C263" s="764" t="s">
        <v>423</v>
      </c>
      <c r="D263" s="761">
        <v>108595756.25</v>
      </c>
      <c r="E263" s="635">
        <v>103827825.91</v>
      </c>
      <c r="F263" s="279">
        <v>95.6</v>
      </c>
      <c r="G263" s="635">
        <v>113724335.44</v>
      </c>
      <c r="H263" s="635">
        <v>99989359.810000002</v>
      </c>
      <c r="I263" s="279">
        <v>87.9</v>
      </c>
      <c r="J263" s="635">
        <v>3838466.099999994</v>
      </c>
      <c r="K263" s="635">
        <v>28306058.25</v>
      </c>
      <c r="L263" s="755">
        <v>27.3</v>
      </c>
    </row>
    <row r="264" spans="1:12">
      <c r="A264" s="754">
        <v>28</v>
      </c>
      <c r="B264" s="278">
        <v>12</v>
      </c>
      <c r="C264" s="764" t="s">
        <v>424</v>
      </c>
      <c r="D264" s="761">
        <v>106159488.12</v>
      </c>
      <c r="E264" s="635">
        <v>105196055.89</v>
      </c>
      <c r="F264" s="279">
        <v>99.1</v>
      </c>
      <c r="G264" s="635">
        <v>103536651.12</v>
      </c>
      <c r="H264" s="635">
        <v>94496586.769999996</v>
      </c>
      <c r="I264" s="279">
        <v>91.3</v>
      </c>
      <c r="J264" s="635">
        <v>10699469.120000005</v>
      </c>
      <c r="K264" s="635">
        <v>10489200</v>
      </c>
      <c r="L264" s="755">
        <v>10</v>
      </c>
    </row>
    <row r="265" spans="1:12">
      <c r="A265" s="754">
        <v>28</v>
      </c>
      <c r="B265" s="278">
        <v>13</v>
      </c>
      <c r="C265" s="764" t="s">
        <v>425</v>
      </c>
      <c r="D265" s="761">
        <v>116489736.25</v>
      </c>
      <c r="E265" s="635">
        <v>109483806.54000001</v>
      </c>
      <c r="F265" s="279">
        <v>94</v>
      </c>
      <c r="G265" s="635">
        <v>118487424.45999999</v>
      </c>
      <c r="H265" s="635">
        <v>104558087.89</v>
      </c>
      <c r="I265" s="279">
        <v>88.2</v>
      </c>
      <c r="J265" s="635">
        <v>4925718.650000006</v>
      </c>
      <c r="K265" s="635">
        <v>16970000</v>
      </c>
      <c r="L265" s="755">
        <v>15.5</v>
      </c>
    </row>
    <row r="266" spans="1:12">
      <c r="A266" s="754">
        <v>28</v>
      </c>
      <c r="B266" s="278">
        <v>14</v>
      </c>
      <c r="C266" s="764" t="s">
        <v>426</v>
      </c>
      <c r="D266" s="761">
        <v>278100599.20999998</v>
      </c>
      <c r="E266" s="635">
        <v>278673577.07999998</v>
      </c>
      <c r="F266" s="279">
        <v>100.2</v>
      </c>
      <c r="G266" s="635">
        <v>283716357.81</v>
      </c>
      <c r="H266" s="635">
        <v>265740794.44999999</v>
      </c>
      <c r="I266" s="279">
        <v>93.7</v>
      </c>
      <c r="J266" s="635">
        <v>12932782.629999995</v>
      </c>
      <c r="K266" s="635">
        <v>33193548</v>
      </c>
      <c r="L266" s="755">
        <v>11.9</v>
      </c>
    </row>
    <row r="267" spans="1:12">
      <c r="A267" s="754">
        <v>28</v>
      </c>
      <c r="B267" s="278">
        <v>15</v>
      </c>
      <c r="C267" s="764" t="s">
        <v>427</v>
      </c>
      <c r="D267" s="761">
        <v>271307760.68000001</v>
      </c>
      <c r="E267" s="635">
        <v>270794235.56999999</v>
      </c>
      <c r="F267" s="279">
        <v>99.8</v>
      </c>
      <c r="G267" s="635">
        <v>283268559.87</v>
      </c>
      <c r="H267" s="635">
        <v>274709724.07999998</v>
      </c>
      <c r="I267" s="279">
        <v>97</v>
      </c>
      <c r="J267" s="635">
        <v>-3915488.5099999905</v>
      </c>
      <c r="K267" s="635">
        <v>46530000</v>
      </c>
      <c r="L267" s="755">
        <v>17.2</v>
      </c>
    </row>
    <row r="268" spans="1:12">
      <c r="A268" s="754">
        <v>28</v>
      </c>
      <c r="B268" s="278">
        <v>16</v>
      </c>
      <c r="C268" s="764" t="s">
        <v>428</v>
      </c>
      <c r="D268" s="761">
        <v>138395114.49000001</v>
      </c>
      <c r="E268" s="635">
        <v>138858411.12</v>
      </c>
      <c r="F268" s="279">
        <v>100.3</v>
      </c>
      <c r="G268" s="635">
        <v>139394246.65000001</v>
      </c>
      <c r="H268" s="635">
        <v>135487587.28999999</v>
      </c>
      <c r="I268" s="279">
        <v>97.2</v>
      </c>
      <c r="J268" s="635">
        <v>3370823.8300000131</v>
      </c>
      <c r="K268" s="635">
        <v>11850000</v>
      </c>
      <c r="L268" s="755">
        <v>8.5</v>
      </c>
    </row>
    <row r="269" spans="1:12">
      <c r="A269" s="754">
        <v>28</v>
      </c>
      <c r="B269" s="278">
        <v>17</v>
      </c>
      <c r="C269" s="764" t="s">
        <v>429</v>
      </c>
      <c r="D269" s="761">
        <v>162825000</v>
      </c>
      <c r="E269" s="635">
        <v>164359346.87</v>
      </c>
      <c r="F269" s="279">
        <v>100.9</v>
      </c>
      <c r="G269" s="635">
        <v>160725000</v>
      </c>
      <c r="H269" s="635">
        <v>149342611.13</v>
      </c>
      <c r="I269" s="279">
        <v>92.9</v>
      </c>
      <c r="J269" s="635">
        <v>15016735.74000001</v>
      </c>
      <c r="K269" s="635">
        <v>20500000</v>
      </c>
      <c r="L269" s="755">
        <v>12.5</v>
      </c>
    </row>
    <row r="270" spans="1:12">
      <c r="A270" s="754">
        <v>28</v>
      </c>
      <c r="B270" s="278">
        <v>18</v>
      </c>
      <c r="C270" s="764" t="s">
        <v>430</v>
      </c>
      <c r="D270" s="761">
        <v>69795182.859999999</v>
      </c>
      <c r="E270" s="635">
        <v>70003160.060000002</v>
      </c>
      <c r="F270" s="279">
        <v>100.3</v>
      </c>
      <c r="G270" s="635">
        <v>68713978.459999993</v>
      </c>
      <c r="H270" s="635">
        <v>64525108.619999997</v>
      </c>
      <c r="I270" s="279">
        <v>93.9</v>
      </c>
      <c r="J270" s="635">
        <v>5478051.4400000051</v>
      </c>
      <c r="K270" s="635">
        <v>12300000</v>
      </c>
      <c r="L270" s="755">
        <v>17.600000000000001</v>
      </c>
    </row>
    <row r="271" spans="1:12">
      <c r="A271" s="754">
        <v>28</v>
      </c>
      <c r="B271" s="278">
        <v>19</v>
      </c>
      <c r="C271" s="764" t="s">
        <v>431</v>
      </c>
      <c r="D271" s="761">
        <v>85613813.310000002</v>
      </c>
      <c r="E271" s="635">
        <v>86344351.739999995</v>
      </c>
      <c r="F271" s="279">
        <v>100.9</v>
      </c>
      <c r="G271" s="635">
        <v>87370359.239999995</v>
      </c>
      <c r="H271" s="635">
        <v>83486838.469999999</v>
      </c>
      <c r="I271" s="279">
        <v>95.6</v>
      </c>
      <c r="J271" s="635">
        <v>2857513.2699999958</v>
      </c>
      <c r="K271" s="635">
        <v>9100000</v>
      </c>
      <c r="L271" s="755">
        <v>10.5</v>
      </c>
    </row>
    <row r="272" spans="1:12">
      <c r="A272" s="754">
        <v>30</v>
      </c>
      <c r="B272" s="278">
        <v>1</v>
      </c>
      <c r="C272" s="764" t="s">
        <v>432</v>
      </c>
      <c r="D272" s="761">
        <v>129689895.05</v>
      </c>
      <c r="E272" s="635">
        <v>127789452</v>
      </c>
      <c r="F272" s="279">
        <v>98.5</v>
      </c>
      <c r="G272" s="635">
        <v>129412074.06</v>
      </c>
      <c r="H272" s="635">
        <v>122931853.61</v>
      </c>
      <c r="I272" s="279">
        <v>95</v>
      </c>
      <c r="J272" s="635">
        <v>4857598.3900000006</v>
      </c>
      <c r="K272" s="635">
        <v>5150000</v>
      </c>
      <c r="L272" s="755">
        <v>4</v>
      </c>
    </row>
    <row r="273" spans="1:12">
      <c r="A273" s="754">
        <v>30</v>
      </c>
      <c r="B273" s="278">
        <v>2</v>
      </c>
      <c r="C273" s="764" t="s">
        <v>433</v>
      </c>
      <c r="D273" s="761">
        <v>227952272.09</v>
      </c>
      <c r="E273" s="635">
        <v>223801847.34999999</v>
      </c>
      <c r="F273" s="279">
        <v>98.2</v>
      </c>
      <c r="G273" s="635">
        <v>227824709.06999999</v>
      </c>
      <c r="H273" s="635">
        <v>213346773.59</v>
      </c>
      <c r="I273" s="279">
        <v>93.6</v>
      </c>
      <c r="J273" s="635">
        <v>10455073.75999999</v>
      </c>
      <c r="K273" s="635">
        <v>21034112</v>
      </c>
      <c r="L273" s="755">
        <v>9.4</v>
      </c>
    </row>
    <row r="274" spans="1:12">
      <c r="A274" s="754">
        <v>30</v>
      </c>
      <c r="B274" s="278">
        <v>3</v>
      </c>
      <c r="C274" s="764" t="s">
        <v>434</v>
      </c>
      <c r="D274" s="761">
        <v>334606910.69</v>
      </c>
      <c r="E274" s="635">
        <v>334317263.97000003</v>
      </c>
      <c r="F274" s="279">
        <v>99.9</v>
      </c>
      <c r="G274" s="635">
        <v>340329900.05000001</v>
      </c>
      <c r="H274" s="635">
        <v>328017950.48000002</v>
      </c>
      <c r="I274" s="279">
        <v>96.4</v>
      </c>
      <c r="J274" s="635">
        <v>6299313.4900000095</v>
      </c>
      <c r="K274" s="635">
        <v>22883530.350000001</v>
      </c>
      <c r="L274" s="755">
        <v>6.8</v>
      </c>
    </row>
    <row r="275" spans="1:12">
      <c r="A275" s="754">
        <v>30</v>
      </c>
      <c r="B275" s="278">
        <v>4</v>
      </c>
      <c r="C275" s="764" t="s">
        <v>435</v>
      </c>
      <c r="D275" s="761">
        <v>189836367.06999999</v>
      </c>
      <c r="E275" s="635">
        <v>188722507.87</v>
      </c>
      <c r="F275" s="279">
        <v>99.4</v>
      </c>
      <c r="G275" s="635">
        <v>195059893.65000001</v>
      </c>
      <c r="H275" s="635">
        <v>177228947.91999999</v>
      </c>
      <c r="I275" s="279">
        <v>90.9</v>
      </c>
      <c r="J275" s="635">
        <v>11493559.950000018</v>
      </c>
      <c r="K275" s="635">
        <v>26643840</v>
      </c>
      <c r="L275" s="755">
        <v>14.1</v>
      </c>
    </row>
    <row r="276" spans="1:12">
      <c r="A276" s="754">
        <v>30</v>
      </c>
      <c r="B276" s="278">
        <v>5</v>
      </c>
      <c r="C276" s="764" t="s">
        <v>293</v>
      </c>
      <c r="D276" s="761">
        <v>122472042.51000001</v>
      </c>
      <c r="E276" s="635">
        <v>124058511.27</v>
      </c>
      <c r="F276" s="279">
        <v>101.3</v>
      </c>
      <c r="G276" s="635">
        <v>151650351.16999999</v>
      </c>
      <c r="H276" s="635">
        <v>133753491.67</v>
      </c>
      <c r="I276" s="279">
        <v>88.2</v>
      </c>
      <c r="J276" s="635">
        <v>-9694980.400000006</v>
      </c>
      <c r="K276" s="635">
        <v>19588585.449999999</v>
      </c>
      <c r="L276" s="755">
        <v>15.8</v>
      </c>
    </row>
    <row r="277" spans="1:12">
      <c r="A277" s="754">
        <v>30</v>
      </c>
      <c r="B277" s="278">
        <v>6</v>
      </c>
      <c r="C277" s="764" t="s">
        <v>436</v>
      </c>
      <c r="D277" s="761">
        <v>180512576.94</v>
      </c>
      <c r="E277" s="635">
        <v>179207293.71000001</v>
      </c>
      <c r="F277" s="279">
        <v>99.3</v>
      </c>
      <c r="G277" s="635">
        <v>175162126.94</v>
      </c>
      <c r="H277" s="635">
        <v>167581981.81999999</v>
      </c>
      <c r="I277" s="279">
        <v>95.7</v>
      </c>
      <c r="J277" s="635">
        <v>11625311.890000015</v>
      </c>
      <c r="K277" s="635">
        <v>4500000</v>
      </c>
      <c r="L277" s="755">
        <v>2.5</v>
      </c>
    </row>
    <row r="278" spans="1:12">
      <c r="A278" s="754">
        <v>30</v>
      </c>
      <c r="B278" s="278">
        <v>7</v>
      </c>
      <c r="C278" s="764" t="s">
        <v>437</v>
      </c>
      <c r="D278" s="761">
        <v>143180888.09</v>
      </c>
      <c r="E278" s="635">
        <v>141380416.91</v>
      </c>
      <c r="F278" s="279">
        <v>98.7</v>
      </c>
      <c r="G278" s="635">
        <v>147450287.94999999</v>
      </c>
      <c r="H278" s="635">
        <v>134413263.11000001</v>
      </c>
      <c r="I278" s="279">
        <v>91.2</v>
      </c>
      <c r="J278" s="635">
        <v>6967153.7999999821</v>
      </c>
      <c r="K278" s="635">
        <v>14705000.5</v>
      </c>
      <c r="L278" s="755">
        <v>10.4</v>
      </c>
    </row>
    <row r="279" spans="1:12">
      <c r="A279" s="754">
        <v>30</v>
      </c>
      <c r="B279" s="278">
        <v>8</v>
      </c>
      <c r="C279" s="764" t="s">
        <v>438</v>
      </c>
      <c r="D279" s="761">
        <v>142508336.81</v>
      </c>
      <c r="E279" s="635">
        <v>143676005.27000001</v>
      </c>
      <c r="F279" s="279">
        <v>100.8</v>
      </c>
      <c r="G279" s="635">
        <v>162474235.09999999</v>
      </c>
      <c r="H279" s="635">
        <v>154378418.43000001</v>
      </c>
      <c r="I279" s="279">
        <v>95</v>
      </c>
      <c r="J279" s="635">
        <v>-10702413.159999996</v>
      </c>
      <c r="K279" s="635">
        <v>45300000</v>
      </c>
      <c r="L279" s="755">
        <v>31.5</v>
      </c>
    </row>
    <row r="280" spans="1:12">
      <c r="A280" s="754">
        <v>30</v>
      </c>
      <c r="B280" s="278">
        <v>9</v>
      </c>
      <c r="C280" s="764" t="s">
        <v>439</v>
      </c>
      <c r="D280" s="761">
        <v>280648782.99000001</v>
      </c>
      <c r="E280" s="635">
        <v>212316415.63999999</v>
      </c>
      <c r="F280" s="279">
        <v>75.7</v>
      </c>
      <c r="G280" s="635">
        <v>292548095.20999998</v>
      </c>
      <c r="H280" s="635">
        <v>209640608.44999999</v>
      </c>
      <c r="I280" s="279">
        <v>71.7</v>
      </c>
      <c r="J280" s="635">
        <v>2675807.1899999976</v>
      </c>
      <c r="K280" s="635">
        <v>0</v>
      </c>
      <c r="L280" s="755">
        <v>0</v>
      </c>
    </row>
    <row r="281" spans="1:12">
      <c r="A281" s="754">
        <v>30</v>
      </c>
      <c r="B281" s="278">
        <v>10</v>
      </c>
      <c r="C281" s="764" t="s">
        <v>440</v>
      </c>
      <c r="D281" s="761">
        <v>198633434.72</v>
      </c>
      <c r="E281" s="635">
        <v>200337647.61000001</v>
      </c>
      <c r="F281" s="279">
        <v>100.9</v>
      </c>
      <c r="G281" s="635">
        <v>203352181.53</v>
      </c>
      <c r="H281" s="635">
        <v>182080128.52000001</v>
      </c>
      <c r="I281" s="279">
        <v>89.5</v>
      </c>
      <c r="J281" s="635">
        <v>18257519.090000004</v>
      </c>
      <c r="K281" s="635">
        <v>28445579.239999998</v>
      </c>
      <c r="L281" s="755">
        <v>14.2</v>
      </c>
    </row>
    <row r="282" spans="1:12">
      <c r="A282" s="754">
        <v>30</v>
      </c>
      <c r="B282" s="278">
        <v>11</v>
      </c>
      <c r="C282" s="764" t="s">
        <v>441</v>
      </c>
      <c r="D282" s="761">
        <v>161323070.13999999</v>
      </c>
      <c r="E282" s="635">
        <v>159725800.5</v>
      </c>
      <c r="F282" s="279">
        <v>99</v>
      </c>
      <c r="G282" s="635">
        <v>166006100.40000001</v>
      </c>
      <c r="H282" s="635">
        <v>153983536.88999999</v>
      </c>
      <c r="I282" s="279">
        <v>92.8</v>
      </c>
      <c r="J282" s="635">
        <v>5742263.6100000143</v>
      </c>
      <c r="K282" s="635">
        <v>9500000</v>
      </c>
      <c r="L282" s="755">
        <v>5.9</v>
      </c>
    </row>
    <row r="283" spans="1:12">
      <c r="A283" s="754">
        <v>30</v>
      </c>
      <c r="B283" s="278">
        <v>12</v>
      </c>
      <c r="C283" s="764" t="s">
        <v>442</v>
      </c>
      <c r="D283" s="761">
        <v>195271932.31999999</v>
      </c>
      <c r="E283" s="635">
        <v>196337711.47</v>
      </c>
      <c r="F283" s="279">
        <v>100.5</v>
      </c>
      <c r="G283" s="635">
        <v>207200478.88999999</v>
      </c>
      <c r="H283" s="635">
        <v>199720191.72999999</v>
      </c>
      <c r="I283" s="279">
        <v>96.4</v>
      </c>
      <c r="J283" s="635">
        <v>-3382480.2599999905</v>
      </c>
      <c r="K283" s="635">
        <v>44591803.469999999</v>
      </c>
      <c r="L283" s="755">
        <v>22.7</v>
      </c>
    </row>
    <row r="284" spans="1:12">
      <c r="A284" s="754">
        <v>30</v>
      </c>
      <c r="B284" s="278">
        <v>13</v>
      </c>
      <c r="C284" s="764" t="s">
        <v>443</v>
      </c>
      <c r="D284" s="761">
        <v>109258874.41</v>
      </c>
      <c r="E284" s="635">
        <v>103977086.14</v>
      </c>
      <c r="F284" s="279">
        <v>95.2</v>
      </c>
      <c r="G284" s="635">
        <v>116309556.81</v>
      </c>
      <c r="H284" s="635">
        <v>97899411.109999999</v>
      </c>
      <c r="I284" s="279">
        <v>84.2</v>
      </c>
      <c r="J284" s="635">
        <v>6077675.0300000012</v>
      </c>
      <c r="K284" s="635">
        <v>0</v>
      </c>
      <c r="L284" s="755">
        <v>0</v>
      </c>
    </row>
    <row r="285" spans="1:12">
      <c r="A285" s="754">
        <v>30</v>
      </c>
      <c r="B285" s="278">
        <v>14</v>
      </c>
      <c r="C285" s="764" t="s">
        <v>444</v>
      </c>
      <c r="D285" s="761">
        <v>120237822.39</v>
      </c>
      <c r="E285" s="635">
        <v>121997046.06</v>
      </c>
      <c r="F285" s="279">
        <v>101.5</v>
      </c>
      <c r="G285" s="635">
        <v>123732861.09</v>
      </c>
      <c r="H285" s="635">
        <v>113243651.89</v>
      </c>
      <c r="I285" s="279">
        <v>91.5</v>
      </c>
      <c r="J285" s="635">
        <v>8753394.1700000018</v>
      </c>
      <c r="K285" s="635">
        <v>95935</v>
      </c>
      <c r="L285" s="755">
        <v>0.1</v>
      </c>
    </row>
    <row r="286" spans="1:12">
      <c r="A286" s="754">
        <v>30</v>
      </c>
      <c r="B286" s="278">
        <v>15</v>
      </c>
      <c r="C286" s="764" t="s">
        <v>445</v>
      </c>
      <c r="D286" s="761">
        <v>146423705.30000001</v>
      </c>
      <c r="E286" s="635">
        <v>146445627.49000001</v>
      </c>
      <c r="F286" s="279">
        <v>100</v>
      </c>
      <c r="G286" s="635">
        <v>156241050.09</v>
      </c>
      <c r="H286" s="635">
        <v>148696638.06999999</v>
      </c>
      <c r="I286" s="279">
        <v>95.2</v>
      </c>
      <c r="J286" s="635">
        <v>-2251010.5799999833</v>
      </c>
      <c r="K286" s="635">
        <v>38940565.560000002</v>
      </c>
      <c r="L286" s="755">
        <v>26.6</v>
      </c>
    </row>
    <row r="287" spans="1:12">
      <c r="A287" s="754">
        <v>30</v>
      </c>
      <c r="B287" s="278">
        <v>16</v>
      </c>
      <c r="C287" s="764" t="s">
        <v>446</v>
      </c>
      <c r="D287" s="761">
        <v>112155616.72</v>
      </c>
      <c r="E287" s="635">
        <v>112512792.73999999</v>
      </c>
      <c r="F287" s="279">
        <v>100.3</v>
      </c>
      <c r="G287" s="635">
        <v>113586417.19</v>
      </c>
      <c r="H287" s="635">
        <v>104978908.45</v>
      </c>
      <c r="I287" s="279">
        <v>92.4</v>
      </c>
      <c r="J287" s="635">
        <v>7533884.2899999917</v>
      </c>
      <c r="K287" s="635">
        <v>9505008</v>
      </c>
      <c r="L287" s="755">
        <v>8.4</v>
      </c>
    </row>
    <row r="288" spans="1:12">
      <c r="A288" s="754">
        <v>30</v>
      </c>
      <c r="B288" s="278">
        <v>17</v>
      </c>
      <c r="C288" s="764" t="s">
        <v>304</v>
      </c>
      <c r="D288" s="761">
        <v>349086467.04000002</v>
      </c>
      <c r="E288" s="635">
        <v>348753121.31999999</v>
      </c>
      <c r="F288" s="279">
        <v>99.9</v>
      </c>
      <c r="G288" s="635">
        <v>338026899.61000001</v>
      </c>
      <c r="H288" s="635">
        <v>333147401.62</v>
      </c>
      <c r="I288" s="279">
        <v>98.6</v>
      </c>
      <c r="J288" s="635">
        <v>15605719.699999988</v>
      </c>
      <c r="K288" s="635">
        <v>32000000</v>
      </c>
      <c r="L288" s="755">
        <v>9.1999999999999993</v>
      </c>
    </row>
    <row r="289" spans="1:12">
      <c r="A289" s="754">
        <v>30</v>
      </c>
      <c r="B289" s="278">
        <v>18</v>
      </c>
      <c r="C289" s="764" t="s">
        <v>447</v>
      </c>
      <c r="D289" s="761">
        <v>159097263.84</v>
      </c>
      <c r="E289" s="635">
        <v>159556178.88</v>
      </c>
      <c r="F289" s="279">
        <v>100.3</v>
      </c>
      <c r="G289" s="635">
        <v>162118313.22999999</v>
      </c>
      <c r="H289" s="635">
        <v>158111099.09999999</v>
      </c>
      <c r="I289" s="279">
        <v>97.5</v>
      </c>
      <c r="J289" s="635">
        <v>1445079.7800000012</v>
      </c>
      <c r="K289" s="635">
        <v>2250750.5299999998</v>
      </c>
      <c r="L289" s="755">
        <v>1.4</v>
      </c>
    </row>
    <row r="290" spans="1:12">
      <c r="A290" s="754">
        <v>30</v>
      </c>
      <c r="B290" s="278">
        <v>19</v>
      </c>
      <c r="C290" s="764" t="s">
        <v>448</v>
      </c>
      <c r="D290" s="761">
        <v>357449623.33999997</v>
      </c>
      <c r="E290" s="635">
        <v>353149787.94999999</v>
      </c>
      <c r="F290" s="279">
        <v>98.8</v>
      </c>
      <c r="G290" s="635">
        <v>351642943.49000001</v>
      </c>
      <c r="H290" s="635">
        <v>337844229.73000002</v>
      </c>
      <c r="I290" s="279">
        <v>96.1</v>
      </c>
      <c r="J290" s="635">
        <v>15305558.219999969</v>
      </c>
      <c r="K290" s="635">
        <v>71674714.269999996</v>
      </c>
      <c r="L290" s="755">
        <v>20.3</v>
      </c>
    </row>
    <row r="291" spans="1:12">
      <c r="A291" s="754">
        <v>30</v>
      </c>
      <c r="B291" s="278">
        <v>20</v>
      </c>
      <c r="C291" s="764" t="s">
        <v>449</v>
      </c>
      <c r="D291" s="761">
        <v>179803856.03</v>
      </c>
      <c r="E291" s="635">
        <v>179568928.97</v>
      </c>
      <c r="F291" s="279">
        <v>99.9</v>
      </c>
      <c r="G291" s="635">
        <v>200792405.25</v>
      </c>
      <c r="H291" s="635">
        <v>191559879.09</v>
      </c>
      <c r="I291" s="279">
        <v>95.4</v>
      </c>
      <c r="J291" s="635">
        <v>-11990950.120000005</v>
      </c>
      <c r="K291" s="635">
        <v>67719229.629999995</v>
      </c>
      <c r="L291" s="755">
        <v>37.700000000000003</v>
      </c>
    </row>
    <row r="292" spans="1:12">
      <c r="A292" s="754">
        <v>30</v>
      </c>
      <c r="B292" s="278">
        <v>21</v>
      </c>
      <c r="C292" s="764" t="s">
        <v>450</v>
      </c>
      <c r="D292" s="761">
        <v>767970560.89999998</v>
      </c>
      <c r="E292" s="635">
        <v>766846191.10000002</v>
      </c>
      <c r="F292" s="279">
        <v>99.9</v>
      </c>
      <c r="G292" s="635">
        <v>744719323.89999998</v>
      </c>
      <c r="H292" s="635">
        <v>687849771.59000003</v>
      </c>
      <c r="I292" s="279">
        <v>92.4</v>
      </c>
      <c r="J292" s="635">
        <v>78996419.50999999</v>
      </c>
      <c r="K292" s="635">
        <v>81000000</v>
      </c>
      <c r="L292" s="755">
        <v>10.6</v>
      </c>
    </row>
    <row r="293" spans="1:12">
      <c r="A293" s="754">
        <v>30</v>
      </c>
      <c r="B293" s="278">
        <v>22</v>
      </c>
      <c r="C293" s="764" t="s">
        <v>451</v>
      </c>
      <c r="D293" s="761">
        <v>141182211.52000001</v>
      </c>
      <c r="E293" s="635">
        <v>142984624.09999999</v>
      </c>
      <c r="F293" s="279">
        <v>101.3</v>
      </c>
      <c r="G293" s="635">
        <v>142307118.96000001</v>
      </c>
      <c r="H293" s="635">
        <v>129495409.03</v>
      </c>
      <c r="I293" s="279">
        <v>91</v>
      </c>
      <c r="J293" s="635">
        <v>13489215.069999993</v>
      </c>
      <c r="K293" s="635">
        <v>8000000</v>
      </c>
      <c r="L293" s="755">
        <v>5.6</v>
      </c>
    </row>
    <row r="294" spans="1:12">
      <c r="A294" s="754">
        <v>30</v>
      </c>
      <c r="B294" s="278">
        <v>23</v>
      </c>
      <c r="C294" s="764" t="s">
        <v>452</v>
      </c>
      <c r="D294" s="761">
        <v>150429964.28999999</v>
      </c>
      <c r="E294" s="635">
        <v>147170710.72</v>
      </c>
      <c r="F294" s="279">
        <v>97.8</v>
      </c>
      <c r="G294" s="635">
        <v>151834881.87</v>
      </c>
      <c r="H294" s="635">
        <v>138270934.88</v>
      </c>
      <c r="I294" s="279">
        <v>91.1</v>
      </c>
      <c r="J294" s="635">
        <v>8899775.8400000036</v>
      </c>
      <c r="K294" s="635">
        <v>23000000</v>
      </c>
      <c r="L294" s="755">
        <v>15.6</v>
      </c>
    </row>
    <row r="295" spans="1:12">
      <c r="A295" s="754">
        <v>30</v>
      </c>
      <c r="B295" s="278">
        <v>24</v>
      </c>
      <c r="C295" s="764" t="s">
        <v>453</v>
      </c>
      <c r="D295" s="761">
        <v>189807178.69999999</v>
      </c>
      <c r="E295" s="635">
        <v>187680699.49000001</v>
      </c>
      <c r="F295" s="279">
        <v>98.9</v>
      </c>
      <c r="G295" s="635">
        <v>194007465.87</v>
      </c>
      <c r="H295" s="635">
        <v>180625659.66</v>
      </c>
      <c r="I295" s="279">
        <v>93.1</v>
      </c>
      <c r="J295" s="635">
        <v>7055039.8300000131</v>
      </c>
      <c r="K295" s="635">
        <v>15185148</v>
      </c>
      <c r="L295" s="755">
        <v>8.1</v>
      </c>
    </row>
    <row r="296" spans="1:12">
      <c r="A296" s="754">
        <v>30</v>
      </c>
      <c r="B296" s="278">
        <v>25</v>
      </c>
      <c r="C296" s="764" t="s">
        <v>191</v>
      </c>
      <c r="D296" s="761">
        <v>139390720.22999999</v>
      </c>
      <c r="E296" s="635">
        <v>138794258.59</v>
      </c>
      <c r="F296" s="279">
        <v>99.6</v>
      </c>
      <c r="G296" s="635">
        <v>162134356.31999999</v>
      </c>
      <c r="H296" s="635">
        <v>152856160.19999999</v>
      </c>
      <c r="I296" s="279">
        <v>94.3</v>
      </c>
      <c r="J296" s="635">
        <v>-14061901.609999985</v>
      </c>
      <c r="K296" s="635">
        <v>66590000</v>
      </c>
      <c r="L296" s="755">
        <v>48</v>
      </c>
    </row>
    <row r="297" spans="1:12">
      <c r="A297" s="754">
        <v>30</v>
      </c>
      <c r="B297" s="278">
        <v>26</v>
      </c>
      <c r="C297" s="764" t="s">
        <v>454</v>
      </c>
      <c r="D297" s="761">
        <v>151809517.25999999</v>
      </c>
      <c r="E297" s="635">
        <v>149911314.05000001</v>
      </c>
      <c r="F297" s="279">
        <v>98.7</v>
      </c>
      <c r="G297" s="635">
        <v>151911824.18000001</v>
      </c>
      <c r="H297" s="635">
        <v>146405429.19999999</v>
      </c>
      <c r="I297" s="279">
        <v>96.4</v>
      </c>
      <c r="J297" s="635">
        <v>3505884.8500000238</v>
      </c>
      <c r="K297" s="635">
        <v>75746769.359999999</v>
      </c>
      <c r="L297" s="755">
        <v>50.5</v>
      </c>
    </row>
    <row r="298" spans="1:12">
      <c r="A298" s="754">
        <v>30</v>
      </c>
      <c r="B298" s="278">
        <v>27</v>
      </c>
      <c r="C298" s="764" t="s">
        <v>455</v>
      </c>
      <c r="D298" s="761">
        <v>180962243.44</v>
      </c>
      <c r="E298" s="635">
        <v>183258532.88999999</v>
      </c>
      <c r="F298" s="279">
        <v>101.3</v>
      </c>
      <c r="G298" s="635">
        <v>182620424.44</v>
      </c>
      <c r="H298" s="635">
        <v>176039378.56999999</v>
      </c>
      <c r="I298" s="279">
        <v>96.4</v>
      </c>
      <c r="J298" s="635">
        <v>7219154.3199999928</v>
      </c>
      <c r="K298" s="635">
        <v>13500000</v>
      </c>
      <c r="L298" s="755">
        <v>7.4</v>
      </c>
    </row>
    <row r="299" spans="1:12">
      <c r="A299" s="754">
        <v>30</v>
      </c>
      <c r="B299" s="278">
        <v>28</v>
      </c>
      <c r="C299" s="764" t="s">
        <v>456</v>
      </c>
      <c r="D299" s="761">
        <v>201293891.33000001</v>
      </c>
      <c r="E299" s="635">
        <v>200506469.38</v>
      </c>
      <c r="F299" s="279">
        <v>99.6</v>
      </c>
      <c r="G299" s="635">
        <v>198670361.46000001</v>
      </c>
      <c r="H299" s="635">
        <v>190169103.66</v>
      </c>
      <c r="I299" s="279">
        <v>95.7</v>
      </c>
      <c r="J299" s="635">
        <v>10337365.719999999</v>
      </c>
      <c r="K299" s="635">
        <v>48800000</v>
      </c>
      <c r="L299" s="755">
        <v>24.3</v>
      </c>
    </row>
    <row r="300" spans="1:12">
      <c r="A300" s="754">
        <v>30</v>
      </c>
      <c r="B300" s="278">
        <v>29</v>
      </c>
      <c r="C300" s="764" t="s">
        <v>457</v>
      </c>
      <c r="D300" s="761">
        <v>153596604.43000001</v>
      </c>
      <c r="E300" s="635">
        <v>152684117.84999999</v>
      </c>
      <c r="F300" s="279">
        <v>99.4</v>
      </c>
      <c r="G300" s="635">
        <v>186612556</v>
      </c>
      <c r="H300" s="635">
        <v>171536695.72</v>
      </c>
      <c r="I300" s="279">
        <v>91.9</v>
      </c>
      <c r="J300" s="635">
        <v>-18852577.870000005</v>
      </c>
      <c r="K300" s="635">
        <v>27920879.75</v>
      </c>
      <c r="L300" s="755">
        <v>18.3</v>
      </c>
    </row>
    <row r="301" spans="1:12">
      <c r="A301" s="754">
        <v>30</v>
      </c>
      <c r="B301" s="278">
        <v>30</v>
      </c>
      <c r="C301" s="764" t="s">
        <v>458</v>
      </c>
      <c r="D301" s="761">
        <v>169309664.78999999</v>
      </c>
      <c r="E301" s="635">
        <v>167582630.31999999</v>
      </c>
      <c r="F301" s="279">
        <v>99</v>
      </c>
      <c r="G301" s="635">
        <v>179932075.25999999</v>
      </c>
      <c r="H301" s="635">
        <v>166076141.96000001</v>
      </c>
      <c r="I301" s="279">
        <v>92.3</v>
      </c>
      <c r="J301" s="635">
        <v>1506488.3599999845</v>
      </c>
      <c r="K301" s="635">
        <v>12008793.93</v>
      </c>
      <c r="L301" s="755">
        <v>7.2</v>
      </c>
    </row>
    <row r="302" spans="1:12">
      <c r="A302" s="754">
        <v>30</v>
      </c>
      <c r="B302" s="278">
        <v>31</v>
      </c>
      <c r="C302" s="764" t="s">
        <v>459</v>
      </c>
      <c r="D302" s="761">
        <v>159432586.56</v>
      </c>
      <c r="E302" s="635">
        <v>159948947.27000001</v>
      </c>
      <c r="F302" s="279">
        <v>100.3</v>
      </c>
      <c r="G302" s="635">
        <v>157755657.44</v>
      </c>
      <c r="H302" s="635">
        <v>149779997.94</v>
      </c>
      <c r="I302" s="279">
        <v>94.9</v>
      </c>
      <c r="J302" s="635">
        <v>10168949.330000013</v>
      </c>
      <c r="K302" s="635">
        <v>13541316</v>
      </c>
      <c r="L302" s="755">
        <v>8.5</v>
      </c>
    </row>
    <row r="303" spans="1:12">
      <c r="A303" s="754">
        <v>32</v>
      </c>
      <c r="B303" s="278">
        <v>1</v>
      </c>
      <c r="C303" s="764" t="s">
        <v>460</v>
      </c>
      <c r="D303" s="761">
        <v>134940214.41999999</v>
      </c>
      <c r="E303" s="635">
        <v>135819403.31999999</v>
      </c>
      <c r="F303" s="279">
        <v>100.7</v>
      </c>
      <c r="G303" s="635">
        <v>138997348.71000001</v>
      </c>
      <c r="H303" s="635">
        <v>131398687.19</v>
      </c>
      <c r="I303" s="279">
        <v>94.5</v>
      </c>
      <c r="J303" s="635">
        <v>4420716.1299999952</v>
      </c>
      <c r="K303" s="635">
        <v>1600000</v>
      </c>
      <c r="L303" s="755">
        <v>1.2</v>
      </c>
    </row>
    <row r="304" spans="1:12">
      <c r="A304" s="754">
        <v>32</v>
      </c>
      <c r="B304" s="278">
        <v>2</v>
      </c>
      <c r="C304" s="764" t="s">
        <v>461</v>
      </c>
      <c r="D304" s="761">
        <v>119408061.42</v>
      </c>
      <c r="E304" s="635">
        <v>114333281.13</v>
      </c>
      <c r="F304" s="279">
        <v>95.8</v>
      </c>
      <c r="G304" s="635">
        <v>127617860.56999999</v>
      </c>
      <c r="H304" s="635">
        <v>102011642.40000001</v>
      </c>
      <c r="I304" s="279">
        <v>79.900000000000006</v>
      </c>
      <c r="J304" s="635">
        <v>12321638.729999989</v>
      </c>
      <c r="K304" s="635">
        <v>9828528.5299999993</v>
      </c>
      <c r="L304" s="755">
        <v>8.6</v>
      </c>
    </row>
    <row r="305" spans="1:12">
      <c r="A305" s="754">
        <v>32</v>
      </c>
      <c r="B305" s="278">
        <v>3</v>
      </c>
      <c r="C305" s="764" t="s">
        <v>462</v>
      </c>
      <c r="D305" s="761">
        <v>237615692.09999999</v>
      </c>
      <c r="E305" s="635">
        <v>219578637.94</v>
      </c>
      <c r="F305" s="279">
        <v>92.4</v>
      </c>
      <c r="G305" s="635">
        <v>243025581.11000001</v>
      </c>
      <c r="H305" s="635">
        <v>202601818.56999999</v>
      </c>
      <c r="I305" s="279">
        <v>83.4</v>
      </c>
      <c r="J305" s="635">
        <v>16976819.370000005</v>
      </c>
      <c r="K305" s="635">
        <v>38305894</v>
      </c>
      <c r="L305" s="755">
        <v>17.399999999999999</v>
      </c>
    </row>
    <row r="306" spans="1:12">
      <c r="A306" s="754">
        <v>32</v>
      </c>
      <c r="B306" s="278">
        <v>4</v>
      </c>
      <c r="C306" s="764" t="s">
        <v>463</v>
      </c>
      <c r="D306" s="761">
        <v>195969593.03999999</v>
      </c>
      <c r="E306" s="635">
        <v>194268867.40000001</v>
      </c>
      <c r="F306" s="279">
        <v>99.1</v>
      </c>
      <c r="G306" s="635">
        <v>206090133.06999999</v>
      </c>
      <c r="H306" s="635">
        <v>194277533.08000001</v>
      </c>
      <c r="I306" s="279">
        <v>94.3</v>
      </c>
      <c r="J306" s="635">
        <v>-8665.6800000071526</v>
      </c>
      <c r="K306" s="635">
        <v>31500188.530000001</v>
      </c>
      <c r="L306" s="755">
        <v>16.2</v>
      </c>
    </row>
    <row r="307" spans="1:12">
      <c r="A307" s="754">
        <v>32</v>
      </c>
      <c r="B307" s="278">
        <v>5</v>
      </c>
      <c r="C307" s="764" t="s">
        <v>464</v>
      </c>
      <c r="D307" s="761">
        <v>178788826.72</v>
      </c>
      <c r="E307" s="635">
        <v>177294734.59</v>
      </c>
      <c r="F307" s="279">
        <v>99.2</v>
      </c>
      <c r="G307" s="635">
        <v>190440277.43000001</v>
      </c>
      <c r="H307" s="635">
        <v>178796037.83000001</v>
      </c>
      <c r="I307" s="279">
        <v>93.9</v>
      </c>
      <c r="J307" s="635">
        <v>-1501303.2400000095</v>
      </c>
      <c r="K307" s="635">
        <v>15426760.93</v>
      </c>
      <c r="L307" s="755">
        <v>8.6999999999999993</v>
      </c>
    </row>
    <row r="308" spans="1:12">
      <c r="A308" s="754">
        <v>32</v>
      </c>
      <c r="B308" s="278">
        <v>6</v>
      </c>
      <c r="C308" s="764" t="s">
        <v>465</v>
      </c>
      <c r="D308" s="761">
        <v>184933049.27000001</v>
      </c>
      <c r="E308" s="635">
        <v>186184098.41</v>
      </c>
      <c r="F308" s="279">
        <v>100.7</v>
      </c>
      <c r="G308" s="635">
        <v>194204210.66999999</v>
      </c>
      <c r="H308" s="635">
        <v>177150274.81999999</v>
      </c>
      <c r="I308" s="279">
        <v>91.2</v>
      </c>
      <c r="J308" s="635">
        <v>9033823.5900000036</v>
      </c>
      <c r="K308" s="635">
        <v>17559296.52</v>
      </c>
      <c r="L308" s="755">
        <v>9.4</v>
      </c>
    </row>
    <row r="309" spans="1:12">
      <c r="A309" s="754">
        <v>32</v>
      </c>
      <c r="B309" s="278">
        <v>7</v>
      </c>
      <c r="C309" s="764" t="s">
        <v>466</v>
      </c>
      <c r="D309" s="761">
        <v>165874249.47</v>
      </c>
      <c r="E309" s="635">
        <v>160005746.50999999</v>
      </c>
      <c r="F309" s="279">
        <v>96.5</v>
      </c>
      <c r="G309" s="635">
        <v>184608920.47</v>
      </c>
      <c r="H309" s="635">
        <v>153089431.55000001</v>
      </c>
      <c r="I309" s="279">
        <v>82.9</v>
      </c>
      <c r="J309" s="635">
        <v>6916314.9599999785</v>
      </c>
      <c r="K309" s="635">
        <v>0</v>
      </c>
      <c r="L309" s="755">
        <v>0</v>
      </c>
    </row>
    <row r="310" spans="1:12">
      <c r="A310" s="754">
        <v>32</v>
      </c>
      <c r="B310" s="278">
        <v>8</v>
      </c>
      <c r="C310" s="764" t="s">
        <v>467</v>
      </c>
      <c r="D310" s="761">
        <v>211689822.87</v>
      </c>
      <c r="E310" s="635">
        <v>211196820.28999999</v>
      </c>
      <c r="F310" s="279">
        <v>99.8</v>
      </c>
      <c r="G310" s="635">
        <v>219904283.38999999</v>
      </c>
      <c r="H310" s="635">
        <v>211080139.62</v>
      </c>
      <c r="I310" s="279">
        <v>96</v>
      </c>
      <c r="J310" s="635">
        <v>116680.66999998689</v>
      </c>
      <c r="K310" s="635">
        <v>3606000</v>
      </c>
      <c r="L310" s="755">
        <v>1.7</v>
      </c>
    </row>
    <row r="311" spans="1:12">
      <c r="A311" s="754">
        <v>32</v>
      </c>
      <c r="B311" s="278">
        <v>9</v>
      </c>
      <c r="C311" s="764" t="s">
        <v>468</v>
      </c>
      <c r="D311" s="761">
        <v>180143542.66999999</v>
      </c>
      <c r="E311" s="635">
        <v>179327555.99000001</v>
      </c>
      <c r="F311" s="279">
        <v>99.5</v>
      </c>
      <c r="G311" s="635">
        <v>177652170.84999999</v>
      </c>
      <c r="H311" s="635">
        <v>163850102.03999999</v>
      </c>
      <c r="I311" s="279">
        <v>92.2</v>
      </c>
      <c r="J311" s="635">
        <v>15477453.950000018</v>
      </c>
      <c r="K311" s="635">
        <v>6000000</v>
      </c>
      <c r="L311" s="755">
        <v>3.3</v>
      </c>
    </row>
    <row r="312" spans="1:12">
      <c r="A312" s="754">
        <v>32</v>
      </c>
      <c r="B312" s="278">
        <v>10</v>
      </c>
      <c r="C312" s="764" t="s">
        <v>469</v>
      </c>
      <c r="D312" s="761">
        <v>175069010.34999999</v>
      </c>
      <c r="E312" s="635">
        <v>182313699.30000001</v>
      </c>
      <c r="F312" s="279">
        <v>104.1</v>
      </c>
      <c r="G312" s="635">
        <v>190200953.09999999</v>
      </c>
      <c r="H312" s="635">
        <v>170604337.30000001</v>
      </c>
      <c r="I312" s="279">
        <v>89.7</v>
      </c>
      <c r="J312" s="635">
        <v>11709362</v>
      </c>
      <c r="K312" s="635">
        <v>20780000</v>
      </c>
      <c r="L312" s="755">
        <v>11.4</v>
      </c>
    </row>
    <row r="313" spans="1:12">
      <c r="A313" s="754">
        <v>32</v>
      </c>
      <c r="B313" s="278">
        <v>11</v>
      </c>
      <c r="C313" s="764" t="s">
        <v>470</v>
      </c>
      <c r="D313" s="761">
        <v>186496291.38</v>
      </c>
      <c r="E313" s="635">
        <v>181114440.66</v>
      </c>
      <c r="F313" s="279">
        <v>97.1</v>
      </c>
      <c r="G313" s="635">
        <v>201507986.80000001</v>
      </c>
      <c r="H313" s="635">
        <v>182136059.31</v>
      </c>
      <c r="I313" s="279">
        <v>90.4</v>
      </c>
      <c r="J313" s="635">
        <v>-1021618.650000006</v>
      </c>
      <c r="K313" s="635">
        <v>22875016</v>
      </c>
      <c r="L313" s="755">
        <v>12.6</v>
      </c>
    </row>
    <row r="314" spans="1:12">
      <c r="A314" s="754">
        <v>32</v>
      </c>
      <c r="B314" s="278">
        <v>12</v>
      </c>
      <c r="C314" s="764" t="s">
        <v>471</v>
      </c>
      <c r="D314" s="761">
        <v>104144091.06</v>
      </c>
      <c r="E314" s="635">
        <v>101782853.31999999</v>
      </c>
      <c r="F314" s="279">
        <v>97.7</v>
      </c>
      <c r="G314" s="635">
        <v>107321702.62</v>
      </c>
      <c r="H314" s="635">
        <v>100873239.73999999</v>
      </c>
      <c r="I314" s="279">
        <v>94</v>
      </c>
      <c r="J314" s="635">
        <v>909613.57999999821</v>
      </c>
      <c r="K314" s="635">
        <v>6850000</v>
      </c>
      <c r="L314" s="755">
        <v>6.7</v>
      </c>
    </row>
    <row r="315" spans="1:12">
      <c r="A315" s="754">
        <v>32</v>
      </c>
      <c r="B315" s="278">
        <v>13</v>
      </c>
      <c r="C315" s="764" t="s">
        <v>472</v>
      </c>
      <c r="D315" s="761">
        <v>152293491</v>
      </c>
      <c r="E315" s="635">
        <v>152410081.50999999</v>
      </c>
      <c r="F315" s="279">
        <v>100.1</v>
      </c>
      <c r="G315" s="635">
        <v>156563349</v>
      </c>
      <c r="H315" s="635">
        <v>144329424.13999999</v>
      </c>
      <c r="I315" s="279">
        <v>92.2</v>
      </c>
      <c r="J315" s="635">
        <v>8080657.3700000048</v>
      </c>
      <c r="K315" s="635">
        <v>31000000</v>
      </c>
      <c r="L315" s="755">
        <v>20.3</v>
      </c>
    </row>
    <row r="316" spans="1:12">
      <c r="A316" s="754">
        <v>32</v>
      </c>
      <c r="B316" s="278">
        <v>14</v>
      </c>
      <c r="C316" s="764" t="s">
        <v>473</v>
      </c>
      <c r="D316" s="761">
        <v>288189653.23000002</v>
      </c>
      <c r="E316" s="635">
        <v>287403120.80000001</v>
      </c>
      <c r="F316" s="279">
        <v>99.7</v>
      </c>
      <c r="G316" s="635">
        <v>314032337.92000002</v>
      </c>
      <c r="H316" s="635">
        <v>283800804.08999997</v>
      </c>
      <c r="I316" s="279">
        <v>90.4</v>
      </c>
      <c r="J316" s="635">
        <v>3602316.7100000381</v>
      </c>
      <c r="K316" s="635">
        <v>17543452.210000001</v>
      </c>
      <c r="L316" s="755">
        <v>6.1</v>
      </c>
    </row>
    <row r="317" spans="1:12">
      <c r="A317" s="754">
        <v>32</v>
      </c>
      <c r="B317" s="278">
        <v>15</v>
      </c>
      <c r="C317" s="764" t="s">
        <v>474</v>
      </c>
      <c r="D317" s="761">
        <v>258345986.40000001</v>
      </c>
      <c r="E317" s="635">
        <v>237205699.41</v>
      </c>
      <c r="F317" s="279">
        <v>91.8</v>
      </c>
      <c r="G317" s="635">
        <v>266142874.19999999</v>
      </c>
      <c r="H317" s="635">
        <v>240168693.65000001</v>
      </c>
      <c r="I317" s="279">
        <v>90.2</v>
      </c>
      <c r="J317" s="635">
        <v>-2962994.2400000095</v>
      </c>
      <c r="K317" s="635">
        <v>71362139.829999998</v>
      </c>
      <c r="L317" s="755">
        <v>30.1</v>
      </c>
    </row>
    <row r="318" spans="1:12">
      <c r="A318" s="754">
        <v>32</v>
      </c>
      <c r="B318" s="278">
        <v>16</v>
      </c>
      <c r="C318" s="764" t="s">
        <v>475</v>
      </c>
      <c r="D318" s="761">
        <v>163181604.03</v>
      </c>
      <c r="E318" s="635">
        <v>163025263.09</v>
      </c>
      <c r="F318" s="279">
        <v>99.9</v>
      </c>
      <c r="G318" s="635">
        <v>162898599.03</v>
      </c>
      <c r="H318" s="635">
        <v>151350945.03999999</v>
      </c>
      <c r="I318" s="279">
        <v>92.9</v>
      </c>
      <c r="J318" s="635">
        <v>11674318.050000012</v>
      </c>
      <c r="K318" s="635">
        <v>9670000</v>
      </c>
      <c r="L318" s="755">
        <v>5.9</v>
      </c>
    </row>
    <row r="319" spans="1:12">
      <c r="A319" s="754">
        <v>32</v>
      </c>
      <c r="B319" s="278">
        <v>17</v>
      </c>
      <c r="C319" s="764" t="s">
        <v>476</v>
      </c>
      <c r="D319" s="761">
        <v>138794648.88</v>
      </c>
      <c r="E319" s="635">
        <v>129511098.31</v>
      </c>
      <c r="F319" s="279">
        <v>93.3</v>
      </c>
      <c r="G319" s="635">
        <v>152515795.96000001</v>
      </c>
      <c r="H319" s="635">
        <v>138131824.21000001</v>
      </c>
      <c r="I319" s="279">
        <v>90.6</v>
      </c>
      <c r="J319" s="635">
        <v>-8620725.900000006</v>
      </c>
      <c r="K319" s="635">
        <v>50034588.049999997</v>
      </c>
      <c r="L319" s="755">
        <v>38.6</v>
      </c>
    </row>
    <row r="320" spans="1:12">
      <c r="A320" s="756">
        <v>32</v>
      </c>
      <c r="B320" s="757">
        <v>18</v>
      </c>
      <c r="C320" s="765" t="s">
        <v>477</v>
      </c>
      <c r="D320" s="762">
        <v>119936220.56</v>
      </c>
      <c r="E320" s="758">
        <v>120654968.40000001</v>
      </c>
      <c r="F320" s="759">
        <v>100.6</v>
      </c>
      <c r="G320" s="758">
        <v>135642098.05000001</v>
      </c>
      <c r="H320" s="758">
        <v>125283776.62</v>
      </c>
      <c r="I320" s="759">
        <v>92.4</v>
      </c>
      <c r="J320" s="758">
        <v>-4628808.2199999988</v>
      </c>
      <c r="K320" s="758">
        <v>15000280</v>
      </c>
      <c r="L320" s="760">
        <v>12.4</v>
      </c>
    </row>
    <row r="322" spans="1:1">
      <c r="A322" s="365" t="s">
        <v>911</v>
      </c>
    </row>
  </sheetData>
  <mergeCells count="13">
    <mergeCell ref="A3:A5"/>
    <mergeCell ref="B3:B5"/>
    <mergeCell ref="C3:C5"/>
    <mergeCell ref="D3:E3"/>
    <mergeCell ref="F3:F4"/>
    <mergeCell ref="I3:I4"/>
    <mergeCell ref="J3:J4"/>
    <mergeCell ref="K3:K4"/>
    <mergeCell ref="L3:L4"/>
    <mergeCell ref="D5:E5"/>
    <mergeCell ref="J5:K5"/>
    <mergeCell ref="G3:H3"/>
    <mergeCell ref="G5:H5"/>
  </mergeCells>
  <pageMargins left="0.51181102362204722" right="0.31496062992125984" top="0.74803149606299213" bottom="0.74803149606299213" header="0.31496062992125984" footer="0.31496062992125984"/>
  <pageSetup paperSize="9"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9BCF-3F8E-4F8D-ADB4-C47A103F1A51}">
  <dimension ref="A1:J324"/>
  <sheetViews>
    <sheetView view="pageBreakPreview" topLeftCell="A273" zoomScaleNormal="100" zoomScaleSheetLayoutView="100" workbookViewId="0">
      <selection activeCell="F8" sqref="F8"/>
    </sheetView>
  </sheetViews>
  <sheetFormatPr defaultRowHeight="14.4"/>
  <cols>
    <col min="1" max="1" width="4.77734375" customWidth="1"/>
    <col min="2" max="2" width="5.77734375" customWidth="1"/>
    <col min="3" max="3" width="16.77734375" bestFit="1" customWidth="1"/>
    <col min="4" max="4" width="16.5546875" customWidth="1"/>
    <col min="5" max="5" width="12.44140625" bestFit="1" customWidth="1"/>
    <col min="6" max="6" width="12" customWidth="1"/>
    <col min="7" max="7" width="8" bestFit="1" customWidth="1"/>
    <col min="8" max="9" width="7.77734375" customWidth="1"/>
    <col min="10" max="10" width="8.21875" customWidth="1"/>
  </cols>
  <sheetData>
    <row r="1" spans="1:10" ht="35.25" customHeight="1">
      <c r="A1" s="2214" t="s">
        <v>1003</v>
      </c>
      <c r="B1" s="2214"/>
      <c r="C1" s="2214"/>
      <c r="D1" s="2214"/>
      <c r="E1" s="2214"/>
      <c r="F1" s="2214"/>
      <c r="G1" s="2214"/>
      <c r="H1" s="2214"/>
      <c r="I1" s="2214"/>
      <c r="J1" s="2214"/>
    </row>
    <row r="2" spans="1:10">
      <c r="A2" s="2376" t="s">
        <v>87</v>
      </c>
      <c r="B2" s="2429" t="s">
        <v>171</v>
      </c>
      <c r="C2" s="2377" t="s">
        <v>172</v>
      </c>
      <c r="D2" s="2379" t="s">
        <v>819</v>
      </c>
      <c r="E2" s="2381" t="s">
        <v>88</v>
      </c>
      <c r="F2" s="2381"/>
      <c r="G2" s="2376" t="s">
        <v>575</v>
      </c>
      <c r="H2" s="2382"/>
    </row>
    <row r="3" spans="1:10">
      <c r="A3" s="2372"/>
      <c r="B3" s="2430"/>
      <c r="C3" s="2378"/>
      <c r="D3" s="2380"/>
      <c r="E3" s="2369" t="s">
        <v>136</v>
      </c>
      <c r="F3" s="2370" t="s">
        <v>137</v>
      </c>
      <c r="G3" s="2372"/>
      <c r="H3" s="2373"/>
    </row>
    <row r="4" spans="1:10">
      <c r="A4" s="2372"/>
      <c r="B4" s="2430"/>
      <c r="C4" s="2378"/>
      <c r="D4" s="2380"/>
      <c r="E4" s="2369"/>
      <c r="F4" s="2370"/>
      <c r="G4" s="2372"/>
      <c r="H4" s="2373"/>
    </row>
    <row r="5" spans="1:10" ht="32.25" customHeight="1">
      <c r="A5" s="2372"/>
      <c r="B5" s="2430"/>
      <c r="C5" s="2378"/>
      <c r="D5" s="2380"/>
      <c r="E5" s="2369"/>
      <c r="F5" s="2370"/>
      <c r="G5" s="725" t="s">
        <v>7</v>
      </c>
      <c r="H5" s="726" t="s">
        <v>576</v>
      </c>
    </row>
    <row r="6" spans="1:10">
      <c r="A6" s="2372"/>
      <c r="B6" s="2431"/>
      <c r="C6" s="2378"/>
      <c r="D6" s="2371" t="s">
        <v>93</v>
      </c>
      <c r="E6" s="2370"/>
      <c r="F6" s="2370"/>
      <c r="G6" s="2372" t="s">
        <v>169</v>
      </c>
      <c r="H6" s="2373"/>
    </row>
    <row r="7" spans="1:10">
      <c r="A7" s="721" t="str">
        <f>+"["&amp;COLUMN()&amp;"]"</f>
        <v>[1]</v>
      </c>
      <c r="B7" s="766" t="str">
        <f t="shared" ref="B7:H7" si="0">+"["&amp;COLUMN()&amp;"]"</f>
        <v>[2]</v>
      </c>
      <c r="C7" s="727" t="str">
        <f t="shared" si="0"/>
        <v>[3]</v>
      </c>
      <c r="D7" s="728" t="str">
        <f t="shared" si="0"/>
        <v>[4]</v>
      </c>
      <c r="E7" s="729" t="str">
        <f t="shared" si="0"/>
        <v>[5]</v>
      </c>
      <c r="F7" s="729" t="str">
        <f t="shared" si="0"/>
        <v>[6]</v>
      </c>
      <c r="G7" s="721" t="str">
        <f t="shared" si="0"/>
        <v>[7]</v>
      </c>
      <c r="H7" s="727" t="str">
        <f t="shared" si="0"/>
        <v>[8]</v>
      </c>
    </row>
    <row r="8" spans="1:10">
      <c r="A8" s="1654"/>
      <c r="B8" s="1655"/>
      <c r="C8" s="1656" t="s">
        <v>562</v>
      </c>
      <c r="D8" s="1659">
        <v>22856649128.410011</v>
      </c>
      <c r="E8" s="1660">
        <v>21508695219.150017</v>
      </c>
      <c r="F8" s="1660">
        <v>1347953909.2599995</v>
      </c>
      <c r="G8" s="1652">
        <v>94.1</v>
      </c>
      <c r="H8" s="1650">
        <v>5.9</v>
      </c>
    </row>
    <row r="9" spans="1:10">
      <c r="A9" s="1657">
        <v>2</v>
      </c>
      <c r="B9" s="1658">
        <v>1</v>
      </c>
      <c r="C9" s="1651" t="s">
        <v>174</v>
      </c>
      <c r="D9" s="1661">
        <v>93509934.689999998</v>
      </c>
      <c r="E9" s="1662">
        <v>91772589.209999993</v>
      </c>
      <c r="F9" s="1662">
        <v>1737345.48</v>
      </c>
      <c r="G9" s="1653">
        <v>98.1</v>
      </c>
      <c r="H9" s="1649">
        <v>1.9</v>
      </c>
    </row>
    <row r="10" spans="1:10">
      <c r="A10" s="1657">
        <v>2</v>
      </c>
      <c r="B10" s="1658">
        <v>2</v>
      </c>
      <c r="C10" s="1651" t="s">
        <v>175</v>
      </c>
      <c r="D10" s="1661">
        <v>94202888.269999996</v>
      </c>
      <c r="E10" s="1662">
        <v>91527933.730000004</v>
      </c>
      <c r="F10" s="1662">
        <v>2674954.54</v>
      </c>
      <c r="G10" s="1653">
        <v>97.2</v>
      </c>
      <c r="H10" s="1649">
        <v>2.8</v>
      </c>
    </row>
    <row r="11" spans="1:10">
      <c r="A11" s="1657">
        <v>2</v>
      </c>
      <c r="B11" s="1658">
        <v>3</v>
      </c>
      <c r="C11" s="1651" t="s">
        <v>176</v>
      </c>
      <c r="D11" s="1661">
        <v>146331735.19999999</v>
      </c>
      <c r="E11" s="1662">
        <v>138305714.56</v>
      </c>
      <c r="F11" s="1662">
        <v>8026020.6399999997</v>
      </c>
      <c r="G11" s="1653">
        <v>94.5</v>
      </c>
      <c r="H11" s="1649">
        <v>5.5</v>
      </c>
    </row>
    <row r="12" spans="1:10">
      <c r="A12" s="1657">
        <v>2</v>
      </c>
      <c r="B12" s="1658">
        <v>4</v>
      </c>
      <c r="C12" s="1651" t="s">
        <v>177</v>
      </c>
      <c r="D12" s="1661">
        <v>35812693.719999999</v>
      </c>
      <c r="E12" s="1662">
        <v>35040536.759999998</v>
      </c>
      <c r="F12" s="1662">
        <v>772156.96</v>
      </c>
      <c r="G12" s="1653">
        <v>97.8</v>
      </c>
      <c r="H12" s="1649">
        <v>2.2000000000000002</v>
      </c>
    </row>
    <row r="13" spans="1:10">
      <c r="A13" s="1657">
        <v>2</v>
      </c>
      <c r="B13" s="1658">
        <v>5</v>
      </c>
      <c r="C13" s="1651" t="s">
        <v>178</v>
      </c>
      <c r="D13" s="1661">
        <v>43094039.479999997</v>
      </c>
      <c r="E13" s="1662">
        <v>37852410.189999998</v>
      </c>
      <c r="F13" s="1662">
        <v>5241629.29</v>
      </c>
      <c r="G13" s="1653">
        <v>87.8</v>
      </c>
      <c r="H13" s="1649">
        <v>12.2</v>
      </c>
    </row>
    <row r="14" spans="1:10">
      <c r="A14" s="1657">
        <v>2</v>
      </c>
      <c r="B14" s="1658">
        <v>6</v>
      </c>
      <c r="C14" s="1651" t="s">
        <v>179</v>
      </c>
      <c r="D14" s="1661">
        <v>34546137.450000003</v>
      </c>
      <c r="E14" s="1662">
        <v>34170603.380000003</v>
      </c>
      <c r="F14" s="1662">
        <v>375534.07</v>
      </c>
      <c r="G14" s="1653">
        <v>98.9</v>
      </c>
      <c r="H14" s="1649">
        <v>1.1000000000000001</v>
      </c>
    </row>
    <row r="15" spans="1:10">
      <c r="A15" s="1657">
        <v>2</v>
      </c>
      <c r="B15" s="1658">
        <v>7</v>
      </c>
      <c r="C15" s="1651" t="s">
        <v>180</v>
      </c>
      <c r="D15" s="1661">
        <v>36114967.439999998</v>
      </c>
      <c r="E15" s="1662">
        <v>31713618.57</v>
      </c>
      <c r="F15" s="1662">
        <v>4401348.87</v>
      </c>
      <c r="G15" s="1653">
        <v>87.8</v>
      </c>
      <c r="H15" s="1649">
        <v>12.2</v>
      </c>
    </row>
    <row r="16" spans="1:10">
      <c r="A16" s="1657">
        <v>2</v>
      </c>
      <c r="B16" s="1658">
        <v>8</v>
      </c>
      <c r="C16" s="1651" t="s">
        <v>181</v>
      </c>
      <c r="D16" s="1661">
        <v>167743047.11000001</v>
      </c>
      <c r="E16" s="1662">
        <v>155331080.71000001</v>
      </c>
      <c r="F16" s="1662">
        <v>12411966.4</v>
      </c>
      <c r="G16" s="1653">
        <v>92.6</v>
      </c>
      <c r="H16" s="1649">
        <v>7.4</v>
      </c>
    </row>
    <row r="17" spans="1:8">
      <c r="A17" s="1657">
        <v>2</v>
      </c>
      <c r="B17" s="1658">
        <v>9</v>
      </c>
      <c r="C17" s="1651" t="s">
        <v>182</v>
      </c>
      <c r="D17" s="1661">
        <v>29882389.989999998</v>
      </c>
      <c r="E17" s="1662">
        <v>26958038.289999999</v>
      </c>
      <c r="F17" s="1662">
        <v>2924351.7</v>
      </c>
      <c r="G17" s="1653">
        <v>90.2</v>
      </c>
      <c r="H17" s="1649">
        <v>9.8000000000000007</v>
      </c>
    </row>
    <row r="18" spans="1:8">
      <c r="A18" s="1657">
        <v>2</v>
      </c>
      <c r="B18" s="1658">
        <v>10</v>
      </c>
      <c r="C18" s="1651" t="s">
        <v>183</v>
      </c>
      <c r="D18" s="1661">
        <v>55697843.840000004</v>
      </c>
      <c r="E18" s="1662">
        <v>50936820.700000003</v>
      </c>
      <c r="F18" s="1662">
        <v>4761023.1399999997</v>
      </c>
      <c r="G18" s="1653">
        <v>91.5</v>
      </c>
      <c r="H18" s="1649">
        <v>8.5</v>
      </c>
    </row>
    <row r="19" spans="1:8">
      <c r="A19" s="1657">
        <v>2</v>
      </c>
      <c r="B19" s="1658">
        <v>11</v>
      </c>
      <c r="C19" s="1651" t="s">
        <v>184</v>
      </c>
      <c r="D19" s="1661">
        <v>130953486.06</v>
      </c>
      <c r="E19" s="1662">
        <v>130796046.06</v>
      </c>
      <c r="F19" s="1662">
        <v>157440</v>
      </c>
      <c r="G19" s="1653">
        <v>99.9</v>
      </c>
      <c r="H19" s="1649">
        <v>0.1</v>
      </c>
    </row>
    <row r="20" spans="1:8">
      <c r="A20" s="1657">
        <v>2</v>
      </c>
      <c r="B20" s="1658">
        <v>12</v>
      </c>
      <c r="C20" s="1651" t="s">
        <v>185</v>
      </c>
      <c r="D20" s="1661">
        <v>52467030.100000001</v>
      </c>
      <c r="E20" s="1662">
        <v>48074439.060000002</v>
      </c>
      <c r="F20" s="1662">
        <v>4392591.04</v>
      </c>
      <c r="G20" s="1653">
        <v>91.6</v>
      </c>
      <c r="H20" s="1649">
        <v>8.4</v>
      </c>
    </row>
    <row r="21" spans="1:8">
      <c r="A21" s="1657">
        <v>2</v>
      </c>
      <c r="B21" s="1658">
        <v>13</v>
      </c>
      <c r="C21" s="1651" t="s">
        <v>186</v>
      </c>
      <c r="D21" s="1661">
        <v>38887890.710000001</v>
      </c>
      <c r="E21" s="1662">
        <v>38748990.710000001</v>
      </c>
      <c r="F21" s="1662">
        <v>138900</v>
      </c>
      <c r="G21" s="1653">
        <v>99.6</v>
      </c>
      <c r="H21" s="1649">
        <v>0.4</v>
      </c>
    </row>
    <row r="22" spans="1:8">
      <c r="A22" s="1657">
        <v>2</v>
      </c>
      <c r="B22" s="1658">
        <v>14</v>
      </c>
      <c r="C22" s="1651" t="s">
        <v>187</v>
      </c>
      <c r="D22" s="1661">
        <v>104217890.17</v>
      </c>
      <c r="E22" s="1662">
        <v>100048598.95</v>
      </c>
      <c r="F22" s="1662">
        <v>4169291.22</v>
      </c>
      <c r="G22" s="1653">
        <v>96</v>
      </c>
      <c r="H22" s="1649">
        <v>4</v>
      </c>
    </row>
    <row r="23" spans="1:8">
      <c r="A23" s="1657">
        <v>2</v>
      </c>
      <c r="B23" s="1658">
        <v>15</v>
      </c>
      <c r="C23" s="1651" t="s">
        <v>188</v>
      </c>
      <c r="D23" s="1661">
        <v>75205280.239999995</v>
      </c>
      <c r="E23" s="1662">
        <v>73622944.010000005</v>
      </c>
      <c r="F23" s="1662">
        <v>1582336.23</v>
      </c>
      <c r="G23" s="1653">
        <v>97.9</v>
      </c>
      <c r="H23" s="1649">
        <v>2.1</v>
      </c>
    </row>
    <row r="24" spans="1:8">
      <c r="A24" s="1657">
        <v>2</v>
      </c>
      <c r="B24" s="1658">
        <v>16</v>
      </c>
      <c r="C24" s="1651" t="s">
        <v>189</v>
      </c>
      <c r="D24" s="1661">
        <v>28342532.32</v>
      </c>
      <c r="E24" s="1662">
        <v>27579221.32</v>
      </c>
      <c r="F24" s="1662">
        <v>763311</v>
      </c>
      <c r="G24" s="1653">
        <v>97.3</v>
      </c>
      <c r="H24" s="1649">
        <v>2.7</v>
      </c>
    </row>
    <row r="25" spans="1:8">
      <c r="A25" s="1657">
        <v>2</v>
      </c>
      <c r="B25" s="1658">
        <v>17</v>
      </c>
      <c r="C25" s="1651" t="s">
        <v>190</v>
      </c>
      <c r="D25" s="1661">
        <v>50998732.469999999</v>
      </c>
      <c r="E25" s="1662">
        <v>50543042.109999999</v>
      </c>
      <c r="F25" s="1662">
        <v>455690.36</v>
      </c>
      <c r="G25" s="1653">
        <v>99.1</v>
      </c>
      <c r="H25" s="1649">
        <v>0.9</v>
      </c>
    </row>
    <row r="26" spans="1:8">
      <c r="A26" s="1657">
        <v>2</v>
      </c>
      <c r="B26" s="1658">
        <v>18</v>
      </c>
      <c r="C26" s="1651" t="s">
        <v>191</v>
      </c>
      <c r="D26" s="1661">
        <v>31116024.800000001</v>
      </c>
      <c r="E26" s="1662">
        <v>30986840.359999999</v>
      </c>
      <c r="F26" s="1662">
        <v>129184.44</v>
      </c>
      <c r="G26" s="1653">
        <v>99.6</v>
      </c>
      <c r="H26" s="1649">
        <v>0.4</v>
      </c>
    </row>
    <row r="27" spans="1:8">
      <c r="A27" s="1657">
        <v>2</v>
      </c>
      <c r="B27" s="1658">
        <v>19</v>
      </c>
      <c r="C27" s="1651" t="s">
        <v>192</v>
      </c>
      <c r="D27" s="1661">
        <v>182017925.97999999</v>
      </c>
      <c r="E27" s="1662">
        <v>173683433.31999999</v>
      </c>
      <c r="F27" s="1662">
        <v>8334492.6600000001</v>
      </c>
      <c r="G27" s="1653">
        <v>95.4</v>
      </c>
      <c r="H27" s="1649">
        <v>4.5999999999999996</v>
      </c>
    </row>
    <row r="28" spans="1:8">
      <c r="A28" s="1657">
        <v>2</v>
      </c>
      <c r="B28" s="1658">
        <v>20</v>
      </c>
      <c r="C28" s="1651" t="s">
        <v>193</v>
      </c>
      <c r="D28" s="1661">
        <v>60167833.329999998</v>
      </c>
      <c r="E28" s="1662">
        <v>58689882.909999996</v>
      </c>
      <c r="F28" s="1662">
        <v>1477950.42</v>
      </c>
      <c r="G28" s="1653">
        <v>97.5</v>
      </c>
      <c r="H28" s="1649">
        <v>2.5</v>
      </c>
    </row>
    <row r="29" spans="1:8">
      <c r="A29" s="1657">
        <v>2</v>
      </c>
      <c r="B29" s="1658">
        <v>21</v>
      </c>
      <c r="C29" s="1651" t="s">
        <v>194</v>
      </c>
      <c r="D29" s="1661">
        <v>24405249.469999999</v>
      </c>
      <c r="E29" s="1662">
        <v>22656664.879999999</v>
      </c>
      <c r="F29" s="1662">
        <v>1748584.59</v>
      </c>
      <c r="G29" s="1653">
        <v>92.8</v>
      </c>
      <c r="H29" s="1649">
        <v>7.2</v>
      </c>
    </row>
    <row r="30" spans="1:8">
      <c r="A30" s="1657">
        <v>2</v>
      </c>
      <c r="B30" s="1658">
        <v>22</v>
      </c>
      <c r="C30" s="1651" t="s">
        <v>195</v>
      </c>
      <c r="D30" s="1661">
        <v>61097535.479999997</v>
      </c>
      <c r="E30" s="1662">
        <v>60734777.520000003</v>
      </c>
      <c r="F30" s="1662">
        <v>362757.96</v>
      </c>
      <c r="G30" s="1653">
        <v>99.4</v>
      </c>
      <c r="H30" s="1649">
        <v>0.6</v>
      </c>
    </row>
    <row r="31" spans="1:8">
      <c r="A31" s="1657">
        <v>2</v>
      </c>
      <c r="B31" s="1658">
        <v>23</v>
      </c>
      <c r="C31" s="1651" t="s">
        <v>196</v>
      </c>
      <c r="D31" s="1661">
        <v>68061380.239999995</v>
      </c>
      <c r="E31" s="1662">
        <v>54485379.109999999</v>
      </c>
      <c r="F31" s="1662">
        <v>13576001.130000001</v>
      </c>
      <c r="G31" s="1653">
        <v>80.099999999999994</v>
      </c>
      <c r="H31" s="1649">
        <v>19.899999999999999</v>
      </c>
    </row>
    <row r="32" spans="1:8">
      <c r="A32" s="1657">
        <v>2</v>
      </c>
      <c r="B32" s="1658">
        <v>24</v>
      </c>
      <c r="C32" s="1651" t="s">
        <v>197</v>
      </c>
      <c r="D32" s="1661">
        <v>62653906.57</v>
      </c>
      <c r="E32" s="1662">
        <v>57209212.549999997</v>
      </c>
      <c r="F32" s="1662">
        <v>5444694.0199999996</v>
      </c>
      <c r="G32" s="1653">
        <v>91.3</v>
      </c>
      <c r="H32" s="1649">
        <v>8.6999999999999993</v>
      </c>
    </row>
    <row r="33" spans="1:8">
      <c r="A33" s="1657">
        <v>2</v>
      </c>
      <c r="B33" s="1658">
        <v>25</v>
      </c>
      <c r="C33" s="1651" t="s">
        <v>198</v>
      </c>
      <c r="D33" s="1661">
        <v>86601068.819999993</v>
      </c>
      <c r="E33" s="1662">
        <v>81346748.489999995</v>
      </c>
      <c r="F33" s="1662">
        <v>5254320.33</v>
      </c>
      <c r="G33" s="1653">
        <v>93.9</v>
      </c>
      <c r="H33" s="1649">
        <v>6.1</v>
      </c>
    </row>
    <row r="34" spans="1:8">
      <c r="A34" s="1657">
        <v>2</v>
      </c>
      <c r="B34" s="1658">
        <v>26</v>
      </c>
      <c r="C34" s="1651" t="s">
        <v>199</v>
      </c>
      <c r="D34" s="1661">
        <v>34469000.200000003</v>
      </c>
      <c r="E34" s="1662">
        <v>34469000.200000003</v>
      </c>
      <c r="F34" s="1662">
        <v>0</v>
      </c>
      <c r="G34" s="1653">
        <v>100</v>
      </c>
      <c r="H34" s="1649">
        <v>0</v>
      </c>
    </row>
    <row r="35" spans="1:8">
      <c r="A35" s="1657">
        <v>4</v>
      </c>
      <c r="B35" s="1658">
        <v>1</v>
      </c>
      <c r="C35" s="1651" t="s">
        <v>200</v>
      </c>
      <c r="D35" s="1661">
        <v>46604184.740000002</v>
      </c>
      <c r="E35" s="1662">
        <v>46539417.859999999</v>
      </c>
      <c r="F35" s="1662">
        <v>64766.879999999997</v>
      </c>
      <c r="G35" s="1653">
        <v>99.9</v>
      </c>
      <c r="H35" s="1649">
        <v>0.1</v>
      </c>
    </row>
    <row r="36" spans="1:8">
      <c r="A36" s="1657">
        <v>4</v>
      </c>
      <c r="B36" s="1658">
        <v>2</v>
      </c>
      <c r="C36" s="1651" t="s">
        <v>201</v>
      </c>
      <c r="D36" s="1661">
        <v>78285286.290000007</v>
      </c>
      <c r="E36" s="1662">
        <v>77967331.290000007</v>
      </c>
      <c r="F36" s="1662">
        <v>317955</v>
      </c>
      <c r="G36" s="1653">
        <v>99.6</v>
      </c>
      <c r="H36" s="1649">
        <v>0.4</v>
      </c>
    </row>
    <row r="37" spans="1:8">
      <c r="A37" s="1657">
        <v>4</v>
      </c>
      <c r="B37" s="1658">
        <v>3</v>
      </c>
      <c r="C37" s="1651" t="s">
        <v>202</v>
      </c>
      <c r="D37" s="1661">
        <v>42415725.810000002</v>
      </c>
      <c r="E37" s="1662">
        <v>40791523.539999999</v>
      </c>
      <c r="F37" s="1662">
        <v>1624202.27</v>
      </c>
      <c r="G37" s="1653">
        <v>96.2</v>
      </c>
      <c r="H37" s="1649">
        <v>3.8</v>
      </c>
    </row>
    <row r="38" spans="1:8">
      <c r="A38" s="1657">
        <v>4</v>
      </c>
      <c r="B38" s="1658">
        <v>4</v>
      </c>
      <c r="C38" s="1651" t="s">
        <v>203</v>
      </c>
      <c r="D38" s="1661">
        <v>46285513.68</v>
      </c>
      <c r="E38" s="1662">
        <v>45531068.259999998</v>
      </c>
      <c r="F38" s="1662">
        <v>754445.42</v>
      </c>
      <c r="G38" s="1653">
        <v>98.4</v>
      </c>
      <c r="H38" s="1649">
        <v>1.6</v>
      </c>
    </row>
    <row r="39" spans="1:8">
      <c r="A39" s="1657">
        <v>4</v>
      </c>
      <c r="B39" s="1658">
        <v>5</v>
      </c>
      <c r="C39" s="1651" t="s">
        <v>204</v>
      </c>
      <c r="D39" s="1661">
        <v>49359353.259999998</v>
      </c>
      <c r="E39" s="1662">
        <v>37749240.18</v>
      </c>
      <c r="F39" s="1662">
        <v>11610113.08</v>
      </c>
      <c r="G39" s="1653">
        <v>76.5</v>
      </c>
      <c r="H39" s="1649">
        <v>23.5</v>
      </c>
    </row>
    <row r="40" spans="1:8">
      <c r="A40" s="1657">
        <v>4</v>
      </c>
      <c r="B40" s="1658">
        <v>6</v>
      </c>
      <c r="C40" s="1651" t="s">
        <v>205</v>
      </c>
      <c r="D40" s="1661">
        <v>7918988.0899999999</v>
      </c>
      <c r="E40" s="1662">
        <v>7879074.5899999999</v>
      </c>
      <c r="F40" s="1662">
        <v>39913.5</v>
      </c>
      <c r="G40" s="1653">
        <v>99.5</v>
      </c>
      <c r="H40" s="1649">
        <v>0.5</v>
      </c>
    </row>
    <row r="41" spans="1:8">
      <c r="A41" s="1657">
        <v>4</v>
      </c>
      <c r="B41" s="1658">
        <v>7</v>
      </c>
      <c r="C41" s="1651" t="s">
        <v>206</v>
      </c>
      <c r="D41" s="1661">
        <v>146958985.84999999</v>
      </c>
      <c r="E41" s="1662">
        <v>146663499.00999999</v>
      </c>
      <c r="F41" s="1662">
        <v>295486.84000000003</v>
      </c>
      <c r="G41" s="1653">
        <v>99.8</v>
      </c>
      <c r="H41" s="1649">
        <v>0.2</v>
      </c>
    </row>
    <row r="42" spans="1:8">
      <c r="A42" s="1657">
        <v>4</v>
      </c>
      <c r="B42" s="1658">
        <v>8</v>
      </c>
      <c r="C42" s="1651" t="s">
        <v>207</v>
      </c>
      <c r="D42" s="1661">
        <v>48208540.780000001</v>
      </c>
      <c r="E42" s="1662">
        <v>45557472.409999996</v>
      </c>
      <c r="F42" s="1662">
        <v>2651068.37</v>
      </c>
      <c r="G42" s="1653">
        <v>94.5</v>
      </c>
      <c r="H42" s="1649">
        <v>5.5</v>
      </c>
    </row>
    <row r="43" spans="1:8">
      <c r="A43" s="1657">
        <v>4</v>
      </c>
      <c r="B43" s="1658">
        <v>9</v>
      </c>
      <c r="C43" s="1651" t="s">
        <v>208</v>
      </c>
      <c r="D43" s="1661">
        <v>62920976.359999999</v>
      </c>
      <c r="E43" s="1662">
        <v>60863769.939999998</v>
      </c>
      <c r="F43" s="1662">
        <v>2057206.42</v>
      </c>
      <c r="G43" s="1653">
        <v>96.7</v>
      </c>
      <c r="H43" s="1649">
        <v>3.3</v>
      </c>
    </row>
    <row r="44" spans="1:8">
      <c r="A44" s="1657">
        <v>4</v>
      </c>
      <c r="B44" s="1658">
        <v>10</v>
      </c>
      <c r="C44" s="1651" t="s">
        <v>209</v>
      </c>
      <c r="D44" s="1661">
        <v>82349959.510000005</v>
      </c>
      <c r="E44" s="1662">
        <v>74363000.590000004</v>
      </c>
      <c r="F44" s="1662">
        <v>7986958.9199999999</v>
      </c>
      <c r="G44" s="1653">
        <v>90.3</v>
      </c>
      <c r="H44" s="1649">
        <v>9.6999999999999993</v>
      </c>
    </row>
    <row r="45" spans="1:8">
      <c r="A45" s="1657">
        <v>4</v>
      </c>
      <c r="B45" s="1658">
        <v>11</v>
      </c>
      <c r="C45" s="1651" t="s">
        <v>210</v>
      </c>
      <c r="D45" s="1661">
        <v>62806362.509999998</v>
      </c>
      <c r="E45" s="1662">
        <v>51005318.590000004</v>
      </c>
      <c r="F45" s="1662">
        <v>11801043.92</v>
      </c>
      <c r="G45" s="1653">
        <v>81.2</v>
      </c>
      <c r="H45" s="1649">
        <v>18.8</v>
      </c>
    </row>
    <row r="46" spans="1:8">
      <c r="A46" s="1657">
        <v>4</v>
      </c>
      <c r="B46" s="1658">
        <v>12</v>
      </c>
      <c r="C46" s="1651" t="s">
        <v>211</v>
      </c>
      <c r="D46" s="1661">
        <v>67053443.780000001</v>
      </c>
      <c r="E46" s="1662">
        <v>53000066.549999997</v>
      </c>
      <c r="F46" s="1662">
        <v>14053377.23</v>
      </c>
      <c r="G46" s="1653">
        <v>79</v>
      </c>
      <c r="H46" s="1649">
        <v>21</v>
      </c>
    </row>
    <row r="47" spans="1:8">
      <c r="A47" s="1657">
        <v>4</v>
      </c>
      <c r="B47" s="1658">
        <v>13</v>
      </c>
      <c r="C47" s="1651" t="s">
        <v>212</v>
      </c>
      <c r="D47" s="1661">
        <v>34380445.340000004</v>
      </c>
      <c r="E47" s="1662">
        <v>33510263.98</v>
      </c>
      <c r="F47" s="1662">
        <v>870181.36</v>
      </c>
      <c r="G47" s="1653">
        <v>97.5</v>
      </c>
      <c r="H47" s="1649">
        <v>2.5</v>
      </c>
    </row>
    <row r="48" spans="1:8">
      <c r="A48" s="1657">
        <v>4</v>
      </c>
      <c r="B48" s="1658">
        <v>14</v>
      </c>
      <c r="C48" s="1651" t="s">
        <v>213</v>
      </c>
      <c r="D48" s="1661">
        <v>83458446.579999998</v>
      </c>
      <c r="E48" s="1662">
        <v>80833726.079999998</v>
      </c>
      <c r="F48" s="1662">
        <v>2624720.5</v>
      </c>
      <c r="G48" s="1653">
        <v>96.9</v>
      </c>
      <c r="H48" s="1649">
        <v>3.1</v>
      </c>
    </row>
    <row r="49" spans="1:8">
      <c r="A49" s="1657">
        <v>4</v>
      </c>
      <c r="B49" s="1658">
        <v>15</v>
      </c>
      <c r="C49" s="1651" t="s">
        <v>214</v>
      </c>
      <c r="D49" s="1661">
        <v>55158107.920000002</v>
      </c>
      <c r="E49" s="1662">
        <v>54811922.920000002</v>
      </c>
      <c r="F49" s="1662">
        <v>346185</v>
      </c>
      <c r="G49" s="1653">
        <v>99.4</v>
      </c>
      <c r="H49" s="1649">
        <v>0.6</v>
      </c>
    </row>
    <row r="50" spans="1:8">
      <c r="A50" s="1657">
        <v>4</v>
      </c>
      <c r="B50" s="1658">
        <v>16</v>
      </c>
      <c r="C50" s="1651" t="s">
        <v>215</v>
      </c>
      <c r="D50" s="1661">
        <v>43468136.890000001</v>
      </c>
      <c r="E50" s="1662">
        <v>42740716.719999999</v>
      </c>
      <c r="F50" s="1662">
        <v>727420.17</v>
      </c>
      <c r="G50" s="1653">
        <v>98.3</v>
      </c>
      <c r="H50" s="1649">
        <v>1.7</v>
      </c>
    </row>
    <row r="51" spans="1:8">
      <c r="A51" s="1657">
        <v>4</v>
      </c>
      <c r="B51" s="1658">
        <v>17</v>
      </c>
      <c r="C51" s="1651" t="s">
        <v>216</v>
      </c>
      <c r="D51" s="1661">
        <v>27737783.120000001</v>
      </c>
      <c r="E51" s="1662">
        <v>27562023.859999999</v>
      </c>
      <c r="F51" s="1662">
        <v>175759.26</v>
      </c>
      <c r="G51" s="1653">
        <v>99.4</v>
      </c>
      <c r="H51" s="1649">
        <v>0.6</v>
      </c>
    </row>
    <row r="52" spans="1:8">
      <c r="A52" s="1657">
        <v>4</v>
      </c>
      <c r="B52" s="1658">
        <v>18</v>
      </c>
      <c r="C52" s="1651" t="s">
        <v>217</v>
      </c>
      <c r="D52" s="1661">
        <v>35943399.789999999</v>
      </c>
      <c r="E52" s="1662">
        <v>31622098.190000001</v>
      </c>
      <c r="F52" s="1662">
        <v>4321301.5999999996</v>
      </c>
      <c r="G52" s="1653">
        <v>88</v>
      </c>
      <c r="H52" s="1649">
        <v>12</v>
      </c>
    </row>
    <row r="53" spans="1:8">
      <c r="A53" s="1657">
        <v>4</v>
      </c>
      <c r="B53" s="1658">
        <v>19</v>
      </c>
      <c r="C53" s="1651" t="s">
        <v>218</v>
      </c>
      <c r="D53" s="1661">
        <v>53196966.979999997</v>
      </c>
      <c r="E53" s="1662">
        <v>52990326.979999997</v>
      </c>
      <c r="F53" s="1662">
        <v>206640</v>
      </c>
      <c r="G53" s="1653">
        <v>99.6</v>
      </c>
      <c r="H53" s="1649">
        <v>0.4</v>
      </c>
    </row>
    <row r="54" spans="1:8">
      <c r="A54" s="1657">
        <v>6</v>
      </c>
      <c r="B54" s="1658">
        <v>1</v>
      </c>
      <c r="C54" s="1651" t="s">
        <v>219</v>
      </c>
      <c r="D54" s="1661">
        <v>54359086.810000002</v>
      </c>
      <c r="E54" s="1662">
        <v>53469297.719999999</v>
      </c>
      <c r="F54" s="1662">
        <v>889789.09</v>
      </c>
      <c r="G54" s="1653">
        <v>98.4</v>
      </c>
      <c r="H54" s="1649">
        <v>1.6</v>
      </c>
    </row>
    <row r="55" spans="1:8">
      <c r="A55" s="1657">
        <v>6</v>
      </c>
      <c r="B55" s="1658">
        <v>2</v>
      </c>
      <c r="C55" s="1651" t="s">
        <v>220</v>
      </c>
      <c r="D55" s="1661">
        <v>111523955.05</v>
      </c>
      <c r="E55" s="1662">
        <v>89345167.150000006</v>
      </c>
      <c r="F55" s="1662">
        <v>22178787.899999999</v>
      </c>
      <c r="G55" s="1653">
        <v>80.099999999999994</v>
      </c>
      <c r="H55" s="1649">
        <v>19.899999999999999</v>
      </c>
    </row>
    <row r="56" spans="1:8">
      <c r="A56" s="1657">
        <v>6</v>
      </c>
      <c r="B56" s="1658">
        <v>3</v>
      </c>
      <c r="C56" s="1651" t="s">
        <v>221</v>
      </c>
      <c r="D56" s="1661">
        <v>29733249.809999999</v>
      </c>
      <c r="E56" s="1662">
        <v>29690774.829999998</v>
      </c>
      <c r="F56" s="1662">
        <v>42474.98</v>
      </c>
      <c r="G56" s="1653">
        <v>99.9</v>
      </c>
      <c r="H56" s="1649">
        <v>0.1</v>
      </c>
    </row>
    <row r="57" spans="1:8">
      <c r="A57" s="1657">
        <v>6</v>
      </c>
      <c r="B57" s="1658">
        <v>4</v>
      </c>
      <c r="C57" s="1651" t="s">
        <v>222</v>
      </c>
      <c r="D57" s="1661">
        <v>55050523.520000003</v>
      </c>
      <c r="E57" s="1662">
        <v>52968264.969999999</v>
      </c>
      <c r="F57" s="1662">
        <v>2082258.55</v>
      </c>
      <c r="G57" s="1653">
        <v>96.2</v>
      </c>
      <c r="H57" s="1649">
        <v>3.8</v>
      </c>
    </row>
    <row r="58" spans="1:8">
      <c r="A58" s="1657">
        <v>6</v>
      </c>
      <c r="B58" s="1658">
        <v>5</v>
      </c>
      <c r="C58" s="1651" t="s">
        <v>223</v>
      </c>
      <c r="D58" s="1661">
        <v>41307304.060000002</v>
      </c>
      <c r="E58" s="1662">
        <v>35734637.229999997</v>
      </c>
      <c r="F58" s="1662">
        <v>5572666.8300000001</v>
      </c>
      <c r="G58" s="1653">
        <v>86.5</v>
      </c>
      <c r="H58" s="1649">
        <v>13.5</v>
      </c>
    </row>
    <row r="59" spans="1:8">
      <c r="A59" s="1657">
        <v>6</v>
      </c>
      <c r="B59" s="1658">
        <v>6</v>
      </c>
      <c r="C59" s="1651" t="s">
        <v>224</v>
      </c>
      <c r="D59" s="1661">
        <v>50079873.359999999</v>
      </c>
      <c r="E59" s="1662">
        <v>49791470.920000002</v>
      </c>
      <c r="F59" s="1662">
        <v>288402.44</v>
      </c>
      <c r="G59" s="1653">
        <v>99.4</v>
      </c>
      <c r="H59" s="1649">
        <v>0.6</v>
      </c>
    </row>
    <row r="60" spans="1:8">
      <c r="A60" s="1657">
        <v>6</v>
      </c>
      <c r="B60" s="1658">
        <v>7</v>
      </c>
      <c r="C60" s="1651" t="s">
        <v>225</v>
      </c>
      <c r="D60" s="1661">
        <v>88411598.25</v>
      </c>
      <c r="E60" s="1662">
        <v>75890445.519999996</v>
      </c>
      <c r="F60" s="1662">
        <v>12521152.73</v>
      </c>
      <c r="G60" s="1653">
        <v>85.8</v>
      </c>
      <c r="H60" s="1649">
        <v>14.2</v>
      </c>
    </row>
    <row r="61" spans="1:8">
      <c r="A61" s="1657">
        <v>6</v>
      </c>
      <c r="B61" s="1658">
        <v>8</v>
      </c>
      <c r="C61" s="1651" t="s">
        <v>226</v>
      </c>
      <c r="D61" s="1661">
        <v>55900681.119999997</v>
      </c>
      <c r="E61" s="1662">
        <v>54755159.579999998</v>
      </c>
      <c r="F61" s="1662">
        <v>1145521.54</v>
      </c>
      <c r="G61" s="1653">
        <v>98</v>
      </c>
      <c r="H61" s="1649">
        <v>2</v>
      </c>
    </row>
    <row r="62" spans="1:8">
      <c r="A62" s="1657">
        <v>6</v>
      </c>
      <c r="B62" s="1658">
        <v>9</v>
      </c>
      <c r="C62" s="1651" t="s">
        <v>227</v>
      </c>
      <c r="D62" s="1661">
        <v>87387185.489999995</v>
      </c>
      <c r="E62" s="1662">
        <v>82101186.700000003</v>
      </c>
      <c r="F62" s="1662">
        <v>5285998.79</v>
      </c>
      <c r="G62" s="1653">
        <v>94</v>
      </c>
      <c r="H62" s="1649">
        <v>6</v>
      </c>
    </row>
    <row r="63" spans="1:8">
      <c r="A63" s="1657">
        <v>6</v>
      </c>
      <c r="B63" s="1658">
        <v>10</v>
      </c>
      <c r="C63" s="1651" t="s">
        <v>228</v>
      </c>
      <c r="D63" s="1661">
        <v>57069713.469999999</v>
      </c>
      <c r="E63" s="1662">
        <v>51627164.829999998</v>
      </c>
      <c r="F63" s="1662">
        <v>5442548.6399999997</v>
      </c>
      <c r="G63" s="1653">
        <v>90.5</v>
      </c>
      <c r="H63" s="1649">
        <v>9.5</v>
      </c>
    </row>
    <row r="64" spans="1:8">
      <c r="A64" s="1657">
        <v>6</v>
      </c>
      <c r="B64" s="1658">
        <v>11</v>
      </c>
      <c r="C64" s="1651" t="s">
        <v>229</v>
      </c>
      <c r="D64" s="1661">
        <v>103927014.86</v>
      </c>
      <c r="E64" s="1662">
        <v>101649604.48999999</v>
      </c>
      <c r="F64" s="1662">
        <v>2277410.37</v>
      </c>
      <c r="G64" s="1653">
        <v>97.8</v>
      </c>
      <c r="H64" s="1649">
        <v>2.2000000000000002</v>
      </c>
    </row>
    <row r="65" spans="1:8">
      <c r="A65" s="1657">
        <v>6</v>
      </c>
      <c r="B65" s="1658">
        <v>12</v>
      </c>
      <c r="C65" s="1651" t="s">
        <v>230</v>
      </c>
      <c r="D65" s="1661">
        <v>45265926.060000002</v>
      </c>
      <c r="E65" s="1662">
        <v>38252662.170000002</v>
      </c>
      <c r="F65" s="1662">
        <v>7013263.8899999997</v>
      </c>
      <c r="G65" s="1653">
        <v>84.5</v>
      </c>
      <c r="H65" s="1649">
        <v>15.5</v>
      </c>
    </row>
    <row r="66" spans="1:8">
      <c r="A66" s="1657">
        <v>6</v>
      </c>
      <c r="B66" s="1658">
        <v>13</v>
      </c>
      <c r="C66" s="1651" t="s">
        <v>231</v>
      </c>
      <c r="D66" s="1661">
        <v>17534237.449999999</v>
      </c>
      <c r="E66" s="1662">
        <v>17534237.449999999</v>
      </c>
      <c r="F66" s="1662">
        <v>0</v>
      </c>
      <c r="G66" s="1653">
        <v>100</v>
      </c>
      <c r="H66" s="1649">
        <v>0</v>
      </c>
    </row>
    <row r="67" spans="1:8">
      <c r="A67" s="1657">
        <v>6</v>
      </c>
      <c r="B67" s="1658">
        <v>14</v>
      </c>
      <c r="C67" s="1651" t="s">
        <v>232</v>
      </c>
      <c r="D67" s="1661">
        <v>144941835.63</v>
      </c>
      <c r="E67" s="1662">
        <v>143271901.59</v>
      </c>
      <c r="F67" s="1662">
        <v>1669934.04</v>
      </c>
      <c r="G67" s="1653">
        <v>98.8</v>
      </c>
      <c r="H67" s="1649">
        <v>1.2</v>
      </c>
    </row>
    <row r="68" spans="1:8">
      <c r="A68" s="1657">
        <v>6</v>
      </c>
      <c r="B68" s="1658">
        <v>15</v>
      </c>
      <c r="C68" s="1651" t="s">
        <v>233</v>
      </c>
      <c r="D68" s="1661">
        <v>64595544.159999996</v>
      </c>
      <c r="E68" s="1662">
        <v>54152069.869999997</v>
      </c>
      <c r="F68" s="1662">
        <v>10443474.289999999</v>
      </c>
      <c r="G68" s="1653">
        <v>83.8</v>
      </c>
      <c r="H68" s="1649">
        <v>16.2</v>
      </c>
    </row>
    <row r="69" spans="1:8">
      <c r="A69" s="1657">
        <v>6</v>
      </c>
      <c r="B69" s="1658">
        <v>16</v>
      </c>
      <c r="C69" s="1651" t="s">
        <v>234</v>
      </c>
      <c r="D69" s="1661">
        <v>53464924.460000001</v>
      </c>
      <c r="E69" s="1662">
        <v>53394299.689999998</v>
      </c>
      <c r="F69" s="1662">
        <v>70624.77</v>
      </c>
      <c r="G69" s="1653">
        <v>99.9</v>
      </c>
      <c r="H69" s="1649">
        <v>0.1</v>
      </c>
    </row>
    <row r="70" spans="1:8">
      <c r="A70" s="1657">
        <v>6</v>
      </c>
      <c r="B70" s="1658">
        <v>17</v>
      </c>
      <c r="C70" s="1651" t="s">
        <v>192</v>
      </c>
      <c r="D70" s="1661">
        <v>51738705.520000003</v>
      </c>
      <c r="E70" s="1662">
        <v>48724296.920000002</v>
      </c>
      <c r="F70" s="1662">
        <v>3014408.6</v>
      </c>
      <c r="G70" s="1653">
        <v>94.2</v>
      </c>
      <c r="H70" s="1649">
        <v>5.8</v>
      </c>
    </row>
    <row r="71" spans="1:8">
      <c r="A71" s="1657">
        <v>6</v>
      </c>
      <c r="B71" s="1658">
        <v>18</v>
      </c>
      <c r="C71" s="1651" t="s">
        <v>235</v>
      </c>
      <c r="D71" s="1661">
        <v>70402339.189999998</v>
      </c>
      <c r="E71" s="1662">
        <v>68051448.879999995</v>
      </c>
      <c r="F71" s="1662">
        <v>2350890.31</v>
      </c>
      <c r="G71" s="1653">
        <v>96.7</v>
      </c>
      <c r="H71" s="1649">
        <v>3.3</v>
      </c>
    </row>
    <row r="72" spans="1:8">
      <c r="A72" s="1657">
        <v>6</v>
      </c>
      <c r="B72" s="1658">
        <v>19</v>
      </c>
      <c r="C72" s="1651" t="s">
        <v>236</v>
      </c>
      <c r="D72" s="1661">
        <v>40708585.020000003</v>
      </c>
      <c r="E72" s="1662">
        <v>38806719.219999999</v>
      </c>
      <c r="F72" s="1662">
        <v>1901865.8</v>
      </c>
      <c r="G72" s="1653">
        <v>95.3</v>
      </c>
      <c r="H72" s="1649">
        <v>4.7</v>
      </c>
    </row>
    <row r="73" spans="1:8">
      <c r="A73" s="1657">
        <v>6</v>
      </c>
      <c r="B73" s="1658">
        <v>20</v>
      </c>
      <c r="C73" s="1651" t="s">
        <v>237</v>
      </c>
      <c r="D73" s="1661">
        <v>21532814.960000001</v>
      </c>
      <c r="E73" s="1662">
        <v>21104958.120000001</v>
      </c>
      <c r="F73" s="1662">
        <v>427856.84</v>
      </c>
      <c r="G73" s="1653">
        <v>98</v>
      </c>
      <c r="H73" s="1649">
        <v>2</v>
      </c>
    </row>
    <row r="74" spans="1:8">
      <c r="A74" s="1657">
        <v>8</v>
      </c>
      <c r="B74" s="1658">
        <v>1</v>
      </c>
      <c r="C74" s="1651" t="s">
        <v>238</v>
      </c>
      <c r="D74" s="1661">
        <v>24135508.879999999</v>
      </c>
      <c r="E74" s="1662">
        <v>23590408.260000002</v>
      </c>
      <c r="F74" s="1662">
        <v>545100.62</v>
      </c>
      <c r="G74" s="1653">
        <v>97.7</v>
      </c>
      <c r="H74" s="1649">
        <v>2.2999999999999998</v>
      </c>
    </row>
    <row r="75" spans="1:8">
      <c r="A75" s="1657">
        <v>8</v>
      </c>
      <c r="B75" s="1658">
        <v>2</v>
      </c>
      <c r="C75" s="1651" t="s">
        <v>239</v>
      </c>
      <c r="D75" s="1661">
        <v>38993131.520000003</v>
      </c>
      <c r="E75" s="1662">
        <v>38776913.729999997</v>
      </c>
      <c r="F75" s="1662">
        <v>216217.79</v>
      </c>
      <c r="G75" s="1653">
        <v>99.4</v>
      </c>
      <c r="H75" s="1649">
        <v>0.6</v>
      </c>
    </row>
    <row r="76" spans="1:8">
      <c r="A76" s="1657">
        <v>8</v>
      </c>
      <c r="B76" s="1658">
        <v>3</v>
      </c>
      <c r="C76" s="1651" t="s">
        <v>240</v>
      </c>
      <c r="D76" s="1661">
        <v>45182438.229999997</v>
      </c>
      <c r="E76" s="1662">
        <v>44894274.920000002</v>
      </c>
      <c r="F76" s="1662">
        <v>288163.31</v>
      </c>
      <c r="G76" s="1653">
        <v>99.4</v>
      </c>
      <c r="H76" s="1649">
        <v>0.6</v>
      </c>
    </row>
    <row r="77" spans="1:8">
      <c r="A77" s="1657">
        <v>8</v>
      </c>
      <c r="B77" s="1658">
        <v>4</v>
      </c>
      <c r="C77" s="1651" t="s">
        <v>241</v>
      </c>
      <c r="D77" s="1661">
        <v>79552549.180000007</v>
      </c>
      <c r="E77" s="1662">
        <v>70065387.650000006</v>
      </c>
      <c r="F77" s="1662">
        <v>9487161.5299999993</v>
      </c>
      <c r="G77" s="1653">
        <v>88.1</v>
      </c>
      <c r="H77" s="1649">
        <v>11.9</v>
      </c>
    </row>
    <row r="78" spans="1:8">
      <c r="A78" s="1657">
        <v>8</v>
      </c>
      <c r="B78" s="1658">
        <v>5</v>
      </c>
      <c r="C78" s="1651" t="s">
        <v>242</v>
      </c>
      <c r="D78" s="1661">
        <v>40422334.789999999</v>
      </c>
      <c r="E78" s="1662">
        <v>38034294.560000002</v>
      </c>
      <c r="F78" s="1662">
        <v>2388040.23</v>
      </c>
      <c r="G78" s="1653">
        <v>94.1</v>
      </c>
      <c r="H78" s="1649">
        <v>5.9</v>
      </c>
    </row>
    <row r="79" spans="1:8">
      <c r="A79" s="1657">
        <v>8</v>
      </c>
      <c r="B79" s="1658">
        <v>6</v>
      </c>
      <c r="C79" s="1651" t="s">
        <v>243</v>
      </c>
      <c r="D79" s="1661">
        <v>38628924.25</v>
      </c>
      <c r="E79" s="1662">
        <v>34946114.770000003</v>
      </c>
      <c r="F79" s="1662">
        <v>3682809.48</v>
      </c>
      <c r="G79" s="1653">
        <v>90.5</v>
      </c>
      <c r="H79" s="1649">
        <v>9.5</v>
      </c>
    </row>
    <row r="80" spans="1:8">
      <c r="A80" s="1657">
        <v>8</v>
      </c>
      <c r="B80" s="1658">
        <v>7</v>
      </c>
      <c r="C80" s="1651" t="s">
        <v>244</v>
      </c>
      <c r="D80" s="1661">
        <v>30779923.079999998</v>
      </c>
      <c r="E80" s="1662">
        <v>28335253.219999999</v>
      </c>
      <c r="F80" s="1662">
        <v>2444669.86</v>
      </c>
      <c r="G80" s="1653">
        <v>92.1</v>
      </c>
      <c r="H80" s="1649">
        <v>7.9</v>
      </c>
    </row>
    <row r="81" spans="1:8">
      <c r="A81" s="1657">
        <v>8</v>
      </c>
      <c r="B81" s="1658">
        <v>8</v>
      </c>
      <c r="C81" s="1651" t="s">
        <v>245</v>
      </c>
      <c r="D81" s="1661">
        <v>47724037.43</v>
      </c>
      <c r="E81" s="1662">
        <v>41024989.340000004</v>
      </c>
      <c r="F81" s="1662">
        <v>6699048.0899999999</v>
      </c>
      <c r="G81" s="1653">
        <v>86</v>
      </c>
      <c r="H81" s="1649">
        <v>14</v>
      </c>
    </row>
    <row r="82" spans="1:8">
      <c r="A82" s="1657">
        <v>8</v>
      </c>
      <c r="B82" s="1658">
        <v>9</v>
      </c>
      <c r="C82" s="1651" t="s">
        <v>246</v>
      </c>
      <c r="D82" s="1661">
        <v>50712667.969999999</v>
      </c>
      <c r="E82" s="1662">
        <v>49250109.659999996</v>
      </c>
      <c r="F82" s="1662">
        <v>1462558.31</v>
      </c>
      <c r="G82" s="1653">
        <v>97.1</v>
      </c>
      <c r="H82" s="1649">
        <v>2.9</v>
      </c>
    </row>
    <row r="83" spans="1:8">
      <c r="A83" s="1657">
        <v>8</v>
      </c>
      <c r="B83" s="1658">
        <v>10</v>
      </c>
      <c r="C83" s="1651" t="s">
        <v>247</v>
      </c>
      <c r="D83" s="1661">
        <v>61743066.109999999</v>
      </c>
      <c r="E83" s="1662">
        <v>60276705.869999997</v>
      </c>
      <c r="F83" s="1662">
        <v>1466360.24</v>
      </c>
      <c r="G83" s="1653">
        <v>97.6</v>
      </c>
      <c r="H83" s="1649">
        <v>2.4</v>
      </c>
    </row>
    <row r="84" spans="1:8">
      <c r="A84" s="1657">
        <v>8</v>
      </c>
      <c r="B84" s="1658">
        <v>11</v>
      </c>
      <c r="C84" s="1651" t="s">
        <v>248</v>
      </c>
      <c r="D84" s="1661">
        <v>102222397.91</v>
      </c>
      <c r="E84" s="1662">
        <v>99635879.939999998</v>
      </c>
      <c r="F84" s="1662">
        <v>2586517.9700000002</v>
      </c>
      <c r="G84" s="1653">
        <v>97.5</v>
      </c>
      <c r="H84" s="1649">
        <v>2.5</v>
      </c>
    </row>
    <row r="85" spans="1:8">
      <c r="A85" s="1657">
        <v>8</v>
      </c>
      <c r="B85" s="1658">
        <v>12</v>
      </c>
      <c r="C85" s="1651" t="s">
        <v>249</v>
      </c>
      <c r="D85" s="1661">
        <v>43629960.049999997</v>
      </c>
      <c r="E85" s="1662">
        <v>41497057</v>
      </c>
      <c r="F85" s="1662">
        <v>2132903.0499999998</v>
      </c>
      <c r="G85" s="1653">
        <v>95.1</v>
      </c>
      <c r="H85" s="1649">
        <v>4.9000000000000004</v>
      </c>
    </row>
    <row r="86" spans="1:8">
      <c r="A86" s="1657">
        <v>10</v>
      </c>
      <c r="B86" s="1658">
        <v>1</v>
      </c>
      <c r="C86" s="1651" t="s">
        <v>250</v>
      </c>
      <c r="D86" s="1661">
        <v>97530190.75</v>
      </c>
      <c r="E86" s="1662">
        <v>91391136.680000007</v>
      </c>
      <c r="F86" s="1662">
        <v>6139054.0700000003</v>
      </c>
      <c r="G86" s="1653">
        <v>93.7</v>
      </c>
      <c r="H86" s="1649">
        <v>6.3</v>
      </c>
    </row>
    <row r="87" spans="1:8">
      <c r="A87" s="1657">
        <v>10</v>
      </c>
      <c r="B87" s="1658">
        <v>2</v>
      </c>
      <c r="C87" s="1651" t="s">
        <v>251</v>
      </c>
      <c r="D87" s="1661">
        <v>124612502.34</v>
      </c>
      <c r="E87" s="1662">
        <v>123529196.23</v>
      </c>
      <c r="F87" s="1662">
        <v>1083306.1100000001</v>
      </c>
      <c r="G87" s="1653">
        <v>99.1</v>
      </c>
      <c r="H87" s="1649">
        <v>0.9</v>
      </c>
    </row>
    <row r="88" spans="1:8">
      <c r="A88" s="1657">
        <v>10</v>
      </c>
      <c r="B88" s="1658">
        <v>3</v>
      </c>
      <c r="C88" s="1651" t="s">
        <v>252</v>
      </c>
      <c r="D88" s="1661">
        <v>34413092.93</v>
      </c>
      <c r="E88" s="1662">
        <v>31906520.890000001</v>
      </c>
      <c r="F88" s="1662">
        <v>2506572.04</v>
      </c>
      <c r="G88" s="1653">
        <v>92.7</v>
      </c>
      <c r="H88" s="1649">
        <v>7.3</v>
      </c>
    </row>
    <row r="89" spans="1:8">
      <c r="A89" s="1657">
        <v>10</v>
      </c>
      <c r="B89" s="1658">
        <v>4</v>
      </c>
      <c r="C89" s="1651" t="s">
        <v>253</v>
      </c>
      <c r="D89" s="1661">
        <v>62024000.859999999</v>
      </c>
      <c r="E89" s="1662">
        <v>60237573.509999998</v>
      </c>
      <c r="F89" s="1662">
        <v>1786427.35</v>
      </c>
      <c r="G89" s="1653">
        <v>97.1</v>
      </c>
      <c r="H89" s="1649">
        <v>2.9</v>
      </c>
    </row>
    <row r="90" spans="1:8">
      <c r="A90" s="1657">
        <v>10</v>
      </c>
      <c r="B90" s="1658">
        <v>5</v>
      </c>
      <c r="C90" s="1651" t="s">
        <v>254</v>
      </c>
      <c r="D90" s="1661">
        <v>81169183.879999995</v>
      </c>
      <c r="E90" s="1662">
        <v>80762171.290000007</v>
      </c>
      <c r="F90" s="1662">
        <v>407012.59</v>
      </c>
      <c r="G90" s="1653">
        <v>99.5</v>
      </c>
      <c r="H90" s="1649">
        <v>0.5</v>
      </c>
    </row>
    <row r="91" spans="1:8">
      <c r="A91" s="1657">
        <v>10</v>
      </c>
      <c r="B91" s="1658">
        <v>6</v>
      </c>
      <c r="C91" s="1651" t="s">
        <v>255</v>
      </c>
      <c r="D91" s="1661">
        <v>30950234.41</v>
      </c>
      <c r="E91" s="1662">
        <v>29249689.850000001</v>
      </c>
      <c r="F91" s="1662">
        <v>1700544.56</v>
      </c>
      <c r="G91" s="1653">
        <v>94.5</v>
      </c>
      <c r="H91" s="1649">
        <v>5.5</v>
      </c>
    </row>
    <row r="92" spans="1:8">
      <c r="A92" s="1657">
        <v>10</v>
      </c>
      <c r="B92" s="1658">
        <v>7</v>
      </c>
      <c r="C92" s="1651" t="s">
        <v>256</v>
      </c>
      <c r="D92" s="1661">
        <v>59407471.149999999</v>
      </c>
      <c r="E92" s="1662">
        <v>57371806.609999999</v>
      </c>
      <c r="F92" s="1662">
        <v>2035664.54</v>
      </c>
      <c r="G92" s="1653">
        <v>96.6</v>
      </c>
      <c r="H92" s="1649">
        <v>3.4</v>
      </c>
    </row>
    <row r="93" spans="1:8">
      <c r="A93" s="1657">
        <v>10</v>
      </c>
      <c r="B93" s="1658">
        <v>8</v>
      </c>
      <c r="C93" s="1651" t="s">
        <v>257</v>
      </c>
      <c r="D93" s="1661">
        <v>79149033.409999996</v>
      </c>
      <c r="E93" s="1662">
        <v>78613984.040000007</v>
      </c>
      <c r="F93" s="1662">
        <v>535049.37</v>
      </c>
      <c r="G93" s="1653">
        <v>99.3</v>
      </c>
      <c r="H93" s="1649">
        <v>0.7</v>
      </c>
    </row>
    <row r="94" spans="1:8">
      <c r="A94" s="1657">
        <v>10</v>
      </c>
      <c r="B94" s="1658">
        <v>9</v>
      </c>
      <c r="C94" s="1651" t="s">
        <v>258</v>
      </c>
      <c r="D94" s="1661">
        <v>30299114.079999998</v>
      </c>
      <c r="E94" s="1662">
        <v>29919929.579999998</v>
      </c>
      <c r="F94" s="1662">
        <v>379184.5</v>
      </c>
      <c r="G94" s="1653">
        <v>98.7</v>
      </c>
      <c r="H94" s="1649">
        <v>1.3</v>
      </c>
    </row>
    <row r="95" spans="1:8">
      <c r="A95" s="1657">
        <v>10</v>
      </c>
      <c r="B95" s="1658">
        <v>10</v>
      </c>
      <c r="C95" s="1651" t="s">
        <v>259</v>
      </c>
      <c r="D95" s="1661">
        <v>33708468.990000002</v>
      </c>
      <c r="E95" s="1662">
        <v>33056785.5</v>
      </c>
      <c r="F95" s="1662">
        <v>651683.49</v>
      </c>
      <c r="G95" s="1653">
        <v>98.1</v>
      </c>
      <c r="H95" s="1649">
        <v>1.9</v>
      </c>
    </row>
    <row r="96" spans="1:8">
      <c r="A96" s="1657">
        <v>10</v>
      </c>
      <c r="B96" s="1658">
        <v>11</v>
      </c>
      <c r="C96" s="1651" t="s">
        <v>260</v>
      </c>
      <c r="D96" s="1661">
        <v>29547200.09</v>
      </c>
      <c r="E96" s="1662">
        <v>29434760.100000001</v>
      </c>
      <c r="F96" s="1662">
        <v>112439.99</v>
      </c>
      <c r="G96" s="1653">
        <v>99.6</v>
      </c>
      <c r="H96" s="1649">
        <v>0.4</v>
      </c>
    </row>
    <row r="97" spans="1:8">
      <c r="A97" s="1657">
        <v>10</v>
      </c>
      <c r="B97" s="1658">
        <v>12</v>
      </c>
      <c r="C97" s="1651" t="s">
        <v>261</v>
      </c>
      <c r="D97" s="1661">
        <v>100882478.59999999</v>
      </c>
      <c r="E97" s="1662">
        <v>99497304.859999999</v>
      </c>
      <c r="F97" s="1662">
        <v>1385173.74</v>
      </c>
      <c r="G97" s="1653">
        <v>98.6</v>
      </c>
      <c r="H97" s="1649">
        <v>1.4</v>
      </c>
    </row>
    <row r="98" spans="1:8">
      <c r="A98" s="1657">
        <v>10</v>
      </c>
      <c r="B98" s="1658">
        <v>13</v>
      </c>
      <c r="C98" s="1651" t="s">
        <v>262</v>
      </c>
      <c r="D98" s="1661">
        <v>67919705.890000001</v>
      </c>
      <c r="E98" s="1662">
        <v>66263569.170000002</v>
      </c>
      <c r="F98" s="1662">
        <v>1656136.72</v>
      </c>
      <c r="G98" s="1653">
        <v>97.6</v>
      </c>
      <c r="H98" s="1649">
        <v>2.4</v>
      </c>
    </row>
    <row r="99" spans="1:8">
      <c r="A99" s="1657">
        <v>10</v>
      </c>
      <c r="B99" s="1658">
        <v>14</v>
      </c>
      <c r="C99" s="1651" t="s">
        <v>263</v>
      </c>
      <c r="D99" s="1661">
        <v>99990129.700000003</v>
      </c>
      <c r="E99" s="1662">
        <v>99150382.109999999</v>
      </c>
      <c r="F99" s="1662">
        <v>839747.59</v>
      </c>
      <c r="G99" s="1653">
        <v>99.2</v>
      </c>
      <c r="H99" s="1649">
        <v>0.8</v>
      </c>
    </row>
    <row r="100" spans="1:8">
      <c r="A100" s="1657">
        <v>10</v>
      </c>
      <c r="B100" s="1658">
        <v>15</v>
      </c>
      <c r="C100" s="1651" t="s">
        <v>264</v>
      </c>
      <c r="D100" s="1661">
        <v>10892766.060000001</v>
      </c>
      <c r="E100" s="1662">
        <v>10542708.99</v>
      </c>
      <c r="F100" s="1662">
        <v>350057.07</v>
      </c>
      <c r="G100" s="1653">
        <v>96.8</v>
      </c>
      <c r="H100" s="1649">
        <v>3.2</v>
      </c>
    </row>
    <row r="101" spans="1:8">
      <c r="A101" s="1657">
        <v>10</v>
      </c>
      <c r="B101" s="1658">
        <v>16</v>
      </c>
      <c r="C101" s="1651" t="s">
        <v>235</v>
      </c>
      <c r="D101" s="1661">
        <v>110171387.92</v>
      </c>
      <c r="E101" s="1662">
        <v>107757109.77</v>
      </c>
      <c r="F101" s="1662">
        <v>2414278.15</v>
      </c>
      <c r="G101" s="1653">
        <v>97.8</v>
      </c>
      <c r="H101" s="1649">
        <v>2.2000000000000002</v>
      </c>
    </row>
    <row r="102" spans="1:8">
      <c r="A102" s="1657">
        <v>10</v>
      </c>
      <c r="B102" s="1658">
        <v>17</v>
      </c>
      <c r="C102" s="1651" t="s">
        <v>265</v>
      </c>
      <c r="D102" s="1661">
        <v>110038281.90000001</v>
      </c>
      <c r="E102" s="1662">
        <v>100223264.44</v>
      </c>
      <c r="F102" s="1662">
        <v>9815017.4600000009</v>
      </c>
      <c r="G102" s="1653">
        <v>91.1</v>
      </c>
      <c r="H102" s="1649">
        <v>8.9</v>
      </c>
    </row>
    <row r="103" spans="1:8">
      <c r="A103" s="1657">
        <v>10</v>
      </c>
      <c r="B103" s="1658">
        <v>18</v>
      </c>
      <c r="C103" s="1651" t="s">
        <v>266</v>
      </c>
      <c r="D103" s="1661">
        <v>19829146.41</v>
      </c>
      <c r="E103" s="1662">
        <v>19749371.91</v>
      </c>
      <c r="F103" s="1662">
        <v>79774.5</v>
      </c>
      <c r="G103" s="1653">
        <v>99.6</v>
      </c>
      <c r="H103" s="1649">
        <v>0.4</v>
      </c>
    </row>
    <row r="104" spans="1:8">
      <c r="A104" s="1657">
        <v>10</v>
      </c>
      <c r="B104" s="1658">
        <v>19</v>
      </c>
      <c r="C104" s="1651" t="s">
        <v>267</v>
      </c>
      <c r="D104" s="1661">
        <v>84350952.849999994</v>
      </c>
      <c r="E104" s="1662">
        <v>83447428.299999997</v>
      </c>
      <c r="F104" s="1662">
        <v>903524.55</v>
      </c>
      <c r="G104" s="1653">
        <v>98.9</v>
      </c>
      <c r="H104" s="1649">
        <v>1.1000000000000001</v>
      </c>
    </row>
    <row r="105" spans="1:8">
      <c r="A105" s="1657">
        <v>10</v>
      </c>
      <c r="B105" s="1658">
        <v>20</v>
      </c>
      <c r="C105" s="1651" t="s">
        <v>268</v>
      </c>
      <c r="D105" s="1661">
        <v>156415995.53</v>
      </c>
      <c r="E105" s="1662">
        <v>143940824.59999999</v>
      </c>
      <c r="F105" s="1662">
        <v>12475170.93</v>
      </c>
      <c r="G105" s="1653">
        <v>92</v>
      </c>
      <c r="H105" s="1649">
        <v>8</v>
      </c>
    </row>
    <row r="106" spans="1:8">
      <c r="A106" s="1657">
        <v>10</v>
      </c>
      <c r="B106" s="1658">
        <v>21</v>
      </c>
      <c r="C106" s="1651" t="s">
        <v>269</v>
      </c>
      <c r="D106" s="1661">
        <v>21459302.25</v>
      </c>
      <c r="E106" s="1662">
        <v>20528219.91</v>
      </c>
      <c r="F106" s="1662">
        <v>931082.34</v>
      </c>
      <c r="G106" s="1653">
        <v>95.7</v>
      </c>
      <c r="H106" s="1649">
        <v>4.3</v>
      </c>
    </row>
    <row r="107" spans="1:8">
      <c r="A107" s="1657">
        <v>12</v>
      </c>
      <c r="B107" s="1658">
        <v>1</v>
      </c>
      <c r="C107" s="1651" t="s">
        <v>270</v>
      </c>
      <c r="D107" s="1661">
        <v>108916825.23999999</v>
      </c>
      <c r="E107" s="1662">
        <v>107839068.05</v>
      </c>
      <c r="F107" s="1662">
        <v>1077757.19</v>
      </c>
      <c r="G107" s="1653">
        <v>99</v>
      </c>
      <c r="H107" s="1649">
        <v>1</v>
      </c>
    </row>
    <row r="108" spans="1:8">
      <c r="A108" s="1657">
        <v>12</v>
      </c>
      <c r="B108" s="1658">
        <v>2</v>
      </c>
      <c r="C108" s="1651" t="s">
        <v>271</v>
      </c>
      <c r="D108" s="1661">
        <v>89636026.159999996</v>
      </c>
      <c r="E108" s="1662">
        <v>75881626.5</v>
      </c>
      <c r="F108" s="1662">
        <v>13754399.66</v>
      </c>
      <c r="G108" s="1653">
        <v>84.7</v>
      </c>
      <c r="H108" s="1649">
        <v>15.3</v>
      </c>
    </row>
    <row r="109" spans="1:8">
      <c r="A109" s="1657">
        <v>12</v>
      </c>
      <c r="B109" s="1658">
        <v>3</v>
      </c>
      <c r="C109" s="1651" t="s">
        <v>272</v>
      </c>
      <c r="D109" s="1661">
        <v>103205945</v>
      </c>
      <c r="E109" s="1662">
        <v>99469298.079999998</v>
      </c>
      <c r="F109" s="1662">
        <v>3736646.92</v>
      </c>
      <c r="G109" s="1653">
        <v>96.4</v>
      </c>
      <c r="H109" s="1649">
        <v>3.6</v>
      </c>
    </row>
    <row r="110" spans="1:8">
      <c r="A110" s="1657">
        <v>12</v>
      </c>
      <c r="B110" s="1658">
        <v>4</v>
      </c>
      <c r="C110" s="1651" t="s">
        <v>273</v>
      </c>
      <c r="D110" s="1661">
        <v>39200528.100000001</v>
      </c>
      <c r="E110" s="1662">
        <v>39030238.159999996</v>
      </c>
      <c r="F110" s="1662">
        <v>170289.94</v>
      </c>
      <c r="G110" s="1653">
        <v>99.6</v>
      </c>
      <c r="H110" s="1649">
        <v>0.4</v>
      </c>
    </row>
    <row r="111" spans="1:8">
      <c r="A111" s="1657">
        <v>12</v>
      </c>
      <c r="B111" s="1658">
        <v>5</v>
      </c>
      <c r="C111" s="1651" t="s">
        <v>274</v>
      </c>
      <c r="D111" s="1661">
        <v>109455960.23999999</v>
      </c>
      <c r="E111" s="1662">
        <v>105694730.98999999</v>
      </c>
      <c r="F111" s="1662">
        <v>3761229.25</v>
      </c>
      <c r="G111" s="1653">
        <v>96.6</v>
      </c>
      <c r="H111" s="1649">
        <v>3.4</v>
      </c>
    </row>
    <row r="112" spans="1:8">
      <c r="A112" s="1657">
        <v>12</v>
      </c>
      <c r="B112" s="1658">
        <v>6</v>
      </c>
      <c r="C112" s="1651" t="s">
        <v>275</v>
      </c>
      <c r="D112" s="1661">
        <v>116863005.14</v>
      </c>
      <c r="E112" s="1662">
        <v>109360436.67</v>
      </c>
      <c r="F112" s="1662">
        <v>7502568.4699999997</v>
      </c>
      <c r="G112" s="1653">
        <v>93.6</v>
      </c>
      <c r="H112" s="1649">
        <v>6.4</v>
      </c>
    </row>
    <row r="113" spans="1:8">
      <c r="A113" s="1657">
        <v>12</v>
      </c>
      <c r="B113" s="1658">
        <v>7</v>
      </c>
      <c r="C113" s="1651" t="s">
        <v>276</v>
      </c>
      <c r="D113" s="1661">
        <v>117584308.26000001</v>
      </c>
      <c r="E113" s="1662">
        <v>115832648.81999999</v>
      </c>
      <c r="F113" s="1662">
        <v>1751659.44</v>
      </c>
      <c r="G113" s="1653">
        <v>98.5</v>
      </c>
      <c r="H113" s="1649">
        <v>1.5</v>
      </c>
    </row>
    <row r="114" spans="1:8">
      <c r="A114" s="1657">
        <v>12</v>
      </c>
      <c r="B114" s="1658">
        <v>8</v>
      </c>
      <c r="C114" s="1651" t="s">
        <v>277</v>
      </c>
      <c r="D114" s="1661">
        <v>64417094.789999999</v>
      </c>
      <c r="E114" s="1662">
        <v>57644753.659999996</v>
      </c>
      <c r="F114" s="1662">
        <v>6772341.1299999999</v>
      </c>
      <c r="G114" s="1653">
        <v>89.5</v>
      </c>
      <c r="H114" s="1649">
        <v>10.5</v>
      </c>
    </row>
    <row r="115" spans="1:8">
      <c r="A115" s="1657">
        <v>12</v>
      </c>
      <c r="B115" s="1658">
        <v>9</v>
      </c>
      <c r="C115" s="1651" t="s">
        <v>278</v>
      </c>
      <c r="D115" s="1661">
        <v>117114967.66</v>
      </c>
      <c r="E115" s="1662">
        <v>100545782.44</v>
      </c>
      <c r="F115" s="1662">
        <v>16569185.220000001</v>
      </c>
      <c r="G115" s="1653">
        <v>85.9</v>
      </c>
      <c r="H115" s="1649">
        <v>14.1</v>
      </c>
    </row>
    <row r="116" spans="1:8">
      <c r="A116" s="1657">
        <v>12</v>
      </c>
      <c r="B116" s="1658">
        <v>10</v>
      </c>
      <c r="C116" s="1651" t="s">
        <v>279</v>
      </c>
      <c r="D116" s="1661">
        <v>107268990.09</v>
      </c>
      <c r="E116" s="1662">
        <v>97708620.519999996</v>
      </c>
      <c r="F116" s="1662">
        <v>9560369.5700000003</v>
      </c>
      <c r="G116" s="1653">
        <v>91.1</v>
      </c>
      <c r="H116" s="1649">
        <v>8.9</v>
      </c>
    </row>
    <row r="117" spans="1:8">
      <c r="A117" s="1657">
        <v>12</v>
      </c>
      <c r="B117" s="1658">
        <v>11</v>
      </c>
      <c r="C117" s="1651" t="s">
        <v>280</v>
      </c>
      <c r="D117" s="1661">
        <v>180955330.47</v>
      </c>
      <c r="E117" s="1662">
        <v>177162262.78999999</v>
      </c>
      <c r="F117" s="1662">
        <v>3793067.68</v>
      </c>
      <c r="G117" s="1653">
        <v>97.9</v>
      </c>
      <c r="H117" s="1649">
        <v>2.1</v>
      </c>
    </row>
    <row r="118" spans="1:8">
      <c r="A118" s="1657">
        <v>12</v>
      </c>
      <c r="B118" s="1658">
        <v>12</v>
      </c>
      <c r="C118" s="1651" t="s">
        <v>281</v>
      </c>
      <c r="D118" s="1661">
        <v>112609705.95999999</v>
      </c>
      <c r="E118" s="1662">
        <v>111572364.55</v>
      </c>
      <c r="F118" s="1662">
        <v>1037341.41</v>
      </c>
      <c r="G118" s="1653">
        <v>99.1</v>
      </c>
      <c r="H118" s="1649">
        <v>0.9</v>
      </c>
    </row>
    <row r="119" spans="1:8">
      <c r="A119" s="1657">
        <v>12</v>
      </c>
      <c r="B119" s="1658">
        <v>13</v>
      </c>
      <c r="C119" s="1651" t="s">
        <v>282</v>
      </c>
      <c r="D119" s="1661">
        <v>184125265.63</v>
      </c>
      <c r="E119" s="1662">
        <v>165112226.22</v>
      </c>
      <c r="F119" s="1662">
        <v>19013039.41</v>
      </c>
      <c r="G119" s="1653">
        <v>89.7</v>
      </c>
      <c r="H119" s="1649">
        <v>10.3</v>
      </c>
    </row>
    <row r="120" spans="1:8">
      <c r="A120" s="1657">
        <v>12</v>
      </c>
      <c r="B120" s="1658">
        <v>14</v>
      </c>
      <c r="C120" s="1651" t="s">
        <v>283</v>
      </c>
      <c r="D120" s="1661">
        <v>23204773.510000002</v>
      </c>
      <c r="E120" s="1662">
        <v>20659067.800000001</v>
      </c>
      <c r="F120" s="1662">
        <v>2545705.71</v>
      </c>
      <c r="G120" s="1653">
        <v>89</v>
      </c>
      <c r="H120" s="1649">
        <v>11</v>
      </c>
    </row>
    <row r="121" spans="1:8">
      <c r="A121" s="1657">
        <v>12</v>
      </c>
      <c r="B121" s="1658">
        <v>15</v>
      </c>
      <c r="C121" s="1651" t="s">
        <v>284</v>
      </c>
      <c r="D121" s="1661">
        <v>98493149.209999993</v>
      </c>
      <c r="E121" s="1662">
        <v>95237167.5</v>
      </c>
      <c r="F121" s="1662">
        <v>3255981.71</v>
      </c>
      <c r="G121" s="1653">
        <v>96.7</v>
      </c>
      <c r="H121" s="1649">
        <v>3.3</v>
      </c>
    </row>
    <row r="122" spans="1:8">
      <c r="A122" s="1657">
        <v>12</v>
      </c>
      <c r="B122" s="1658">
        <v>16</v>
      </c>
      <c r="C122" s="1651" t="s">
        <v>285</v>
      </c>
      <c r="D122" s="1661">
        <v>97756726.75</v>
      </c>
      <c r="E122" s="1662">
        <v>96196376.609999999</v>
      </c>
      <c r="F122" s="1662">
        <v>1560350.14</v>
      </c>
      <c r="G122" s="1653">
        <v>98.4</v>
      </c>
      <c r="H122" s="1649">
        <v>1.6</v>
      </c>
    </row>
    <row r="123" spans="1:8">
      <c r="A123" s="1657">
        <v>12</v>
      </c>
      <c r="B123" s="1658">
        <v>17</v>
      </c>
      <c r="C123" s="1651" t="s">
        <v>286</v>
      </c>
      <c r="D123" s="1661">
        <v>44254408.100000001</v>
      </c>
      <c r="E123" s="1662">
        <v>41542170.439999998</v>
      </c>
      <c r="F123" s="1662">
        <v>2712237.66</v>
      </c>
      <c r="G123" s="1653">
        <v>93.9</v>
      </c>
      <c r="H123" s="1649">
        <v>6.1</v>
      </c>
    </row>
    <row r="124" spans="1:8">
      <c r="A124" s="1657">
        <v>12</v>
      </c>
      <c r="B124" s="1658">
        <v>18</v>
      </c>
      <c r="C124" s="1651" t="s">
        <v>287</v>
      </c>
      <c r="D124" s="1661">
        <v>150863572.81999999</v>
      </c>
      <c r="E124" s="1662">
        <v>146950579.53999999</v>
      </c>
      <c r="F124" s="1662">
        <v>3912993.28</v>
      </c>
      <c r="G124" s="1653">
        <v>97.4</v>
      </c>
      <c r="H124" s="1649">
        <v>2.6</v>
      </c>
    </row>
    <row r="125" spans="1:8">
      <c r="A125" s="1657">
        <v>12</v>
      </c>
      <c r="B125" s="1658">
        <v>19</v>
      </c>
      <c r="C125" s="1651" t="s">
        <v>288</v>
      </c>
      <c r="D125" s="1661">
        <v>72485840.219999999</v>
      </c>
      <c r="E125" s="1662">
        <v>68671755.530000001</v>
      </c>
      <c r="F125" s="1662">
        <v>3814084.69</v>
      </c>
      <c r="G125" s="1653">
        <v>94.7</v>
      </c>
      <c r="H125" s="1649">
        <v>5.3</v>
      </c>
    </row>
    <row r="126" spans="1:8">
      <c r="A126" s="1657">
        <v>14</v>
      </c>
      <c r="B126" s="1658">
        <v>1</v>
      </c>
      <c r="C126" s="1651" t="s">
        <v>289</v>
      </c>
      <c r="D126" s="1661">
        <v>21878886.140000001</v>
      </c>
      <c r="E126" s="1662">
        <v>21858386.140000001</v>
      </c>
      <c r="F126" s="1662">
        <v>20500</v>
      </c>
      <c r="G126" s="1653">
        <v>99.9</v>
      </c>
      <c r="H126" s="1649">
        <v>0.1</v>
      </c>
    </row>
    <row r="127" spans="1:8">
      <c r="A127" s="1657">
        <v>14</v>
      </c>
      <c r="B127" s="1658">
        <v>2</v>
      </c>
      <c r="C127" s="1651" t="s">
        <v>290</v>
      </c>
      <c r="D127" s="1661">
        <v>84883808.930000007</v>
      </c>
      <c r="E127" s="1662">
        <v>83817429.430000007</v>
      </c>
      <c r="F127" s="1662">
        <v>1066379.5</v>
      </c>
      <c r="G127" s="1653">
        <v>98.7</v>
      </c>
      <c r="H127" s="1649">
        <v>1.3</v>
      </c>
    </row>
    <row r="128" spans="1:8">
      <c r="A128" s="1657">
        <v>14</v>
      </c>
      <c r="B128" s="1658">
        <v>3</v>
      </c>
      <c r="C128" s="1651" t="s">
        <v>291</v>
      </c>
      <c r="D128" s="1661">
        <v>143939246.05000001</v>
      </c>
      <c r="E128" s="1662">
        <v>142102205.49000001</v>
      </c>
      <c r="F128" s="1662">
        <v>1837040.56</v>
      </c>
      <c r="G128" s="1653">
        <v>98.7</v>
      </c>
      <c r="H128" s="1649">
        <v>1.3</v>
      </c>
    </row>
    <row r="129" spans="1:8">
      <c r="A129" s="1657">
        <v>14</v>
      </c>
      <c r="B129" s="1658">
        <v>4</v>
      </c>
      <c r="C129" s="1651" t="s">
        <v>292</v>
      </c>
      <c r="D129" s="1661">
        <v>50479184.969999999</v>
      </c>
      <c r="E129" s="1662">
        <v>43017399.950000003</v>
      </c>
      <c r="F129" s="1662">
        <v>7461785.0199999996</v>
      </c>
      <c r="G129" s="1653">
        <v>85.2</v>
      </c>
      <c r="H129" s="1649">
        <v>14.8</v>
      </c>
    </row>
    <row r="130" spans="1:8">
      <c r="A130" s="1657">
        <v>14</v>
      </c>
      <c r="B130" s="1658">
        <v>5</v>
      </c>
      <c r="C130" s="1651" t="s">
        <v>293</v>
      </c>
      <c r="D130" s="1661">
        <v>101080644.8</v>
      </c>
      <c r="E130" s="1662">
        <v>95379584.290000007</v>
      </c>
      <c r="F130" s="1662">
        <v>5701060.5099999998</v>
      </c>
      <c r="G130" s="1653">
        <v>94.4</v>
      </c>
      <c r="H130" s="1649">
        <v>5.6</v>
      </c>
    </row>
    <row r="131" spans="1:8">
      <c r="A131" s="1657">
        <v>14</v>
      </c>
      <c r="B131" s="1658">
        <v>6</v>
      </c>
      <c r="C131" s="1651" t="s">
        <v>294</v>
      </c>
      <c r="D131" s="1661">
        <v>106735122.05</v>
      </c>
      <c r="E131" s="1662">
        <v>94498144.629999995</v>
      </c>
      <c r="F131" s="1662">
        <v>12236977.42</v>
      </c>
      <c r="G131" s="1653">
        <v>88.5</v>
      </c>
      <c r="H131" s="1649">
        <v>11.5</v>
      </c>
    </row>
    <row r="132" spans="1:8">
      <c r="A132" s="1657">
        <v>14</v>
      </c>
      <c r="B132" s="1658">
        <v>7</v>
      </c>
      <c r="C132" s="1651" t="s">
        <v>295</v>
      </c>
      <c r="D132" s="1661">
        <v>44930483.740000002</v>
      </c>
      <c r="E132" s="1662">
        <v>43967259.009999998</v>
      </c>
      <c r="F132" s="1662">
        <v>963224.73</v>
      </c>
      <c r="G132" s="1653">
        <v>97.9</v>
      </c>
      <c r="H132" s="1649">
        <v>2.1</v>
      </c>
    </row>
    <row r="133" spans="1:8">
      <c r="A133" s="1657">
        <v>14</v>
      </c>
      <c r="B133" s="1658">
        <v>8</v>
      </c>
      <c r="C133" s="1651" t="s">
        <v>296</v>
      </c>
      <c r="D133" s="1661">
        <v>72562327.390000001</v>
      </c>
      <c r="E133" s="1662">
        <v>71641130.530000001</v>
      </c>
      <c r="F133" s="1662">
        <v>921196.86</v>
      </c>
      <c r="G133" s="1653">
        <v>98.7</v>
      </c>
      <c r="H133" s="1649">
        <v>1.3</v>
      </c>
    </row>
    <row r="134" spans="1:8">
      <c r="A134" s="1657">
        <v>14</v>
      </c>
      <c r="B134" s="1658">
        <v>9</v>
      </c>
      <c r="C134" s="1651" t="s">
        <v>297</v>
      </c>
      <c r="D134" s="1661">
        <v>49843049.329999998</v>
      </c>
      <c r="E134" s="1662">
        <v>49843049.329999998</v>
      </c>
      <c r="F134" s="1662">
        <v>0</v>
      </c>
      <c r="G134" s="1653">
        <v>100</v>
      </c>
      <c r="H134" s="1649">
        <v>0</v>
      </c>
    </row>
    <row r="135" spans="1:8">
      <c r="A135" s="1657">
        <v>14</v>
      </c>
      <c r="B135" s="1658">
        <v>10</v>
      </c>
      <c r="C135" s="1651" t="s">
        <v>298</v>
      </c>
      <c r="D135" s="1661">
        <v>34107763.579999998</v>
      </c>
      <c r="E135" s="1662">
        <v>33542148.359999999</v>
      </c>
      <c r="F135" s="1662">
        <v>565615.22</v>
      </c>
      <c r="G135" s="1653">
        <v>98.3</v>
      </c>
      <c r="H135" s="1649">
        <v>1.7</v>
      </c>
    </row>
    <row r="136" spans="1:8">
      <c r="A136" s="1657">
        <v>14</v>
      </c>
      <c r="B136" s="1658">
        <v>11</v>
      </c>
      <c r="C136" s="1651" t="s">
        <v>299</v>
      </c>
      <c r="D136" s="1661">
        <v>44023447.810000002</v>
      </c>
      <c r="E136" s="1662">
        <v>38654896.18</v>
      </c>
      <c r="F136" s="1662">
        <v>5368551.63</v>
      </c>
      <c r="G136" s="1653">
        <v>87.8</v>
      </c>
      <c r="H136" s="1649">
        <v>12.2</v>
      </c>
    </row>
    <row r="137" spans="1:8">
      <c r="A137" s="1657">
        <v>14</v>
      </c>
      <c r="B137" s="1658">
        <v>12</v>
      </c>
      <c r="C137" s="1651" t="s">
        <v>300</v>
      </c>
      <c r="D137" s="1661">
        <v>165641849.88</v>
      </c>
      <c r="E137" s="1662">
        <v>160904937.16</v>
      </c>
      <c r="F137" s="1662">
        <v>4736912.72</v>
      </c>
      <c r="G137" s="1653">
        <v>97.1</v>
      </c>
      <c r="H137" s="1649">
        <v>2.9</v>
      </c>
    </row>
    <row r="138" spans="1:8">
      <c r="A138" s="1657">
        <v>14</v>
      </c>
      <c r="B138" s="1658">
        <v>13</v>
      </c>
      <c r="C138" s="1651" t="s">
        <v>301</v>
      </c>
      <c r="D138" s="1661">
        <v>75594887.209999993</v>
      </c>
      <c r="E138" s="1662">
        <v>74449461.799999997</v>
      </c>
      <c r="F138" s="1662">
        <v>1145425.4099999999</v>
      </c>
      <c r="G138" s="1653">
        <v>98.5</v>
      </c>
      <c r="H138" s="1649">
        <v>1.5</v>
      </c>
    </row>
    <row r="139" spans="1:8">
      <c r="A139" s="1657">
        <v>14</v>
      </c>
      <c r="B139" s="1658">
        <v>14</v>
      </c>
      <c r="C139" s="1651" t="s">
        <v>302</v>
      </c>
      <c r="D139" s="1661">
        <v>40493423.270000003</v>
      </c>
      <c r="E139" s="1662">
        <v>39747629.920000002</v>
      </c>
      <c r="F139" s="1662">
        <v>745793.35</v>
      </c>
      <c r="G139" s="1653">
        <v>98.2</v>
      </c>
      <c r="H139" s="1649">
        <v>1.8</v>
      </c>
    </row>
    <row r="140" spans="1:8">
      <c r="A140" s="1657">
        <v>14</v>
      </c>
      <c r="B140" s="1658">
        <v>15</v>
      </c>
      <c r="C140" s="1651" t="s">
        <v>303</v>
      </c>
      <c r="D140" s="1661">
        <v>37455007.359999999</v>
      </c>
      <c r="E140" s="1662">
        <v>36840281.420000002</v>
      </c>
      <c r="F140" s="1662">
        <v>614725.93999999994</v>
      </c>
      <c r="G140" s="1653">
        <v>98.4</v>
      </c>
      <c r="H140" s="1649">
        <v>1.6</v>
      </c>
    </row>
    <row r="141" spans="1:8">
      <c r="A141" s="1657">
        <v>14</v>
      </c>
      <c r="B141" s="1658">
        <v>16</v>
      </c>
      <c r="C141" s="1651" t="s">
        <v>304</v>
      </c>
      <c r="D141" s="1661">
        <v>61803924.950000003</v>
      </c>
      <c r="E141" s="1662">
        <v>59383880.280000001</v>
      </c>
      <c r="F141" s="1662">
        <v>2420044.67</v>
      </c>
      <c r="G141" s="1653">
        <v>96.1</v>
      </c>
      <c r="H141" s="1649">
        <v>3.9</v>
      </c>
    </row>
    <row r="142" spans="1:8">
      <c r="A142" s="1657">
        <v>14</v>
      </c>
      <c r="B142" s="1658">
        <v>17</v>
      </c>
      <c r="C142" s="1651" t="s">
        <v>305</v>
      </c>
      <c r="D142" s="1661">
        <v>136181841.27000001</v>
      </c>
      <c r="E142" s="1662">
        <v>133299999.27</v>
      </c>
      <c r="F142" s="1662">
        <v>2881842</v>
      </c>
      <c r="G142" s="1653">
        <v>97.9</v>
      </c>
      <c r="H142" s="1649">
        <v>2.1</v>
      </c>
    </row>
    <row r="143" spans="1:8">
      <c r="A143" s="1657">
        <v>14</v>
      </c>
      <c r="B143" s="1658">
        <v>18</v>
      </c>
      <c r="C143" s="1651" t="s">
        <v>306</v>
      </c>
      <c r="D143" s="1661">
        <v>216245775.84999999</v>
      </c>
      <c r="E143" s="1662">
        <v>195514028.97</v>
      </c>
      <c r="F143" s="1662">
        <v>20731746.879999999</v>
      </c>
      <c r="G143" s="1653">
        <v>90.4</v>
      </c>
      <c r="H143" s="1649">
        <v>9.6</v>
      </c>
    </row>
    <row r="144" spans="1:8">
      <c r="A144" s="1657">
        <v>14</v>
      </c>
      <c r="B144" s="1658">
        <v>19</v>
      </c>
      <c r="C144" s="1651" t="s">
        <v>307</v>
      </c>
      <c r="D144" s="1661">
        <v>45446809.82</v>
      </c>
      <c r="E144" s="1662">
        <v>45361431.840000004</v>
      </c>
      <c r="F144" s="1662">
        <v>85377.98</v>
      </c>
      <c r="G144" s="1653">
        <v>99.8</v>
      </c>
      <c r="H144" s="1649">
        <v>0.2</v>
      </c>
    </row>
    <row r="145" spans="1:8">
      <c r="A145" s="1657">
        <v>14</v>
      </c>
      <c r="B145" s="1658">
        <v>20</v>
      </c>
      <c r="C145" s="1651" t="s">
        <v>308</v>
      </c>
      <c r="D145" s="1661">
        <v>112531027.18000001</v>
      </c>
      <c r="E145" s="1662">
        <v>112449806.48</v>
      </c>
      <c r="F145" s="1662">
        <v>81220.7</v>
      </c>
      <c r="G145" s="1653">
        <v>99.9</v>
      </c>
      <c r="H145" s="1649">
        <v>0.1</v>
      </c>
    </row>
    <row r="146" spans="1:8">
      <c r="A146" s="1657">
        <v>14</v>
      </c>
      <c r="B146" s="1658">
        <v>21</v>
      </c>
      <c r="C146" s="1651" t="s">
        <v>309</v>
      </c>
      <c r="D146" s="1661">
        <v>111502509.45</v>
      </c>
      <c r="E146" s="1662">
        <v>110237804.94</v>
      </c>
      <c r="F146" s="1662">
        <v>1264704.51</v>
      </c>
      <c r="G146" s="1653">
        <v>98.9</v>
      </c>
      <c r="H146" s="1649">
        <v>1.1000000000000001</v>
      </c>
    </row>
    <row r="147" spans="1:8">
      <c r="A147" s="1657">
        <v>14</v>
      </c>
      <c r="B147" s="1658">
        <v>22</v>
      </c>
      <c r="C147" s="1651" t="s">
        <v>310</v>
      </c>
      <c r="D147" s="1661">
        <v>67667556.930000007</v>
      </c>
      <c r="E147" s="1662">
        <v>67007620.850000001</v>
      </c>
      <c r="F147" s="1662">
        <v>659936.07999999996</v>
      </c>
      <c r="G147" s="1653">
        <v>99</v>
      </c>
      <c r="H147" s="1649">
        <v>1</v>
      </c>
    </row>
    <row r="148" spans="1:8">
      <c r="A148" s="1657">
        <v>14</v>
      </c>
      <c r="B148" s="1658">
        <v>23</v>
      </c>
      <c r="C148" s="1651" t="s">
        <v>311</v>
      </c>
      <c r="D148" s="1661">
        <v>90220140.390000001</v>
      </c>
      <c r="E148" s="1662">
        <v>81852405.489999995</v>
      </c>
      <c r="F148" s="1662">
        <v>8367734.9000000004</v>
      </c>
      <c r="G148" s="1653">
        <v>90.7</v>
      </c>
      <c r="H148" s="1649">
        <v>9.3000000000000007</v>
      </c>
    </row>
    <row r="149" spans="1:8">
      <c r="A149" s="1657">
        <v>14</v>
      </c>
      <c r="B149" s="1658">
        <v>24</v>
      </c>
      <c r="C149" s="1651" t="s">
        <v>312</v>
      </c>
      <c r="D149" s="1661">
        <v>47575812.969999999</v>
      </c>
      <c r="E149" s="1662">
        <v>46260853.479999997</v>
      </c>
      <c r="F149" s="1662">
        <v>1314959.49</v>
      </c>
      <c r="G149" s="1653">
        <v>97.2</v>
      </c>
      <c r="H149" s="1649">
        <v>2.8</v>
      </c>
    </row>
    <row r="150" spans="1:8">
      <c r="A150" s="1657">
        <v>14</v>
      </c>
      <c r="B150" s="1658">
        <v>25</v>
      </c>
      <c r="C150" s="1651" t="s">
        <v>313</v>
      </c>
      <c r="D150" s="1661">
        <v>75302169.769999996</v>
      </c>
      <c r="E150" s="1662">
        <v>68897900.560000002</v>
      </c>
      <c r="F150" s="1662">
        <v>6404269.21</v>
      </c>
      <c r="G150" s="1653">
        <v>91.5</v>
      </c>
      <c r="H150" s="1649">
        <v>8.5</v>
      </c>
    </row>
    <row r="151" spans="1:8">
      <c r="A151" s="1657">
        <v>14</v>
      </c>
      <c r="B151" s="1658">
        <v>26</v>
      </c>
      <c r="C151" s="1651" t="s">
        <v>314</v>
      </c>
      <c r="D151" s="1661">
        <v>29511537.289999999</v>
      </c>
      <c r="E151" s="1662">
        <v>29474537.289999999</v>
      </c>
      <c r="F151" s="1662">
        <v>37000</v>
      </c>
      <c r="G151" s="1653">
        <v>99.9</v>
      </c>
      <c r="H151" s="1649">
        <v>0.1</v>
      </c>
    </row>
    <row r="152" spans="1:8">
      <c r="A152" s="1657">
        <v>14</v>
      </c>
      <c r="B152" s="1658">
        <v>27</v>
      </c>
      <c r="C152" s="1651" t="s">
        <v>315</v>
      </c>
      <c r="D152" s="1661">
        <v>50014988.740000002</v>
      </c>
      <c r="E152" s="1662">
        <v>49963468.740000002</v>
      </c>
      <c r="F152" s="1662">
        <v>51520</v>
      </c>
      <c r="G152" s="1653">
        <v>99.9</v>
      </c>
      <c r="H152" s="1649">
        <v>0.1</v>
      </c>
    </row>
    <row r="153" spans="1:8">
      <c r="A153" s="1657">
        <v>14</v>
      </c>
      <c r="B153" s="1658">
        <v>28</v>
      </c>
      <c r="C153" s="1651" t="s">
        <v>316</v>
      </c>
      <c r="D153" s="1661">
        <v>90297996.510000005</v>
      </c>
      <c r="E153" s="1662">
        <v>87905682.609999999</v>
      </c>
      <c r="F153" s="1662">
        <v>2392313.9</v>
      </c>
      <c r="G153" s="1653">
        <v>97.4</v>
      </c>
      <c r="H153" s="1649">
        <v>2.6</v>
      </c>
    </row>
    <row r="154" spans="1:8">
      <c r="A154" s="1657">
        <v>14</v>
      </c>
      <c r="B154" s="1658">
        <v>29</v>
      </c>
      <c r="C154" s="1651" t="s">
        <v>317</v>
      </c>
      <c r="D154" s="1661">
        <v>43571380.43</v>
      </c>
      <c r="E154" s="1662">
        <v>43571380.43</v>
      </c>
      <c r="F154" s="1662">
        <v>0</v>
      </c>
      <c r="G154" s="1653">
        <v>100</v>
      </c>
      <c r="H154" s="1649">
        <v>0</v>
      </c>
    </row>
    <row r="155" spans="1:8">
      <c r="A155" s="1657">
        <v>14</v>
      </c>
      <c r="B155" s="1658">
        <v>30</v>
      </c>
      <c r="C155" s="1651" t="s">
        <v>318</v>
      </c>
      <c r="D155" s="1661">
        <v>36869056.030000001</v>
      </c>
      <c r="E155" s="1662">
        <v>35396689.740000002</v>
      </c>
      <c r="F155" s="1662">
        <v>1472366.29</v>
      </c>
      <c r="G155" s="1653">
        <v>96</v>
      </c>
      <c r="H155" s="1649">
        <v>4</v>
      </c>
    </row>
    <row r="156" spans="1:8">
      <c r="A156" s="1657">
        <v>14</v>
      </c>
      <c r="B156" s="1658">
        <v>32</v>
      </c>
      <c r="C156" s="1651" t="s">
        <v>319</v>
      </c>
      <c r="D156" s="1661">
        <v>101013638.44</v>
      </c>
      <c r="E156" s="1662">
        <v>98847863.379999995</v>
      </c>
      <c r="F156" s="1662">
        <v>2165775.06</v>
      </c>
      <c r="G156" s="1653">
        <v>97.9</v>
      </c>
      <c r="H156" s="1649">
        <v>2.1</v>
      </c>
    </row>
    <row r="157" spans="1:8">
      <c r="A157" s="1657">
        <v>14</v>
      </c>
      <c r="B157" s="1658">
        <v>33</v>
      </c>
      <c r="C157" s="1651" t="s">
        <v>320</v>
      </c>
      <c r="D157" s="1661">
        <v>76946709.299999997</v>
      </c>
      <c r="E157" s="1662">
        <v>76113836.209999993</v>
      </c>
      <c r="F157" s="1662">
        <v>832873.09</v>
      </c>
      <c r="G157" s="1653">
        <v>98.9</v>
      </c>
      <c r="H157" s="1649">
        <v>1.1000000000000001</v>
      </c>
    </row>
    <row r="158" spans="1:8">
      <c r="A158" s="1657">
        <v>14</v>
      </c>
      <c r="B158" s="1658">
        <v>34</v>
      </c>
      <c r="C158" s="1651" t="s">
        <v>321</v>
      </c>
      <c r="D158" s="1661">
        <v>169997797.02000001</v>
      </c>
      <c r="E158" s="1662">
        <v>166865095.50999999</v>
      </c>
      <c r="F158" s="1662">
        <v>3132701.51</v>
      </c>
      <c r="G158" s="1653">
        <v>98.2</v>
      </c>
      <c r="H158" s="1649">
        <v>1.8</v>
      </c>
    </row>
    <row r="159" spans="1:8">
      <c r="A159" s="1657">
        <v>14</v>
      </c>
      <c r="B159" s="1658">
        <v>35</v>
      </c>
      <c r="C159" s="1651" t="s">
        <v>322</v>
      </c>
      <c r="D159" s="1661">
        <v>86505551.829999998</v>
      </c>
      <c r="E159" s="1662">
        <v>83919112.689999998</v>
      </c>
      <c r="F159" s="1662">
        <v>2586439.14</v>
      </c>
      <c r="G159" s="1653">
        <v>97</v>
      </c>
      <c r="H159" s="1649">
        <v>3</v>
      </c>
    </row>
    <row r="160" spans="1:8">
      <c r="A160" s="1657">
        <v>14</v>
      </c>
      <c r="B160" s="1658">
        <v>36</v>
      </c>
      <c r="C160" s="1651" t="s">
        <v>323</v>
      </c>
      <c r="D160" s="1661">
        <v>22349650.469999999</v>
      </c>
      <c r="E160" s="1662">
        <v>21849065.829999998</v>
      </c>
      <c r="F160" s="1662">
        <v>500584.64</v>
      </c>
      <c r="G160" s="1653">
        <v>97.8</v>
      </c>
      <c r="H160" s="1649">
        <v>2.2000000000000002</v>
      </c>
    </row>
    <row r="161" spans="1:8">
      <c r="A161" s="1657">
        <v>14</v>
      </c>
      <c r="B161" s="1658">
        <v>37</v>
      </c>
      <c r="C161" s="1651" t="s">
        <v>324</v>
      </c>
      <c r="D161" s="1661">
        <v>38077734.25</v>
      </c>
      <c r="E161" s="1662">
        <v>37577908.920000002</v>
      </c>
      <c r="F161" s="1662">
        <v>499825.33</v>
      </c>
      <c r="G161" s="1653">
        <v>98.7</v>
      </c>
      <c r="H161" s="1649">
        <v>1.3</v>
      </c>
    </row>
    <row r="162" spans="1:8">
      <c r="A162" s="1657">
        <v>14</v>
      </c>
      <c r="B162" s="1658">
        <v>38</v>
      </c>
      <c r="C162" s="1651" t="s">
        <v>325</v>
      </c>
      <c r="D162" s="1661">
        <v>75140498.280000001</v>
      </c>
      <c r="E162" s="1662">
        <v>74434891.010000005</v>
      </c>
      <c r="F162" s="1662">
        <v>705607.27</v>
      </c>
      <c r="G162" s="1653">
        <v>99.1</v>
      </c>
      <c r="H162" s="1649">
        <v>0.9</v>
      </c>
    </row>
    <row r="163" spans="1:8">
      <c r="A163" s="1657">
        <v>16</v>
      </c>
      <c r="B163" s="1658">
        <v>1</v>
      </c>
      <c r="C163" s="1651" t="s">
        <v>271</v>
      </c>
      <c r="D163" s="1661">
        <v>88729722.730000004</v>
      </c>
      <c r="E163" s="1662">
        <v>77655619.040000007</v>
      </c>
      <c r="F163" s="1662">
        <v>11074103.689999999</v>
      </c>
      <c r="G163" s="1653">
        <v>87.5</v>
      </c>
      <c r="H163" s="1649">
        <v>12.5</v>
      </c>
    </row>
    <row r="164" spans="1:8">
      <c r="A164" s="1657">
        <v>16</v>
      </c>
      <c r="B164" s="1658">
        <v>2</v>
      </c>
      <c r="C164" s="1651" t="s">
        <v>326</v>
      </c>
      <c r="D164" s="1661">
        <v>26101350.210000001</v>
      </c>
      <c r="E164" s="1662">
        <v>25867614.210000001</v>
      </c>
      <c r="F164" s="1662">
        <v>233736</v>
      </c>
      <c r="G164" s="1653">
        <v>99.1</v>
      </c>
      <c r="H164" s="1649">
        <v>0.9</v>
      </c>
    </row>
    <row r="165" spans="1:8">
      <c r="A165" s="1657">
        <v>16</v>
      </c>
      <c r="B165" s="1658">
        <v>3</v>
      </c>
      <c r="C165" s="1651" t="s">
        <v>327</v>
      </c>
      <c r="D165" s="1661">
        <v>90337958.700000003</v>
      </c>
      <c r="E165" s="1662">
        <v>87836666.859999999</v>
      </c>
      <c r="F165" s="1662">
        <v>2501291.84</v>
      </c>
      <c r="G165" s="1653">
        <v>97.2</v>
      </c>
      <c r="H165" s="1649">
        <v>2.8</v>
      </c>
    </row>
    <row r="166" spans="1:8">
      <c r="A166" s="1657">
        <v>16</v>
      </c>
      <c r="B166" s="1658">
        <v>4</v>
      </c>
      <c r="C166" s="1651" t="s">
        <v>328</v>
      </c>
      <c r="D166" s="1661">
        <v>70976460.209999993</v>
      </c>
      <c r="E166" s="1662">
        <v>66432050.210000001</v>
      </c>
      <c r="F166" s="1662">
        <v>4544410</v>
      </c>
      <c r="G166" s="1653">
        <v>93.6</v>
      </c>
      <c r="H166" s="1649">
        <v>6.4</v>
      </c>
    </row>
    <row r="167" spans="1:8">
      <c r="A167" s="1657">
        <v>16</v>
      </c>
      <c r="B167" s="1658">
        <v>5</v>
      </c>
      <c r="C167" s="1651" t="s">
        <v>329</v>
      </c>
      <c r="D167" s="1661">
        <v>35570148.270000003</v>
      </c>
      <c r="E167" s="1662">
        <v>30220178.18</v>
      </c>
      <c r="F167" s="1662">
        <v>5349970.09</v>
      </c>
      <c r="G167" s="1653">
        <v>85</v>
      </c>
      <c r="H167" s="1649">
        <v>15</v>
      </c>
    </row>
    <row r="168" spans="1:8">
      <c r="A168" s="1657">
        <v>16</v>
      </c>
      <c r="B168" s="1658">
        <v>6</v>
      </c>
      <c r="C168" s="1651" t="s">
        <v>330</v>
      </c>
      <c r="D168" s="1661">
        <v>40948676.630000003</v>
      </c>
      <c r="E168" s="1662">
        <v>40876475.630000003</v>
      </c>
      <c r="F168" s="1662">
        <v>72201</v>
      </c>
      <c r="G168" s="1653">
        <v>99.8</v>
      </c>
      <c r="H168" s="1649">
        <v>0.2</v>
      </c>
    </row>
    <row r="169" spans="1:8">
      <c r="A169" s="1657">
        <v>16</v>
      </c>
      <c r="B169" s="1658">
        <v>7</v>
      </c>
      <c r="C169" s="1651" t="s">
        <v>331</v>
      </c>
      <c r="D169" s="1661">
        <v>130679004.2</v>
      </c>
      <c r="E169" s="1662">
        <v>129413210.86</v>
      </c>
      <c r="F169" s="1662">
        <v>1265793.3400000001</v>
      </c>
      <c r="G169" s="1653">
        <v>99</v>
      </c>
      <c r="H169" s="1649">
        <v>1</v>
      </c>
    </row>
    <row r="170" spans="1:8">
      <c r="A170" s="1657">
        <v>16</v>
      </c>
      <c r="B170" s="1658">
        <v>8</v>
      </c>
      <c r="C170" s="1651" t="s">
        <v>332</v>
      </c>
      <c r="D170" s="1661">
        <v>59301750.460000001</v>
      </c>
      <c r="E170" s="1662">
        <v>56805740.890000001</v>
      </c>
      <c r="F170" s="1662">
        <v>2496009.5699999998</v>
      </c>
      <c r="G170" s="1653">
        <v>95.8</v>
      </c>
      <c r="H170" s="1649">
        <v>4.2</v>
      </c>
    </row>
    <row r="171" spans="1:8">
      <c r="A171" s="1657">
        <v>16</v>
      </c>
      <c r="B171" s="1658">
        <v>9</v>
      </c>
      <c r="C171" s="1651" t="s">
        <v>230</v>
      </c>
      <c r="D171" s="1661">
        <v>50292343.079999998</v>
      </c>
      <c r="E171" s="1662">
        <v>49289784.280000001</v>
      </c>
      <c r="F171" s="1662">
        <v>1002558.8</v>
      </c>
      <c r="G171" s="1653">
        <v>98</v>
      </c>
      <c r="H171" s="1649">
        <v>2</v>
      </c>
    </row>
    <row r="172" spans="1:8">
      <c r="A172" s="1657">
        <v>16</v>
      </c>
      <c r="B172" s="1658">
        <v>10</v>
      </c>
      <c r="C172" s="1651" t="s">
        <v>333</v>
      </c>
      <c r="D172" s="1661">
        <v>42765048.609999999</v>
      </c>
      <c r="E172" s="1662">
        <v>41515584.509999998</v>
      </c>
      <c r="F172" s="1662">
        <v>1249464.1000000001</v>
      </c>
      <c r="G172" s="1653">
        <v>97.1</v>
      </c>
      <c r="H172" s="1649">
        <v>2.9</v>
      </c>
    </row>
    <row r="173" spans="1:8">
      <c r="A173" s="1657">
        <v>16</v>
      </c>
      <c r="B173" s="1658">
        <v>11</v>
      </c>
      <c r="C173" s="1651" t="s">
        <v>334</v>
      </c>
      <c r="D173" s="1661">
        <v>85931632.170000002</v>
      </c>
      <c r="E173" s="1662">
        <v>67211770.390000001</v>
      </c>
      <c r="F173" s="1662">
        <v>18719861.780000001</v>
      </c>
      <c r="G173" s="1653">
        <v>78.2</v>
      </c>
      <c r="H173" s="1649">
        <v>21.8</v>
      </c>
    </row>
    <row r="174" spans="1:8">
      <c r="A174" s="1657">
        <v>18</v>
      </c>
      <c r="B174" s="1658">
        <v>1</v>
      </c>
      <c r="C174" s="1651" t="s">
        <v>335</v>
      </c>
      <c r="D174" s="1661">
        <v>19780488.68</v>
      </c>
      <c r="E174" s="1662">
        <v>19505482.510000002</v>
      </c>
      <c r="F174" s="1662">
        <v>275006.17</v>
      </c>
      <c r="G174" s="1653">
        <v>98.6</v>
      </c>
      <c r="H174" s="1649">
        <v>1.4</v>
      </c>
    </row>
    <row r="175" spans="1:8">
      <c r="A175" s="1657">
        <v>18</v>
      </c>
      <c r="B175" s="1658">
        <v>2</v>
      </c>
      <c r="C175" s="1651" t="s">
        <v>336</v>
      </c>
      <c r="D175" s="1661">
        <v>46410665.090000004</v>
      </c>
      <c r="E175" s="1662">
        <v>45971575.100000001</v>
      </c>
      <c r="F175" s="1662">
        <v>439089.99</v>
      </c>
      <c r="G175" s="1653">
        <v>99.1</v>
      </c>
      <c r="H175" s="1649">
        <v>0.9</v>
      </c>
    </row>
    <row r="176" spans="1:8">
      <c r="A176" s="1657">
        <v>18</v>
      </c>
      <c r="B176" s="1658">
        <v>3</v>
      </c>
      <c r="C176" s="1651" t="s">
        <v>337</v>
      </c>
      <c r="D176" s="1661">
        <v>130349431.95</v>
      </c>
      <c r="E176" s="1662">
        <v>130219183.67</v>
      </c>
      <c r="F176" s="1662">
        <v>130248.28</v>
      </c>
      <c r="G176" s="1653">
        <v>99.9</v>
      </c>
      <c r="H176" s="1649">
        <v>0.1</v>
      </c>
    </row>
    <row r="177" spans="1:8">
      <c r="A177" s="1657">
        <v>18</v>
      </c>
      <c r="B177" s="1658">
        <v>4</v>
      </c>
      <c r="C177" s="1651" t="s">
        <v>338</v>
      </c>
      <c r="D177" s="1661">
        <v>147124757.37</v>
      </c>
      <c r="E177" s="1662">
        <v>135869324.00999999</v>
      </c>
      <c r="F177" s="1662">
        <v>11255433.359999999</v>
      </c>
      <c r="G177" s="1653">
        <v>92.3</v>
      </c>
      <c r="H177" s="1649">
        <v>7.7</v>
      </c>
    </row>
    <row r="178" spans="1:8">
      <c r="A178" s="1657">
        <v>18</v>
      </c>
      <c r="B178" s="1658">
        <v>5</v>
      </c>
      <c r="C178" s="1651" t="s">
        <v>339</v>
      </c>
      <c r="D178" s="1661">
        <v>123822058.3</v>
      </c>
      <c r="E178" s="1662">
        <v>114269155.68000001</v>
      </c>
      <c r="F178" s="1662">
        <v>9552902.6199999992</v>
      </c>
      <c r="G178" s="1653">
        <v>92.3</v>
      </c>
      <c r="H178" s="1649">
        <v>7.7</v>
      </c>
    </row>
    <row r="179" spans="1:8">
      <c r="A179" s="1657">
        <v>18</v>
      </c>
      <c r="B179" s="1658">
        <v>6</v>
      </c>
      <c r="C179" s="1651" t="s">
        <v>340</v>
      </c>
      <c r="D179" s="1661">
        <v>34664009.979999997</v>
      </c>
      <c r="E179" s="1662">
        <v>33281760.199999999</v>
      </c>
      <c r="F179" s="1662">
        <v>1382249.78</v>
      </c>
      <c r="G179" s="1653">
        <v>96</v>
      </c>
      <c r="H179" s="1649">
        <v>4</v>
      </c>
    </row>
    <row r="180" spans="1:8">
      <c r="A180" s="1657">
        <v>18</v>
      </c>
      <c r="B180" s="1658">
        <v>7</v>
      </c>
      <c r="C180" s="1651" t="s">
        <v>239</v>
      </c>
      <c r="D180" s="1661">
        <v>55934219.689999998</v>
      </c>
      <c r="E180" s="1662">
        <v>53533737.090000004</v>
      </c>
      <c r="F180" s="1662">
        <v>2400482.6</v>
      </c>
      <c r="G180" s="1653">
        <v>95.7</v>
      </c>
      <c r="H180" s="1649">
        <v>4.3</v>
      </c>
    </row>
    <row r="181" spans="1:8">
      <c r="A181" s="1657">
        <v>18</v>
      </c>
      <c r="B181" s="1658">
        <v>8</v>
      </c>
      <c r="C181" s="1651" t="s">
        <v>341</v>
      </c>
      <c r="D181" s="1661">
        <v>93144481.640000001</v>
      </c>
      <c r="E181" s="1662">
        <v>84614314.849999994</v>
      </c>
      <c r="F181" s="1662">
        <v>8530166.7899999991</v>
      </c>
      <c r="G181" s="1653">
        <v>90.8</v>
      </c>
      <c r="H181" s="1649">
        <v>9.1999999999999993</v>
      </c>
    </row>
    <row r="182" spans="1:8">
      <c r="A182" s="1657">
        <v>18</v>
      </c>
      <c r="B182" s="1658">
        <v>9</v>
      </c>
      <c r="C182" s="1651" t="s">
        <v>342</v>
      </c>
      <c r="D182" s="1661">
        <v>55199059.020000003</v>
      </c>
      <c r="E182" s="1662">
        <v>54836184.100000001</v>
      </c>
      <c r="F182" s="1662">
        <v>362874.92</v>
      </c>
      <c r="G182" s="1653">
        <v>99.3</v>
      </c>
      <c r="H182" s="1649">
        <v>0.7</v>
      </c>
    </row>
    <row r="183" spans="1:8">
      <c r="A183" s="1657">
        <v>18</v>
      </c>
      <c r="B183" s="1658">
        <v>10</v>
      </c>
      <c r="C183" s="1651" t="s">
        <v>343</v>
      </c>
      <c r="D183" s="1661">
        <v>78359554.459999993</v>
      </c>
      <c r="E183" s="1662">
        <v>67726127.299999997</v>
      </c>
      <c r="F183" s="1662">
        <v>10633427.16</v>
      </c>
      <c r="G183" s="1653">
        <v>86.4</v>
      </c>
      <c r="H183" s="1649">
        <v>13.6</v>
      </c>
    </row>
    <row r="184" spans="1:8">
      <c r="A184" s="1657">
        <v>18</v>
      </c>
      <c r="B184" s="1658">
        <v>11</v>
      </c>
      <c r="C184" s="1651" t="s">
        <v>344</v>
      </c>
      <c r="D184" s="1661">
        <v>176268882</v>
      </c>
      <c r="E184" s="1662">
        <v>140510871.71000001</v>
      </c>
      <c r="F184" s="1662">
        <v>35758010.289999999</v>
      </c>
      <c r="G184" s="1653">
        <v>79.7</v>
      </c>
      <c r="H184" s="1649">
        <v>20.3</v>
      </c>
    </row>
    <row r="185" spans="1:8">
      <c r="A185" s="1657">
        <v>18</v>
      </c>
      <c r="B185" s="1658">
        <v>12</v>
      </c>
      <c r="C185" s="1651" t="s">
        <v>345</v>
      </c>
      <c r="D185" s="1661">
        <v>64061463.409999996</v>
      </c>
      <c r="E185" s="1662">
        <v>55484995.240000002</v>
      </c>
      <c r="F185" s="1662">
        <v>8576468.1699999999</v>
      </c>
      <c r="G185" s="1653">
        <v>86.6</v>
      </c>
      <c r="H185" s="1649">
        <v>13.4</v>
      </c>
    </row>
    <row r="186" spans="1:8">
      <c r="A186" s="1657">
        <v>18</v>
      </c>
      <c r="B186" s="1658">
        <v>13</v>
      </c>
      <c r="C186" s="1651" t="s">
        <v>346</v>
      </c>
      <c r="D186" s="1661">
        <v>11592924.01</v>
      </c>
      <c r="E186" s="1662">
        <v>11149019.390000001</v>
      </c>
      <c r="F186" s="1662">
        <v>443904.62</v>
      </c>
      <c r="G186" s="1653">
        <v>96.2</v>
      </c>
      <c r="H186" s="1649">
        <v>3.8</v>
      </c>
    </row>
    <row r="187" spans="1:8">
      <c r="A187" s="1657">
        <v>18</v>
      </c>
      <c r="B187" s="1658">
        <v>14</v>
      </c>
      <c r="C187" s="1651" t="s">
        <v>347</v>
      </c>
      <c r="D187" s="1661">
        <v>34260875.32</v>
      </c>
      <c r="E187" s="1662">
        <v>34044881.119999997</v>
      </c>
      <c r="F187" s="1662">
        <v>215994.2</v>
      </c>
      <c r="G187" s="1653">
        <v>99.4</v>
      </c>
      <c r="H187" s="1649">
        <v>0.6</v>
      </c>
    </row>
    <row r="188" spans="1:8">
      <c r="A188" s="1657">
        <v>18</v>
      </c>
      <c r="B188" s="1658">
        <v>15</v>
      </c>
      <c r="C188" s="1651" t="s">
        <v>348</v>
      </c>
      <c r="D188" s="1661">
        <v>84962349.150000006</v>
      </c>
      <c r="E188" s="1662">
        <v>79781956.640000001</v>
      </c>
      <c r="F188" s="1662">
        <v>5180392.51</v>
      </c>
      <c r="G188" s="1653">
        <v>93.9</v>
      </c>
      <c r="H188" s="1649">
        <v>6.1</v>
      </c>
    </row>
    <row r="189" spans="1:8">
      <c r="A189" s="1657">
        <v>18</v>
      </c>
      <c r="B189" s="1658">
        <v>16</v>
      </c>
      <c r="C189" s="1651" t="s">
        <v>349</v>
      </c>
      <c r="D189" s="1661">
        <v>80925344.579999998</v>
      </c>
      <c r="E189" s="1662">
        <v>75166816.480000004</v>
      </c>
      <c r="F189" s="1662">
        <v>5758528.0999999996</v>
      </c>
      <c r="G189" s="1653">
        <v>92.9</v>
      </c>
      <c r="H189" s="1649">
        <v>7.1</v>
      </c>
    </row>
    <row r="190" spans="1:8">
      <c r="A190" s="1657">
        <v>18</v>
      </c>
      <c r="B190" s="1658">
        <v>17</v>
      </c>
      <c r="C190" s="1651" t="s">
        <v>350</v>
      </c>
      <c r="D190" s="1661">
        <v>101275981.97</v>
      </c>
      <c r="E190" s="1662">
        <v>93135661.420000002</v>
      </c>
      <c r="F190" s="1662">
        <v>8140320.5499999998</v>
      </c>
      <c r="G190" s="1653">
        <v>92</v>
      </c>
      <c r="H190" s="1649">
        <v>8</v>
      </c>
    </row>
    <row r="191" spans="1:8">
      <c r="A191" s="1657">
        <v>18</v>
      </c>
      <c r="B191" s="1658">
        <v>18</v>
      </c>
      <c r="C191" s="1651" t="s">
        <v>351</v>
      </c>
      <c r="D191" s="1661">
        <v>113209207.91</v>
      </c>
      <c r="E191" s="1662">
        <v>110156092.26000001</v>
      </c>
      <c r="F191" s="1662">
        <v>3053115.65</v>
      </c>
      <c r="G191" s="1653">
        <v>97.3</v>
      </c>
      <c r="H191" s="1649">
        <v>2.7</v>
      </c>
    </row>
    <row r="192" spans="1:8">
      <c r="A192" s="1657">
        <v>18</v>
      </c>
      <c r="B192" s="1658">
        <v>19</v>
      </c>
      <c r="C192" s="1651" t="s">
        <v>352</v>
      </c>
      <c r="D192" s="1661">
        <v>93352622.890000001</v>
      </c>
      <c r="E192" s="1662">
        <v>67367344.989999995</v>
      </c>
      <c r="F192" s="1662">
        <v>25985277.899999999</v>
      </c>
      <c r="G192" s="1653">
        <v>72.2</v>
      </c>
      <c r="H192" s="1649">
        <v>27.8</v>
      </c>
    </row>
    <row r="193" spans="1:8">
      <c r="A193" s="1657">
        <v>18</v>
      </c>
      <c r="B193" s="1658">
        <v>20</v>
      </c>
      <c r="C193" s="1651" t="s">
        <v>353</v>
      </c>
      <c r="D193" s="1661">
        <v>48660814.200000003</v>
      </c>
      <c r="E193" s="1662">
        <v>41114387.409999996</v>
      </c>
      <c r="F193" s="1662">
        <v>7546426.79</v>
      </c>
      <c r="G193" s="1653">
        <v>84.5</v>
      </c>
      <c r="H193" s="1649">
        <v>15.5</v>
      </c>
    </row>
    <row r="194" spans="1:8">
      <c r="A194" s="1657">
        <v>18</v>
      </c>
      <c r="B194" s="1658">
        <v>21</v>
      </c>
      <c r="C194" s="1651" t="s">
        <v>354</v>
      </c>
      <c r="D194" s="1661">
        <v>23533705.93</v>
      </c>
      <c r="E194" s="1662">
        <v>22093447.399999999</v>
      </c>
      <c r="F194" s="1662">
        <v>1440258.53</v>
      </c>
      <c r="G194" s="1653">
        <v>93.9</v>
      </c>
      <c r="H194" s="1649">
        <v>6.1</v>
      </c>
    </row>
    <row r="195" spans="1:8">
      <c r="A195" s="1657">
        <v>20</v>
      </c>
      <c r="B195" s="1658">
        <v>1</v>
      </c>
      <c r="C195" s="1651" t="s">
        <v>355</v>
      </c>
      <c r="D195" s="1661">
        <v>62529600.969999999</v>
      </c>
      <c r="E195" s="1662">
        <v>54560031.659999996</v>
      </c>
      <c r="F195" s="1662">
        <v>7969569.3099999996</v>
      </c>
      <c r="G195" s="1653">
        <v>87.3</v>
      </c>
      <c r="H195" s="1649">
        <v>12.7</v>
      </c>
    </row>
    <row r="196" spans="1:8">
      <c r="A196" s="1657">
        <v>20</v>
      </c>
      <c r="B196" s="1658">
        <v>2</v>
      </c>
      <c r="C196" s="1651" t="s">
        <v>356</v>
      </c>
      <c r="D196" s="1661">
        <v>27784482.34</v>
      </c>
      <c r="E196" s="1662">
        <v>27572728</v>
      </c>
      <c r="F196" s="1662">
        <v>211754.34</v>
      </c>
      <c r="G196" s="1653">
        <v>99.2</v>
      </c>
      <c r="H196" s="1649">
        <v>0.8</v>
      </c>
    </row>
    <row r="197" spans="1:8">
      <c r="A197" s="1657">
        <v>20</v>
      </c>
      <c r="B197" s="1658">
        <v>3</v>
      </c>
      <c r="C197" s="1651" t="s">
        <v>357</v>
      </c>
      <c r="D197" s="1661">
        <v>35972228.490000002</v>
      </c>
      <c r="E197" s="1662">
        <v>35928948.490000002</v>
      </c>
      <c r="F197" s="1662">
        <v>43280</v>
      </c>
      <c r="G197" s="1653">
        <v>99.9</v>
      </c>
      <c r="H197" s="1649">
        <v>0.1</v>
      </c>
    </row>
    <row r="198" spans="1:8">
      <c r="A198" s="1657">
        <v>20</v>
      </c>
      <c r="B198" s="1658">
        <v>4</v>
      </c>
      <c r="C198" s="1651" t="s">
        <v>358</v>
      </c>
      <c r="D198" s="1661">
        <v>51098196.170000002</v>
      </c>
      <c r="E198" s="1662">
        <v>49879014.340000004</v>
      </c>
      <c r="F198" s="1662">
        <v>1219181.83</v>
      </c>
      <c r="G198" s="1653">
        <v>97.6</v>
      </c>
      <c r="H198" s="1649">
        <v>2.4</v>
      </c>
    </row>
    <row r="199" spans="1:8">
      <c r="A199" s="1657">
        <v>20</v>
      </c>
      <c r="B199" s="1658">
        <v>5</v>
      </c>
      <c r="C199" s="1651" t="s">
        <v>359</v>
      </c>
      <c r="D199" s="1661">
        <v>27434266.77</v>
      </c>
      <c r="E199" s="1662">
        <v>27202780.77</v>
      </c>
      <c r="F199" s="1662">
        <v>231486</v>
      </c>
      <c r="G199" s="1653">
        <v>99.2</v>
      </c>
      <c r="H199" s="1649">
        <v>0.8</v>
      </c>
    </row>
    <row r="200" spans="1:8">
      <c r="A200" s="1657">
        <v>20</v>
      </c>
      <c r="B200" s="1658">
        <v>6</v>
      </c>
      <c r="C200" s="1651" t="s">
        <v>360</v>
      </c>
      <c r="D200" s="1661">
        <v>20486194.559999999</v>
      </c>
      <c r="E200" s="1662">
        <v>14846727.34</v>
      </c>
      <c r="F200" s="1662">
        <v>5639467.2199999997</v>
      </c>
      <c r="G200" s="1653">
        <v>72.5</v>
      </c>
      <c r="H200" s="1649">
        <v>27.5</v>
      </c>
    </row>
    <row r="201" spans="1:8">
      <c r="A201" s="1657">
        <v>20</v>
      </c>
      <c r="B201" s="1658">
        <v>7</v>
      </c>
      <c r="C201" s="1651" t="s">
        <v>361</v>
      </c>
      <c r="D201" s="1661">
        <v>1561320.38</v>
      </c>
      <c r="E201" s="1662">
        <v>1561320.38</v>
      </c>
      <c r="F201" s="1662">
        <v>0</v>
      </c>
      <c r="G201" s="1653">
        <v>100</v>
      </c>
      <c r="H201" s="1649">
        <v>0</v>
      </c>
    </row>
    <row r="202" spans="1:8">
      <c r="A202" s="1657">
        <v>20</v>
      </c>
      <c r="B202" s="1658">
        <v>8</v>
      </c>
      <c r="C202" s="1651" t="s">
        <v>362</v>
      </c>
      <c r="D202" s="1661">
        <v>32773877.399999999</v>
      </c>
      <c r="E202" s="1662">
        <v>32565862.140000001</v>
      </c>
      <c r="F202" s="1662">
        <v>208015.26</v>
      </c>
      <c r="G202" s="1653">
        <v>99.4</v>
      </c>
      <c r="H202" s="1649">
        <v>0.6</v>
      </c>
    </row>
    <row r="203" spans="1:8">
      <c r="A203" s="1657">
        <v>20</v>
      </c>
      <c r="B203" s="1658">
        <v>9</v>
      </c>
      <c r="C203" s="1651" t="s">
        <v>363</v>
      </c>
      <c r="D203" s="1661">
        <v>11248137.300000001</v>
      </c>
      <c r="E203" s="1662">
        <v>10729256.98</v>
      </c>
      <c r="F203" s="1662">
        <v>518880.32</v>
      </c>
      <c r="G203" s="1653">
        <v>95.4</v>
      </c>
      <c r="H203" s="1649">
        <v>4.5999999999999996</v>
      </c>
    </row>
    <row r="204" spans="1:8">
      <c r="A204" s="1657">
        <v>20</v>
      </c>
      <c r="B204" s="1658">
        <v>10</v>
      </c>
      <c r="C204" s="1651" t="s">
        <v>364</v>
      </c>
      <c r="D204" s="1661">
        <v>37169042.469999999</v>
      </c>
      <c r="E204" s="1662">
        <v>36944451.850000001</v>
      </c>
      <c r="F204" s="1662">
        <v>224590.62</v>
      </c>
      <c r="G204" s="1653">
        <v>99.4</v>
      </c>
      <c r="H204" s="1649">
        <v>0.6</v>
      </c>
    </row>
    <row r="205" spans="1:8">
      <c r="A205" s="1657">
        <v>20</v>
      </c>
      <c r="B205" s="1658">
        <v>11</v>
      </c>
      <c r="C205" s="1651" t="s">
        <v>365</v>
      </c>
      <c r="D205" s="1661">
        <v>72892624.079999998</v>
      </c>
      <c r="E205" s="1662">
        <v>58775801.469999999</v>
      </c>
      <c r="F205" s="1662">
        <v>14116822.609999999</v>
      </c>
      <c r="G205" s="1653">
        <v>80.599999999999994</v>
      </c>
      <c r="H205" s="1649">
        <v>19.399999999999999</v>
      </c>
    </row>
    <row r="206" spans="1:8">
      <c r="A206" s="1657">
        <v>20</v>
      </c>
      <c r="B206" s="1658">
        <v>12</v>
      </c>
      <c r="C206" s="1651" t="s">
        <v>366</v>
      </c>
      <c r="D206" s="1661">
        <v>10027552.949999999</v>
      </c>
      <c r="E206" s="1662">
        <v>9996741.4499999993</v>
      </c>
      <c r="F206" s="1662">
        <v>30811.5</v>
      </c>
      <c r="G206" s="1653">
        <v>99.7</v>
      </c>
      <c r="H206" s="1649">
        <v>0.3</v>
      </c>
    </row>
    <row r="207" spans="1:8">
      <c r="A207" s="1657">
        <v>20</v>
      </c>
      <c r="B207" s="1658">
        <v>13</v>
      </c>
      <c r="C207" s="1651" t="s">
        <v>367</v>
      </c>
      <c r="D207" s="1661">
        <v>63783678.520000003</v>
      </c>
      <c r="E207" s="1662">
        <v>56011986.189999998</v>
      </c>
      <c r="F207" s="1662">
        <v>7771692.3300000001</v>
      </c>
      <c r="G207" s="1653">
        <v>87.8</v>
      </c>
      <c r="H207" s="1649">
        <v>12.2</v>
      </c>
    </row>
    <row r="208" spans="1:8">
      <c r="A208" s="1657">
        <v>20</v>
      </c>
      <c r="B208" s="1658">
        <v>14</v>
      </c>
      <c r="C208" s="1651" t="s">
        <v>368</v>
      </c>
      <c r="D208" s="1661">
        <v>45509578.75</v>
      </c>
      <c r="E208" s="1662">
        <v>45037322.369999997</v>
      </c>
      <c r="F208" s="1662">
        <v>472256.38</v>
      </c>
      <c r="G208" s="1653">
        <v>99</v>
      </c>
      <c r="H208" s="1649">
        <v>1</v>
      </c>
    </row>
    <row r="209" spans="1:8">
      <c r="A209" s="1657">
        <v>22</v>
      </c>
      <c r="B209" s="1658">
        <v>1</v>
      </c>
      <c r="C209" s="1651" t="s">
        <v>369</v>
      </c>
      <c r="D209" s="1661">
        <v>94527410.540000007</v>
      </c>
      <c r="E209" s="1662">
        <v>85147635.819999993</v>
      </c>
      <c r="F209" s="1662">
        <v>9379774.7200000007</v>
      </c>
      <c r="G209" s="1653">
        <v>90.1</v>
      </c>
      <c r="H209" s="1649">
        <v>9.9</v>
      </c>
    </row>
    <row r="210" spans="1:8">
      <c r="A210" s="1657">
        <v>22</v>
      </c>
      <c r="B210" s="1658">
        <v>2</v>
      </c>
      <c r="C210" s="1651" t="s">
        <v>370</v>
      </c>
      <c r="D210" s="1661">
        <v>135086404.78999999</v>
      </c>
      <c r="E210" s="1662">
        <v>121432354.72</v>
      </c>
      <c r="F210" s="1662">
        <v>13654050.07</v>
      </c>
      <c r="G210" s="1653">
        <v>89.9</v>
      </c>
      <c r="H210" s="1649">
        <v>10.1</v>
      </c>
    </row>
    <row r="211" spans="1:8">
      <c r="A211" s="1657">
        <v>22</v>
      </c>
      <c r="B211" s="1658">
        <v>3</v>
      </c>
      <c r="C211" s="1651" t="s">
        <v>371</v>
      </c>
      <c r="D211" s="1661">
        <v>107186903.43000001</v>
      </c>
      <c r="E211" s="1662">
        <v>96733806.620000005</v>
      </c>
      <c r="F211" s="1662">
        <v>10453096.810000001</v>
      </c>
      <c r="G211" s="1653">
        <v>90.2</v>
      </c>
      <c r="H211" s="1649">
        <v>9.8000000000000007</v>
      </c>
    </row>
    <row r="212" spans="1:8">
      <c r="A212" s="1657">
        <v>22</v>
      </c>
      <c r="B212" s="1658">
        <v>4</v>
      </c>
      <c r="C212" s="1651" t="s">
        <v>372</v>
      </c>
      <c r="D212" s="1661">
        <v>90192870.260000005</v>
      </c>
      <c r="E212" s="1662">
        <v>72779054.019999996</v>
      </c>
      <c r="F212" s="1662">
        <v>17413816.239999998</v>
      </c>
      <c r="G212" s="1653">
        <v>80.7</v>
      </c>
      <c r="H212" s="1649">
        <v>19.3</v>
      </c>
    </row>
    <row r="213" spans="1:8">
      <c r="A213" s="1657">
        <v>22</v>
      </c>
      <c r="B213" s="1658">
        <v>5</v>
      </c>
      <c r="C213" s="1651" t="s">
        <v>373</v>
      </c>
      <c r="D213" s="1661">
        <v>125983499.72</v>
      </c>
      <c r="E213" s="1662">
        <v>125791951.12</v>
      </c>
      <c r="F213" s="1662">
        <v>191548.6</v>
      </c>
      <c r="G213" s="1653">
        <v>99.8</v>
      </c>
      <c r="H213" s="1649">
        <v>0.2</v>
      </c>
    </row>
    <row r="214" spans="1:8">
      <c r="A214" s="1657">
        <v>22</v>
      </c>
      <c r="B214" s="1658">
        <v>6</v>
      </c>
      <c r="C214" s="1651" t="s">
        <v>374</v>
      </c>
      <c r="D214" s="1661">
        <v>86199711.390000001</v>
      </c>
      <c r="E214" s="1662">
        <v>84835569.659999996</v>
      </c>
      <c r="F214" s="1662">
        <v>1364141.73</v>
      </c>
      <c r="G214" s="1653">
        <v>98.4</v>
      </c>
      <c r="H214" s="1649">
        <v>1.6</v>
      </c>
    </row>
    <row r="215" spans="1:8">
      <c r="A215" s="1657">
        <v>22</v>
      </c>
      <c r="B215" s="1658">
        <v>7</v>
      </c>
      <c r="C215" s="1651" t="s">
        <v>375</v>
      </c>
      <c r="D215" s="1661">
        <v>86253718.319999993</v>
      </c>
      <c r="E215" s="1662">
        <v>84403749.010000005</v>
      </c>
      <c r="F215" s="1662">
        <v>1849969.31</v>
      </c>
      <c r="G215" s="1653">
        <v>97.9</v>
      </c>
      <c r="H215" s="1649">
        <v>2.1</v>
      </c>
    </row>
    <row r="216" spans="1:8">
      <c r="A216" s="1657">
        <v>22</v>
      </c>
      <c r="B216" s="1658">
        <v>8</v>
      </c>
      <c r="C216" s="1651" t="s">
        <v>376</v>
      </c>
      <c r="D216" s="1661">
        <v>82573315.409999996</v>
      </c>
      <c r="E216" s="1662">
        <v>80076351.010000005</v>
      </c>
      <c r="F216" s="1662">
        <v>2496964.4</v>
      </c>
      <c r="G216" s="1653">
        <v>97</v>
      </c>
      <c r="H216" s="1649">
        <v>3</v>
      </c>
    </row>
    <row r="217" spans="1:8">
      <c r="A217" s="1657">
        <v>22</v>
      </c>
      <c r="B217" s="1658">
        <v>9</v>
      </c>
      <c r="C217" s="1651" t="s">
        <v>377</v>
      </c>
      <c r="D217" s="1661">
        <v>88221865.790000007</v>
      </c>
      <c r="E217" s="1662">
        <v>87389026.469999999</v>
      </c>
      <c r="F217" s="1662">
        <v>832839.32</v>
      </c>
      <c r="G217" s="1653">
        <v>99.1</v>
      </c>
      <c r="H217" s="1649">
        <v>0.9</v>
      </c>
    </row>
    <row r="218" spans="1:8">
      <c r="A218" s="1657">
        <v>22</v>
      </c>
      <c r="B218" s="1658">
        <v>10</v>
      </c>
      <c r="C218" s="1651" t="s">
        <v>302</v>
      </c>
      <c r="D218" s="1661">
        <v>34019814.609999999</v>
      </c>
      <c r="E218" s="1662">
        <v>29141815.41</v>
      </c>
      <c r="F218" s="1662">
        <v>4877999.2</v>
      </c>
      <c r="G218" s="1653">
        <v>85.7</v>
      </c>
      <c r="H218" s="1649">
        <v>14.3</v>
      </c>
    </row>
    <row r="219" spans="1:8">
      <c r="A219" s="1657">
        <v>22</v>
      </c>
      <c r="B219" s="1658">
        <v>11</v>
      </c>
      <c r="C219" s="1651" t="s">
        <v>378</v>
      </c>
      <c r="D219" s="1661">
        <v>76160657.049999997</v>
      </c>
      <c r="E219" s="1662">
        <v>67079672.829999998</v>
      </c>
      <c r="F219" s="1662">
        <v>9080984.2200000007</v>
      </c>
      <c r="G219" s="1653">
        <v>88.1</v>
      </c>
      <c r="H219" s="1649">
        <v>11.9</v>
      </c>
    </row>
    <row r="220" spans="1:8">
      <c r="A220" s="1657">
        <v>22</v>
      </c>
      <c r="B220" s="1658">
        <v>12</v>
      </c>
      <c r="C220" s="1651" t="s">
        <v>379</v>
      </c>
      <c r="D220" s="1661">
        <v>44929238.920000002</v>
      </c>
      <c r="E220" s="1662">
        <v>43441830.409999996</v>
      </c>
      <c r="F220" s="1662">
        <v>1487408.51</v>
      </c>
      <c r="G220" s="1653">
        <v>96.7</v>
      </c>
      <c r="H220" s="1649">
        <v>3.3</v>
      </c>
    </row>
    <row r="221" spans="1:8">
      <c r="A221" s="1657">
        <v>22</v>
      </c>
      <c r="B221" s="1658">
        <v>13</v>
      </c>
      <c r="C221" s="1651" t="s">
        <v>380</v>
      </c>
      <c r="D221" s="1661">
        <v>149710671.38</v>
      </c>
      <c r="E221" s="1662">
        <v>149220362.62</v>
      </c>
      <c r="F221" s="1662">
        <v>490308.76</v>
      </c>
      <c r="G221" s="1653">
        <v>99.7</v>
      </c>
      <c r="H221" s="1649">
        <v>0.3</v>
      </c>
    </row>
    <row r="222" spans="1:8">
      <c r="A222" s="1657">
        <v>22</v>
      </c>
      <c r="B222" s="1658">
        <v>14</v>
      </c>
      <c r="C222" s="1651" t="s">
        <v>381</v>
      </c>
      <c r="D222" s="1661">
        <v>143881187.27000001</v>
      </c>
      <c r="E222" s="1662">
        <v>141687881.21000001</v>
      </c>
      <c r="F222" s="1662">
        <v>2193306.06</v>
      </c>
      <c r="G222" s="1653">
        <v>98.5</v>
      </c>
      <c r="H222" s="1649">
        <v>1.5</v>
      </c>
    </row>
    <row r="223" spans="1:8">
      <c r="A223" s="1657">
        <v>22</v>
      </c>
      <c r="B223" s="1658">
        <v>15</v>
      </c>
      <c r="C223" s="1651" t="s">
        <v>382</v>
      </c>
      <c r="D223" s="1661">
        <v>240834525.50999999</v>
      </c>
      <c r="E223" s="1662">
        <v>190120376.53</v>
      </c>
      <c r="F223" s="1662">
        <v>50714148.979999997</v>
      </c>
      <c r="G223" s="1653">
        <v>78.900000000000006</v>
      </c>
      <c r="H223" s="1649">
        <v>21.1</v>
      </c>
    </row>
    <row r="224" spans="1:8">
      <c r="A224" s="1657">
        <v>22</v>
      </c>
      <c r="B224" s="1658">
        <v>16</v>
      </c>
      <c r="C224" s="1651" t="s">
        <v>383</v>
      </c>
      <c r="D224" s="1661">
        <v>38952404.170000002</v>
      </c>
      <c r="E224" s="1662">
        <v>37952799.030000001</v>
      </c>
      <c r="F224" s="1662">
        <v>999605.14</v>
      </c>
      <c r="G224" s="1653">
        <v>97.4</v>
      </c>
      <c r="H224" s="1649">
        <v>2.6</v>
      </c>
    </row>
    <row r="225" spans="1:8">
      <c r="A225" s="1657">
        <v>24</v>
      </c>
      <c r="B225" s="1658">
        <v>1</v>
      </c>
      <c r="C225" s="1651" t="s">
        <v>384</v>
      </c>
      <c r="D225" s="1661">
        <v>91138586.730000004</v>
      </c>
      <c r="E225" s="1662">
        <v>84819038.769999996</v>
      </c>
      <c r="F225" s="1662">
        <v>6319547.96</v>
      </c>
      <c r="G225" s="1653">
        <v>93.1</v>
      </c>
      <c r="H225" s="1649">
        <v>6.9</v>
      </c>
    </row>
    <row r="226" spans="1:8">
      <c r="A226" s="1657">
        <v>24</v>
      </c>
      <c r="B226" s="1658">
        <v>2</v>
      </c>
      <c r="C226" s="1651" t="s">
        <v>357</v>
      </c>
      <c r="D226" s="1661">
        <v>68350511.510000005</v>
      </c>
      <c r="E226" s="1662">
        <v>62756419.799999997</v>
      </c>
      <c r="F226" s="1662">
        <v>5594091.71</v>
      </c>
      <c r="G226" s="1653">
        <v>91.8</v>
      </c>
      <c r="H226" s="1649">
        <v>8.1999999999999993</v>
      </c>
    </row>
    <row r="227" spans="1:8">
      <c r="A227" s="1657">
        <v>24</v>
      </c>
      <c r="B227" s="1658">
        <v>3</v>
      </c>
      <c r="C227" s="1651" t="s">
        <v>385</v>
      </c>
      <c r="D227" s="1661">
        <v>176809264.28</v>
      </c>
      <c r="E227" s="1662">
        <v>161413342.28</v>
      </c>
      <c r="F227" s="1662">
        <v>15395922</v>
      </c>
      <c r="G227" s="1653">
        <v>91.3</v>
      </c>
      <c r="H227" s="1649">
        <v>8.6999999999999993</v>
      </c>
    </row>
    <row r="228" spans="1:8">
      <c r="A228" s="1657">
        <v>24</v>
      </c>
      <c r="B228" s="1658">
        <v>4</v>
      </c>
      <c r="C228" s="1651" t="s">
        <v>386</v>
      </c>
      <c r="D228" s="1661">
        <v>34786541.799999997</v>
      </c>
      <c r="E228" s="1662">
        <v>33161559.420000002</v>
      </c>
      <c r="F228" s="1662">
        <v>1624982.38</v>
      </c>
      <c r="G228" s="1653">
        <v>95.3</v>
      </c>
      <c r="H228" s="1649">
        <v>4.7</v>
      </c>
    </row>
    <row r="229" spans="1:8">
      <c r="A229" s="1657">
        <v>24</v>
      </c>
      <c r="B229" s="1658">
        <v>5</v>
      </c>
      <c r="C229" s="1651" t="s">
        <v>387</v>
      </c>
      <c r="D229" s="1661">
        <v>69594223.200000003</v>
      </c>
      <c r="E229" s="1662">
        <v>63033168.810000002</v>
      </c>
      <c r="F229" s="1662">
        <v>6561054.3899999997</v>
      </c>
      <c r="G229" s="1653">
        <v>90.6</v>
      </c>
      <c r="H229" s="1649">
        <v>9.4</v>
      </c>
    </row>
    <row r="230" spans="1:8">
      <c r="A230" s="1657">
        <v>24</v>
      </c>
      <c r="B230" s="1658">
        <v>6</v>
      </c>
      <c r="C230" s="1651" t="s">
        <v>388</v>
      </c>
      <c r="D230" s="1661">
        <v>47900441.649999999</v>
      </c>
      <c r="E230" s="1662">
        <v>44115532.350000001</v>
      </c>
      <c r="F230" s="1662">
        <v>3784909.3</v>
      </c>
      <c r="G230" s="1653">
        <v>92.1</v>
      </c>
      <c r="H230" s="1649">
        <v>7.9</v>
      </c>
    </row>
    <row r="231" spans="1:8">
      <c r="A231" s="1657">
        <v>24</v>
      </c>
      <c r="B231" s="1658">
        <v>7</v>
      </c>
      <c r="C231" s="1651" t="s">
        <v>389</v>
      </c>
      <c r="D231" s="1661">
        <v>68139946.439999998</v>
      </c>
      <c r="E231" s="1662">
        <v>67622167</v>
      </c>
      <c r="F231" s="1662">
        <v>517779.44</v>
      </c>
      <c r="G231" s="1653">
        <v>99.2</v>
      </c>
      <c r="H231" s="1649">
        <v>0.8</v>
      </c>
    </row>
    <row r="232" spans="1:8">
      <c r="A232" s="1657">
        <v>24</v>
      </c>
      <c r="B232" s="1658">
        <v>8</v>
      </c>
      <c r="C232" s="1651" t="s">
        <v>390</v>
      </c>
      <c r="D232" s="1661">
        <v>115844116.23</v>
      </c>
      <c r="E232" s="1662">
        <v>91862391.989999995</v>
      </c>
      <c r="F232" s="1662">
        <v>23981724.239999998</v>
      </c>
      <c r="G232" s="1653">
        <v>79.3</v>
      </c>
      <c r="H232" s="1649">
        <v>20.7</v>
      </c>
    </row>
    <row r="233" spans="1:8">
      <c r="A233" s="1657">
        <v>24</v>
      </c>
      <c r="B233" s="1658">
        <v>9</v>
      </c>
      <c r="C233" s="1651" t="s">
        <v>391</v>
      </c>
      <c r="D233" s="1661">
        <v>47299088.939999998</v>
      </c>
      <c r="E233" s="1662">
        <v>47144048.939999998</v>
      </c>
      <c r="F233" s="1662">
        <v>155040</v>
      </c>
      <c r="G233" s="1653">
        <v>99.7</v>
      </c>
      <c r="H233" s="1649">
        <v>0.3</v>
      </c>
    </row>
    <row r="234" spans="1:8">
      <c r="A234" s="1657">
        <v>24</v>
      </c>
      <c r="B234" s="1658">
        <v>10</v>
      </c>
      <c r="C234" s="1651" t="s">
        <v>392</v>
      </c>
      <c r="D234" s="1661">
        <v>94031140.469999999</v>
      </c>
      <c r="E234" s="1662">
        <v>85678009.069999993</v>
      </c>
      <c r="F234" s="1662">
        <v>8353131.4000000004</v>
      </c>
      <c r="G234" s="1653">
        <v>91.1</v>
      </c>
      <c r="H234" s="1649">
        <v>8.9</v>
      </c>
    </row>
    <row r="235" spans="1:8">
      <c r="A235" s="1657">
        <v>24</v>
      </c>
      <c r="B235" s="1658">
        <v>11</v>
      </c>
      <c r="C235" s="1651" t="s">
        <v>393</v>
      </c>
      <c r="D235" s="1661">
        <v>93542902.400000006</v>
      </c>
      <c r="E235" s="1662">
        <v>92264465.909999996</v>
      </c>
      <c r="F235" s="1662">
        <v>1278436.49</v>
      </c>
      <c r="G235" s="1653">
        <v>98.6</v>
      </c>
      <c r="H235" s="1649">
        <v>1.4</v>
      </c>
    </row>
    <row r="236" spans="1:8">
      <c r="A236" s="1657">
        <v>24</v>
      </c>
      <c r="B236" s="1658">
        <v>12</v>
      </c>
      <c r="C236" s="1651" t="s">
        <v>394</v>
      </c>
      <c r="D236" s="1661">
        <v>30249827.829999998</v>
      </c>
      <c r="E236" s="1662">
        <v>30204396.690000001</v>
      </c>
      <c r="F236" s="1662">
        <v>45431.14</v>
      </c>
      <c r="G236" s="1653">
        <v>99.8</v>
      </c>
      <c r="H236" s="1649">
        <v>0.2</v>
      </c>
    </row>
    <row r="237" spans="1:8">
      <c r="A237" s="1657">
        <v>24</v>
      </c>
      <c r="B237" s="1658">
        <v>13</v>
      </c>
      <c r="C237" s="1651" t="s">
        <v>395</v>
      </c>
      <c r="D237" s="1661">
        <v>172616935.40000001</v>
      </c>
      <c r="E237" s="1662">
        <v>168917832.25</v>
      </c>
      <c r="F237" s="1662">
        <v>3699103.15</v>
      </c>
      <c r="G237" s="1653">
        <v>97.9</v>
      </c>
      <c r="H237" s="1649">
        <v>2.1</v>
      </c>
    </row>
    <row r="238" spans="1:8">
      <c r="A238" s="1657">
        <v>24</v>
      </c>
      <c r="B238" s="1658">
        <v>14</v>
      </c>
      <c r="C238" s="1651" t="s">
        <v>396</v>
      </c>
      <c r="D238" s="1661">
        <v>36433816.439999998</v>
      </c>
      <c r="E238" s="1662">
        <v>35420150.060000002</v>
      </c>
      <c r="F238" s="1662">
        <v>1013666.38</v>
      </c>
      <c r="G238" s="1653">
        <v>97.2</v>
      </c>
      <c r="H238" s="1649">
        <v>2.8</v>
      </c>
    </row>
    <row r="239" spans="1:8">
      <c r="A239" s="1657">
        <v>24</v>
      </c>
      <c r="B239" s="1658">
        <v>15</v>
      </c>
      <c r="C239" s="1651" t="s">
        <v>397</v>
      </c>
      <c r="D239" s="1661">
        <v>167993999.77000001</v>
      </c>
      <c r="E239" s="1662">
        <v>140005428.03999999</v>
      </c>
      <c r="F239" s="1662">
        <v>27988571.73</v>
      </c>
      <c r="G239" s="1653">
        <v>83.3</v>
      </c>
      <c r="H239" s="1649">
        <v>16.7</v>
      </c>
    </row>
    <row r="240" spans="1:8">
      <c r="A240" s="1657">
        <v>24</v>
      </c>
      <c r="B240" s="1658">
        <v>16</v>
      </c>
      <c r="C240" s="1651" t="s">
        <v>398</v>
      </c>
      <c r="D240" s="1661">
        <v>93381379.180000007</v>
      </c>
      <c r="E240" s="1662">
        <v>92289849.870000005</v>
      </c>
      <c r="F240" s="1662">
        <v>1091529.31</v>
      </c>
      <c r="G240" s="1653">
        <v>98.8</v>
      </c>
      <c r="H240" s="1649">
        <v>1.2</v>
      </c>
    </row>
    <row r="241" spans="1:8">
      <c r="A241" s="1657">
        <v>24</v>
      </c>
      <c r="B241" s="1658">
        <v>17</v>
      </c>
      <c r="C241" s="1651" t="s">
        <v>399</v>
      </c>
      <c r="D241" s="1661">
        <v>167965913.71000001</v>
      </c>
      <c r="E241" s="1662">
        <v>165235748.16</v>
      </c>
      <c r="F241" s="1662">
        <v>2730165.55</v>
      </c>
      <c r="G241" s="1653">
        <v>98.4</v>
      </c>
      <c r="H241" s="1649">
        <v>1.6</v>
      </c>
    </row>
    <row r="242" spans="1:8">
      <c r="A242" s="1657">
        <v>26</v>
      </c>
      <c r="B242" s="1658">
        <v>1</v>
      </c>
      <c r="C242" s="1651" t="s">
        <v>400</v>
      </c>
      <c r="D242" s="1661">
        <v>75066773</v>
      </c>
      <c r="E242" s="1662">
        <v>74330136</v>
      </c>
      <c r="F242" s="1662">
        <v>736637</v>
      </c>
      <c r="G242" s="1653">
        <v>99</v>
      </c>
      <c r="H242" s="1649">
        <v>1</v>
      </c>
    </row>
    <row r="243" spans="1:8">
      <c r="A243" s="1657">
        <v>26</v>
      </c>
      <c r="B243" s="1658">
        <v>2</v>
      </c>
      <c r="C243" s="1651" t="s">
        <v>401</v>
      </c>
      <c r="D243" s="1661">
        <v>94414618.950000003</v>
      </c>
      <c r="E243" s="1662">
        <v>77065437.579999998</v>
      </c>
      <c r="F243" s="1662">
        <v>17349181.370000001</v>
      </c>
      <c r="G243" s="1653">
        <v>81.599999999999994</v>
      </c>
      <c r="H243" s="1649">
        <v>18.399999999999999</v>
      </c>
    </row>
    <row r="244" spans="1:8">
      <c r="A244" s="1657">
        <v>26</v>
      </c>
      <c r="B244" s="1658">
        <v>3</v>
      </c>
      <c r="C244" s="1651" t="s">
        <v>402</v>
      </c>
      <c r="D244" s="1661">
        <v>44622776.299999997</v>
      </c>
      <c r="E244" s="1662">
        <v>43958913.840000004</v>
      </c>
      <c r="F244" s="1662">
        <v>663862.46</v>
      </c>
      <c r="G244" s="1653">
        <v>98.5</v>
      </c>
      <c r="H244" s="1649">
        <v>1.5</v>
      </c>
    </row>
    <row r="245" spans="1:8">
      <c r="A245" s="1657">
        <v>26</v>
      </c>
      <c r="B245" s="1658">
        <v>4</v>
      </c>
      <c r="C245" s="1651" t="s">
        <v>403</v>
      </c>
      <c r="D245" s="1661">
        <v>75816688.780000001</v>
      </c>
      <c r="E245" s="1662">
        <v>53411365.289999999</v>
      </c>
      <c r="F245" s="1662">
        <v>22405323.489999998</v>
      </c>
      <c r="G245" s="1653">
        <v>70.400000000000006</v>
      </c>
      <c r="H245" s="1649">
        <v>29.6</v>
      </c>
    </row>
    <row r="246" spans="1:8">
      <c r="A246" s="1657">
        <v>26</v>
      </c>
      <c r="B246" s="1658">
        <v>5</v>
      </c>
      <c r="C246" s="1651" t="s">
        <v>404</v>
      </c>
      <c r="D246" s="1661">
        <v>78800251.310000002</v>
      </c>
      <c r="E246" s="1662">
        <v>78590999.010000005</v>
      </c>
      <c r="F246" s="1662">
        <v>209252.3</v>
      </c>
      <c r="G246" s="1653">
        <v>99.7</v>
      </c>
      <c r="H246" s="1649">
        <v>0.3</v>
      </c>
    </row>
    <row r="247" spans="1:8">
      <c r="A247" s="1657">
        <v>26</v>
      </c>
      <c r="B247" s="1658">
        <v>6</v>
      </c>
      <c r="C247" s="1651" t="s">
        <v>405</v>
      </c>
      <c r="D247" s="1661">
        <v>63167900.509999998</v>
      </c>
      <c r="E247" s="1662">
        <v>61553813.780000001</v>
      </c>
      <c r="F247" s="1662">
        <v>1614086.73</v>
      </c>
      <c r="G247" s="1653">
        <v>97.4</v>
      </c>
      <c r="H247" s="1649">
        <v>2.6</v>
      </c>
    </row>
    <row r="248" spans="1:8">
      <c r="A248" s="1657">
        <v>26</v>
      </c>
      <c r="B248" s="1658">
        <v>7</v>
      </c>
      <c r="C248" s="1651" t="s">
        <v>406</v>
      </c>
      <c r="D248" s="1661">
        <v>137997934.38</v>
      </c>
      <c r="E248" s="1662">
        <v>137346842.47999999</v>
      </c>
      <c r="F248" s="1662">
        <v>651091.9</v>
      </c>
      <c r="G248" s="1653">
        <v>99.5</v>
      </c>
      <c r="H248" s="1649">
        <v>0.5</v>
      </c>
    </row>
    <row r="249" spans="1:8">
      <c r="A249" s="1657">
        <v>26</v>
      </c>
      <c r="B249" s="1658">
        <v>8</v>
      </c>
      <c r="C249" s="1651" t="s">
        <v>407</v>
      </c>
      <c r="D249" s="1661">
        <v>42745748.670000002</v>
      </c>
      <c r="E249" s="1662">
        <v>42695074.630000003</v>
      </c>
      <c r="F249" s="1662">
        <v>50674.04</v>
      </c>
      <c r="G249" s="1653">
        <v>99.9</v>
      </c>
      <c r="H249" s="1649">
        <v>0.1</v>
      </c>
    </row>
    <row r="250" spans="1:8">
      <c r="A250" s="1657">
        <v>26</v>
      </c>
      <c r="B250" s="1658">
        <v>9</v>
      </c>
      <c r="C250" s="1651" t="s">
        <v>408</v>
      </c>
      <c r="D250" s="1661">
        <v>79326075.420000002</v>
      </c>
      <c r="E250" s="1662">
        <v>78123288.180000007</v>
      </c>
      <c r="F250" s="1662">
        <v>1202787.24</v>
      </c>
      <c r="G250" s="1653">
        <v>98.5</v>
      </c>
      <c r="H250" s="1649">
        <v>1.5</v>
      </c>
    </row>
    <row r="251" spans="1:8">
      <c r="A251" s="1657">
        <v>26</v>
      </c>
      <c r="B251" s="1658">
        <v>10</v>
      </c>
      <c r="C251" s="1651" t="s">
        <v>409</v>
      </c>
      <c r="D251" s="1661">
        <v>107562834.56999999</v>
      </c>
      <c r="E251" s="1662">
        <v>101684834.01000001</v>
      </c>
      <c r="F251" s="1662">
        <v>5878000.5599999996</v>
      </c>
      <c r="G251" s="1653">
        <v>94.5</v>
      </c>
      <c r="H251" s="1649">
        <v>5.5</v>
      </c>
    </row>
    <row r="252" spans="1:8">
      <c r="A252" s="1657">
        <v>26</v>
      </c>
      <c r="B252" s="1658">
        <v>11</v>
      </c>
      <c r="C252" s="1651" t="s">
        <v>410</v>
      </c>
      <c r="D252" s="1661">
        <v>84170236.959999993</v>
      </c>
      <c r="E252" s="1662">
        <v>83401537.569999993</v>
      </c>
      <c r="F252" s="1662">
        <v>768699.39</v>
      </c>
      <c r="G252" s="1653">
        <v>99.1</v>
      </c>
      <c r="H252" s="1649">
        <v>0.9</v>
      </c>
    </row>
    <row r="253" spans="1:8">
      <c r="A253" s="1657">
        <v>26</v>
      </c>
      <c r="B253" s="1658">
        <v>12</v>
      </c>
      <c r="C253" s="1651" t="s">
        <v>411</v>
      </c>
      <c r="D253" s="1661">
        <v>81108058.010000005</v>
      </c>
      <c r="E253" s="1662">
        <v>65421210.850000001</v>
      </c>
      <c r="F253" s="1662">
        <v>15686847.16</v>
      </c>
      <c r="G253" s="1653">
        <v>80.7</v>
      </c>
      <c r="H253" s="1649">
        <v>19.3</v>
      </c>
    </row>
    <row r="254" spans="1:8">
      <c r="A254" s="1657">
        <v>26</v>
      </c>
      <c r="B254" s="1658">
        <v>13</v>
      </c>
      <c r="C254" s="1651" t="s">
        <v>412</v>
      </c>
      <c r="D254" s="1661">
        <v>45047101.369999997</v>
      </c>
      <c r="E254" s="1662">
        <v>43544948.789999999</v>
      </c>
      <c r="F254" s="1662">
        <v>1502152.58</v>
      </c>
      <c r="G254" s="1653">
        <v>96.7</v>
      </c>
      <c r="H254" s="1649">
        <v>3.3</v>
      </c>
    </row>
    <row r="255" spans="1:8">
      <c r="A255" s="1657">
        <v>28</v>
      </c>
      <c r="B255" s="1658">
        <v>1</v>
      </c>
      <c r="C255" s="1651" t="s">
        <v>413</v>
      </c>
      <c r="D255" s="1661">
        <v>64356590.469999999</v>
      </c>
      <c r="E255" s="1662">
        <v>56291615</v>
      </c>
      <c r="F255" s="1662">
        <v>8064975.4699999997</v>
      </c>
      <c r="G255" s="1653">
        <v>87.5</v>
      </c>
      <c r="H255" s="1649">
        <v>12.5</v>
      </c>
    </row>
    <row r="256" spans="1:8">
      <c r="A256" s="1657">
        <v>28</v>
      </c>
      <c r="B256" s="1658">
        <v>2</v>
      </c>
      <c r="C256" s="1651" t="s">
        <v>414</v>
      </c>
      <c r="D256" s="1661">
        <v>32409900.949999999</v>
      </c>
      <c r="E256" s="1662">
        <v>32141198.289999999</v>
      </c>
      <c r="F256" s="1662">
        <v>268702.65999999997</v>
      </c>
      <c r="G256" s="1653">
        <v>99.2</v>
      </c>
      <c r="H256" s="1649">
        <v>0.8</v>
      </c>
    </row>
    <row r="257" spans="1:8">
      <c r="A257" s="1657">
        <v>28</v>
      </c>
      <c r="B257" s="1658">
        <v>3</v>
      </c>
      <c r="C257" s="1651" t="s">
        <v>415</v>
      </c>
      <c r="D257" s="1661">
        <v>70436554.739999995</v>
      </c>
      <c r="E257" s="1662">
        <v>61961070.329999998</v>
      </c>
      <c r="F257" s="1662">
        <v>8475484.4100000001</v>
      </c>
      <c r="G257" s="1653">
        <v>88</v>
      </c>
      <c r="H257" s="1649">
        <v>12</v>
      </c>
    </row>
    <row r="258" spans="1:8">
      <c r="A258" s="1657">
        <v>28</v>
      </c>
      <c r="B258" s="1658">
        <v>4</v>
      </c>
      <c r="C258" s="1651" t="s">
        <v>416</v>
      </c>
      <c r="D258" s="1661">
        <v>33330511.75</v>
      </c>
      <c r="E258" s="1662">
        <v>27828598.890000001</v>
      </c>
      <c r="F258" s="1662">
        <v>5501912.8600000003</v>
      </c>
      <c r="G258" s="1653">
        <v>83.5</v>
      </c>
      <c r="H258" s="1649">
        <v>16.5</v>
      </c>
    </row>
    <row r="259" spans="1:8">
      <c r="A259" s="1657">
        <v>28</v>
      </c>
      <c r="B259" s="1658">
        <v>5</v>
      </c>
      <c r="C259" s="1651" t="s">
        <v>417</v>
      </c>
      <c r="D259" s="1661">
        <v>142451000.40000001</v>
      </c>
      <c r="E259" s="1662">
        <v>126145625.59</v>
      </c>
      <c r="F259" s="1662">
        <v>16305374.810000001</v>
      </c>
      <c r="G259" s="1653">
        <v>88.6</v>
      </c>
      <c r="H259" s="1649">
        <v>11.4</v>
      </c>
    </row>
    <row r="260" spans="1:8">
      <c r="A260" s="1657">
        <v>28</v>
      </c>
      <c r="B260" s="1658">
        <v>6</v>
      </c>
      <c r="C260" s="1651" t="s">
        <v>418</v>
      </c>
      <c r="D260" s="1661">
        <v>73637587.829999998</v>
      </c>
      <c r="E260" s="1662">
        <v>72687204.810000002</v>
      </c>
      <c r="F260" s="1662">
        <v>950383.02</v>
      </c>
      <c r="G260" s="1653">
        <v>98.7</v>
      </c>
      <c r="H260" s="1649">
        <v>1.3</v>
      </c>
    </row>
    <row r="261" spans="1:8">
      <c r="A261" s="1657">
        <v>28</v>
      </c>
      <c r="B261" s="1658">
        <v>7</v>
      </c>
      <c r="C261" s="1651" t="s">
        <v>419</v>
      </c>
      <c r="D261" s="1661">
        <v>105738337.59</v>
      </c>
      <c r="E261" s="1662">
        <v>105518707.59999999</v>
      </c>
      <c r="F261" s="1662">
        <v>219629.99</v>
      </c>
      <c r="G261" s="1653">
        <v>99.8</v>
      </c>
      <c r="H261" s="1649">
        <v>0.2</v>
      </c>
    </row>
    <row r="262" spans="1:8">
      <c r="A262" s="1657">
        <v>28</v>
      </c>
      <c r="B262" s="1658">
        <v>8</v>
      </c>
      <c r="C262" s="1651" t="s">
        <v>420</v>
      </c>
      <c r="D262" s="1661">
        <v>67476458.549999997</v>
      </c>
      <c r="E262" s="1662">
        <v>59425431.719999999</v>
      </c>
      <c r="F262" s="1662">
        <v>8051026.8300000001</v>
      </c>
      <c r="G262" s="1653">
        <v>88.1</v>
      </c>
      <c r="H262" s="1649">
        <v>11.9</v>
      </c>
    </row>
    <row r="263" spans="1:8">
      <c r="A263" s="1657">
        <v>28</v>
      </c>
      <c r="B263" s="1658">
        <v>9</v>
      </c>
      <c r="C263" s="1651" t="s">
        <v>421</v>
      </c>
      <c r="D263" s="1661">
        <v>43366573.990000002</v>
      </c>
      <c r="E263" s="1662">
        <v>43127966.740000002</v>
      </c>
      <c r="F263" s="1662">
        <v>238607.25</v>
      </c>
      <c r="G263" s="1653">
        <v>99.4</v>
      </c>
      <c r="H263" s="1649">
        <v>0.6</v>
      </c>
    </row>
    <row r="264" spans="1:8">
      <c r="A264" s="1657">
        <v>28</v>
      </c>
      <c r="B264" s="1658">
        <v>10</v>
      </c>
      <c r="C264" s="1651" t="s">
        <v>422</v>
      </c>
      <c r="D264" s="1661">
        <v>50601015.090000004</v>
      </c>
      <c r="E264" s="1662">
        <v>42270104.579999998</v>
      </c>
      <c r="F264" s="1662">
        <v>8330910.5099999998</v>
      </c>
      <c r="G264" s="1653">
        <v>83.5</v>
      </c>
      <c r="H264" s="1649">
        <v>16.5</v>
      </c>
    </row>
    <row r="265" spans="1:8">
      <c r="A265" s="1657">
        <v>28</v>
      </c>
      <c r="B265" s="1658">
        <v>11</v>
      </c>
      <c r="C265" s="1651" t="s">
        <v>423</v>
      </c>
      <c r="D265" s="1661">
        <v>39990028.700000003</v>
      </c>
      <c r="E265" s="1662">
        <v>39888556.200000003</v>
      </c>
      <c r="F265" s="1662">
        <v>101472.5</v>
      </c>
      <c r="G265" s="1653">
        <v>99.7</v>
      </c>
      <c r="H265" s="1649">
        <v>0.3</v>
      </c>
    </row>
    <row r="266" spans="1:8">
      <c r="A266" s="1657">
        <v>28</v>
      </c>
      <c r="B266" s="1658">
        <v>12</v>
      </c>
      <c r="C266" s="1651" t="s">
        <v>424</v>
      </c>
      <c r="D266" s="1661">
        <v>32621328.879999999</v>
      </c>
      <c r="E266" s="1662">
        <v>32242585.879999999</v>
      </c>
      <c r="F266" s="1662">
        <v>378743</v>
      </c>
      <c r="G266" s="1653">
        <v>98.8</v>
      </c>
      <c r="H266" s="1649">
        <v>1.2</v>
      </c>
    </row>
    <row r="267" spans="1:8">
      <c r="A267" s="1657">
        <v>28</v>
      </c>
      <c r="B267" s="1658">
        <v>13</v>
      </c>
      <c r="C267" s="1651" t="s">
        <v>425</v>
      </c>
      <c r="D267" s="1661">
        <v>44290513.899999999</v>
      </c>
      <c r="E267" s="1662">
        <v>42138820.270000003</v>
      </c>
      <c r="F267" s="1662">
        <v>2151693.63</v>
      </c>
      <c r="G267" s="1653">
        <v>95.1</v>
      </c>
      <c r="H267" s="1649">
        <v>4.9000000000000004</v>
      </c>
    </row>
    <row r="268" spans="1:8">
      <c r="A268" s="1657">
        <v>28</v>
      </c>
      <c r="B268" s="1658">
        <v>14</v>
      </c>
      <c r="C268" s="1651" t="s">
        <v>426</v>
      </c>
      <c r="D268" s="1661">
        <v>66991959.390000001</v>
      </c>
      <c r="E268" s="1662">
        <v>66487890.57</v>
      </c>
      <c r="F268" s="1662">
        <v>504068.82</v>
      </c>
      <c r="G268" s="1653">
        <v>99.2</v>
      </c>
      <c r="H268" s="1649">
        <v>0.8</v>
      </c>
    </row>
    <row r="269" spans="1:8">
      <c r="A269" s="1657">
        <v>28</v>
      </c>
      <c r="B269" s="1658">
        <v>15</v>
      </c>
      <c r="C269" s="1651" t="s">
        <v>427</v>
      </c>
      <c r="D269" s="1661">
        <v>132614465.61</v>
      </c>
      <c r="E269" s="1662">
        <v>131730475.03</v>
      </c>
      <c r="F269" s="1662">
        <v>883990.58</v>
      </c>
      <c r="G269" s="1653">
        <v>99.3</v>
      </c>
      <c r="H269" s="1649">
        <v>0.7</v>
      </c>
    </row>
    <row r="270" spans="1:8">
      <c r="A270" s="1657">
        <v>28</v>
      </c>
      <c r="B270" s="1658">
        <v>16</v>
      </c>
      <c r="C270" s="1651" t="s">
        <v>428</v>
      </c>
      <c r="D270" s="1661">
        <v>55456125.030000001</v>
      </c>
      <c r="E270" s="1662">
        <v>55168196.280000001</v>
      </c>
      <c r="F270" s="1662">
        <v>287928.75</v>
      </c>
      <c r="G270" s="1653">
        <v>99.5</v>
      </c>
      <c r="H270" s="1649">
        <v>0.5</v>
      </c>
    </row>
    <row r="271" spans="1:8">
      <c r="A271" s="1657">
        <v>28</v>
      </c>
      <c r="B271" s="1658">
        <v>17</v>
      </c>
      <c r="C271" s="1651" t="s">
        <v>429</v>
      </c>
      <c r="D271" s="1661">
        <v>60543399.729999997</v>
      </c>
      <c r="E271" s="1662">
        <v>59361137.479999997</v>
      </c>
      <c r="F271" s="1662">
        <v>1182262.25</v>
      </c>
      <c r="G271" s="1653">
        <v>98</v>
      </c>
      <c r="H271" s="1649">
        <v>2</v>
      </c>
    </row>
    <row r="272" spans="1:8">
      <c r="A272" s="1657">
        <v>28</v>
      </c>
      <c r="B272" s="1658">
        <v>18</v>
      </c>
      <c r="C272" s="1651" t="s">
        <v>430</v>
      </c>
      <c r="D272" s="1661">
        <v>27151149.66</v>
      </c>
      <c r="E272" s="1662">
        <v>27151149.66</v>
      </c>
      <c r="F272" s="1662">
        <v>0</v>
      </c>
      <c r="G272" s="1653">
        <v>100</v>
      </c>
      <c r="H272" s="1649">
        <v>0</v>
      </c>
    </row>
    <row r="273" spans="1:8">
      <c r="A273" s="1657">
        <v>28</v>
      </c>
      <c r="B273" s="1658">
        <v>19</v>
      </c>
      <c r="C273" s="1651" t="s">
        <v>431</v>
      </c>
      <c r="D273" s="1661">
        <v>24143497.239999998</v>
      </c>
      <c r="E273" s="1662">
        <v>24143497.239999998</v>
      </c>
      <c r="F273" s="1662">
        <v>0</v>
      </c>
      <c r="G273" s="1653">
        <v>100</v>
      </c>
      <c r="H273" s="1649">
        <v>0</v>
      </c>
    </row>
    <row r="274" spans="1:8">
      <c r="A274" s="1657">
        <v>30</v>
      </c>
      <c r="B274" s="1658">
        <v>1</v>
      </c>
      <c r="C274" s="1651" t="s">
        <v>432</v>
      </c>
      <c r="D274" s="1661">
        <v>48855107.390000001</v>
      </c>
      <c r="E274" s="1662">
        <v>45563688.640000001</v>
      </c>
      <c r="F274" s="1662">
        <v>3291418.75</v>
      </c>
      <c r="G274" s="1653">
        <v>93.3</v>
      </c>
      <c r="H274" s="1649">
        <v>6.7</v>
      </c>
    </row>
    <row r="275" spans="1:8">
      <c r="A275" s="1657">
        <v>30</v>
      </c>
      <c r="B275" s="1658">
        <v>2</v>
      </c>
      <c r="C275" s="1651" t="s">
        <v>433</v>
      </c>
      <c r="D275" s="1661">
        <v>87453684.400000006</v>
      </c>
      <c r="E275" s="1662">
        <v>85556189.930000007</v>
      </c>
      <c r="F275" s="1662">
        <v>1897494.47</v>
      </c>
      <c r="G275" s="1653">
        <v>97.8</v>
      </c>
      <c r="H275" s="1649">
        <v>2.2000000000000002</v>
      </c>
    </row>
    <row r="276" spans="1:8">
      <c r="A276" s="1657">
        <v>30</v>
      </c>
      <c r="B276" s="1658">
        <v>3</v>
      </c>
      <c r="C276" s="1651" t="s">
        <v>434</v>
      </c>
      <c r="D276" s="1661">
        <v>178958002.91999999</v>
      </c>
      <c r="E276" s="1662">
        <v>171437638.06</v>
      </c>
      <c r="F276" s="1662">
        <v>7520364.8600000003</v>
      </c>
      <c r="G276" s="1653">
        <v>95.8</v>
      </c>
      <c r="H276" s="1649">
        <v>4.2</v>
      </c>
    </row>
    <row r="277" spans="1:8">
      <c r="A277" s="1657">
        <v>30</v>
      </c>
      <c r="B277" s="1658">
        <v>4</v>
      </c>
      <c r="C277" s="1651" t="s">
        <v>435</v>
      </c>
      <c r="D277" s="1661">
        <v>57000361.280000001</v>
      </c>
      <c r="E277" s="1662">
        <v>56855687.799999997</v>
      </c>
      <c r="F277" s="1662">
        <v>144673.48000000001</v>
      </c>
      <c r="G277" s="1653">
        <v>99.7</v>
      </c>
      <c r="H277" s="1649">
        <v>0.3</v>
      </c>
    </row>
    <row r="278" spans="1:8">
      <c r="A278" s="1657">
        <v>30</v>
      </c>
      <c r="B278" s="1658">
        <v>5</v>
      </c>
      <c r="C278" s="1651" t="s">
        <v>293</v>
      </c>
      <c r="D278" s="1661">
        <v>64810362.259999998</v>
      </c>
      <c r="E278" s="1662">
        <v>36422434.369999997</v>
      </c>
      <c r="F278" s="1662">
        <v>28387927.890000001</v>
      </c>
      <c r="G278" s="1653">
        <v>56.2</v>
      </c>
      <c r="H278" s="1649">
        <v>43.8</v>
      </c>
    </row>
    <row r="279" spans="1:8">
      <c r="A279" s="1657">
        <v>30</v>
      </c>
      <c r="B279" s="1658">
        <v>6</v>
      </c>
      <c r="C279" s="1651" t="s">
        <v>436</v>
      </c>
      <c r="D279" s="1661">
        <v>78871172.109999999</v>
      </c>
      <c r="E279" s="1662">
        <v>74245924.069999993</v>
      </c>
      <c r="F279" s="1662">
        <v>4625248.04</v>
      </c>
      <c r="G279" s="1653">
        <v>94.1</v>
      </c>
      <c r="H279" s="1649">
        <v>5.9</v>
      </c>
    </row>
    <row r="280" spans="1:8">
      <c r="A280" s="1657">
        <v>30</v>
      </c>
      <c r="B280" s="1658">
        <v>7</v>
      </c>
      <c r="C280" s="1651" t="s">
        <v>437</v>
      </c>
      <c r="D280" s="1661">
        <v>34499450.049999997</v>
      </c>
      <c r="E280" s="1662">
        <v>28401282.079999998</v>
      </c>
      <c r="F280" s="1662">
        <v>6098167.9699999997</v>
      </c>
      <c r="G280" s="1653">
        <v>82.3</v>
      </c>
      <c r="H280" s="1649">
        <v>17.7</v>
      </c>
    </row>
    <row r="281" spans="1:8">
      <c r="A281" s="1657">
        <v>30</v>
      </c>
      <c r="B281" s="1658">
        <v>8</v>
      </c>
      <c r="C281" s="1651" t="s">
        <v>438</v>
      </c>
      <c r="D281" s="1661">
        <v>47924659.659999996</v>
      </c>
      <c r="E281" s="1662">
        <v>47425468.159999996</v>
      </c>
      <c r="F281" s="1662">
        <v>499191.5</v>
      </c>
      <c r="G281" s="1653">
        <v>99</v>
      </c>
      <c r="H281" s="1649">
        <v>1</v>
      </c>
    </row>
    <row r="282" spans="1:8">
      <c r="A282" s="1657">
        <v>30</v>
      </c>
      <c r="B282" s="1658">
        <v>9</v>
      </c>
      <c r="C282" s="1651" t="s">
        <v>439</v>
      </c>
      <c r="D282" s="1661">
        <v>77083148.689999998</v>
      </c>
      <c r="E282" s="1662">
        <v>74515626.109999999</v>
      </c>
      <c r="F282" s="1662">
        <v>2567522.58</v>
      </c>
      <c r="G282" s="1653">
        <v>96.7</v>
      </c>
      <c r="H282" s="1649">
        <v>3.3</v>
      </c>
    </row>
    <row r="283" spans="1:8">
      <c r="A283" s="1657">
        <v>30</v>
      </c>
      <c r="B283" s="1658">
        <v>10</v>
      </c>
      <c r="C283" s="1651" t="s">
        <v>440</v>
      </c>
      <c r="D283" s="1661">
        <v>64480742.229999997</v>
      </c>
      <c r="E283" s="1662">
        <v>61685830.310000002</v>
      </c>
      <c r="F283" s="1662">
        <v>2794911.92</v>
      </c>
      <c r="G283" s="1653">
        <v>95.7</v>
      </c>
      <c r="H283" s="1649">
        <v>4.3</v>
      </c>
    </row>
    <row r="284" spans="1:8">
      <c r="A284" s="1657">
        <v>30</v>
      </c>
      <c r="B284" s="1658">
        <v>11</v>
      </c>
      <c r="C284" s="1651" t="s">
        <v>441</v>
      </c>
      <c r="D284" s="1661">
        <v>59577532.25</v>
      </c>
      <c r="E284" s="1662">
        <v>56576725.969999999</v>
      </c>
      <c r="F284" s="1662">
        <v>3000806.28</v>
      </c>
      <c r="G284" s="1653">
        <v>95</v>
      </c>
      <c r="H284" s="1649">
        <v>5</v>
      </c>
    </row>
    <row r="285" spans="1:8">
      <c r="A285" s="1657">
        <v>30</v>
      </c>
      <c r="B285" s="1658">
        <v>12</v>
      </c>
      <c r="C285" s="1651" t="s">
        <v>442</v>
      </c>
      <c r="D285" s="1661">
        <v>95020766.469999999</v>
      </c>
      <c r="E285" s="1662">
        <v>88246642.560000002</v>
      </c>
      <c r="F285" s="1662">
        <v>6774123.9100000001</v>
      </c>
      <c r="G285" s="1653">
        <v>92.9</v>
      </c>
      <c r="H285" s="1649">
        <v>7.1</v>
      </c>
    </row>
    <row r="286" spans="1:8">
      <c r="A286" s="1657">
        <v>30</v>
      </c>
      <c r="B286" s="1658">
        <v>13</v>
      </c>
      <c r="C286" s="1651" t="s">
        <v>443</v>
      </c>
      <c r="D286" s="1661">
        <v>31751471.969999999</v>
      </c>
      <c r="E286" s="1662">
        <v>25726886.890000001</v>
      </c>
      <c r="F286" s="1662">
        <v>6024585.0800000001</v>
      </c>
      <c r="G286" s="1653">
        <v>81</v>
      </c>
      <c r="H286" s="1649">
        <v>19</v>
      </c>
    </row>
    <row r="287" spans="1:8">
      <c r="A287" s="1657">
        <v>30</v>
      </c>
      <c r="B287" s="1658">
        <v>14</v>
      </c>
      <c r="C287" s="1651" t="s">
        <v>444</v>
      </c>
      <c r="D287" s="1661">
        <v>31007841.149999999</v>
      </c>
      <c r="E287" s="1662">
        <v>27525050.59</v>
      </c>
      <c r="F287" s="1662">
        <v>3482790.56</v>
      </c>
      <c r="G287" s="1653">
        <v>88.8</v>
      </c>
      <c r="H287" s="1649">
        <v>11.2</v>
      </c>
    </row>
    <row r="288" spans="1:8">
      <c r="A288" s="1657">
        <v>30</v>
      </c>
      <c r="B288" s="1658">
        <v>15</v>
      </c>
      <c r="C288" s="1651" t="s">
        <v>445</v>
      </c>
      <c r="D288" s="1661">
        <v>72062925.329999998</v>
      </c>
      <c r="E288" s="1662">
        <v>66712503.020000003</v>
      </c>
      <c r="F288" s="1662">
        <v>5350422.3099999996</v>
      </c>
      <c r="G288" s="1653">
        <v>92.6</v>
      </c>
      <c r="H288" s="1649">
        <v>7.4</v>
      </c>
    </row>
    <row r="289" spans="1:8">
      <c r="A289" s="1657">
        <v>30</v>
      </c>
      <c r="B289" s="1658">
        <v>16</v>
      </c>
      <c r="C289" s="1651" t="s">
        <v>446</v>
      </c>
      <c r="D289" s="1661">
        <v>44385326.490000002</v>
      </c>
      <c r="E289" s="1662">
        <v>42937921.619999997</v>
      </c>
      <c r="F289" s="1662">
        <v>1447404.87</v>
      </c>
      <c r="G289" s="1653">
        <v>96.7</v>
      </c>
      <c r="H289" s="1649">
        <v>3.3</v>
      </c>
    </row>
    <row r="290" spans="1:8">
      <c r="A290" s="1657">
        <v>30</v>
      </c>
      <c r="B290" s="1658">
        <v>17</v>
      </c>
      <c r="C290" s="1651" t="s">
        <v>304</v>
      </c>
      <c r="D290" s="1661">
        <v>174768910.86000001</v>
      </c>
      <c r="E290" s="1662">
        <v>169113956.08000001</v>
      </c>
      <c r="F290" s="1662">
        <v>5654954.7800000003</v>
      </c>
      <c r="G290" s="1653">
        <v>96.8</v>
      </c>
      <c r="H290" s="1649">
        <v>3.2</v>
      </c>
    </row>
    <row r="291" spans="1:8">
      <c r="A291" s="1657">
        <v>30</v>
      </c>
      <c r="B291" s="1658">
        <v>18</v>
      </c>
      <c r="C291" s="1651" t="s">
        <v>447</v>
      </c>
      <c r="D291" s="1661">
        <v>49804257.969999999</v>
      </c>
      <c r="E291" s="1662">
        <v>49804257.969999999</v>
      </c>
      <c r="F291" s="1662">
        <v>0</v>
      </c>
      <c r="G291" s="1653">
        <v>100</v>
      </c>
      <c r="H291" s="1649">
        <v>0</v>
      </c>
    </row>
    <row r="292" spans="1:8">
      <c r="A292" s="1657">
        <v>30</v>
      </c>
      <c r="B292" s="1658">
        <v>19</v>
      </c>
      <c r="C292" s="1651" t="s">
        <v>448</v>
      </c>
      <c r="D292" s="1661">
        <v>169849427.06</v>
      </c>
      <c r="E292" s="1662">
        <v>162030063.44999999</v>
      </c>
      <c r="F292" s="1662">
        <v>7819363.6100000003</v>
      </c>
      <c r="G292" s="1653">
        <v>95.4</v>
      </c>
      <c r="H292" s="1649">
        <v>4.5999999999999996</v>
      </c>
    </row>
    <row r="293" spans="1:8">
      <c r="A293" s="1657">
        <v>30</v>
      </c>
      <c r="B293" s="1658">
        <v>20</v>
      </c>
      <c r="C293" s="1651" t="s">
        <v>449</v>
      </c>
      <c r="D293" s="1661">
        <v>61034814.920000002</v>
      </c>
      <c r="E293" s="1662">
        <v>49128196.990000002</v>
      </c>
      <c r="F293" s="1662">
        <v>11906617.93</v>
      </c>
      <c r="G293" s="1653">
        <v>80.5</v>
      </c>
      <c r="H293" s="1649">
        <v>19.5</v>
      </c>
    </row>
    <row r="294" spans="1:8">
      <c r="A294" s="1657">
        <v>30</v>
      </c>
      <c r="B294" s="1658">
        <v>21</v>
      </c>
      <c r="C294" s="1651" t="s">
        <v>450</v>
      </c>
      <c r="D294" s="1661">
        <v>191630472.44999999</v>
      </c>
      <c r="E294" s="1662">
        <v>175168701.88999999</v>
      </c>
      <c r="F294" s="1662">
        <v>16461770.560000001</v>
      </c>
      <c r="G294" s="1653">
        <v>91.4</v>
      </c>
      <c r="H294" s="1649">
        <v>8.6</v>
      </c>
    </row>
    <row r="295" spans="1:8">
      <c r="A295" s="1657">
        <v>30</v>
      </c>
      <c r="B295" s="1658">
        <v>22</v>
      </c>
      <c r="C295" s="1651" t="s">
        <v>451</v>
      </c>
      <c r="D295" s="1661">
        <v>45025674.810000002</v>
      </c>
      <c r="E295" s="1662">
        <v>40943866.310000002</v>
      </c>
      <c r="F295" s="1662">
        <v>4081808.5</v>
      </c>
      <c r="G295" s="1653">
        <v>90.9</v>
      </c>
      <c r="H295" s="1649">
        <v>9.1</v>
      </c>
    </row>
    <row r="296" spans="1:8">
      <c r="A296" s="1657">
        <v>30</v>
      </c>
      <c r="B296" s="1658">
        <v>23</v>
      </c>
      <c r="C296" s="1651" t="s">
        <v>452</v>
      </c>
      <c r="D296" s="1661">
        <v>57097376.240000002</v>
      </c>
      <c r="E296" s="1662">
        <v>54766497.18</v>
      </c>
      <c r="F296" s="1662">
        <v>2330879.06</v>
      </c>
      <c r="G296" s="1653">
        <v>95.9</v>
      </c>
      <c r="H296" s="1649">
        <v>4.0999999999999996</v>
      </c>
    </row>
    <row r="297" spans="1:8">
      <c r="A297" s="1657">
        <v>30</v>
      </c>
      <c r="B297" s="1658">
        <v>24</v>
      </c>
      <c r="C297" s="1651" t="s">
        <v>453</v>
      </c>
      <c r="D297" s="1661">
        <v>79063499.469999999</v>
      </c>
      <c r="E297" s="1662">
        <v>73731027.689999998</v>
      </c>
      <c r="F297" s="1662">
        <v>5332471.78</v>
      </c>
      <c r="G297" s="1653">
        <v>93.3</v>
      </c>
      <c r="H297" s="1649">
        <v>6.7</v>
      </c>
    </row>
    <row r="298" spans="1:8">
      <c r="A298" s="1657">
        <v>30</v>
      </c>
      <c r="B298" s="1658">
        <v>25</v>
      </c>
      <c r="C298" s="1651" t="s">
        <v>191</v>
      </c>
      <c r="D298" s="1661">
        <v>57531358.270000003</v>
      </c>
      <c r="E298" s="1662">
        <v>51410943.25</v>
      </c>
      <c r="F298" s="1662">
        <v>6120415.0199999996</v>
      </c>
      <c r="G298" s="1653">
        <v>89.4</v>
      </c>
      <c r="H298" s="1649">
        <v>10.6</v>
      </c>
    </row>
    <row r="299" spans="1:8">
      <c r="A299" s="1657">
        <v>30</v>
      </c>
      <c r="B299" s="1658">
        <v>26</v>
      </c>
      <c r="C299" s="1651" t="s">
        <v>454</v>
      </c>
      <c r="D299" s="1661">
        <v>63435672.380000003</v>
      </c>
      <c r="E299" s="1662">
        <v>59611708.229999997</v>
      </c>
      <c r="F299" s="1662">
        <v>3823964.15</v>
      </c>
      <c r="G299" s="1653">
        <v>94</v>
      </c>
      <c r="H299" s="1649">
        <v>6</v>
      </c>
    </row>
    <row r="300" spans="1:8">
      <c r="A300" s="1657">
        <v>30</v>
      </c>
      <c r="B300" s="1658">
        <v>27</v>
      </c>
      <c r="C300" s="1651" t="s">
        <v>455</v>
      </c>
      <c r="D300" s="1661">
        <v>84435266.900000006</v>
      </c>
      <c r="E300" s="1662">
        <v>81309378.189999998</v>
      </c>
      <c r="F300" s="1662">
        <v>3125888.71</v>
      </c>
      <c r="G300" s="1653">
        <v>96.3</v>
      </c>
      <c r="H300" s="1649">
        <v>3.7</v>
      </c>
    </row>
    <row r="301" spans="1:8">
      <c r="A301" s="1657">
        <v>30</v>
      </c>
      <c r="B301" s="1658">
        <v>28</v>
      </c>
      <c r="C301" s="1651" t="s">
        <v>456</v>
      </c>
      <c r="D301" s="1661">
        <v>85745227.900000006</v>
      </c>
      <c r="E301" s="1662">
        <v>85709959.409999996</v>
      </c>
      <c r="F301" s="1662">
        <v>35268.49</v>
      </c>
      <c r="G301" s="1653">
        <v>100</v>
      </c>
      <c r="H301" s="1649">
        <v>0</v>
      </c>
    </row>
    <row r="302" spans="1:8">
      <c r="A302" s="1657">
        <v>30</v>
      </c>
      <c r="B302" s="1658">
        <v>29</v>
      </c>
      <c r="C302" s="1651" t="s">
        <v>457</v>
      </c>
      <c r="D302" s="1661">
        <v>68461588.870000005</v>
      </c>
      <c r="E302" s="1662">
        <v>67124074.280000001</v>
      </c>
      <c r="F302" s="1662">
        <v>1337514.5900000001</v>
      </c>
      <c r="G302" s="1653">
        <v>98</v>
      </c>
      <c r="H302" s="1649">
        <v>2</v>
      </c>
    </row>
    <row r="303" spans="1:8">
      <c r="A303" s="1657">
        <v>30</v>
      </c>
      <c r="B303" s="1658">
        <v>30</v>
      </c>
      <c r="C303" s="1651" t="s">
        <v>458</v>
      </c>
      <c r="D303" s="1661">
        <v>78776046.920000002</v>
      </c>
      <c r="E303" s="1662">
        <v>78058909.049999997</v>
      </c>
      <c r="F303" s="1662">
        <v>717137.87</v>
      </c>
      <c r="G303" s="1653">
        <v>99.1</v>
      </c>
      <c r="H303" s="1649">
        <v>0.9</v>
      </c>
    </row>
    <row r="304" spans="1:8">
      <c r="A304" s="1657">
        <v>30</v>
      </c>
      <c r="B304" s="1658">
        <v>31</v>
      </c>
      <c r="C304" s="1651" t="s">
        <v>459</v>
      </c>
      <c r="D304" s="1661">
        <v>63917036.229999997</v>
      </c>
      <c r="E304" s="1662">
        <v>63399995.460000001</v>
      </c>
      <c r="F304" s="1662">
        <v>517040.77</v>
      </c>
      <c r="G304" s="1653">
        <v>99.2</v>
      </c>
      <c r="H304" s="1649">
        <v>0.8</v>
      </c>
    </row>
    <row r="305" spans="1:8">
      <c r="A305" s="1657">
        <v>32</v>
      </c>
      <c r="B305" s="1658">
        <v>1</v>
      </c>
      <c r="C305" s="1651" t="s">
        <v>460</v>
      </c>
      <c r="D305" s="1661">
        <v>50711842.600000001</v>
      </c>
      <c r="E305" s="1662">
        <v>49036801.450000003</v>
      </c>
      <c r="F305" s="1662">
        <v>1675041.15</v>
      </c>
      <c r="G305" s="1653">
        <v>96.7</v>
      </c>
      <c r="H305" s="1649">
        <v>3.3</v>
      </c>
    </row>
    <row r="306" spans="1:8">
      <c r="A306" s="1657">
        <v>32</v>
      </c>
      <c r="B306" s="1658">
        <v>2</v>
      </c>
      <c r="C306" s="1651" t="s">
        <v>461</v>
      </c>
      <c r="D306" s="1661">
        <v>39141781.439999998</v>
      </c>
      <c r="E306" s="1662">
        <v>38855288.119999997</v>
      </c>
      <c r="F306" s="1662">
        <v>286493.32</v>
      </c>
      <c r="G306" s="1653">
        <v>99.3</v>
      </c>
      <c r="H306" s="1649">
        <v>0.7</v>
      </c>
    </row>
    <row r="307" spans="1:8">
      <c r="A307" s="1657">
        <v>32</v>
      </c>
      <c r="B307" s="1658">
        <v>3</v>
      </c>
      <c r="C307" s="1651" t="s">
        <v>462</v>
      </c>
      <c r="D307" s="1661">
        <v>98694913.180000007</v>
      </c>
      <c r="E307" s="1662">
        <v>92608229.480000004</v>
      </c>
      <c r="F307" s="1662">
        <v>6086683.7000000002</v>
      </c>
      <c r="G307" s="1653">
        <v>93.8</v>
      </c>
      <c r="H307" s="1649">
        <v>6.2</v>
      </c>
    </row>
    <row r="308" spans="1:8">
      <c r="A308" s="1657">
        <v>32</v>
      </c>
      <c r="B308" s="1658">
        <v>4</v>
      </c>
      <c r="C308" s="1651" t="s">
        <v>463</v>
      </c>
      <c r="D308" s="1661">
        <v>78683834.430000007</v>
      </c>
      <c r="E308" s="1662">
        <v>76909897.530000001</v>
      </c>
      <c r="F308" s="1662">
        <v>1773936.9</v>
      </c>
      <c r="G308" s="1653">
        <v>97.7</v>
      </c>
      <c r="H308" s="1649">
        <v>2.2999999999999998</v>
      </c>
    </row>
    <row r="309" spans="1:8">
      <c r="A309" s="1657">
        <v>32</v>
      </c>
      <c r="B309" s="1658">
        <v>5</v>
      </c>
      <c r="C309" s="1651" t="s">
        <v>464</v>
      </c>
      <c r="D309" s="1661">
        <v>50516175.520000003</v>
      </c>
      <c r="E309" s="1662">
        <v>50086189.060000002</v>
      </c>
      <c r="F309" s="1662">
        <v>429986.46</v>
      </c>
      <c r="G309" s="1653">
        <v>99.1</v>
      </c>
      <c r="H309" s="1649">
        <v>0.9</v>
      </c>
    </row>
    <row r="310" spans="1:8">
      <c r="A310" s="1657">
        <v>32</v>
      </c>
      <c r="B310" s="1658">
        <v>6</v>
      </c>
      <c r="C310" s="1651" t="s">
        <v>465</v>
      </c>
      <c r="D310" s="1661">
        <v>54937091.579999998</v>
      </c>
      <c r="E310" s="1662">
        <v>54706289.060000002</v>
      </c>
      <c r="F310" s="1662">
        <v>230802.52</v>
      </c>
      <c r="G310" s="1653">
        <v>99.6</v>
      </c>
      <c r="H310" s="1649">
        <v>0.4</v>
      </c>
    </row>
    <row r="311" spans="1:8">
      <c r="A311" s="1657">
        <v>32</v>
      </c>
      <c r="B311" s="1658">
        <v>7</v>
      </c>
      <c r="C311" s="1651" t="s">
        <v>466</v>
      </c>
      <c r="D311" s="1661">
        <v>48244866.439999998</v>
      </c>
      <c r="E311" s="1662">
        <v>44679074.770000003</v>
      </c>
      <c r="F311" s="1662">
        <v>3565791.67</v>
      </c>
      <c r="G311" s="1653">
        <v>92.6</v>
      </c>
      <c r="H311" s="1649">
        <v>7.4</v>
      </c>
    </row>
    <row r="312" spans="1:8">
      <c r="A312" s="1657">
        <v>32</v>
      </c>
      <c r="B312" s="1658">
        <v>8</v>
      </c>
      <c r="C312" s="1651" t="s">
        <v>467</v>
      </c>
      <c r="D312" s="1661">
        <v>112990207.84</v>
      </c>
      <c r="E312" s="1662">
        <v>110225543.34</v>
      </c>
      <c r="F312" s="1662">
        <v>2764664.5</v>
      </c>
      <c r="G312" s="1653">
        <v>97.6</v>
      </c>
      <c r="H312" s="1649">
        <v>2.4</v>
      </c>
    </row>
    <row r="313" spans="1:8">
      <c r="A313" s="1657">
        <v>32</v>
      </c>
      <c r="B313" s="1658">
        <v>9</v>
      </c>
      <c r="C313" s="1651" t="s">
        <v>468</v>
      </c>
      <c r="D313" s="1661">
        <v>20672570.920000002</v>
      </c>
      <c r="E313" s="1662">
        <v>20548367.280000001</v>
      </c>
      <c r="F313" s="1662">
        <v>124203.64</v>
      </c>
      <c r="G313" s="1653">
        <v>99.4</v>
      </c>
      <c r="H313" s="1649">
        <v>0.6</v>
      </c>
    </row>
    <row r="314" spans="1:8">
      <c r="A314" s="1657">
        <v>32</v>
      </c>
      <c r="B314" s="1658">
        <v>10</v>
      </c>
      <c r="C314" s="1651" t="s">
        <v>469</v>
      </c>
      <c r="D314" s="1661">
        <v>64974482.75</v>
      </c>
      <c r="E314" s="1662">
        <v>64617366.020000003</v>
      </c>
      <c r="F314" s="1662">
        <v>357116.73</v>
      </c>
      <c r="G314" s="1653">
        <v>99.5</v>
      </c>
      <c r="H314" s="1649">
        <v>0.5</v>
      </c>
    </row>
    <row r="315" spans="1:8">
      <c r="A315" s="1657">
        <v>32</v>
      </c>
      <c r="B315" s="1658">
        <v>11</v>
      </c>
      <c r="C315" s="1651" t="s">
        <v>470</v>
      </c>
      <c r="D315" s="1661">
        <v>90935511.760000005</v>
      </c>
      <c r="E315" s="1662">
        <v>74814233.030000001</v>
      </c>
      <c r="F315" s="1662">
        <v>16121278.73</v>
      </c>
      <c r="G315" s="1653">
        <v>82.3</v>
      </c>
      <c r="H315" s="1649">
        <v>17.7</v>
      </c>
    </row>
    <row r="316" spans="1:8">
      <c r="A316" s="1657">
        <v>32</v>
      </c>
      <c r="B316" s="1658">
        <v>12</v>
      </c>
      <c r="C316" s="1651" t="s">
        <v>471</v>
      </c>
      <c r="D316" s="1661">
        <v>41973359.490000002</v>
      </c>
      <c r="E316" s="1662">
        <v>41272963.700000003</v>
      </c>
      <c r="F316" s="1662">
        <v>700395.79</v>
      </c>
      <c r="G316" s="1653">
        <v>98.3</v>
      </c>
      <c r="H316" s="1649">
        <v>1.7</v>
      </c>
    </row>
    <row r="317" spans="1:8">
      <c r="A317" s="1657">
        <v>32</v>
      </c>
      <c r="B317" s="1658">
        <v>13</v>
      </c>
      <c r="C317" s="1651" t="s">
        <v>472</v>
      </c>
      <c r="D317" s="1661">
        <v>52452136.170000002</v>
      </c>
      <c r="E317" s="1662">
        <v>51633505.560000002</v>
      </c>
      <c r="F317" s="1662">
        <v>818630.61</v>
      </c>
      <c r="G317" s="1653">
        <v>98.4</v>
      </c>
      <c r="H317" s="1649">
        <v>1.6</v>
      </c>
    </row>
    <row r="318" spans="1:8">
      <c r="A318" s="1657">
        <v>32</v>
      </c>
      <c r="B318" s="1658">
        <v>14</v>
      </c>
      <c r="C318" s="1651" t="s">
        <v>473</v>
      </c>
      <c r="D318" s="1661">
        <v>159070461.06</v>
      </c>
      <c r="E318" s="1662">
        <v>151718191.08000001</v>
      </c>
      <c r="F318" s="1662">
        <v>7352269.9800000004</v>
      </c>
      <c r="G318" s="1653">
        <v>95.4</v>
      </c>
      <c r="H318" s="1649">
        <v>4.5999999999999996</v>
      </c>
    </row>
    <row r="319" spans="1:8">
      <c r="A319" s="1657">
        <v>32</v>
      </c>
      <c r="B319" s="1658">
        <v>15</v>
      </c>
      <c r="C319" s="1651" t="s">
        <v>474</v>
      </c>
      <c r="D319" s="1661">
        <v>118890793.64</v>
      </c>
      <c r="E319" s="1662">
        <v>116057587.20999999</v>
      </c>
      <c r="F319" s="1662">
        <v>2833206.43</v>
      </c>
      <c r="G319" s="1653">
        <v>97.6</v>
      </c>
      <c r="H319" s="1649">
        <v>2.4</v>
      </c>
    </row>
    <row r="320" spans="1:8">
      <c r="A320" s="1657">
        <v>32</v>
      </c>
      <c r="B320" s="1658">
        <v>16</v>
      </c>
      <c r="C320" s="1651" t="s">
        <v>475</v>
      </c>
      <c r="D320" s="1661">
        <v>61442978.399999999</v>
      </c>
      <c r="E320" s="1662">
        <v>61408390.799999997</v>
      </c>
      <c r="F320" s="1662">
        <v>34587.599999999999</v>
      </c>
      <c r="G320" s="1653">
        <v>99.9</v>
      </c>
      <c r="H320" s="1649">
        <v>0.1</v>
      </c>
    </row>
    <row r="321" spans="1:8">
      <c r="A321" s="1657">
        <v>32</v>
      </c>
      <c r="B321" s="1658">
        <v>17</v>
      </c>
      <c r="C321" s="1651" t="s">
        <v>476</v>
      </c>
      <c r="D321" s="1661">
        <v>67976050.540000007</v>
      </c>
      <c r="E321" s="1662">
        <v>49150945.68</v>
      </c>
      <c r="F321" s="1662">
        <v>18825104.859999999</v>
      </c>
      <c r="G321" s="1653">
        <v>72.3</v>
      </c>
      <c r="H321" s="1649">
        <v>27.7</v>
      </c>
    </row>
    <row r="322" spans="1:8">
      <c r="A322" s="1657">
        <v>32</v>
      </c>
      <c r="B322" s="1658">
        <v>18</v>
      </c>
      <c r="C322" s="1651" t="s">
        <v>477</v>
      </c>
      <c r="D322" s="1661">
        <v>29608886.399999999</v>
      </c>
      <c r="E322" s="1662">
        <v>29589605.899999999</v>
      </c>
      <c r="F322" s="1662">
        <v>19280.5</v>
      </c>
      <c r="G322" s="1653">
        <v>99.9</v>
      </c>
      <c r="H322" s="1649">
        <v>0.1</v>
      </c>
    </row>
    <row r="323" spans="1:8">
      <c r="A323" s="716"/>
      <c r="B323" s="716"/>
      <c r="C323" s="717"/>
      <c r="D323" s="718"/>
      <c r="E323" s="718"/>
      <c r="F323" s="718"/>
      <c r="G323" s="718"/>
      <c r="H323" s="718"/>
    </row>
    <row r="324" spans="1:8">
      <c r="A324" s="724" t="s">
        <v>911</v>
      </c>
      <c r="B324" s="716"/>
      <c r="C324" s="717"/>
      <c r="D324" s="718"/>
      <c r="E324" s="718"/>
      <c r="F324" s="718"/>
      <c r="G324" s="718"/>
      <c r="H324" s="718"/>
    </row>
  </sheetData>
  <mergeCells count="11">
    <mergeCell ref="G6:H6"/>
    <mergeCell ref="A1:J1"/>
    <mergeCell ref="A2:A6"/>
    <mergeCell ref="B2:B6"/>
    <mergeCell ref="C2:C6"/>
    <mergeCell ref="D2:D5"/>
    <mergeCell ref="E2:F2"/>
    <mergeCell ref="G2:H4"/>
    <mergeCell ref="E3:E5"/>
    <mergeCell ref="F3:F5"/>
    <mergeCell ref="D6:F6"/>
  </mergeCells>
  <pageMargins left="0.70866141732283472" right="0.31496062992125984" top="0.74803149606299213" bottom="0.74803149606299213" header="0.31496062992125984" footer="0.31496062992125984"/>
  <pageSetup paperSize="9" scale="9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4932-3705-4A82-B39C-D8833D8158F3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5.77734375" style="441" customWidth="1"/>
    <col min="3" max="4" width="11.77734375" style="441" bestFit="1" customWidth="1"/>
    <col min="5" max="5" width="10.77734375" style="441" bestFit="1" customWidth="1"/>
    <col min="6" max="6" width="11.77734375" style="441" bestFit="1" customWidth="1"/>
    <col min="7" max="7" width="9.21875" style="441"/>
    <col min="8" max="8" width="7.44140625" style="441" bestFit="1" customWidth="1"/>
    <col min="9" max="9" width="11.77734375" style="441" customWidth="1"/>
    <col min="10" max="16384" width="9.21875" style="441"/>
  </cols>
  <sheetData>
    <row r="1" spans="1:9" ht="14.4">
      <c r="A1" s="280" t="s">
        <v>1004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 ht="25.5" customHeight="1">
      <c r="A7" s="848"/>
      <c r="B7" s="815" t="s">
        <v>95</v>
      </c>
      <c r="C7" s="1026">
        <v>3969284517.5</v>
      </c>
      <c r="D7" s="821">
        <v>4746823291.5600004</v>
      </c>
      <c r="E7" s="821">
        <v>465025588.35000002</v>
      </c>
      <c r="F7" s="821">
        <v>4281797703.2100005</v>
      </c>
      <c r="G7" s="1027">
        <v>100</v>
      </c>
      <c r="H7" s="1027">
        <v>119.6</v>
      </c>
      <c r="I7" s="808">
        <v>188.1</v>
      </c>
    </row>
    <row r="8" spans="1:9">
      <c r="A8" s="805" t="s">
        <v>96</v>
      </c>
      <c r="B8" s="807" t="s">
        <v>97</v>
      </c>
      <c r="C8" s="1020">
        <v>328119239.70999998</v>
      </c>
      <c r="D8" s="818">
        <v>385866985.42000002</v>
      </c>
      <c r="E8" s="818">
        <v>30748364.030000001</v>
      </c>
      <c r="F8" s="818">
        <v>355118621.38999999</v>
      </c>
      <c r="G8" s="1028">
        <v>8.1</v>
      </c>
      <c r="H8" s="1028">
        <v>117.6</v>
      </c>
      <c r="I8" s="822">
        <v>199.8</v>
      </c>
    </row>
    <row r="9" spans="1:9">
      <c r="A9" s="805" t="s">
        <v>98</v>
      </c>
      <c r="B9" s="807" t="s">
        <v>99</v>
      </c>
      <c r="C9" s="1020">
        <v>199935890.08000001</v>
      </c>
      <c r="D9" s="818">
        <v>246239486.96000001</v>
      </c>
      <c r="E9" s="818">
        <v>21762005.510000002</v>
      </c>
      <c r="F9" s="818">
        <v>224477481.45000002</v>
      </c>
      <c r="G9" s="1028">
        <v>5.2</v>
      </c>
      <c r="H9" s="1028">
        <v>123.2</v>
      </c>
      <c r="I9" s="822">
        <v>192.4</v>
      </c>
    </row>
    <row r="10" spans="1:9">
      <c r="A10" s="805" t="s">
        <v>100</v>
      </c>
      <c r="B10" s="807" t="s">
        <v>101</v>
      </c>
      <c r="C10" s="1020">
        <v>243486820.24000001</v>
      </c>
      <c r="D10" s="818">
        <v>298601393.94</v>
      </c>
      <c r="E10" s="818">
        <v>51713713.189999998</v>
      </c>
      <c r="F10" s="818">
        <v>246887680.75</v>
      </c>
      <c r="G10" s="1028">
        <v>6.3</v>
      </c>
      <c r="H10" s="1028">
        <v>122.6</v>
      </c>
      <c r="I10" s="822">
        <v>199</v>
      </c>
    </row>
    <row r="11" spans="1:9">
      <c r="A11" s="805" t="s">
        <v>102</v>
      </c>
      <c r="B11" s="807" t="s">
        <v>103</v>
      </c>
      <c r="C11" s="1020">
        <v>144026115.28</v>
      </c>
      <c r="D11" s="818">
        <v>170512995.13</v>
      </c>
      <c r="E11" s="818">
        <v>20573032.989999998</v>
      </c>
      <c r="F11" s="818">
        <v>149939962.13999999</v>
      </c>
      <c r="G11" s="1028">
        <v>3.6</v>
      </c>
      <c r="H11" s="1028">
        <v>118.4</v>
      </c>
      <c r="I11" s="822">
        <v>238.1</v>
      </c>
    </row>
    <row r="12" spans="1:9">
      <c r="A12" s="805" t="s">
        <v>104</v>
      </c>
      <c r="B12" s="807" t="s">
        <v>105</v>
      </c>
      <c r="C12" s="1020">
        <v>270788715.39999998</v>
      </c>
      <c r="D12" s="818">
        <v>311033944.69999999</v>
      </c>
      <c r="E12" s="818">
        <v>10932598.390000001</v>
      </c>
      <c r="F12" s="818">
        <v>300101346.31</v>
      </c>
      <c r="G12" s="1028">
        <v>6.6</v>
      </c>
      <c r="H12" s="1028">
        <v>114.9</v>
      </c>
      <c r="I12" s="822">
        <v>195.7</v>
      </c>
    </row>
    <row r="13" spans="1:9">
      <c r="A13" s="805" t="s">
        <v>106</v>
      </c>
      <c r="B13" s="807" t="s">
        <v>107</v>
      </c>
      <c r="C13" s="1020">
        <v>295307173.31</v>
      </c>
      <c r="D13" s="818">
        <v>342087932.00999999</v>
      </c>
      <c r="E13" s="818">
        <v>10120194.4</v>
      </c>
      <c r="F13" s="818">
        <v>331967737.61000001</v>
      </c>
      <c r="G13" s="1028">
        <v>7.2</v>
      </c>
      <c r="H13" s="1028">
        <v>115.8</v>
      </c>
      <c r="I13" s="822">
        <v>140.30000000000001</v>
      </c>
    </row>
    <row r="14" spans="1:9">
      <c r="A14" s="805" t="s">
        <v>108</v>
      </c>
      <c r="B14" s="807" t="s">
        <v>109</v>
      </c>
      <c r="C14" s="1020">
        <v>454478138.72000003</v>
      </c>
      <c r="D14" s="818">
        <v>534634082.05000001</v>
      </c>
      <c r="E14" s="818">
        <v>32254342.859999999</v>
      </c>
      <c r="F14" s="818">
        <v>502379739.19</v>
      </c>
      <c r="G14" s="1028">
        <v>11.3</v>
      </c>
      <c r="H14" s="1028">
        <v>117.6</v>
      </c>
      <c r="I14" s="822">
        <v>166.1</v>
      </c>
    </row>
    <row r="15" spans="1:9">
      <c r="A15" s="805" t="s">
        <v>110</v>
      </c>
      <c r="B15" s="807" t="s">
        <v>111</v>
      </c>
      <c r="C15" s="1020">
        <v>149756835.02000001</v>
      </c>
      <c r="D15" s="818">
        <v>185475401.15000001</v>
      </c>
      <c r="E15" s="818">
        <v>19389420.649999999</v>
      </c>
      <c r="F15" s="818">
        <v>166085980.5</v>
      </c>
      <c r="G15" s="1028">
        <v>3.9</v>
      </c>
      <c r="H15" s="1028">
        <v>123.9</v>
      </c>
      <c r="I15" s="822">
        <v>230.5</v>
      </c>
    </row>
    <row r="16" spans="1:9">
      <c r="A16" s="805" t="s">
        <v>112</v>
      </c>
      <c r="B16" s="807" t="s">
        <v>113</v>
      </c>
      <c r="C16" s="1020">
        <v>271217863.99000001</v>
      </c>
      <c r="D16" s="818">
        <v>326291468.55000001</v>
      </c>
      <c r="E16" s="818">
        <v>29121314.690000001</v>
      </c>
      <c r="F16" s="818">
        <v>297170153.86000001</v>
      </c>
      <c r="G16" s="1028">
        <v>6.9</v>
      </c>
      <c r="H16" s="1028">
        <v>120.3</v>
      </c>
      <c r="I16" s="822">
        <v>189.4</v>
      </c>
    </row>
    <row r="17" spans="1:9">
      <c r="A17" s="805" t="s">
        <v>114</v>
      </c>
      <c r="B17" s="807" t="s">
        <v>115</v>
      </c>
      <c r="C17" s="1020">
        <v>128577726.92</v>
      </c>
      <c r="D17" s="818">
        <v>164932779.69</v>
      </c>
      <c r="E17" s="818">
        <v>21673063</v>
      </c>
      <c r="F17" s="818">
        <v>143259716.69</v>
      </c>
      <c r="G17" s="1028">
        <v>3.5</v>
      </c>
      <c r="H17" s="1028">
        <v>128.30000000000001</v>
      </c>
      <c r="I17" s="822">
        <v>230.7</v>
      </c>
    </row>
    <row r="18" spans="1:9">
      <c r="A18" s="805" t="s">
        <v>116</v>
      </c>
      <c r="B18" s="807" t="s">
        <v>117</v>
      </c>
      <c r="C18" s="1020">
        <v>216436285.66999999</v>
      </c>
      <c r="D18" s="818">
        <v>292280108.5</v>
      </c>
      <c r="E18" s="818">
        <v>60716770.93</v>
      </c>
      <c r="F18" s="818">
        <v>231563337.56999999</v>
      </c>
      <c r="G18" s="1028">
        <v>6.2</v>
      </c>
      <c r="H18" s="1028">
        <v>135</v>
      </c>
      <c r="I18" s="822">
        <v>193</v>
      </c>
    </row>
    <row r="19" spans="1:9">
      <c r="A19" s="805" t="s">
        <v>118</v>
      </c>
      <c r="B19" s="807" t="s">
        <v>119</v>
      </c>
      <c r="C19" s="1020">
        <v>266688678.84999999</v>
      </c>
      <c r="D19" s="818">
        <v>336653938.48000002</v>
      </c>
      <c r="E19" s="818">
        <v>56487094.560000002</v>
      </c>
      <c r="F19" s="818">
        <v>280166843.92000002</v>
      </c>
      <c r="G19" s="1028">
        <v>7.1</v>
      </c>
      <c r="H19" s="1028">
        <v>126.2</v>
      </c>
      <c r="I19" s="822">
        <v>173.4</v>
      </c>
    </row>
    <row r="20" spans="1:9">
      <c r="A20" s="805" t="s">
        <v>120</v>
      </c>
      <c r="B20" s="807" t="s">
        <v>121</v>
      </c>
      <c r="C20" s="1020">
        <v>173291195.13999999</v>
      </c>
      <c r="D20" s="818">
        <v>188140379.03</v>
      </c>
      <c r="E20" s="818">
        <v>11432848.380000001</v>
      </c>
      <c r="F20" s="818">
        <v>176707530.65000001</v>
      </c>
      <c r="G20" s="1028">
        <v>4</v>
      </c>
      <c r="H20" s="1028">
        <v>108.6</v>
      </c>
      <c r="I20" s="822">
        <v>192.5</v>
      </c>
    </row>
    <row r="21" spans="1:9">
      <c r="A21" s="805" t="s">
        <v>122</v>
      </c>
      <c r="B21" s="807" t="s">
        <v>123</v>
      </c>
      <c r="C21" s="1020">
        <v>218096527.25</v>
      </c>
      <c r="D21" s="818">
        <v>241167244.93000001</v>
      </c>
      <c r="E21" s="818">
        <v>13960951.77</v>
      </c>
      <c r="F21" s="818">
        <v>227206293.16</v>
      </c>
      <c r="G21" s="1028">
        <v>5.0999999999999996</v>
      </c>
      <c r="H21" s="1028">
        <v>110.6</v>
      </c>
      <c r="I21" s="822">
        <v>225.2</v>
      </c>
    </row>
    <row r="22" spans="1:9">
      <c r="A22" s="805" t="s">
        <v>124</v>
      </c>
      <c r="B22" s="807" t="s">
        <v>125</v>
      </c>
      <c r="C22" s="1020">
        <v>384548298.14999998</v>
      </c>
      <c r="D22" s="818">
        <v>470324765.85000002</v>
      </c>
      <c r="E22" s="818">
        <v>55734539.149999999</v>
      </c>
      <c r="F22" s="818">
        <v>414590226.70000005</v>
      </c>
      <c r="G22" s="1028">
        <v>9.9</v>
      </c>
      <c r="H22" s="1028">
        <v>122.3</v>
      </c>
      <c r="I22" s="822">
        <v>172.5</v>
      </c>
    </row>
    <row r="23" spans="1:9">
      <c r="A23" s="1010" t="s">
        <v>126</v>
      </c>
      <c r="B23" s="804" t="s">
        <v>127</v>
      </c>
      <c r="C23" s="810">
        <v>224529013.77000001</v>
      </c>
      <c r="D23" s="849">
        <v>252580385.16999999</v>
      </c>
      <c r="E23" s="849">
        <v>18405333.850000001</v>
      </c>
      <c r="F23" s="849">
        <v>234175051.31999999</v>
      </c>
      <c r="G23" s="846">
        <v>5.3</v>
      </c>
      <c r="H23" s="846">
        <v>112.5</v>
      </c>
      <c r="I23" s="1016">
        <v>231.2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7">
    <mergeCell ref="I3:I4"/>
    <mergeCell ref="C5:F5"/>
    <mergeCell ref="E3:F3"/>
    <mergeCell ref="A3:A5"/>
    <mergeCell ref="B3:B5"/>
    <mergeCell ref="G5:H5"/>
    <mergeCell ref="G3:G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223F-BB65-453A-803A-4876401BC5EF}">
  <sheetPr codeName="Arkusz8"/>
  <dimension ref="A1:H44"/>
  <sheetViews>
    <sheetView view="pageBreakPreview" topLeftCell="A10" zoomScaleNormal="100" zoomScaleSheetLayoutView="100" workbookViewId="0">
      <selection activeCell="F8" sqref="F8"/>
    </sheetView>
  </sheetViews>
  <sheetFormatPr defaultColWidth="8.77734375" defaultRowHeight="13.2"/>
  <cols>
    <col min="1" max="1" width="5.21875" style="17" customWidth="1"/>
    <col min="2" max="2" width="25" style="1" customWidth="1"/>
    <col min="3" max="4" width="13.44140625" style="2" bestFit="1" customWidth="1"/>
    <col min="5" max="5" width="13.77734375" style="2" customWidth="1"/>
    <col min="6" max="8" width="7.21875" style="2" customWidth="1"/>
    <col min="9" max="16384" width="8.77734375" style="2"/>
  </cols>
  <sheetData>
    <row r="1" spans="1:8" ht="13.8">
      <c r="A1" s="442" t="s">
        <v>85</v>
      </c>
    </row>
    <row r="3" spans="1:8">
      <c r="A3" s="2167" t="s">
        <v>0</v>
      </c>
      <c r="B3" s="2170" t="s">
        <v>1</v>
      </c>
      <c r="C3" s="3" t="s">
        <v>2</v>
      </c>
      <c r="D3" s="4" t="s">
        <v>3</v>
      </c>
      <c r="E3" s="4" t="s">
        <v>2</v>
      </c>
      <c r="F3" s="5" t="s">
        <v>4</v>
      </c>
      <c r="G3" s="2173" t="s">
        <v>5</v>
      </c>
      <c r="H3" s="6" t="s">
        <v>6</v>
      </c>
    </row>
    <row r="4" spans="1:8">
      <c r="A4" s="2168"/>
      <c r="B4" s="2171"/>
      <c r="C4" s="7">
        <v>2024</v>
      </c>
      <c r="D4" s="8">
        <v>2025</v>
      </c>
      <c r="E4" s="8">
        <v>2025</v>
      </c>
      <c r="F4" s="9" t="s">
        <v>7</v>
      </c>
      <c r="G4" s="2174"/>
      <c r="H4" s="10" t="s">
        <v>8</v>
      </c>
    </row>
    <row r="5" spans="1:8">
      <c r="A5" s="2169"/>
      <c r="B5" s="2172"/>
      <c r="C5" s="2175" t="s">
        <v>93</v>
      </c>
      <c r="D5" s="2175"/>
      <c r="E5" s="2176"/>
      <c r="F5" s="2177" t="s">
        <v>9</v>
      </c>
      <c r="G5" s="2175"/>
      <c r="H5" s="2178"/>
    </row>
    <row r="6" spans="1:8">
      <c r="A6" s="11" t="s">
        <v>10</v>
      </c>
      <c r="B6" s="12" t="s">
        <v>11</v>
      </c>
      <c r="C6" s="13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5" t="s">
        <v>17</v>
      </c>
    </row>
    <row r="7" spans="1:8">
      <c r="A7" s="1718"/>
      <c r="B7" s="1723" t="s">
        <v>18</v>
      </c>
      <c r="C7" s="1722">
        <v>431411403054.79999</v>
      </c>
      <c r="D7" s="1719">
        <v>474673121201.13</v>
      </c>
      <c r="E7" s="1719">
        <v>468212138462.38</v>
      </c>
      <c r="F7" s="1720">
        <v>98.6</v>
      </c>
      <c r="G7" s="1720">
        <v>100</v>
      </c>
      <c r="H7" s="1721">
        <v>108.5</v>
      </c>
    </row>
    <row r="8" spans="1:8">
      <c r="A8" s="719" t="s">
        <v>19</v>
      </c>
      <c r="B8" s="1724" t="s">
        <v>20</v>
      </c>
      <c r="C8" s="730">
        <v>6583186445.6700001</v>
      </c>
      <c r="D8" s="720">
        <v>8182567952.3699999</v>
      </c>
      <c r="E8" s="720">
        <v>7737550986.4799995</v>
      </c>
      <c r="F8" s="1714">
        <v>94.6</v>
      </c>
      <c r="G8" s="1714">
        <v>1.7</v>
      </c>
      <c r="H8" s="1715">
        <v>117.5</v>
      </c>
    </row>
    <row r="9" spans="1:8">
      <c r="A9" s="719" t="s">
        <v>21</v>
      </c>
      <c r="B9" s="1724" t="s">
        <v>22</v>
      </c>
      <c r="C9" s="730">
        <v>47704035.090000004</v>
      </c>
      <c r="D9" s="720">
        <v>48887543.350000001</v>
      </c>
      <c r="E9" s="720">
        <v>48281089.25</v>
      </c>
      <c r="F9" s="1714">
        <v>98.8</v>
      </c>
      <c r="G9" s="1714">
        <v>0</v>
      </c>
      <c r="H9" s="1715">
        <v>101.2</v>
      </c>
    </row>
    <row r="10" spans="1:8">
      <c r="A10" s="719" t="s">
        <v>23</v>
      </c>
      <c r="B10" s="1724" t="s">
        <v>24</v>
      </c>
      <c r="C10" s="730">
        <v>3127915.41</v>
      </c>
      <c r="D10" s="720">
        <v>4402964.0199999996</v>
      </c>
      <c r="E10" s="720">
        <v>4198952.63</v>
      </c>
      <c r="F10" s="1714">
        <v>95.4</v>
      </c>
      <c r="G10" s="1714">
        <v>0</v>
      </c>
      <c r="H10" s="1715">
        <v>134.19999999999999</v>
      </c>
    </row>
    <row r="11" spans="1:8">
      <c r="A11" s="719" t="s">
        <v>25</v>
      </c>
      <c r="B11" s="1724" t="s">
        <v>26</v>
      </c>
      <c r="C11" s="730">
        <v>9633838.9299999997</v>
      </c>
      <c r="D11" s="720">
        <v>25500629.629999999</v>
      </c>
      <c r="E11" s="720">
        <v>25603462.25</v>
      </c>
      <c r="F11" s="1714">
        <v>100.4</v>
      </c>
      <c r="G11" s="1714">
        <v>0</v>
      </c>
      <c r="H11" s="1715">
        <v>265.8</v>
      </c>
    </row>
    <row r="12" spans="1:8">
      <c r="A12" s="719" t="s">
        <v>27</v>
      </c>
      <c r="B12" s="1724" t="s">
        <v>28</v>
      </c>
      <c r="C12" s="730">
        <v>51621626.590000004</v>
      </c>
      <c r="D12" s="720">
        <v>70839214.849999994</v>
      </c>
      <c r="E12" s="720">
        <v>59642632.310000002</v>
      </c>
      <c r="F12" s="1714">
        <v>84.2</v>
      </c>
      <c r="G12" s="1714">
        <v>0</v>
      </c>
      <c r="H12" s="1715">
        <v>115.5</v>
      </c>
    </row>
    <row r="13" spans="1:8" ht="26.4">
      <c r="A13" s="719" t="s">
        <v>29</v>
      </c>
      <c r="B13" s="1724" t="s">
        <v>30</v>
      </c>
      <c r="C13" s="730">
        <v>857157627.26999998</v>
      </c>
      <c r="D13" s="720">
        <v>1030911568.28</v>
      </c>
      <c r="E13" s="720">
        <v>986030914.29999995</v>
      </c>
      <c r="F13" s="1714">
        <v>95.6</v>
      </c>
      <c r="G13" s="1714">
        <v>0.2</v>
      </c>
      <c r="H13" s="1715">
        <v>115</v>
      </c>
    </row>
    <row r="14" spans="1:8">
      <c r="A14" s="719" t="s">
        <v>31</v>
      </c>
      <c r="B14" s="1724" t="s">
        <v>32</v>
      </c>
      <c r="C14" s="730">
        <v>40178318.109999999</v>
      </c>
      <c r="D14" s="720">
        <v>23806663.010000002</v>
      </c>
      <c r="E14" s="720">
        <v>23458108.280000001</v>
      </c>
      <c r="F14" s="1714">
        <v>98.5</v>
      </c>
      <c r="G14" s="1714">
        <v>0</v>
      </c>
      <c r="H14" s="1715">
        <v>58.4</v>
      </c>
    </row>
    <row r="15" spans="1:8">
      <c r="A15" s="719" t="s">
        <v>33</v>
      </c>
      <c r="B15" s="1724" t="s">
        <v>34</v>
      </c>
      <c r="C15" s="730">
        <v>1867999.93</v>
      </c>
      <c r="D15" s="720">
        <v>1544548</v>
      </c>
      <c r="E15" s="720">
        <v>1126944.04</v>
      </c>
      <c r="F15" s="1714">
        <v>73</v>
      </c>
      <c r="G15" s="1714">
        <v>0</v>
      </c>
      <c r="H15" s="1715">
        <v>60.3</v>
      </c>
    </row>
    <row r="16" spans="1:8">
      <c r="A16" s="719" t="s">
        <v>35</v>
      </c>
      <c r="B16" s="1724" t="s">
        <v>36</v>
      </c>
      <c r="C16" s="730">
        <v>30439914302</v>
      </c>
      <c r="D16" s="720">
        <v>28435030673.950001</v>
      </c>
      <c r="E16" s="720">
        <v>27181972693.689999</v>
      </c>
      <c r="F16" s="1714">
        <v>95.6</v>
      </c>
      <c r="G16" s="1714">
        <v>5.8</v>
      </c>
      <c r="H16" s="1715">
        <v>89.3</v>
      </c>
    </row>
    <row r="17" spans="1:8">
      <c r="A17" s="719" t="s">
        <v>37</v>
      </c>
      <c r="B17" s="1724" t="s">
        <v>38</v>
      </c>
      <c r="C17" s="730">
        <v>292406341.27999997</v>
      </c>
      <c r="D17" s="720">
        <v>408726057.69</v>
      </c>
      <c r="E17" s="720">
        <v>296870189.88999999</v>
      </c>
      <c r="F17" s="1714">
        <v>72.599999999999994</v>
      </c>
      <c r="G17" s="1714">
        <v>0.1</v>
      </c>
      <c r="H17" s="1715">
        <v>101.5</v>
      </c>
    </row>
    <row r="18" spans="1:8">
      <c r="A18" s="719" t="s">
        <v>39</v>
      </c>
      <c r="B18" s="1724" t="s">
        <v>40</v>
      </c>
      <c r="C18" s="730">
        <v>15023094906.059999</v>
      </c>
      <c r="D18" s="720">
        <v>16346374731.309999</v>
      </c>
      <c r="E18" s="720">
        <v>16298118073.280001</v>
      </c>
      <c r="F18" s="1714">
        <v>99.7</v>
      </c>
      <c r="G18" s="1714">
        <v>3.5</v>
      </c>
      <c r="H18" s="1715">
        <v>108.5</v>
      </c>
    </row>
    <row r="19" spans="1:8">
      <c r="A19" s="719" t="s">
        <v>41</v>
      </c>
      <c r="B19" s="1724" t="s">
        <v>42</v>
      </c>
      <c r="C19" s="730">
        <v>1433301269.6199999</v>
      </c>
      <c r="D19" s="720">
        <v>1631364922.8599999</v>
      </c>
      <c r="E19" s="720">
        <v>1585231843.3499999</v>
      </c>
      <c r="F19" s="1714">
        <v>97.2</v>
      </c>
      <c r="G19" s="1714">
        <v>0.3</v>
      </c>
      <c r="H19" s="1715">
        <v>110.6</v>
      </c>
    </row>
    <row r="20" spans="1:8">
      <c r="A20" s="719" t="s">
        <v>43</v>
      </c>
      <c r="B20" s="1724" t="s">
        <v>44</v>
      </c>
      <c r="C20" s="730">
        <v>157399921.91</v>
      </c>
      <c r="D20" s="720">
        <v>207087851.81999999</v>
      </c>
      <c r="E20" s="720">
        <v>176485844.31999999</v>
      </c>
      <c r="F20" s="1714">
        <v>85.2</v>
      </c>
      <c r="G20" s="1714">
        <v>0</v>
      </c>
      <c r="H20" s="1715">
        <v>112.1</v>
      </c>
    </row>
    <row r="21" spans="1:8">
      <c r="A21" s="719" t="s">
        <v>45</v>
      </c>
      <c r="B21" s="1724" t="s">
        <v>46</v>
      </c>
      <c r="C21" s="730">
        <v>5709618.5099999998</v>
      </c>
      <c r="D21" s="720">
        <v>8399693.8200000003</v>
      </c>
      <c r="E21" s="720">
        <v>7936342.7999999998</v>
      </c>
      <c r="F21" s="1714">
        <v>94.5</v>
      </c>
      <c r="G21" s="1714">
        <v>0</v>
      </c>
      <c r="H21" s="1715">
        <v>139</v>
      </c>
    </row>
    <row r="22" spans="1:8">
      <c r="A22" s="719" t="s">
        <v>47</v>
      </c>
      <c r="B22" s="1724" t="s">
        <v>48</v>
      </c>
      <c r="C22" s="730">
        <v>3525475094.2800002</v>
      </c>
      <c r="D22" s="720">
        <v>3690044586.2800002</v>
      </c>
      <c r="E22" s="720">
        <v>3745636072</v>
      </c>
      <c r="F22" s="1714">
        <v>101.5</v>
      </c>
      <c r="G22" s="1714">
        <v>0.8</v>
      </c>
      <c r="H22" s="1715">
        <v>106.2</v>
      </c>
    </row>
    <row r="23" spans="1:8" ht="39.6">
      <c r="A23" s="719" t="s">
        <v>49</v>
      </c>
      <c r="B23" s="1724" t="s">
        <v>50</v>
      </c>
      <c r="C23" s="730">
        <v>767307312.22000003</v>
      </c>
      <c r="D23" s="720">
        <v>437593523.72000003</v>
      </c>
      <c r="E23" s="720">
        <v>434708155.38</v>
      </c>
      <c r="F23" s="1714">
        <v>99.3</v>
      </c>
      <c r="G23" s="1714">
        <v>0.1</v>
      </c>
      <c r="H23" s="1715">
        <v>56.7</v>
      </c>
    </row>
    <row r="24" spans="1:8">
      <c r="A24" s="719" t="s">
        <v>51</v>
      </c>
      <c r="B24" s="1724" t="s">
        <v>52</v>
      </c>
      <c r="C24" s="730">
        <v>45218492.530000001</v>
      </c>
      <c r="D24" s="720">
        <v>4154034212.7399998</v>
      </c>
      <c r="E24" s="720">
        <v>3438974755.6500001</v>
      </c>
      <c r="F24" s="1714">
        <v>82.8</v>
      </c>
      <c r="G24" s="1714">
        <v>0.7</v>
      </c>
      <c r="H24" s="1715">
        <v>7605.2</v>
      </c>
    </row>
    <row r="25" spans="1:8" ht="26.4">
      <c r="A25" s="719" t="s">
        <v>53</v>
      </c>
      <c r="B25" s="1724" t="s">
        <v>54</v>
      </c>
      <c r="C25" s="730">
        <v>0</v>
      </c>
      <c r="D25" s="720">
        <v>0</v>
      </c>
      <c r="E25" s="720">
        <v>0</v>
      </c>
      <c r="F25" s="2048" t="s">
        <v>936</v>
      </c>
      <c r="G25" s="2048" t="s">
        <v>936</v>
      </c>
      <c r="H25" s="2064" t="s">
        <v>936</v>
      </c>
    </row>
    <row r="26" spans="1:8" ht="26.4">
      <c r="A26" s="719" t="s">
        <v>55</v>
      </c>
      <c r="B26" s="1724" t="s">
        <v>56</v>
      </c>
      <c r="C26" s="730">
        <v>5984910628.1199999</v>
      </c>
      <c r="D26" s="720">
        <v>6460330905.8299999</v>
      </c>
      <c r="E26" s="720">
        <v>6307279055.3299999</v>
      </c>
      <c r="F26" s="1714">
        <v>97.6</v>
      </c>
      <c r="G26" s="1714">
        <v>1.3</v>
      </c>
      <c r="H26" s="1715">
        <v>105.4</v>
      </c>
    </row>
    <row r="27" spans="1:8">
      <c r="A27" s="719" t="s">
        <v>57</v>
      </c>
      <c r="B27" s="1724" t="s">
        <v>58</v>
      </c>
      <c r="C27" s="730">
        <v>104060023.95999999</v>
      </c>
      <c r="D27" s="720">
        <v>109146358.55</v>
      </c>
      <c r="E27" s="720">
        <v>108262221.78</v>
      </c>
      <c r="F27" s="1714">
        <v>99.2</v>
      </c>
      <c r="G27" s="1714">
        <v>0</v>
      </c>
      <c r="H27" s="1715">
        <v>104</v>
      </c>
    </row>
    <row r="28" spans="1:8" ht="52.8">
      <c r="A28" s="719" t="s">
        <v>59</v>
      </c>
      <c r="B28" s="1724" t="s">
        <v>60</v>
      </c>
      <c r="C28" s="730">
        <v>155996432086.39001</v>
      </c>
      <c r="D28" s="720">
        <v>252606435120.04999</v>
      </c>
      <c r="E28" s="720">
        <v>253611276530.56</v>
      </c>
      <c r="F28" s="1714">
        <v>100.4</v>
      </c>
      <c r="G28" s="1714">
        <v>54.2</v>
      </c>
      <c r="H28" s="1715">
        <v>162.6</v>
      </c>
    </row>
    <row r="29" spans="1:8">
      <c r="A29" s="719" t="s">
        <v>61</v>
      </c>
      <c r="B29" s="1724" t="s">
        <v>62</v>
      </c>
      <c r="C29" s="730">
        <v>6261819.3799999999</v>
      </c>
      <c r="D29" s="720">
        <v>3185109.82</v>
      </c>
      <c r="E29" s="720">
        <v>4230487.67</v>
      </c>
      <c r="F29" s="1714">
        <v>132.80000000000001</v>
      </c>
      <c r="G29" s="1714">
        <v>0</v>
      </c>
      <c r="H29" s="1715">
        <v>67.599999999999994</v>
      </c>
    </row>
    <row r="30" spans="1:8">
      <c r="A30" s="719" t="s">
        <v>63</v>
      </c>
      <c r="B30" s="1724" t="s">
        <v>64</v>
      </c>
      <c r="C30" s="730">
        <v>133656110658.28</v>
      </c>
      <c r="D30" s="720">
        <v>68893867501.389999</v>
      </c>
      <c r="E30" s="720">
        <v>68476528129.470001</v>
      </c>
      <c r="F30" s="1714">
        <v>99.4</v>
      </c>
      <c r="G30" s="1714">
        <v>14.6</v>
      </c>
      <c r="H30" s="1715">
        <v>51.2</v>
      </c>
    </row>
    <row r="31" spans="1:8">
      <c r="A31" s="719" t="s">
        <v>65</v>
      </c>
      <c r="B31" s="1724" t="s">
        <v>66</v>
      </c>
      <c r="C31" s="730">
        <v>13481898183.620001</v>
      </c>
      <c r="D31" s="720">
        <v>10726038417.84</v>
      </c>
      <c r="E31" s="720">
        <v>9666988526.0300007</v>
      </c>
      <c r="F31" s="1714">
        <v>90.1</v>
      </c>
      <c r="G31" s="1714">
        <v>2.1</v>
      </c>
      <c r="H31" s="1715">
        <v>71.7</v>
      </c>
    </row>
    <row r="32" spans="1:8">
      <c r="A32" s="719" t="s">
        <v>67</v>
      </c>
      <c r="B32" s="1724" t="s">
        <v>68</v>
      </c>
      <c r="C32" s="730">
        <v>1598713779.29</v>
      </c>
      <c r="D32" s="720">
        <v>2069681283.29</v>
      </c>
      <c r="E32" s="720">
        <v>1961376898.1300001</v>
      </c>
      <c r="F32" s="1714">
        <v>94.8</v>
      </c>
      <c r="G32" s="1714">
        <v>0.4</v>
      </c>
      <c r="H32" s="1715">
        <v>122.7</v>
      </c>
    </row>
    <row r="33" spans="1:8">
      <c r="A33" s="719" t="s">
        <v>69</v>
      </c>
      <c r="B33" s="1724" t="s">
        <v>70</v>
      </c>
      <c r="C33" s="730">
        <v>13561639576.200001</v>
      </c>
      <c r="D33" s="720">
        <v>14283551756.16</v>
      </c>
      <c r="E33" s="720">
        <v>14146469930.59</v>
      </c>
      <c r="F33" s="1714">
        <v>99</v>
      </c>
      <c r="G33" s="1714">
        <v>3</v>
      </c>
      <c r="H33" s="1715">
        <v>104.3</v>
      </c>
    </row>
    <row r="34" spans="1:8" ht="26.4">
      <c r="A34" s="719" t="s">
        <v>71</v>
      </c>
      <c r="B34" s="1724" t="s">
        <v>72</v>
      </c>
      <c r="C34" s="730">
        <v>1706531909.3399999</v>
      </c>
      <c r="D34" s="720">
        <v>1946096933.6199999</v>
      </c>
      <c r="E34" s="720">
        <v>1797508197.05</v>
      </c>
      <c r="F34" s="1714">
        <v>92.4</v>
      </c>
      <c r="G34" s="1714">
        <v>0.4</v>
      </c>
      <c r="H34" s="1715">
        <v>105.3</v>
      </c>
    </row>
    <row r="35" spans="1:8">
      <c r="A35" s="719" t="s">
        <v>73</v>
      </c>
      <c r="B35" s="1724" t="s">
        <v>74</v>
      </c>
      <c r="C35" s="730">
        <v>573017069.64999998</v>
      </c>
      <c r="D35" s="720">
        <v>676672372.63999999</v>
      </c>
      <c r="E35" s="720">
        <v>606111053.08000004</v>
      </c>
      <c r="F35" s="1714">
        <v>89.6</v>
      </c>
      <c r="G35" s="1714">
        <v>0.1</v>
      </c>
      <c r="H35" s="1715">
        <v>105.8</v>
      </c>
    </row>
    <row r="36" spans="1:8">
      <c r="A36" s="719" t="s">
        <v>75</v>
      </c>
      <c r="B36" s="1724" t="s">
        <v>76</v>
      </c>
      <c r="C36" s="730">
        <v>21032727484.439999</v>
      </c>
      <c r="D36" s="720">
        <v>23478637862.259998</v>
      </c>
      <c r="E36" s="720">
        <v>23211313347.459999</v>
      </c>
      <c r="F36" s="1714">
        <v>98.9</v>
      </c>
      <c r="G36" s="1714">
        <v>5</v>
      </c>
      <c r="H36" s="1715">
        <v>110.4</v>
      </c>
    </row>
    <row r="37" spans="1:8" ht="26.4">
      <c r="A37" s="719" t="s">
        <v>77</v>
      </c>
      <c r="B37" s="1724" t="s">
        <v>78</v>
      </c>
      <c r="C37" s="730">
        <v>18042972650.259998</v>
      </c>
      <c r="D37" s="720">
        <v>21278020308.709999</v>
      </c>
      <c r="E37" s="720">
        <v>19554457616.5</v>
      </c>
      <c r="F37" s="1714">
        <v>91.9</v>
      </c>
      <c r="G37" s="1714">
        <v>4.2</v>
      </c>
      <c r="H37" s="1715">
        <v>108.4</v>
      </c>
    </row>
    <row r="38" spans="1:8" ht="26.4">
      <c r="A38" s="719" t="s">
        <v>79</v>
      </c>
      <c r="B38" s="1724" t="s">
        <v>80</v>
      </c>
      <c r="C38" s="730">
        <v>2844985137.5300002</v>
      </c>
      <c r="D38" s="720">
        <v>3488313673.6300001</v>
      </c>
      <c r="E38" s="720">
        <v>3086127287.2199998</v>
      </c>
      <c r="F38" s="1714">
        <v>88.5</v>
      </c>
      <c r="G38" s="1714">
        <v>0.7</v>
      </c>
      <c r="H38" s="1715">
        <v>108.5</v>
      </c>
    </row>
    <row r="39" spans="1:8" ht="39.6">
      <c r="A39" s="719" t="s">
        <v>81</v>
      </c>
      <c r="B39" s="1724" t="s">
        <v>82</v>
      </c>
      <c r="C39" s="730">
        <v>156227938.18000001</v>
      </c>
      <c r="D39" s="720">
        <v>159883874.87</v>
      </c>
      <c r="E39" s="720">
        <v>142430095.88</v>
      </c>
      <c r="F39" s="1714">
        <v>89.1</v>
      </c>
      <c r="G39" s="1714">
        <v>0</v>
      </c>
      <c r="H39" s="1715">
        <v>91.2</v>
      </c>
    </row>
    <row r="40" spans="1:8">
      <c r="A40" s="721" t="s">
        <v>83</v>
      </c>
      <c r="B40" s="1725" t="s">
        <v>84</v>
      </c>
      <c r="C40" s="731">
        <v>3380609044.75</v>
      </c>
      <c r="D40" s="722">
        <v>3786142384.77</v>
      </c>
      <c r="E40" s="722">
        <v>3479952025.73</v>
      </c>
      <c r="F40" s="1716">
        <v>91.9</v>
      </c>
      <c r="G40" s="1716">
        <v>0.7</v>
      </c>
      <c r="H40" s="1717">
        <v>102.9</v>
      </c>
    </row>
    <row r="42" spans="1:8">
      <c r="A42" s="16" t="s">
        <v>908</v>
      </c>
    </row>
    <row r="43" spans="1:8">
      <c r="C43" s="1713"/>
    </row>
    <row r="44" spans="1:8">
      <c r="C44" s="1713" t="s">
        <v>742</v>
      </c>
    </row>
  </sheetData>
  <mergeCells count="5">
    <mergeCell ref="A3:A5"/>
    <mergeCell ref="B3:B5"/>
    <mergeCell ref="G3:G4"/>
    <mergeCell ref="C5:E5"/>
    <mergeCell ref="F5:H5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4F99-4434-4397-94F7-BB9F847B411B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6" style="441" customWidth="1"/>
    <col min="2" max="2" width="15.44140625" style="441" customWidth="1"/>
    <col min="3" max="3" width="11.77734375" style="441" customWidth="1"/>
    <col min="4" max="4" width="11.77734375" style="441" bestFit="1" customWidth="1"/>
    <col min="5" max="5" width="10.77734375" style="441" bestFit="1" customWidth="1"/>
    <col min="6" max="6" width="11.5546875" style="441" customWidth="1"/>
    <col min="7" max="7" width="7.21875" style="441" bestFit="1" customWidth="1"/>
    <col min="8" max="8" width="7.44140625" style="441" bestFit="1" customWidth="1"/>
    <col min="9" max="9" width="10.77734375" style="441" customWidth="1"/>
    <col min="10" max="16384" width="9.21875" style="441"/>
  </cols>
  <sheetData>
    <row r="1" spans="1:9" ht="14.4">
      <c r="A1" s="280" t="s">
        <v>1005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 ht="22.5" customHeight="1">
      <c r="A7" s="1210"/>
      <c r="B7" s="1209" t="s">
        <v>95</v>
      </c>
      <c r="C7" s="1206">
        <v>1290368913.9000001</v>
      </c>
      <c r="D7" s="1204">
        <v>2406175351.71</v>
      </c>
      <c r="E7" s="1204">
        <v>702818430.72000003</v>
      </c>
      <c r="F7" s="1204">
        <v>1703356920.99</v>
      </c>
      <c r="G7" s="1205">
        <v>100</v>
      </c>
      <c r="H7" s="1205">
        <v>186.5</v>
      </c>
      <c r="I7" s="1213">
        <v>95.3</v>
      </c>
    </row>
    <row r="8" spans="1:9">
      <c r="A8" s="1200" t="s">
        <v>96</v>
      </c>
      <c r="B8" s="1211" t="s">
        <v>97</v>
      </c>
      <c r="C8" s="1207">
        <v>97173479.090000004</v>
      </c>
      <c r="D8" s="1198">
        <v>241590113.12</v>
      </c>
      <c r="E8" s="1198">
        <v>67785832.780000001</v>
      </c>
      <c r="F8" s="1198">
        <v>173804280.34</v>
      </c>
      <c r="G8" s="1199">
        <v>10</v>
      </c>
      <c r="H8" s="1199">
        <v>248.6</v>
      </c>
      <c r="I8" s="1214">
        <v>125.1</v>
      </c>
    </row>
    <row r="9" spans="1:9">
      <c r="A9" s="1200" t="s">
        <v>98</v>
      </c>
      <c r="B9" s="1211" t="s">
        <v>99</v>
      </c>
      <c r="C9" s="1207">
        <v>78822231.540000007</v>
      </c>
      <c r="D9" s="1198">
        <v>107093089.55</v>
      </c>
      <c r="E9" s="1198">
        <v>18993643.82</v>
      </c>
      <c r="F9" s="1198">
        <v>88099445.729999989</v>
      </c>
      <c r="G9" s="1199">
        <v>4.5</v>
      </c>
      <c r="H9" s="1199">
        <v>135.9</v>
      </c>
      <c r="I9" s="1214">
        <v>83.7</v>
      </c>
    </row>
    <row r="10" spans="1:9">
      <c r="A10" s="1200" t="s">
        <v>100</v>
      </c>
      <c r="B10" s="1211" t="s">
        <v>101</v>
      </c>
      <c r="C10" s="1207">
        <v>80219401.530000001</v>
      </c>
      <c r="D10" s="1198">
        <v>170281492.03</v>
      </c>
      <c r="E10" s="1198">
        <v>78627879.810000002</v>
      </c>
      <c r="F10" s="1198">
        <v>91653612.219999999</v>
      </c>
      <c r="G10" s="1199">
        <v>7.1</v>
      </c>
      <c r="H10" s="1199">
        <v>212.3</v>
      </c>
      <c r="I10" s="1214">
        <v>113.5</v>
      </c>
    </row>
    <row r="11" spans="1:9">
      <c r="A11" s="1200" t="s">
        <v>102</v>
      </c>
      <c r="B11" s="1211" t="s">
        <v>103</v>
      </c>
      <c r="C11" s="1207">
        <v>40564570.719999999</v>
      </c>
      <c r="D11" s="1198">
        <v>84497620.959999993</v>
      </c>
      <c r="E11" s="1198">
        <v>17597028.370000001</v>
      </c>
      <c r="F11" s="1198">
        <v>66900592.589999989</v>
      </c>
      <c r="G11" s="1199">
        <v>3.5</v>
      </c>
      <c r="H11" s="1199">
        <v>208.3</v>
      </c>
      <c r="I11" s="1214">
        <v>118</v>
      </c>
    </row>
    <row r="12" spans="1:9">
      <c r="A12" s="1200" t="s">
        <v>104</v>
      </c>
      <c r="B12" s="1211" t="s">
        <v>105</v>
      </c>
      <c r="C12" s="1207">
        <v>74762146.260000005</v>
      </c>
      <c r="D12" s="1198">
        <v>122417729.47</v>
      </c>
      <c r="E12" s="1198">
        <v>27198052.670000002</v>
      </c>
      <c r="F12" s="1198">
        <v>95219676.799999997</v>
      </c>
      <c r="G12" s="1199">
        <v>5.0999999999999996</v>
      </c>
      <c r="H12" s="1199">
        <v>163.69999999999999</v>
      </c>
      <c r="I12" s="1214">
        <v>77</v>
      </c>
    </row>
    <row r="13" spans="1:9">
      <c r="A13" s="1200" t="s">
        <v>106</v>
      </c>
      <c r="B13" s="1211" t="s">
        <v>107</v>
      </c>
      <c r="C13" s="1207">
        <v>108104574.16</v>
      </c>
      <c r="D13" s="1198">
        <v>177128352.50999999</v>
      </c>
      <c r="E13" s="1198">
        <v>46689597.030000001</v>
      </c>
      <c r="F13" s="1198">
        <v>130438755.47999999</v>
      </c>
      <c r="G13" s="1199">
        <v>7.4</v>
      </c>
      <c r="H13" s="1199">
        <v>163.80000000000001</v>
      </c>
      <c r="I13" s="1214">
        <v>72.7</v>
      </c>
    </row>
    <row r="14" spans="1:9">
      <c r="A14" s="1200" t="s">
        <v>108</v>
      </c>
      <c r="B14" s="1211" t="s">
        <v>109</v>
      </c>
      <c r="C14" s="1207">
        <v>144298062.66</v>
      </c>
      <c r="D14" s="1198">
        <v>340538801.73000002</v>
      </c>
      <c r="E14" s="1198">
        <v>127534319.20999999</v>
      </c>
      <c r="F14" s="1198">
        <v>213004482.52000004</v>
      </c>
      <c r="G14" s="1199">
        <v>14.2</v>
      </c>
      <c r="H14" s="1199">
        <v>236</v>
      </c>
      <c r="I14" s="1214">
        <v>105.8</v>
      </c>
    </row>
    <row r="15" spans="1:9">
      <c r="A15" s="1200" t="s">
        <v>110</v>
      </c>
      <c r="B15" s="1211" t="s">
        <v>111</v>
      </c>
      <c r="C15" s="1207">
        <v>56608040.759999998</v>
      </c>
      <c r="D15" s="1198">
        <v>89675087.030000001</v>
      </c>
      <c r="E15" s="1198">
        <v>22671672.489999998</v>
      </c>
      <c r="F15" s="1198">
        <v>67003414.540000007</v>
      </c>
      <c r="G15" s="1199">
        <v>3.7</v>
      </c>
      <c r="H15" s="1199">
        <v>158.4</v>
      </c>
      <c r="I15" s="1214">
        <v>111.4</v>
      </c>
    </row>
    <row r="16" spans="1:9">
      <c r="A16" s="1200" t="s">
        <v>112</v>
      </c>
      <c r="B16" s="1211" t="s">
        <v>113</v>
      </c>
      <c r="C16" s="1207">
        <v>87858302.769999996</v>
      </c>
      <c r="D16" s="1198">
        <v>127131914.13</v>
      </c>
      <c r="E16" s="1198">
        <v>37582864.579999998</v>
      </c>
      <c r="F16" s="1198">
        <v>89549049.549999997</v>
      </c>
      <c r="G16" s="1199">
        <v>5.3</v>
      </c>
      <c r="H16" s="1199">
        <v>144.69999999999999</v>
      </c>
      <c r="I16" s="1214">
        <v>73.8</v>
      </c>
    </row>
    <row r="17" spans="1:9">
      <c r="A17" s="1200" t="s">
        <v>114</v>
      </c>
      <c r="B17" s="1211" t="s">
        <v>115</v>
      </c>
      <c r="C17" s="1207">
        <v>31719363.879999999</v>
      </c>
      <c r="D17" s="1198">
        <v>49841914.119999997</v>
      </c>
      <c r="E17" s="1198">
        <v>17405153.75</v>
      </c>
      <c r="F17" s="1198">
        <v>32436760.369999997</v>
      </c>
      <c r="G17" s="1199">
        <v>2.1</v>
      </c>
      <c r="H17" s="1199">
        <v>157.1</v>
      </c>
      <c r="I17" s="1214">
        <v>69.7</v>
      </c>
    </row>
    <row r="18" spans="1:9">
      <c r="A18" s="1200" t="s">
        <v>116</v>
      </c>
      <c r="B18" s="1211" t="s">
        <v>117</v>
      </c>
      <c r="C18" s="1207">
        <v>95203516.040000007</v>
      </c>
      <c r="D18" s="1198">
        <v>125424963.95999999</v>
      </c>
      <c r="E18" s="1198">
        <v>26198229.640000001</v>
      </c>
      <c r="F18" s="1198">
        <v>99226734.319999993</v>
      </c>
      <c r="G18" s="1199">
        <v>5.2</v>
      </c>
      <c r="H18" s="1199">
        <v>131.69999999999999</v>
      </c>
      <c r="I18" s="1214">
        <v>82.8</v>
      </c>
    </row>
    <row r="19" spans="1:9">
      <c r="A19" s="1200" t="s">
        <v>118</v>
      </c>
      <c r="B19" s="1211" t="s">
        <v>119</v>
      </c>
      <c r="C19" s="1207">
        <v>102083835.70999999</v>
      </c>
      <c r="D19" s="1198">
        <v>175982271.22</v>
      </c>
      <c r="E19" s="1198">
        <v>47115985.780000001</v>
      </c>
      <c r="F19" s="1198">
        <v>128866285.44</v>
      </c>
      <c r="G19" s="1199">
        <v>7.3</v>
      </c>
      <c r="H19" s="1199">
        <v>172.4</v>
      </c>
      <c r="I19" s="1214">
        <v>90.6</v>
      </c>
    </row>
    <row r="20" spans="1:9">
      <c r="A20" s="1200" t="s">
        <v>120</v>
      </c>
      <c r="B20" s="1211" t="s">
        <v>121</v>
      </c>
      <c r="C20" s="1207">
        <v>65392921.159999996</v>
      </c>
      <c r="D20" s="1198">
        <v>149400158.90000001</v>
      </c>
      <c r="E20" s="1198">
        <v>40408428.740000002</v>
      </c>
      <c r="F20" s="1198">
        <v>108991730.16</v>
      </c>
      <c r="G20" s="1199">
        <v>6.2</v>
      </c>
      <c r="H20" s="1199">
        <v>228.5</v>
      </c>
      <c r="I20" s="1214">
        <v>152.80000000000001</v>
      </c>
    </row>
    <row r="21" spans="1:9">
      <c r="A21" s="1200" t="s">
        <v>122</v>
      </c>
      <c r="B21" s="1211" t="s">
        <v>123</v>
      </c>
      <c r="C21" s="1207">
        <v>68663641.530000001</v>
      </c>
      <c r="D21" s="1198">
        <v>132751655.15000001</v>
      </c>
      <c r="E21" s="1198">
        <v>43479236</v>
      </c>
      <c r="F21" s="1198">
        <v>89272419.150000006</v>
      </c>
      <c r="G21" s="1199">
        <v>5.5</v>
      </c>
      <c r="H21" s="1199">
        <v>193.3</v>
      </c>
      <c r="I21" s="1214">
        <v>124</v>
      </c>
    </row>
    <row r="22" spans="1:9">
      <c r="A22" s="1200" t="s">
        <v>124</v>
      </c>
      <c r="B22" s="1211" t="s">
        <v>125</v>
      </c>
      <c r="C22" s="1207">
        <v>95068209.790000007</v>
      </c>
      <c r="D22" s="1198">
        <v>224097545.37</v>
      </c>
      <c r="E22" s="1198">
        <v>81567104.439999998</v>
      </c>
      <c r="F22" s="1198">
        <v>142530440.93000001</v>
      </c>
      <c r="G22" s="1199">
        <v>9.3000000000000007</v>
      </c>
      <c r="H22" s="1199">
        <v>235.7</v>
      </c>
      <c r="I22" s="1214">
        <v>82.2</v>
      </c>
    </row>
    <row r="23" spans="1:9">
      <c r="A23" s="1201" t="s">
        <v>126</v>
      </c>
      <c r="B23" s="1212" t="s">
        <v>127</v>
      </c>
      <c r="C23" s="1208">
        <v>63826616.299999997</v>
      </c>
      <c r="D23" s="1202">
        <v>88322642.459999993</v>
      </c>
      <c r="E23" s="1202">
        <v>1963401.61</v>
      </c>
      <c r="F23" s="1202">
        <v>86359240.849999994</v>
      </c>
      <c r="G23" s="1203">
        <v>3.7</v>
      </c>
      <c r="H23" s="1203">
        <v>138.4</v>
      </c>
      <c r="I23" s="1215">
        <v>80.900000000000006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7">
    <mergeCell ref="I3:I4"/>
    <mergeCell ref="C5:F5"/>
    <mergeCell ref="G5:H5"/>
    <mergeCell ref="A3:A5"/>
    <mergeCell ref="B3:B5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7A3D-EA5D-478C-B450-450B6136CD9C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6.21875" style="441" customWidth="1"/>
    <col min="2" max="2" width="15.44140625" style="441" customWidth="1"/>
    <col min="3" max="4" width="10.77734375" style="441" bestFit="1" customWidth="1"/>
    <col min="5" max="5" width="9.77734375" style="441" bestFit="1" customWidth="1"/>
    <col min="6" max="6" width="10.77734375" style="441" customWidth="1"/>
    <col min="7" max="7" width="7.21875" style="441" bestFit="1" customWidth="1"/>
    <col min="8" max="8" width="7.44140625" style="441" bestFit="1" customWidth="1"/>
    <col min="9" max="9" width="10.77734375" style="441" customWidth="1"/>
    <col min="10" max="16384" width="9.21875" style="441"/>
  </cols>
  <sheetData>
    <row r="1" spans="1:9" ht="35.549999999999997" customHeight="1">
      <c r="A1" s="2203" t="s">
        <v>1006</v>
      </c>
      <c r="B1" s="2203"/>
      <c r="C1" s="2203"/>
      <c r="D1" s="2203"/>
      <c r="E1" s="2203"/>
      <c r="F1" s="2203"/>
      <c r="G1" s="2203"/>
      <c r="H1" s="2203"/>
      <c r="I1" s="220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 ht="21.75" customHeight="1">
      <c r="A7" s="1228"/>
      <c r="B7" s="1227" t="s">
        <v>95</v>
      </c>
      <c r="C7" s="1224">
        <v>104375844.14</v>
      </c>
      <c r="D7" s="1222">
        <v>142070686.81999999</v>
      </c>
      <c r="E7" s="1222">
        <v>11560240.08</v>
      </c>
      <c r="F7" s="1222">
        <v>130510446.73999999</v>
      </c>
      <c r="G7" s="1223">
        <v>100</v>
      </c>
      <c r="H7" s="1223">
        <v>136.1</v>
      </c>
      <c r="I7" s="1231">
        <v>5.6</v>
      </c>
    </row>
    <row r="8" spans="1:9">
      <c r="A8" s="1218" t="s">
        <v>96</v>
      </c>
      <c r="B8" s="1229" t="s">
        <v>97</v>
      </c>
      <c r="C8" s="1225">
        <v>9882204.1099999994</v>
      </c>
      <c r="D8" s="1216">
        <v>17321572.140000001</v>
      </c>
      <c r="E8" s="1216">
        <v>2416733.9700000002</v>
      </c>
      <c r="F8" s="1216">
        <v>14904838.17</v>
      </c>
      <c r="G8" s="1217">
        <v>12.2</v>
      </c>
      <c r="H8" s="1217">
        <v>175.3</v>
      </c>
      <c r="I8" s="1232">
        <v>9</v>
      </c>
    </row>
    <row r="9" spans="1:9">
      <c r="A9" s="1218" t="s">
        <v>98</v>
      </c>
      <c r="B9" s="1229" t="s">
        <v>99</v>
      </c>
      <c r="C9" s="1225">
        <v>3846569.64</v>
      </c>
      <c r="D9" s="1216">
        <v>6835125.9500000002</v>
      </c>
      <c r="E9" s="1216">
        <v>690843.29</v>
      </c>
      <c r="F9" s="1216">
        <v>6144282.6600000001</v>
      </c>
      <c r="G9" s="1217">
        <v>4.8</v>
      </c>
      <c r="H9" s="1217">
        <v>177.7</v>
      </c>
      <c r="I9" s="1232">
        <v>5.3</v>
      </c>
    </row>
    <row r="10" spans="1:9">
      <c r="A10" s="1218" t="s">
        <v>100</v>
      </c>
      <c r="B10" s="1229" t="s">
        <v>101</v>
      </c>
      <c r="C10" s="1225">
        <v>5668805.4699999997</v>
      </c>
      <c r="D10" s="1216">
        <v>6171213.3200000003</v>
      </c>
      <c r="E10" s="1216">
        <v>53903.519999999997</v>
      </c>
      <c r="F10" s="1216">
        <v>6117309.8000000007</v>
      </c>
      <c r="G10" s="1217">
        <v>4.3</v>
      </c>
      <c r="H10" s="1217">
        <v>108.9</v>
      </c>
      <c r="I10" s="1232">
        <v>4.0999999999999996</v>
      </c>
    </row>
    <row r="11" spans="1:9">
      <c r="A11" s="1218" t="s">
        <v>102</v>
      </c>
      <c r="B11" s="1229" t="s">
        <v>103</v>
      </c>
      <c r="C11" s="1225">
        <v>2481026.9900000002</v>
      </c>
      <c r="D11" s="1216">
        <v>3505883.02</v>
      </c>
      <c r="E11" s="1216">
        <v>290923.88</v>
      </c>
      <c r="F11" s="1216">
        <v>3214959.14</v>
      </c>
      <c r="G11" s="1217">
        <v>2.5</v>
      </c>
      <c r="H11" s="1217">
        <v>141.30000000000001</v>
      </c>
      <c r="I11" s="1232">
        <v>4.9000000000000004</v>
      </c>
    </row>
    <row r="12" spans="1:9">
      <c r="A12" s="1218" t="s">
        <v>104</v>
      </c>
      <c r="B12" s="1229" t="s">
        <v>105</v>
      </c>
      <c r="C12" s="1225">
        <v>6409081.5499999998</v>
      </c>
      <c r="D12" s="1216">
        <v>8504975.5199999996</v>
      </c>
      <c r="E12" s="1216">
        <v>355447</v>
      </c>
      <c r="F12" s="1216">
        <v>8149528.5199999996</v>
      </c>
      <c r="G12" s="1217">
        <v>6</v>
      </c>
      <c r="H12" s="1217">
        <v>132.69999999999999</v>
      </c>
      <c r="I12" s="1232">
        <v>5.4</v>
      </c>
    </row>
    <row r="13" spans="1:9">
      <c r="A13" s="1218" t="s">
        <v>106</v>
      </c>
      <c r="B13" s="1229" t="s">
        <v>107</v>
      </c>
      <c r="C13" s="1225">
        <v>11912234.58</v>
      </c>
      <c r="D13" s="1216">
        <v>10851319.029999999</v>
      </c>
      <c r="E13" s="1216">
        <v>252340.68</v>
      </c>
      <c r="F13" s="1216">
        <v>10598978.35</v>
      </c>
      <c r="G13" s="1217">
        <v>7.6</v>
      </c>
      <c r="H13" s="1217">
        <v>91.1</v>
      </c>
      <c r="I13" s="1232">
        <v>4.5</v>
      </c>
    </row>
    <row r="14" spans="1:9">
      <c r="A14" s="1218" t="s">
        <v>108</v>
      </c>
      <c r="B14" s="1229" t="s">
        <v>109</v>
      </c>
      <c r="C14" s="1225">
        <v>12878342.119999999</v>
      </c>
      <c r="D14" s="1216">
        <v>17374907.649999999</v>
      </c>
      <c r="E14" s="1216">
        <v>264175</v>
      </c>
      <c r="F14" s="1216">
        <v>17110732.649999999</v>
      </c>
      <c r="G14" s="1217">
        <v>12.2</v>
      </c>
      <c r="H14" s="1217">
        <v>134.9</v>
      </c>
      <c r="I14" s="1232">
        <v>5.4</v>
      </c>
    </row>
    <row r="15" spans="1:9">
      <c r="A15" s="1218" t="s">
        <v>110</v>
      </c>
      <c r="B15" s="1229" t="s">
        <v>111</v>
      </c>
      <c r="C15" s="1225">
        <v>3574668.29</v>
      </c>
      <c r="D15" s="1216">
        <v>9627497.6400000006</v>
      </c>
      <c r="E15" s="1216">
        <v>5895033</v>
      </c>
      <c r="F15" s="1216">
        <v>3732464.6400000006</v>
      </c>
      <c r="G15" s="1217">
        <v>6.8</v>
      </c>
      <c r="H15" s="1217">
        <v>269.3</v>
      </c>
      <c r="I15" s="1232">
        <v>12</v>
      </c>
    </row>
    <row r="16" spans="1:9">
      <c r="A16" s="1218" t="s">
        <v>112</v>
      </c>
      <c r="B16" s="1229" t="s">
        <v>113</v>
      </c>
      <c r="C16" s="1225">
        <v>5665850.5499999998</v>
      </c>
      <c r="D16" s="1216">
        <v>9673456.7100000009</v>
      </c>
      <c r="E16" s="1216">
        <v>378136.5</v>
      </c>
      <c r="F16" s="1216">
        <v>9295320.2100000009</v>
      </c>
      <c r="G16" s="1217">
        <v>6.8</v>
      </c>
      <c r="H16" s="1217">
        <v>170.7</v>
      </c>
      <c r="I16" s="1232">
        <v>5.6</v>
      </c>
    </row>
    <row r="17" spans="1:9">
      <c r="A17" s="1218" t="s">
        <v>114</v>
      </c>
      <c r="B17" s="1229" t="s">
        <v>115</v>
      </c>
      <c r="C17" s="1225">
        <v>2879660.41</v>
      </c>
      <c r="D17" s="1216">
        <v>3589511.06</v>
      </c>
      <c r="E17" s="1216">
        <v>60024</v>
      </c>
      <c r="F17" s="1216">
        <v>3529487.06</v>
      </c>
      <c r="G17" s="1217">
        <v>2.5</v>
      </c>
      <c r="H17" s="1217">
        <v>124.7</v>
      </c>
      <c r="I17" s="1232">
        <v>5</v>
      </c>
    </row>
    <row r="18" spans="1:9">
      <c r="A18" s="1218" t="s">
        <v>116</v>
      </c>
      <c r="B18" s="1229" t="s">
        <v>117</v>
      </c>
      <c r="C18" s="1225">
        <v>5670809.8600000003</v>
      </c>
      <c r="D18" s="1216">
        <v>7759839.2699999996</v>
      </c>
      <c r="E18" s="1216">
        <v>339000</v>
      </c>
      <c r="F18" s="1216">
        <v>7420839.2699999996</v>
      </c>
      <c r="G18" s="1217">
        <v>5.5</v>
      </c>
      <c r="H18" s="1217">
        <v>136.80000000000001</v>
      </c>
      <c r="I18" s="1232">
        <v>5.0999999999999996</v>
      </c>
    </row>
    <row r="19" spans="1:9">
      <c r="A19" s="1218" t="s">
        <v>118</v>
      </c>
      <c r="B19" s="1229" t="s">
        <v>119</v>
      </c>
      <c r="C19" s="1225">
        <v>6532793.3700000001</v>
      </c>
      <c r="D19" s="1216">
        <v>7825673.9800000004</v>
      </c>
      <c r="E19" s="1216">
        <v>0</v>
      </c>
      <c r="F19" s="1216">
        <v>7825673.9800000004</v>
      </c>
      <c r="G19" s="1217">
        <v>5.5</v>
      </c>
      <c r="H19" s="1217">
        <v>119.8</v>
      </c>
      <c r="I19" s="1232">
        <v>4</v>
      </c>
    </row>
    <row r="20" spans="1:9">
      <c r="A20" s="1218" t="s">
        <v>120</v>
      </c>
      <c r="B20" s="1229" t="s">
        <v>121</v>
      </c>
      <c r="C20" s="1225">
        <v>2648938.87</v>
      </c>
      <c r="D20" s="1216">
        <v>4434510.0999999996</v>
      </c>
      <c r="E20" s="1216">
        <v>0</v>
      </c>
      <c r="F20" s="1216">
        <v>4434510.0999999996</v>
      </c>
      <c r="G20" s="1217">
        <v>3.1</v>
      </c>
      <c r="H20" s="1217">
        <v>167.4</v>
      </c>
      <c r="I20" s="1232">
        <v>4.5</v>
      </c>
    </row>
    <row r="21" spans="1:9">
      <c r="A21" s="1218" t="s">
        <v>122</v>
      </c>
      <c r="B21" s="1229" t="s">
        <v>123</v>
      </c>
      <c r="C21" s="1225">
        <v>8133383.0700000003</v>
      </c>
      <c r="D21" s="1216">
        <v>9100493.2899999991</v>
      </c>
      <c r="E21" s="1216">
        <v>216564</v>
      </c>
      <c r="F21" s="1216">
        <v>8883929.2899999991</v>
      </c>
      <c r="G21" s="1217">
        <v>6.4</v>
      </c>
      <c r="H21" s="1217">
        <v>111.9</v>
      </c>
      <c r="I21" s="1232">
        <v>8.5</v>
      </c>
    </row>
    <row r="22" spans="1:9">
      <c r="A22" s="1218" t="s">
        <v>124</v>
      </c>
      <c r="B22" s="1229" t="s">
        <v>125</v>
      </c>
      <c r="C22" s="1225">
        <v>8786055.5999999996</v>
      </c>
      <c r="D22" s="1216">
        <v>9722156.4800000004</v>
      </c>
      <c r="E22" s="1216">
        <v>254784</v>
      </c>
      <c r="F22" s="1216">
        <v>9467372.4800000004</v>
      </c>
      <c r="G22" s="1217">
        <v>6.8</v>
      </c>
      <c r="H22" s="1217">
        <v>110.7</v>
      </c>
      <c r="I22" s="1232">
        <v>3.6</v>
      </c>
    </row>
    <row r="23" spans="1:9">
      <c r="A23" s="1219" t="s">
        <v>126</v>
      </c>
      <c r="B23" s="1230" t="s">
        <v>127</v>
      </c>
      <c r="C23" s="1226">
        <v>7405419.6600000001</v>
      </c>
      <c r="D23" s="1220">
        <v>9772551.6600000001</v>
      </c>
      <c r="E23" s="1220">
        <v>92331.24</v>
      </c>
      <c r="F23" s="1220">
        <v>9680220.4199999999</v>
      </c>
      <c r="G23" s="1221">
        <v>6.9</v>
      </c>
      <c r="H23" s="1221">
        <v>132</v>
      </c>
      <c r="I23" s="1233">
        <v>8.9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ageMargins left="0.7" right="0.7" top="0.75" bottom="0.75" header="0.3" footer="0.3"/>
  <pageSetup paperSize="9" scale="98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1405-190D-440B-821C-27AC9B3B1AA6}">
  <dimension ref="A1:I42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6" customWidth="1"/>
    <col min="2" max="2" width="22.77734375" customWidth="1"/>
    <col min="3" max="4" width="11.77734375" bestFit="1" customWidth="1"/>
    <col min="5" max="5" width="6.5546875" bestFit="1" customWidth="1"/>
    <col min="6" max="7" width="10.77734375" bestFit="1" customWidth="1"/>
    <col min="8" max="9" width="6.5546875" bestFit="1" customWidth="1"/>
  </cols>
  <sheetData>
    <row r="1" spans="1:9" ht="54.75" customHeight="1">
      <c r="A1" s="2214" t="s">
        <v>1007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432" t="s">
        <v>130</v>
      </c>
      <c r="G3" s="2432"/>
      <c r="H3" s="2432"/>
      <c r="I3" s="715" t="s">
        <v>131</v>
      </c>
    </row>
    <row r="4" spans="1:9">
      <c r="A4" s="2139"/>
      <c r="B4" s="2141"/>
      <c r="C4" s="767" t="s">
        <v>3</v>
      </c>
      <c r="D4" s="768" t="s">
        <v>2</v>
      </c>
      <c r="E4" s="769" t="s">
        <v>92</v>
      </c>
      <c r="F4" s="768" t="s">
        <v>3</v>
      </c>
      <c r="G4" s="768" t="s">
        <v>2</v>
      </c>
      <c r="H4" s="769" t="s">
        <v>132</v>
      </c>
      <c r="I4" s="770" t="s">
        <v>133</v>
      </c>
    </row>
    <row r="5" spans="1:9">
      <c r="A5" s="2139"/>
      <c r="B5" s="2141"/>
      <c r="C5" s="2433" t="s">
        <v>93</v>
      </c>
      <c r="D5" s="2434"/>
      <c r="E5" s="768" t="s">
        <v>134</v>
      </c>
      <c r="F5" s="2434" t="s">
        <v>93</v>
      </c>
      <c r="G5" s="2434"/>
      <c r="H5" s="2434" t="s">
        <v>134</v>
      </c>
      <c r="I5" s="2435"/>
    </row>
    <row r="6" spans="1:9">
      <c r="A6" s="181" t="s">
        <v>10</v>
      </c>
      <c r="B6" s="184" t="s">
        <v>11</v>
      </c>
      <c r="C6" s="181" t="s">
        <v>12</v>
      </c>
      <c r="D6" s="182" t="s">
        <v>13</v>
      </c>
      <c r="E6" s="182" t="s">
        <v>14</v>
      </c>
      <c r="F6" s="182" t="s">
        <v>15</v>
      </c>
      <c r="G6" s="182" t="s">
        <v>16</v>
      </c>
      <c r="H6" s="182" t="s">
        <v>17</v>
      </c>
      <c r="I6" s="183" t="s">
        <v>94</v>
      </c>
    </row>
    <row r="7" spans="1:9">
      <c r="A7" s="1244"/>
      <c r="B7" s="1241" t="s">
        <v>95</v>
      </c>
      <c r="C7" s="1250">
        <v>2347854995.8699999</v>
      </c>
      <c r="D7" s="1240">
        <v>1971520505.4400001</v>
      </c>
      <c r="E7" s="1247">
        <v>84</v>
      </c>
      <c r="F7" s="1240">
        <v>839945785.28999996</v>
      </c>
      <c r="G7" s="1240">
        <v>743585341.30999994</v>
      </c>
      <c r="H7" s="1247">
        <v>88.5</v>
      </c>
      <c r="I7" s="1251">
        <v>37.700000000000003</v>
      </c>
    </row>
    <row r="8" spans="1:9">
      <c r="A8" s="1236" t="s">
        <v>19</v>
      </c>
      <c r="B8" s="1242" t="s">
        <v>20</v>
      </c>
      <c r="C8" s="1248">
        <v>585868106.03999996</v>
      </c>
      <c r="D8" s="1234">
        <v>580267135.52999997</v>
      </c>
      <c r="E8" s="1246">
        <v>99</v>
      </c>
      <c r="F8" s="1235">
        <v>41404411.49000001</v>
      </c>
      <c r="G8" s="1235">
        <v>37376700.689999938</v>
      </c>
      <c r="H8" s="1235">
        <v>90.3</v>
      </c>
      <c r="I8" s="1252">
        <v>6.4</v>
      </c>
    </row>
    <row r="9" spans="1:9">
      <c r="A9" s="1236" t="s">
        <v>21</v>
      </c>
      <c r="B9" s="1242" t="s">
        <v>22</v>
      </c>
      <c r="C9" s="1248">
        <v>0</v>
      </c>
      <c r="D9" s="1234">
        <v>0</v>
      </c>
      <c r="E9" s="2065" t="s">
        <v>936</v>
      </c>
      <c r="F9" s="1235">
        <v>0</v>
      </c>
      <c r="G9" s="1235">
        <v>0</v>
      </c>
      <c r="H9" s="2048" t="s">
        <v>936</v>
      </c>
      <c r="I9" s="2064" t="s">
        <v>936</v>
      </c>
    </row>
    <row r="10" spans="1:9">
      <c r="A10" s="1236" t="s">
        <v>23</v>
      </c>
      <c r="B10" s="1242" t="s">
        <v>24</v>
      </c>
      <c r="C10" s="1248">
        <v>0</v>
      </c>
      <c r="D10" s="1234">
        <v>0</v>
      </c>
      <c r="E10" s="2065" t="s">
        <v>936</v>
      </c>
      <c r="F10" s="1235">
        <v>0</v>
      </c>
      <c r="G10" s="1235">
        <v>0</v>
      </c>
      <c r="H10" s="2048" t="s">
        <v>936</v>
      </c>
      <c r="I10" s="2064" t="s">
        <v>936</v>
      </c>
    </row>
    <row r="11" spans="1:9">
      <c r="A11" s="1236" t="s">
        <v>25</v>
      </c>
      <c r="B11" s="1242" t="s">
        <v>26</v>
      </c>
      <c r="C11" s="1248">
        <v>0</v>
      </c>
      <c r="D11" s="1234">
        <v>0</v>
      </c>
      <c r="E11" s="2065" t="s">
        <v>936</v>
      </c>
      <c r="F11" s="1235">
        <v>0</v>
      </c>
      <c r="G11" s="1235">
        <v>0</v>
      </c>
      <c r="H11" s="2048" t="s">
        <v>936</v>
      </c>
      <c r="I11" s="2064" t="s">
        <v>936</v>
      </c>
    </row>
    <row r="12" spans="1:9">
      <c r="A12" s="1236" t="s">
        <v>27</v>
      </c>
      <c r="B12" s="1242" t="s">
        <v>28</v>
      </c>
      <c r="C12" s="1248">
        <v>87492.45</v>
      </c>
      <c r="D12" s="1234">
        <v>87492.45</v>
      </c>
      <c r="E12" s="1246">
        <v>100</v>
      </c>
      <c r="F12" s="1235">
        <v>87492.45</v>
      </c>
      <c r="G12" s="1235">
        <v>87492.45</v>
      </c>
      <c r="H12" s="1235">
        <v>100</v>
      </c>
      <c r="I12" s="1252">
        <v>100</v>
      </c>
    </row>
    <row r="13" spans="1:9" ht="26.4">
      <c r="A13" s="1236" t="s">
        <v>29</v>
      </c>
      <c r="B13" s="1242" t="s">
        <v>30</v>
      </c>
      <c r="C13" s="1248">
        <v>0</v>
      </c>
      <c r="D13" s="1234">
        <v>179463.87</v>
      </c>
      <c r="E13" s="2065" t="s">
        <v>936</v>
      </c>
      <c r="F13" s="1235">
        <v>0</v>
      </c>
      <c r="G13" s="1235">
        <v>0</v>
      </c>
      <c r="H13" s="2048" t="s">
        <v>936</v>
      </c>
      <c r="I13" s="2064" t="s">
        <v>936</v>
      </c>
    </row>
    <row r="14" spans="1:9">
      <c r="A14" s="1236" t="s">
        <v>31</v>
      </c>
      <c r="B14" s="1242" t="s">
        <v>32</v>
      </c>
      <c r="C14" s="1248">
        <v>0</v>
      </c>
      <c r="D14" s="1234">
        <v>0</v>
      </c>
      <c r="E14" s="2065" t="s">
        <v>936</v>
      </c>
      <c r="F14" s="1235">
        <v>0</v>
      </c>
      <c r="G14" s="1235">
        <v>0</v>
      </c>
      <c r="H14" s="2048" t="s">
        <v>936</v>
      </c>
      <c r="I14" s="2064" t="s">
        <v>936</v>
      </c>
    </row>
    <row r="15" spans="1:9">
      <c r="A15" s="1236" t="s">
        <v>33</v>
      </c>
      <c r="B15" s="1242" t="s">
        <v>34</v>
      </c>
      <c r="C15" s="1248">
        <v>0</v>
      </c>
      <c r="D15" s="1234">
        <v>0</v>
      </c>
      <c r="E15" s="2065" t="s">
        <v>936</v>
      </c>
      <c r="F15" s="1235">
        <v>0</v>
      </c>
      <c r="G15" s="1235">
        <v>0</v>
      </c>
      <c r="H15" s="2048" t="s">
        <v>936</v>
      </c>
      <c r="I15" s="2064" t="s">
        <v>936</v>
      </c>
    </row>
    <row r="16" spans="1:9">
      <c r="A16" s="1236" t="s">
        <v>35</v>
      </c>
      <c r="B16" s="1242" t="s">
        <v>36</v>
      </c>
      <c r="C16" s="1248">
        <v>277376883.00999999</v>
      </c>
      <c r="D16" s="1234">
        <v>220122997.87</v>
      </c>
      <c r="E16" s="1246">
        <v>79.400000000000006</v>
      </c>
      <c r="F16" s="1235">
        <v>2399754.4800000191</v>
      </c>
      <c r="G16" s="1235">
        <v>857893.08000001311</v>
      </c>
      <c r="H16" s="1235">
        <v>35.700000000000003</v>
      </c>
      <c r="I16" s="1252">
        <v>0.4</v>
      </c>
    </row>
    <row r="17" spans="1:9">
      <c r="A17" s="1236" t="s">
        <v>37</v>
      </c>
      <c r="B17" s="1242" t="s">
        <v>38</v>
      </c>
      <c r="C17" s="1248">
        <v>6533793.4199999999</v>
      </c>
      <c r="D17" s="1234">
        <v>3302582.07</v>
      </c>
      <c r="E17" s="1246">
        <v>50.5</v>
      </c>
      <c r="F17" s="1235">
        <v>325325.20000000019</v>
      </c>
      <c r="G17" s="1235">
        <v>160438.29999999981</v>
      </c>
      <c r="H17" s="1235">
        <v>49.3</v>
      </c>
      <c r="I17" s="1252">
        <v>4.9000000000000004</v>
      </c>
    </row>
    <row r="18" spans="1:9">
      <c r="A18" s="1236" t="s">
        <v>39</v>
      </c>
      <c r="B18" s="1242" t="s">
        <v>40</v>
      </c>
      <c r="C18" s="1248">
        <v>11544235.32</v>
      </c>
      <c r="D18" s="1234">
        <v>5856714.5899999999</v>
      </c>
      <c r="E18" s="1246">
        <v>50.7</v>
      </c>
      <c r="F18" s="1235">
        <v>15660.390000000596</v>
      </c>
      <c r="G18" s="1235">
        <v>141366.45999999996</v>
      </c>
      <c r="H18" s="1235">
        <v>902.7</v>
      </c>
      <c r="I18" s="1252">
        <v>2.4</v>
      </c>
    </row>
    <row r="19" spans="1:9">
      <c r="A19" s="1236" t="s">
        <v>41</v>
      </c>
      <c r="B19" s="1242" t="s">
        <v>42</v>
      </c>
      <c r="C19" s="1248">
        <v>77191148.140000001</v>
      </c>
      <c r="D19" s="1234">
        <v>46570589.840000004</v>
      </c>
      <c r="E19" s="1246">
        <v>60.3</v>
      </c>
      <c r="F19" s="1235">
        <v>5664753.3400000036</v>
      </c>
      <c r="G19" s="1235">
        <v>2350343.6200000048</v>
      </c>
      <c r="H19" s="1235">
        <v>41.5</v>
      </c>
      <c r="I19" s="1252">
        <v>5</v>
      </c>
    </row>
    <row r="20" spans="1:9">
      <c r="A20" s="1236" t="s">
        <v>43</v>
      </c>
      <c r="B20" s="1242" t="s">
        <v>44</v>
      </c>
      <c r="C20" s="1248">
        <v>21364561.809999999</v>
      </c>
      <c r="D20" s="1234">
        <v>21847125.690000001</v>
      </c>
      <c r="E20" s="1246">
        <v>102.3</v>
      </c>
      <c r="F20" s="1235">
        <v>4700049.2399999984</v>
      </c>
      <c r="G20" s="1235">
        <v>3773051.370000001</v>
      </c>
      <c r="H20" s="1235">
        <v>80.3</v>
      </c>
      <c r="I20" s="1252">
        <v>17.3</v>
      </c>
    </row>
    <row r="21" spans="1:9">
      <c r="A21" s="1236" t="s">
        <v>45</v>
      </c>
      <c r="B21" s="1242" t="s">
        <v>46</v>
      </c>
      <c r="C21" s="1248">
        <v>0</v>
      </c>
      <c r="D21" s="1234">
        <v>0</v>
      </c>
      <c r="E21" s="1246" t="s">
        <v>135</v>
      </c>
      <c r="F21" s="1235">
        <v>0</v>
      </c>
      <c r="G21" s="1235">
        <v>0</v>
      </c>
      <c r="H21" s="1235" t="s">
        <v>135</v>
      </c>
      <c r="I21" s="1252" t="s">
        <v>135</v>
      </c>
    </row>
    <row r="22" spans="1:9">
      <c r="A22" s="1236" t="s">
        <v>47</v>
      </c>
      <c r="B22" s="1242" t="s">
        <v>48</v>
      </c>
      <c r="C22" s="1248">
        <v>139829738.05000001</v>
      </c>
      <c r="D22" s="1234">
        <v>112854426.94</v>
      </c>
      <c r="E22" s="1246">
        <v>80.7</v>
      </c>
      <c r="F22" s="1235">
        <v>39062780.640000015</v>
      </c>
      <c r="G22" s="1235">
        <v>28100799.189999998</v>
      </c>
      <c r="H22" s="1235">
        <v>71.900000000000006</v>
      </c>
      <c r="I22" s="1252">
        <v>24.9</v>
      </c>
    </row>
    <row r="23" spans="1:9" ht="39.6">
      <c r="A23" s="1236" t="s">
        <v>49</v>
      </c>
      <c r="B23" s="1242" t="s">
        <v>50</v>
      </c>
      <c r="C23" s="1248">
        <v>0</v>
      </c>
      <c r="D23" s="1234">
        <v>0</v>
      </c>
      <c r="E23" s="2065" t="s">
        <v>936</v>
      </c>
      <c r="F23" s="1235">
        <v>0</v>
      </c>
      <c r="G23" s="1235">
        <v>0</v>
      </c>
      <c r="H23" s="2048" t="s">
        <v>936</v>
      </c>
      <c r="I23" s="2064" t="s">
        <v>936</v>
      </c>
    </row>
    <row r="24" spans="1:9">
      <c r="A24" s="1236" t="s">
        <v>51</v>
      </c>
      <c r="B24" s="1242" t="s">
        <v>52</v>
      </c>
      <c r="C24" s="1248">
        <v>0</v>
      </c>
      <c r="D24" s="1234">
        <v>0</v>
      </c>
      <c r="E24" s="2065" t="s">
        <v>936</v>
      </c>
      <c r="F24" s="1235">
        <v>0</v>
      </c>
      <c r="G24" s="1235">
        <v>0</v>
      </c>
      <c r="H24" s="2048" t="s">
        <v>936</v>
      </c>
      <c r="I24" s="2064" t="s">
        <v>936</v>
      </c>
    </row>
    <row r="25" spans="1:9" ht="26.4">
      <c r="A25" s="1236" t="s">
        <v>53</v>
      </c>
      <c r="B25" s="1242" t="s">
        <v>54</v>
      </c>
      <c r="C25" s="1248">
        <v>0</v>
      </c>
      <c r="D25" s="1234">
        <v>0</v>
      </c>
      <c r="E25" s="2065" t="s">
        <v>936</v>
      </c>
      <c r="F25" s="1235">
        <v>0</v>
      </c>
      <c r="G25" s="1235">
        <v>0</v>
      </c>
      <c r="H25" s="2048" t="s">
        <v>936</v>
      </c>
      <c r="I25" s="2064" t="s">
        <v>936</v>
      </c>
    </row>
    <row r="26" spans="1:9" ht="26.4">
      <c r="A26" s="1236" t="s">
        <v>55</v>
      </c>
      <c r="B26" s="1242" t="s">
        <v>56</v>
      </c>
      <c r="C26" s="1248">
        <v>3560597.57</v>
      </c>
      <c r="D26" s="1234">
        <v>489518.12</v>
      </c>
      <c r="E26" s="1246">
        <v>13.7</v>
      </c>
      <c r="F26" s="1235">
        <v>655470.59999999963</v>
      </c>
      <c r="G26" s="1235">
        <v>132160.34999999998</v>
      </c>
      <c r="H26" s="1235">
        <v>20.2</v>
      </c>
      <c r="I26" s="1252">
        <v>27</v>
      </c>
    </row>
    <row r="27" spans="1:9">
      <c r="A27" s="1236" t="s">
        <v>57</v>
      </c>
      <c r="B27" s="1242" t="s">
        <v>58</v>
      </c>
      <c r="C27" s="1248">
        <v>0</v>
      </c>
      <c r="D27" s="1234">
        <v>0</v>
      </c>
      <c r="E27" s="2065" t="s">
        <v>936</v>
      </c>
      <c r="F27" s="1235">
        <v>0</v>
      </c>
      <c r="G27" s="1235">
        <v>0</v>
      </c>
      <c r="H27" s="2048" t="s">
        <v>936</v>
      </c>
      <c r="I27" s="2064" t="s">
        <v>936</v>
      </c>
    </row>
    <row r="28" spans="1:9" ht="66">
      <c r="A28" s="1236" t="s">
        <v>59</v>
      </c>
      <c r="B28" s="1242" t="s">
        <v>60</v>
      </c>
      <c r="C28" s="1248">
        <v>0</v>
      </c>
      <c r="D28" s="1234">
        <v>0</v>
      </c>
      <c r="E28" s="2065" t="s">
        <v>936</v>
      </c>
      <c r="F28" s="1235">
        <v>0</v>
      </c>
      <c r="G28" s="1235">
        <v>0</v>
      </c>
      <c r="H28" s="2048" t="s">
        <v>936</v>
      </c>
      <c r="I28" s="2064" t="s">
        <v>936</v>
      </c>
    </row>
    <row r="29" spans="1:9">
      <c r="A29" s="1236" t="s">
        <v>61</v>
      </c>
      <c r="B29" s="1242" t="s">
        <v>62</v>
      </c>
      <c r="C29" s="1248">
        <v>0</v>
      </c>
      <c r="D29" s="1234">
        <v>0</v>
      </c>
      <c r="E29" s="2065" t="s">
        <v>936</v>
      </c>
      <c r="F29" s="1235">
        <v>0</v>
      </c>
      <c r="G29" s="1235">
        <v>0</v>
      </c>
      <c r="H29" s="2048" t="s">
        <v>936</v>
      </c>
      <c r="I29" s="2064" t="s">
        <v>936</v>
      </c>
    </row>
    <row r="30" spans="1:9">
      <c r="A30" s="1236" t="s">
        <v>63</v>
      </c>
      <c r="B30" s="1242" t="s">
        <v>64</v>
      </c>
      <c r="C30" s="1248">
        <v>201100828.56</v>
      </c>
      <c r="D30" s="1234">
        <v>152612452.90000001</v>
      </c>
      <c r="E30" s="1246">
        <v>75.900000000000006</v>
      </c>
      <c r="F30" s="1235">
        <v>42242385.439999998</v>
      </c>
      <c r="G30" s="1235">
        <v>26426538.570000008</v>
      </c>
      <c r="H30" s="1235">
        <v>62.6</v>
      </c>
      <c r="I30" s="1252">
        <v>17.3</v>
      </c>
    </row>
    <row r="31" spans="1:9">
      <c r="A31" s="1236" t="s">
        <v>65</v>
      </c>
      <c r="B31" s="1242" t="s">
        <v>66</v>
      </c>
      <c r="C31" s="1248">
        <v>712658772.44000006</v>
      </c>
      <c r="D31" s="1234">
        <v>583531867.54999995</v>
      </c>
      <c r="E31" s="1246">
        <v>81.900000000000006</v>
      </c>
      <c r="F31" s="1235">
        <v>459862292.4000001</v>
      </c>
      <c r="G31" s="1235">
        <v>442364722.40999997</v>
      </c>
      <c r="H31" s="1235">
        <v>96.2</v>
      </c>
      <c r="I31" s="1252">
        <v>75.8</v>
      </c>
    </row>
    <row r="32" spans="1:9">
      <c r="A32" s="1236" t="s">
        <v>67</v>
      </c>
      <c r="B32" s="1242" t="s">
        <v>68</v>
      </c>
      <c r="C32" s="1248">
        <v>10206072.189999999</v>
      </c>
      <c r="D32" s="1234">
        <v>9841318.2400000002</v>
      </c>
      <c r="E32" s="1246">
        <v>96.4</v>
      </c>
      <c r="F32" s="1235">
        <v>3222779.0799999991</v>
      </c>
      <c r="G32" s="1235">
        <v>2318032.63</v>
      </c>
      <c r="H32" s="1235">
        <v>71.900000000000006</v>
      </c>
      <c r="I32" s="1252">
        <v>23.6</v>
      </c>
    </row>
    <row r="33" spans="1:9">
      <c r="A33" s="1236" t="s">
        <v>69</v>
      </c>
      <c r="B33" s="1242" t="s">
        <v>70</v>
      </c>
      <c r="C33" s="1248">
        <v>67573156.150000006</v>
      </c>
      <c r="D33" s="1234">
        <v>62359282.439999998</v>
      </c>
      <c r="E33" s="1246">
        <v>92.3</v>
      </c>
      <c r="F33" s="1235">
        <v>55870884.390000008</v>
      </c>
      <c r="G33" s="1235">
        <v>51549154.839999996</v>
      </c>
      <c r="H33" s="1235">
        <v>92.3</v>
      </c>
      <c r="I33" s="1252">
        <v>82.7</v>
      </c>
    </row>
    <row r="34" spans="1:9" ht="26.4">
      <c r="A34" s="1236" t="s">
        <v>71</v>
      </c>
      <c r="B34" s="1242" t="s">
        <v>72</v>
      </c>
      <c r="C34" s="1248">
        <v>133235394.95999999</v>
      </c>
      <c r="D34" s="1234">
        <v>107937218.56</v>
      </c>
      <c r="E34" s="1246">
        <v>81</v>
      </c>
      <c r="F34" s="1235">
        <v>122178081.08</v>
      </c>
      <c r="G34" s="1235">
        <v>102309302.5</v>
      </c>
      <c r="H34" s="1235">
        <v>83.7</v>
      </c>
      <c r="I34" s="1252">
        <v>94.8</v>
      </c>
    </row>
    <row r="35" spans="1:9">
      <c r="A35" s="1236" t="s">
        <v>73</v>
      </c>
      <c r="B35" s="1242" t="s">
        <v>74</v>
      </c>
      <c r="C35" s="1248">
        <v>12939639.390000001</v>
      </c>
      <c r="D35" s="1234">
        <v>9437588.9700000007</v>
      </c>
      <c r="E35" s="1246">
        <v>72.900000000000006</v>
      </c>
      <c r="F35" s="1235">
        <v>5108477.6800000006</v>
      </c>
      <c r="G35" s="1235">
        <v>6437744.9400000013</v>
      </c>
      <c r="H35" s="1235">
        <v>126</v>
      </c>
      <c r="I35" s="1252">
        <v>68.2</v>
      </c>
    </row>
    <row r="36" spans="1:9">
      <c r="A36" s="1236" t="s">
        <v>75</v>
      </c>
      <c r="B36" s="1242" t="s">
        <v>76</v>
      </c>
      <c r="C36" s="1248">
        <v>51339268.810000002</v>
      </c>
      <c r="D36" s="1234">
        <v>35504781.990000002</v>
      </c>
      <c r="E36" s="1246">
        <v>69.2</v>
      </c>
      <c r="F36" s="1235">
        <v>47904356.090000004</v>
      </c>
      <c r="G36" s="1235">
        <v>32982534.580000002</v>
      </c>
      <c r="H36" s="1235">
        <v>68.900000000000006</v>
      </c>
      <c r="I36" s="1252">
        <v>92.9</v>
      </c>
    </row>
    <row r="37" spans="1:9" ht="26.4">
      <c r="A37" s="1236" t="s">
        <v>77</v>
      </c>
      <c r="B37" s="1242" t="s">
        <v>78</v>
      </c>
      <c r="C37" s="1248">
        <v>23906180.949999999</v>
      </c>
      <c r="D37" s="1234">
        <v>13086711.390000001</v>
      </c>
      <c r="E37" s="1246">
        <v>54.7</v>
      </c>
      <c r="F37" s="1235">
        <v>8237001.5099999998</v>
      </c>
      <c r="G37" s="1235">
        <v>5116113.7</v>
      </c>
      <c r="H37" s="1235">
        <v>62.1</v>
      </c>
      <c r="I37" s="1252">
        <v>39.1</v>
      </c>
    </row>
    <row r="38" spans="1:9" ht="26.4">
      <c r="A38" s="1236" t="s">
        <v>79</v>
      </c>
      <c r="B38" s="1242" t="s">
        <v>80</v>
      </c>
      <c r="C38" s="1248">
        <v>11523660.26</v>
      </c>
      <c r="D38" s="1234">
        <v>5496264.0700000003</v>
      </c>
      <c r="E38" s="1246">
        <v>47.7</v>
      </c>
      <c r="F38" s="1235">
        <v>989780.43999999948</v>
      </c>
      <c r="G38" s="1235">
        <v>965979.27000000048</v>
      </c>
      <c r="H38" s="1235">
        <v>97.6</v>
      </c>
      <c r="I38" s="1252">
        <v>17.600000000000001</v>
      </c>
    </row>
    <row r="39" spans="1:9" ht="39.6">
      <c r="A39" s="1236" t="s">
        <v>81</v>
      </c>
      <c r="B39" s="1242" t="s">
        <v>82</v>
      </c>
      <c r="C39" s="1248">
        <v>0</v>
      </c>
      <c r="D39" s="1234">
        <v>0</v>
      </c>
      <c r="E39" s="2065" t="s">
        <v>936</v>
      </c>
      <c r="F39" s="1235">
        <v>0</v>
      </c>
      <c r="G39" s="1235">
        <v>0</v>
      </c>
      <c r="H39" s="2048" t="s">
        <v>936</v>
      </c>
      <c r="I39" s="2064" t="s">
        <v>936</v>
      </c>
    </row>
    <row r="40" spans="1:9">
      <c r="A40" s="1237" t="s">
        <v>83</v>
      </c>
      <c r="B40" s="1243" t="s">
        <v>84</v>
      </c>
      <c r="C40" s="1249">
        <v>15466.35</v>
      </c>
      <c r="D40" s="1238">
        <v>134972.35999999999</v>
      </c>
      <c r="E40" s="1245">
        <v>872.7</v>
      </c>
      <c r="F40" s="1239">
        <v>14049.35</v>
      </c>
      <c r="G40" s="1239">
        <v>134972.35999999999</v>
      </c>
      <c r="H40" s="1239">
        <v>960.7</v>
      </c>
      <c r="I40" s="1253">
        <v>100</v>
      </c>
    </row>
    <row r="42" spans="1:9">
      <c r="A42" s="180" t="s">
        <v>911</v>
      </c>
      <c r="B42" s="179"/>
      <c r="C42" s="179"/>
      <c r="D42" s="179"/>
      <c r="E42" s="179"/>
      <c r="F42" s="179"/>
      <c r="G42" s="179"/>
      <c r="H42" s="179"/>
      <c r="I42" s="179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70866141732283472" top="0.55118110236220474" bottom="0.55118110236220474" header="0.31496062992125984" footer="0.31496062992125984"/>
  <pageSetup paperSize="9" scale="9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6A8A-AD14-465D-93E7-5AAB891329D3}">
  <dimension ref="A1:I42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19.77734375" customWidth="1"/>
    <col min="3" max="4" width="11.77734375" bestFit="1" customWidth="1"/>
    <col min="5" max="5" width="6.5546875" bestFit="1" customWidth="1"/>
    <col min="6" max="7" width="11.77734375" bestFit="1" customWidth="1"/>
    <col min="8" max="8" width="7.5546875" customWidth="1"/>
    <col min="9" max="9" width="7.77734375" customWidth="1"/>
  </cols>
  <sheetData>
    <row r="1" spans="1:9">
      <c r="A1" s="445" t="s">
        <v>1008</v>
      </c>
      <c r="B1" s="185"/>
      <c r="C1" s="185"/>
      <c r="D1" s="185"/>
      <c r="E1" s="185"/>
      <c r="F1" s="185"/>
      <c r="G1" s="185"/>
      <c r="H1" s="185"/>
      <c r="I1" s="185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715" t="s">
        <v>131</v>
      </c>
    </row>
    <row r="4" spans="1:9">
      <c r="A4" s="2139"/>
      <c r="B4" s="2141"/>
      <c r="C4" s="711" t="s">
        <v>3</v>
      </c>
      <c r="D4" s="712" t="s">
        <v>2</v>
      </c>
      <c r="E4" s="231" t="s">
        <v>92</v>
      </c>
      <c r="F4" s="712" t="s">
        <v>3</v>
      </c>
      <c r="G4" s="712" t="s">
        <v>2</v>
      </c>
      <c r="H4" s="231" t="s">
        <v>132</v>
      </c>
      <c r="I4" s="230" t="s">
        <v>133</v>
      </c>
    </row>
    <row r="5" spans="1:9">
      <c r="A5" s="2139"/>
      <c r="B5" s="2141"/>
      <c r="C5" s="2225" t="s">
        <v>93</v>
      </c>
      <c r="D5" s="2226"/>
      <c r="E5" s="712" t="s">
        <v>134</v>
      </c>
      <c r="F5" s="2226" t="s">
        <v>93</v>
      </c>
      <c r="G5" s="2226"/>
      <c r="H5" s="2226" t="s">
        <v>134</v>
      </c>
      <c r="I5" s="2227"/>
    </row>
    <row r="6" spans="1:9">
      <c r="A6" s="367" t="s">
        <v>10</v>
      </c>
      <c r="B6" s="296" t="s">
        <v>11</v>
      </c>
      <c r="C6" s="367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264"/>
      <c r="B7" s="1261" t="s">
        <v>95</v>
      </c>
      <c r="C7" s="1269">
        <v>4796787396.1099997</v>
      </c>
      <c r="D7" s="1260">
        <v>4746823291.5600004</v>
      </c>
      <c r="E7" s="1266">
        <v>99</v>
      </c>
      <c r="F7" s="1260">
        <v>4310551783.8899994</v>
      </c>
      <c r="G7" s="1260">
        <v>4281797703.2100005</v>
      </c>
      <c r="H7" s="1266">
        <v>99.3</v>
      </c>
      <c r="I7" s="1270">
        <v>90.2</v>
      </c>
    </row>
    <row r="8" spans="1:9">
      <c r="A8" s="1256" t="s">
        <v>19</v>
      </c>
      <c r="B8" s="1262" t="s">
        <v>20</v>
      </c>
      <c r="C8" s="1267">
        <v>22243137.390000001</v>
      </c>
      <c r="D8" s="1254">
        <v>22000524.030000001</v>
      </c>
      <c r="E8" s="1265">
        <v>98.9</v>
      </c>
      <c r="F8" s="1255">
        <v>17600137.390000001</v>
      </c>
      <c r="G8" s="1255">
        <v>17360339.640000001</v>
      </c>
      <c r="H8" s="1255">
        <v>98.6</v>
      </c>
      <c r="I8" s="1271">
        <v>78.900000000000006</v>
      </c>
    </row>
    <row r="9" spans="1:9">
      <c r="A9" s="1256" t="s">
        <v>21</v>
      </c>
      <c r="B9" s="1262" t="s">
        <v>22</v>
      </c>
      <c r="C9" s="1267">
        <v>1892466.22</v>
      </c>
      <c r="D9" s="1254">
        <v>1801609.04</v>
      </c>
      <c r="E9" s="1265">
        <v>95.2</v>
      </c>
      <c r="F9" s="1255">
        <v>1892466.22</v>
      </c>
      <c r="G9" s="1255">
        <v>1801609.04</v>
      </c>
      <c r="H9" s="1255">
        <v>95.2</v>
      </c>
      <c r="I9" s="1271">
        <v>100</v>
      </c>
    </row>
    <row r="10" spans="1:9">
      <c r="A10" s="1256" t="s">
        <v>23</v>
      </c>
      <c r="B10" s="1262" t="s">
        <v>24</v>
      </c>
      <c r="C10" s="1267">
        <v>0</v>
      </c>
      <c r="D10" s="1254">
        <v>0</v>
      </c>
      <c r="E10" s="2065" t="s">
        <v>936</v>
      </c>
      <c r="F10" s="1255">
        <v>0</v>
      </c>
      <c r="G10" s="1255">
        <v>0</v>
      </c>
      <c r="H10" s="2048" t="s">
        <v>936</v>
      </c>
      <c r="I10" s="2064" t="s">
        <v>936</v>
      </c>
    </row>
    <row r="11" spans="1:9">
      <c r="A11" s="1256" t="s">
        <v>25</v>
      </c>
      <c r="B11" s="1262" t="s">
        <v>26</v>
      </c>
      <c r="C11" s="1267">
        <v>3274149.56</v>
      </c>
      <c r="D11" s="1254">
        <v>3095267.74</v>
      </c>
      <c r="E11" s="1265">
        <v>94.5</v>
      </c>
      <c r="F11" s="1255">
        <v>3274149.56</v>
      </c>
      <c r="G11" s="1255">
        <v>3095267.74</v>
      </c>
      <c r="H11" s="1255">
        <v>94.5</v>
      </c>
      <c r="I11" s="1271">
        <v>100</v>
      </c>
    </row>
    <row r="12" spans="1:9">
      <c r="A12" s="1256" t="s">
        <v>27</v>
      </c>
      <c r="B12" s="1262" t="s">
        <v>28</v>
      </c>
      <c r="C12" s="1267">
        <v>0</v>
      </c>
      <c r="D12" s="1254">
        <v>0</v>
      </c>
      <c r="E12" s="2065" t="s">
        <v>936</v>
      </c>
      <c r="F12" s="1255">
        <v>0</v>
      </c>
      <c r="G12" s="1255">
        <v>0</v>
      </c>
      <c r="H12" s="2048" t="s">
        <v>936</v>
      </c>
      <c r="I12" s="2064" t="s">
        <v>936</v>
      </c>
    </row>
    <row r="13" spans="1:9" ht="39.6">
      <c r="A13" s="1256" t="s">
        <v>29</v>
      </c>
      <c r="B13" s="1262" t="s">
        <v>30</v>
      </c>
      <c r="C13" s="1267">
        <v>0</v>
      </c>
      <c r="D13" s="1254">
        <v>0</v>
      </c>
      <c r="E13" s="2065" t="s">
        <v>936</v>
      </c>
      <c r="F13" s="1255">
        <v>0</v>
      </c>
      <c r="G13" s="1255">
        <v>0</v>
      </c>
      <c r="H13" s="2048" t="s">
        <v>936</v>
      </c>
      <c r="I13" s="2064" t="s">
        <v>936</v>
      </c>
    </row>
    <row r="14" spans="1:9">
      <c r="A14" s="1256" t="s">
        <v>31</v>
      </c>
      <c r="B14" s="1262" t="s">
        <v>32</v>
      </c>
      <c r="C14" s="1267">
        <v>0</v>
      </c>
      <c r="D14" s="1254">
        <v>0</v>
      </c>
      <c r="E14" s="2065" t="s">
        <v>936</v>
      </c>
      <c r="F14" s="1255">
        <v>0</v>
      </c>
      <c r="G14" s="1255">
        <v>0</v>
      </c>
      <c r="H14" s="2048" t="s">
        <v>936</v>
      </c>
      <c r="I14" s="2064" t="s">
        <v>936</v>
      </c>
    </row>
    <row r="15" spans="1:9">
      <c r="A15" s="1256" t="s">
        <v>33</v>
      </c>
      <c r="B15" s="1262" t="s">
        <v>34</v>
      </c>
      <c r="C15" s="1267">
        <v>0</v>
      </c>
      <c r="D15" s="1254">
        <v>0</v>
      </c>
      <c r="E15" s="2065" t="s">
        <v>936</v>
      </c>
      <c r="F15" s="1255">
        <v>0</v>
      </c>
      <c r="G15" s="1255">
        <v>0</v>
      </c>
      <c r="H15" s="2048" t="s">
        <v>936</v>
      </c>
      <c r="I15" s="2064" t="s">
        <v>936</v>
      </c>
    </row>
    <row r="16" spans="1:9">
      <c r="A16" s="1256" t="s">
        <v>35</v>
      </c>
      <c r="B16" s="1262" t="s">
        <v>36</v>
      </c>
      <c r="C16" s="1267">
        <v>1650505.86</v>
      </c>
      <c r="D16" s="1254">
        <v>1618145.42</v>
      </c>
      <c r="E16" s="1265">
        <v>98</v>
      </c>
      <c r="F16" s="1255">
        <v>1650505.86</v>
      </c>
      <c r="G16" s="1255">
        <v>1618145.42</v>
      </c>
      <c r="H16" s="1255">
        <v>98</v>
      </c>
      <c r="I16" s="1271">
        <v>100</v>
      </c>
    </row>
    <row r="17" spans="1:9">
      <c r="A17" s="1256" t="s">
        <v>37</v>
      </c>
      <c r="B17" s="1262" t="s">
        <v>38</v>
      </c>
      <c r="C17" s="1267">
        <v>0</v>
      </c>
      <c r="D17" s="1254">
        <v>0</v>
      </c>
      <c r="E17" s="2065" t="s">
        <v>936</v>
      </c>
      <c r="F17" s="1255">
        <v>0</v>
      </c>
      <c r="G17" s="1255">
        <v>0</v>
      </c>
      <c r="H17" s="2048" t="s">
        <v>936</v>
      </c>
      <c r="I17" s="2064" t="s">
        <v>936</v>
      </c>
    </row>
    <row r="18" spans="1:9">
      <c r="A18" s="1256" t="s">
        <v>39</v>
      </c>
      <c r="B18" s="1262" t="s">
        <v>40</v>
      </c>
      <c r="C18" s="1267">
        <v>195209095.69999999</v>
      </c>
      <c r="D18" s="1254">
        <v>185596333.88999999</v>
      </c>
      <c r="E18" s="1265">
        <v>95.1</v>
      </c>
      <c r="F18" s="1255">
        <v>192867945.94999999</v>
      </c>
      <c r="G18" s="1255">
        <v>183258956.97999999</v>
      </c>
      <c r="H18" s="1255">
        <v>95</v>
      </c>
      <c r="I18" s="1271">
        <v>98.7</v>
      </c>
    </row>
    <row r="19" spans="1:9">
      <c r="A19" s="1256" t="s">
        <v>41</v>
      </c>
      <c r="B19" s="1262" t="s">
        <v>42</v>
      </c>
      <c r="C19" s="1267">
        <v>466675011.10000002</v>
      </c>
      <c r="D19" s="1254">
        <v>463346436.36000001</v>
      </c>
      <c r="E19" s="1265">
        <v>99.3</v>
      </c>
      <c r="F19" s="1255">
        <v>449081727.70000005</v>
      </c>
      <c r="G19" s="1255">
        <v>445938207.03000003</v>
      </c>
      <c r="H19" s="1255">
        <v>99.3</v>
      </c>
      <c r="I19" s="1271">
        <v>96.2</v>
      </c>
    </row>
    <row r="20" spans="1:9">
      <c r="A20" s="1256" t="s">
        <v>43</v>
      </c>
      <c r="B20" s="1262" t="s">
        <v>44</v>
      </c>
      <c r="C20" s="1267">
        <v>0</v>
      </c>
      <c r="D20" s="1254">
        <v>0</v>
      </c>
      <c r="E20" s="2065" t="s">
        <v>936</v>
      </c>
      <c r="F20" s="1255">
        <v>0</v>
      </c>
      <c r="G20" s="1255">
        <v>0</v>
      </c>
      <c r="H20" s="2048" t="s">
        <v>936</v>
      </c>
      <c r="I20" s="2064" t="s">
        <v>936</v>
      </c>
    </row>
    <row r="21" spans="1:9">
      <c r="A21" s="1256" t="s">
        <v>45</v>
      </c>
      <c r="B21" s="1262" t="s">
        <v>46</v>
      </c>
      <c r="C21" s="1267">
        <v>0</v>
      </c>
      <c r="D21" s="1254">
        <v>0</v>
      </c>
      <c r="E21" s="2065" t="s">
        <v>936</v>
      </c>
      <c r="F21" s="1255">
        <v>0</v>
      </c>
      <c r="G21" s="1255">
        <v>0</v>
      </c>
      <c r="H21" s="2048" t="s">
        <v>936</v>
      </c>
      <c r="I21" s="2064" t="s">
        <v>936</v>
      </c>
    </row>
    <row r="22" spans="1:9">
      <c r="A22" s="1256" t="s">
        <v>47</v>
      </c>
      <c r="B22" s="1262" t="s">
        <v>48</v>
      </c>
      <c r="C22" s="1267">
        <v>20294198.620000001</v>
      </c>
      <c r="D22" s="1254">
        <v>20265004.41</v>
      </c>
      <c r="E22" s="1265">
        <v>99.9</v>
      </c>
      <c r="F22" s="1255">
        <v>20294198.620000001</v>
      </c>
      <c r="G22" s="1255">
        <v>20265004.41</v>
      </c>
      <c r="H22" s="1255">
        <v>99.9</v>
      </c>
      <c r="I22" s="1271">
        <v>100</v>
      </c>
    </row>
    <row r="23" spans="1:9" ht="52.8">
      <c r="A23" s="1256" t="s">
        <v>49</v>
      </c>
      <c r="B23" s="1262" t="s">
        <v>50</v>
      </c>
      <c r="C23" s="1267">
        <v>17770</v>
      </c>
      <c r="D23" s="1254">
        <v>16339.01</v>
      </c>
      <c r="E23" s="1265">
        <v>91.9</v>
      </c>
      <c r="F23" s="1255">
        <v>17770</v>
      </c>
      <c r="G23" s="1255">
        <v>16339.01</v>
      </c>
      <c r="H23" s="1255">
        <v>91.9</v>
      </c>
      <c r="I23" s="1271">
        <v>100</v>
      </c>
    </row>
    <row r="24" spans="1:9">
      <c r="A24" s="1256" t="s">
        <v>51</v>
      </c>
      <c r="B24" s="1262" t="s">
        <v>52</v>
      </c>
      <c r="C24" s="1267">
        <v>437038632.58999997</v>
      </c>
      <c r="D24" s="1254">
        <v>412678558.37</v>
      </c>
      <c r="E24" s="1265">
        <v>94.4</v>
      </c>
      <c r="F24" s="1255">
        <v>136965960.09999996</v>
      </c>
      <c r="G24" s="1255">
        <v>133138912.97000003</v>
      </c>
      <c r="H24" s="1255">
        <v>97.2</v>
      </c>
      <c r="I24" s="1271">
        <v>32.299999999999997</v>
      </c>
    </row>
    <row r="25" spans="1:9" ht="26.4">
      <c r="A25" s="1256" t="s">
        <v>53</v>
      </c>
      <c r="B25" s="1262" t="s">
        <v>54</v>
      </c>
      <c r="C25" s="1267">
        <v>0</v>
      </c>
      <c r="D25" s="1254">
        <v>0</v>
      </c>
      <c r="E25" s="2065" t="s">
        <v>936</v>
      </c>
      <c r="F25" s="1255">
        <v>0</v>
      </c>
      <c r="G25" s="1255">
        <v>0</v>
      </c>
      <c r="H25" s="2048" t="s">
        <v>936</v>
      </c>
      <c r="I25" s="2064" t="s">
        <v>936</v>
      </c>
    </row>
    <row r="26" spans="1:9" ht="26.4">
      <c r="A26" s="1256" t="s">
        <v>55</v>
      </c>
      <c r="B26" s="1262" t="s">
        <v>56</v>
      </c>
      <c r="C26" s="1267">
        <v>2918458392.3200002</v>
      </c>
      <c r="D26" s="1254">
        <v>2912505069.71</v>
      </c>
      <c r="E26" s="1265">
        <v>99.8</v>
      </c>
      <c r="F26" s="1255">
        <v>2772035799.8200002</v>
      </c>
      <c r="G26" s="1255">
        <v>2766402989.2600002</v>
      </c>
      <c r="H26" s="1255">
        <v>99.8</v>
      </c>
      <c r="I26" s="1271">
        <v>95</v>
      </c>
    </row>
    <row r="27" spans="1:9">
      <c r="A27" s="1256" t="s">
        <v>57</v>
      </c>
      <c r="B27" s="1262" t="s">
        <v>58</v>
      </c>
      <c r="C27" s="1267">
        <v>75482692.909999996</v>
      </c>
      <c r="D27" s="1254">
        <v>74844889.859999999</v>
      </c>
      <c r="E27" s="1265">
        <v>99.2</v>
      </c>
      <c r="F27" s="1255">
        <v>75482692.909999996</v>
      </c>
      <c r="G27" s="1255">
        <v>74844889.859999999</v>
      </c>
      <c r="H27" s="1255">
        <v>99.2</v>
      </c>
      <c r="I27" s="1271">
        <v>100</v>
      </c>
    </row>
    <row r="28" spans="1:9" ht="79.2">
      <c r="A28" s="1256" t="s">
        <v>59</v>
      </c>
      <c r="B28" s="1262" t="s">
        <v>60</v>
      </c>
      <c r="C28" s="1267">
        <v>0</v>
      </c>
      <c r="D28" s="1254">
        <v>0</v>
      </c>
      <c r="E28" s="2065" t="s">
        <v>936</v>
      </c>
      <c r="F28" s="1255">
        <v>0</v>
      </c>
      <c r="G28" s="1255">
        <v>0</v>
      </c>
      <c r="H28" s="2048" t="s">
        <v>936</v>
      </c>
      <c r="I28" s="2064" t="s">
        <v>936</v>
      </c>
    </row>
    <row r="29" spans="1:9">
      <c r="A29" s="1256" t="s">
        <v>61</v>
      </c>
      <c r="B29" s="1262" t="s">
        <v>62</v>
      </c>
      <c r="C29" s="1267">
        <v>0</v>
      </c>
      <c r="D29" s="1254">
        <v>0</v>
      </c>
      <c r="E29" s="2065" t="s">
        <v>936</v>
      </c>
      <c r="F29" s="1255">
        <v>0</v>
      </c>
      <c r="G29" s="1255">
        <v>0</v>
      </c>
      <c r="H29" s="2048" t="s">
        <v>936</v>
      </c>
      <c r="I29" s="2064" t="s">
        <v>936</v>
      </c>
    </row>
    <row r="30" spans="1:9">
      <c r="A30" s="1256" t="s">
        <v>63</v>
      </c>
      <c r="B30" s="1262" t="s">
        <v>64</v>
      </c>
      <c r="C30" s="1267">
        <v>4733298.87</v>
      </c>
      <c r="D30" s="1254">
        <v>4733297.4000000004</v>
      </c>
      <c r="E30" s="1265">
        <v>100</v>
      </c>
      <c r="F30" s="1255">
        <v>4733298.87</v>
      </c>
      <c r="G30" s="1255">
        <v>4733297.4000000004</v>
      </c>
      <c r="H30" s="1255">
        <v>100</v>
      </c>
      <c r="I30" s="1271">
        <v>100</v>
      </c>
    </row>
    <row r="31" spans="1:9">
      <c r="A31" s="1256" t="s">
        <v>65</v>
      </c>
      <c r="B31" s="1262" t="s">
        <v>66</v>
      </c>
      <c r="C31" s="1267">
        <v>7813812.7400000002</v>
      </c>
      <c r="D31" s="1254">
        <v>7320822.9000000004</v>
      </c>
      <c r="E31" s="1265">
        <v>93.7</v>
      </c>
      <c r="F31" s="1255">
        <v>7813812.7400000002</v>
      </c>
      <c r="G31" s="1255">
        <v>7320822.9000000004</v>
      </c>
      <c r="H31" s="1255">
        <v>93.7</v>
      </c>
      <c r="I31" s="1271">
        <v>100</v>
      </c>
    </row>
    <row r="32" spans="1:9">
      <c r="A32" s="1256" t="s">
        <v>67</v>
      </c>
      <c r="B32" s="1262" t="s">
        <v>68</v>
      </c>
      <c r="C32" s="1267">
        <v>219908.3</v>
      </c>
      <c r="D32" s="1254">
        <v>217308.3</v>
      </c>
      <c r="E32" s="1265">
        <v>98.8</v>
      </c>
      <c r="F32" s="1255">
        <v>69908.299999999988</v>
      </c>
      <c r="G32" s="1255">
        <v>67308.299999999988</v>
      </c>
      <c r="H32" s="1255">
        <v>96.3</v>
      </c>
      <c r="I32" s="1271">
        <v>31</v>
      </c>
    </row>
    <row r="33" spans="1:9">
      <c r="A33" s="1256" t="s">
        <v>69</v>
      </c>
      <c r="B33" s="1262" t="s">
        <v>70</v>
      </c>
      <c r="C33" s="1267">
        <v>421257375.87</v>
      </c>
      <c r="D33" s="1254">
        <v>417882082.44</v>
      </c>
      <c r="E33" s="1265">
        <v>99.2</v>
      </c>
      <c r="F33" s="1255">
        <v>406244461.79000002</v>
      </c>
      <c r="G33" s="1255">
        <v>403034010.56999999</v>
      </c>
      <c r="H33" s="1255">
        <v>99.2</v>
      </c>
      <c r="I33" s="1271">
        <v>96.4</v>
      </c>
    </row>
    <row r="34" spans="1:9" ht="26.4">
      <c r="A34" s="1256" t="s">
        <v>71</v>
      </c>
      <c r="B34" s="1262" t="s">
        <v>72</v>
      </c>
      <c r="C34" s="1267">
        <v>215037035.11000001</v>
      </c>
      <c r="D34" s="1254">
        <v>213582266.09999999</v>
      </c>
      <c r="E34" s="1265">
        <v>99.3</v>
      </c>
      <c r="F34" s="1255">
        <v>215037035.11000001</v>
      </c>
      <c r="G34" s="1255">
        <v>213582266.09999999</v>
      </c>
      <c r="H34" s="1255">
        <v>99.3</v>
      </c>
      <c r="I34" s="1271">
        <v>100</v>
      </c>
    </row>
    <row r="35" spans="1:9" ht="26.4">
      <c r="A35" s="1256" t="s">
        <v>73</v>
      </c>
      <c r="B35" s="1262" t="s">
        <v>74</v>
      </c>
      <c r="C35" s="1267">
        <v>0</v>
      </c>
      <c r="D35" s="1254">
        <v>0</v>
      </c>
      <c r="E35" s="2065" t="s">
        <v>936</v>
      </c>
      <c r="F35" s="1255">
        <v>0</v>
      </c>
      <c r="G35" s="1255">
        <v>0</v>
      </c>
      <c r="H35" s="2048" t="s">
        <v>936</v>
      </c>
      <c r="I35" s="2064" t="s">
        <v>936</v>
      </c>
    </row>
    <row r="36" spans="1:9">
      <c r="A36" s="1256" t="s">
        <v>75</v>
      </c>
      <c r="B36" s="1262" t="s">
        <v>76</v>
      </c>
      <c r="C36" s="1267">
        <v>5489912.9500000002</v>
      </c>
      <c r="D36" s="1254">
        <v>5319336.58</v>
      </c>
      <c r="E36" s="1265">
        <v>96.9</v>
      </c>
      <c r="F36" s="1255">
        <v>5489912.9500000002</v>
      </c>
      <c r="G36" s="1255">
        <v>5319336.58</v>
      </c>
      <c r="H36" s="1255">
        <v>96.9</v>
      </c>
      <c r="I36" s="1271">
        <v>100</v>
      </c>
    </row>
    <row r="37" spans="1:9" ht="26.4">
      <c r="A37" s="1256" t="s">
        <v>77</v>
      </c>
      <c r="B37" s="1262" t="s">
        <v>78</v>
      </c>
      <c r="C37" s="1267">
        <v>0</v>
      </c>
      <c r="D37" s="1254">
        <v>0</v>
      </c>
      <c r="E37" s="2065" t="s">
        <v>936</v>
      </c>
      <c r="F37" s="1255">
        <v>0</v>
      </c>
      <c r="G37" s="1255">
        <v>0</v>
      </c>
      <c r="H37" s="2048" t="s">
        <v>936</v>
      </c>
      <c r="I37" s="2064" t="s">
        <v>936</v>
      </c>
    </row>
    <row r="38" spans="1:9" ht="26.4">
      <c r="A38" s="1256" t="s">
        <v>79</v>
      </c>
      <c r="B38" s="1262" t="s">
        <v>80</v>
      </c>
      <c r="C38" s="1267">
        <v>0</v>
      </c>
      <c r="D38" s="1254">
        <v>0</v>
      </c>
      <c r="E38" s="2065" t="s">
        <v>936</v>
      </c>
      <c r="F38" s="1255">
        <v>0</v>
      </c>
      <c r="G38" s="1255">
        <v>0</v>
      </c>
      <c r="H38" s="2048" t="s">
        <v>936</v>
      </c>
      <c r="I38" s="2064" t="s">
        <v>936</v>
      </c>
    </row>
    <row r="39" spans="1:9" ht="52.8">
      <c r="A39" s="1256" t="s">
        <v>81</v>
      </c>
      <c r="B39" s="1262" t="s">
        <v>82</v>
      </c>
      <c r="C39" s="1267">
        <v>0</v>
      </c>
      <c r="D39" s="1254">
        <v>0</v>
      </c>
      <c r="E39" s="2065" t="s">
        <v>936</v>
      </c>
      <c r="F39" s="1255">
        <v>0</v>
      </c>
      <c r="G39" s="1255">
        <v>0</v>
      </c>
      <c r="H39" s="2048" t="s">
        <v>936</v>
      </c>
      <c r="I39" s="2064" t="s">
        <v>936</v>
      </c>
    </row>
    <row r="40" spans="1:9">
      <c r="A40" s="1257" t="s">
        <v>83</v>
      </c>
      <c r="B40" s="1263" t="s">
        <v>84</v>
      </c>
      <c r="C40" s="1268">
        <v>0</v>
      </c>
      <c r="D40" s="1258">
        <v>0</v>
      </c>
      <c r="E40" s="2066" t="s">
        <v>936</v>
      </c>
      <c r="F40" s="1259">
        <v>0</v>
      </c>
      <c r="G40" s="1259">
        <v>0</v>
      </c>
      <c r="H40" s="2067" t="s">
        <v>936</v>
      </c>
      <c r="I40" s="2068" t="s">
        <v>936</v>
      </c>
    </row>
    <row r="42" spans="1:9">
      <c r="A42" s="186" t="s">
        <v>911</v>
      </c>
      <c r="B42" s="185"/>
      <c r="C42" s="185"/>
      <c r="D42" s="185"/>
      <c r="E42" s="185"/>
      <c r="F42" s="185"/>
      <c r="G42" s="185"/>
      <c r="H42" s="185"/>
      <c r="I42" s="185"/>
    </row>
  </sheetData>
  <mergeCells count="7">
    <mergeCell ref="A3:A5"/>
    <mergeCell ref="B3:B5"/>
    <mergeCell ref="C3:E3"/>
    <mergeCell ref="F3:H3"/>
    <mergeCell ref="C5:D5"/>
    <mergeCell ref="F5:G5"/>
    <mergeCell ref="H5:I5"/>
  </mergeCells>
  <pageMargins left="0.70866141732283472" right="0.51181102362204722" top="0.55118110236220474" bottom="0.35433070866141736" header="0.31496062992125984" footer="0.31496062992125984"/>
  <pageSetup paperSize="9" scale="9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938B-1390-413A-A110-53A3B1363676}">
  <dimension ref="A1:I42"/>
  <sheetViews>
    <sheetView view="pageBreakPreview" zoomScale="110" zoomScaleNormal="100" zoomScaleSheetLayoutView="110" workbookViewId="0">
      <selection activeCell="F8" sqref="F8"/>
    </sheetView>
  </sheetViews>
  <sheetFormatPr defaultRowHeight="14.4"/>
  <cols>
    <col min="1" max="1" width="5.77734375" customWidth="1"/>
    <col min="2" max="2" width="22.21875" customWidth="1"/>
    <col min="3" max="4" width="12.44140625" bestFit="1" customWidth="1"/>
    <col min="5" max="5" width="6.5546875" bestFit="1" customWidth="1"/>
    <col min="6" max="7" width="12.44140625" bestFit="1" customWidth="1"/>
    <col min="8" max="8" width="6.5546875" bestFit="1" customWidth="1"/>
    <col min="9" max="9" width="7.21875" customWidth="1"/>
  </cols>
  <sheetData>
    <row r="1" spans="1:9">
      <c r="A1" s="445" t="s">
        <v>1009</v>
      </c>
      <c r="B1" s="187"/>
      <c r="C1" s="187"/>
      <c r="D1" s="187"/>
      <c r="E1" s="187"/>
      <c r="F1" s="187"/>
      <c r="G1" s="187"/>
      <c r="H1" s="187"/>
      <c r="I1" s="187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197" t="s">
        <v>131</v>
      </c>
    </row>
    <row r="4" spans="1:9">
      <c r="A4" s="2139"/>
      <c r="B4" s="2141"/>
      <c r="C4" s="196" t="s">
        <v>3</v>
      </c>
      <c r="D4" s="195" t="s">
        <v>2</v>
      </c>
      <c r="E4" s="194" t="s">
        <v>92</v>
      </c>
      <c r="F4" s="195" t="s">
        <v>3</v>
      </c>
      <c r="G4" s="195" t="s">
        <v>2</v>
      </c>
      <c r="H4" s="194" t="s">
        <v>132</v>
      </c>
      <c r="I4" s="193" t="s">
        <v>133</v>
      </c>
    </row>
    <row r="5" spans="1:9">
      <c r="A5" s="2139"/>
      <c r="B5" s="2141"/>
      <c r="C5" s="2225" t="s">
        <v>93</v>
      </c>
      <c r="D5" s="2226"/>
      <c r="E5" s="195" t="s">
        <v>134</v>
      </c>
      <c r="F5" s="2226" t="s">
        <v>93</v>
      </c>
      <c r="G5" s="2226"/>
      <c r="H5" s="2226" t="s">
        <v>134</v>
      </c>
      <c r="I5" s="2227"/>
    </row>
    <row r="6" spans="1:9">
      <c r="A6" s="189" t="s">
        <v>10</v>
      </c>
      <c r="B6" s="192" t="s">
        <v>11</v>
      </c>
      <c r="C6" s="189" t="s">
        <v>12</v>
      </c>
      <c r="D6" s="190" t="s">
        <v>13</v>
      </c>
      <c r="E6" s="190" t="s">
        <v>14</v>
      </c>
      <c r="F6" s="190" t="s">
        <v>15</v>
      </c>
      <c r="G6" s="190" t="s">
        <v>16</v>
      </c>
      <c r="H6" s="190" t="s">
        <v>17</v>
      </c>
      <c r="I6" s="191" t="s">
        <v>94</v>
      </c>
    </row>
    <row r="7" spans="1:9">
      <c r="A7" s="1282"/>
      <c r="B7" s="1279" t="s">
        <v>95</v>
      </c>
      <c r="C7" s="1288">
        <v>2636548281.25</v>
      </c>
      <c r="D7" s="1278">
        <v>2406175351.71</v>
      </c>
      <c r="E7" s="1285">
        <v>91.3</v>
      </c>
      <c r="F7" s="1278">
        <v>1813773387.24</v>
      </c>
      <c r="G7" s="1278">
        <v>1703356920.99</v>
      </c>
      <c r="H7" s="1285">
        <v>93.9</v>
      </c>
      <c r="I7" s="1289">
        <v>70.8</v>
      </c>
    </row>
    <row r="8" spans="1:9">
      <c r="A8" s="1274" t="s">
        <v>19</v>
      </c>
      <c r="B8" s="1280" t="s">
        <v>20</v>
      </c>
      <c r="C8" s="1286">
        <v>0</v>
      </c>
      <c r="D8" s="1272">
        <v>0</v>
      </c>
      <c r="E8" s="2065" t="s">
        <v>936</v>
      </c>
      <c r="F8" s="1273">
        <v>0</v>
      </c>
      <c r="G8" s="1273">
        <v>0</v>
      </c>
      <c r="H8" s="2048" t="s">
        <v>936</v>
      </c>
      <c r="I8" s="2064" t="s">
        <v>936</v>
      </c>
    </row>
    <row r="9" spans="1:9">
      <c r="A9" s="1274" t="s">
        <v>21</v>
      </c>
      <c r="B9" s="1280" t="s">
        <v>22</v>
      </c>
      <c r="C9" s="1286">
        <v>0</v>
      </c>
      <c r="D9" s="1272">
        <v>0</v>
      </c>
      <c r="E9" s="2065" t="s">
        <v>936</v>
      </c>
      <c r="F9" s="1273">
        <v>0</v>
      </c>
      <c r="G9" s="1273">
        <v>0</v>
      </c>
      <c r="H9" s="2048" t="s">
        <v>936</v>
      </c>
      <c r="I9" s="2064" t="s">
        <v>936</v>
      </c>
    </row>
    <row r="10" spans="1:9">
      <c r="A10" s="1274" t="s">
        <v>23</v>
      </c>
      <c r="B10" s="1280" t="s">
        <v>24</v>
      </c>
      <c r="C10" s="1286">
        <v>0</v>
      </c>
      <c r="D10" s="1272">
        <v>0</v>
      </c>
      <c r="E10" s="2065" t="s">
        <v>936</v>
      </c>
      <c r="F10" s="1273">
        <v>0</v>
      </c>
      <c r="G10" s="1273">
        <v>0</v>
      </c>
      <c r="H10" s="2048" t="s">
        <v>936</v>
      </c>
      <c r="I10" s="2064" t="s">
        <v>936</v>
      </c>
    </row>
    <row r="11" spans="1:9">
      <c r="A11" s="1274" t="s">
        <v>25</v>
      </c>
      <c r="B11" s="1280" t="s">
        <v>26</v>
      </c>
      <c r="C11" s="1286">
        <v>0</v>
      </c>
      <c r="D11" s="1272">
        <v>0</v>
      </c>
      <c r="E11" s="2065" t="s">
        <v>936</v>
      </c>
      <c r="F11" s="1273">
        <v>0</v>
      </c>
      <c r="G11" s="1273">
        <v>0</v>
      </c>
      <c r="H11" s="2048" t="s">
        <v>936</v>
      </c>
      <c r="I11" s="2064" t="s">
        <v>936</v>
      </c>
    </row>
    <row r="12" spans="1:9">
      <c r="A12" s="1274" t="s">
        <v>27</v>
      </c>
      <c r="B12" s="1280" t="s">
        <v>28</v>
      </c>
      <c r="C12" s="1286">
        <v>0</v>
      </c>
      <c r="D12" s="1272">
        <v>0</v>
      </c>
      <c r="E12" s="2065" t="s">
        <v>936</v>
      </c>
      <c r="F12" s="1273">
        <v>0</v>
      </c>
      <c r="G12" s="1273">
        <v>0</v>
      </c>
      <c r="H12" s="2048" t="s">
        <v>936</v>
      </c>
      <c r="I12" s="2064" t="s">
        <v>936</v>
      </c>
    </row>
    <row r="13" spans="1:9" ht="26.4">
      <c r="A13" s="1274" t="s">
        <v>29</v>
      </c>
      <c r="B13" s="1280" t="s">
        <v>30</v>
      </c>
      <c r="C13" s="1286">
        <v>0</v>
      </c>
      <c r="D13" s="1272">
        <v>0</v>
      </c>
      <c r="E13" s="2065" t="s">
        <v>936</v>
      </c>
      <c r="F13" s="1273">
        <v>0</v>
      </c>
      <c r="G13" s="1273">
        <v>0</v>
      </c>
      <c r="H13" s="2048" t="s">
        <v>936</v>
      </c>
      <c r="I13" s="2064" t="s">
        <v>936</v>
      </c>
    </row>
    <row r="14" spans="1:9">
      <c r="A14" s="1274" t="s">
        <v>31</v>
      </c>
      <c r="B14" s="1280" t="s">
        <v>32</v>
      </c>
      <c r="C14" s="1286">
        <v>0</v>
      </c>
      <c r="D14" s="1272">
        <v>0</v>
      </c>
      <c r="E14" s="2065" t="s">
        <v>936</v>
      </c>
      <c r="F14" s="1273">
        <v>0</v>
      </c>
      <c r="G14" s="1273">
        <v>0</v>
      </c>
      <c r="H14" s="2048" t="s">
        <v>936</v>
      </c>
      <c r="I14" s="2064" t="s">
        <v>936</v>
      </c>
    </row>
    <row r="15" spans="1:9">
      <c r="A15" s="1274" t="s">
        <v>33</v>
      </c>
      <c r="B15" s="1280" t="s">
        <v>34</v>
      </c>
      <c r="C15" s="1286">
        <v>0</v>
      </c>
      <c r="D15" s="1272">
        <v>0</v>
      </c>
      <c r="E15" s="2065" t="s">
        <v>936</v>
      </c>
      <c r="F15" s="1273">
        <v>0</v>
      </c>
      <c r="G15" s="1273">
        <v>0</v>
      </c>
      <c r="H15" s="2048" t="s">
        <v>936</v>
      </c>
      <c r="I15" s="2064" t="s">
        <v>936</v>
      </c>
    </row>
    <row r="16" spans="1:9">
      <c r="A16" s="1274" t="s">
        <v>35</v>
      </c>
      <c r="B16" s="1280" t="s">
        <v>36</v>
      </c>
      <c r="C16" s="1286">
        <v>229826416.63</v>
      </c>
      <c r="D16" s="1272">
        <v>190736255.81999999</v>
      </c>
      <c r="E16" s="1284">
        <v>83</v>
      </c>
      <c r="F16" s="1273">
        <v>87160251.599999994</v>
      </c>
      <c r="G16" s="1273">
        <v>77882293.50999999</v>
      </c>
      <c r="H16" s="1273">
        <v>89.4</v>
      </c>
      <c r="I16" s="1290">
        <v>40.799999999999997</v>
      </c>
    </row>
    <row r="17" spans="1:9">
      <c r="A17" s="1274" t="s">
        <v>37</v>
      </c>
      <c r="B17" s="1280" t="s">
        <v>38</v>
      </c>
      <c r="C17" s="1286">
        <v>0</v>
      </c>
      <c r="D17" s="1272">
        <v>0</v>
      </c>
      <c r="E17" s="2065" t="s">
        <v>936</v>
      </c>
      <c r="F17" s="1273">
        <v>0</v>
      </c>
      <c r="G17" s="1273">
        <v>0</v>
      </c>
      <c r="H17" s="2048" t="s">
        <v>936</v>
      </c>
      <c r="I17" s="2064" t="s">
        <v>936</v>
      </c>
    </row>
    <row r="18" spans="1:9">
      <c r="A18" s="1274" t="s">
        <v>39</v>
      </c>
      <c r="B18" s="1280" t="s">
        <v>40</v>
      </c>
      <c r="C18" s="1286">
        <v>0</v>
      </c>
      <c r="D18" s="1272">
        <v>0</v>
      </c>
      <c r="E18" s="2065" t="s">
        <v>936</v>
      </c>
      <c r="F18" s="1273">
        <v>0</v>
      </c>
      <c r="G18" s="1273">
        <v>0</v>
      </c>
      <c r="H18" s="2048" t="s">
        <v>936</v>
      </c>
      <c r="I18" s="2064" t="s">
        <v>936</v>
      </c>
    </row>
    <row r="19" spans="1:9">
      <c r="A19" s="1274" t="s">
        <v>41</v>
      </c>
      <c r="B19" s="1280" t="s">
        <v>42</v>
      </c>
      <c r="C19" s="1286">
        <v>0</v>
      </c>
      <c r="D19" s="1272">
        <v>0</v>
      </c>
      <c r="E19" s="2065" t="s">
        <v>936</v>
      </c>
      <c r="F19" s="1273">
        <v>0</v>
      </c>
      <c r="G19" s="1273">
        <v>0</v>
      </c>
      <c r="H19" s="2048" t="s">
        <v>936</v>
      </c>
      <c r="I19" s="2064" t="s">
        <v>936</v>
      </c>
    </row>
    <row r="20" spans="1:9">
      <c r="A20" s="1274" t="s">
        <v>43</v>
      </c>
      <c r="B20" s="1280" t="s">
        <v>44</v>
      </c>
      <c r="C20" s="1286">
        <v>0</v>
      </c>
      <c r="D20" s="1272">
        <v>0</v>
      </c>
      <c r="E20" s="2065" t="s">
        <v>936</v>
      </c>
      <c r="F20" s="1273">
        <v>0</v>
      </c>
      <c r="G20" s="1273">
        <v>0</v>
      </c>
      <c r="H20" s="2048" t="s">
        <v>936</v>
      </c>
      <c r="I20" s="2064" t="s">
        <v>936</v>
      </c>
    </row>
    <row r="21" spans="1:9">
      <c r="A21" s="1274" t="s">
        <v>45</v>
      </c>
      <c r="B21" s="1280" t="s">
        <v>46</v>
      </c>
      <c r="C21" s="1286">
        <v>0</v>
      </c>
      <c r="D21" s="1272">
        <v>0</v>
      </c>
      <c r="E21" s="2065" t="s">
        <v>936</v>
      </c>
      <c r="F21" s="1273">
        <v>0</v>
      </c>
      <c r="G21" s="1273">
        <v>0</v>
      </c>
      <c r="H21" s="2048" t="s">
        <v>936</v>
      </c>
      <c r="I21" s="2064" t="s">
        <v>936</v>
      </c>
    </row>
    <row r="22" spans="1:9">
      <c r="A22" s="1274" t="s">
        <v>47</v>
      </c>
      <c r="B22" s="1280" t="s">
        <v>48</v>
      </c>
      <c r="C22" s="1286">
        <v>880957</v>
      </c>
      <c r="D22" s="1272">
        <v>0</v>
      </c>
      <c r="E22" s="1284">
        <v>0</v>
      </c>
      <c r="F22" s="1273">
        <v>80957</v>
      </c>
      <c r="G22" s="1273">
        <v>0</v>
      </c>
      <c r="H22" s="1273">
        <v>0</v>
      </c>
      <c r="I22" s="2064" t="s">
        <v>936</v>
      </c>
    </row>
    <row r="23" spans="1:9" ht="39.6">
      <c r="A23" s="1274" t="s">
        <v>49</v>
      </c>
      <c r="B23" s="1280" t="s">
        <v>50</v>
      </c>
      <c r="C23" s="1286">
        <v>0</v>
      </c>
      <c r="D23" s="1272">
        <v>0</v>
      </c>
      <c r="E23" s="2065" t="s">
        <v>936</v>
      </c>
      <c r="F23" s="1273">
        <v>0</v>
      </c>
      <c r="G23" s="1273">
        <v>0</v>
      </c>
      <c r="H23" s="2048" t="s">
        <v>936</v>
      </c>
      <c r="I23" s="2064" t="s">
        <v>936</v>
      </c>
    </row>
    <row r="24" spans="1:9">
      <c r="A24" s="1274" t="s">
        <v>51</v>
      </c>
      <c r="B24" s="1280" t="s">
        <v>52</v>
      </c>
      <c r="C24" s="1286">
        <v>688831992.82000005</v>
      </c>
      <c r="D24" s="1272">
        <v>568667860.98000002</v>
      </c>
      <c r="E24" s="1284">
        <v>82.6</v>
      </c>
      <c r="F24" s="1273">
        <v>148388211.26000011</v>
      </c>
      <c r="G24" s="1273">
        <v>108278976.73000002</v>
      </c>
      <c r="H24" s="1273">
        <v>73</v>
      </c>
      <c r="I24" s="1290">
        <v>19</v>
      </c>
    </row>
    <row r="25" spans="1:9" ht="26.4">
      <c r="A25" s="1274" t="s">
        <v>53</v>
      </c>
      <c r="B25" s="1280" t="s">
        <v>54</v>
      </c>
      <c r="C25" s="1286">
        <v>0</v>
      </c>
      <c r="D25" s="1272">
        <v>0</v>
      </c>
      <c r="E25" s="2065" t="s">
        <v>936</v>
      </c>
      <c r="F25" s="1273">
        <v>0</v>
      </c>
      <c r="G25" s="1273">
        <v>0</v>
      </c>
      <c r="H25" s="2048" t="s">
        <v>936</v>
      </c>
      <c r="I25" s="2064" t="s">
        <v>936</v>
      </c>
    </row>
    <row r="26" spans="1:9" ht="26.4">
      <c r="A26" s="1274" t="s">
        <v>55</v>
      </c>
      <c r="B26" s="1280" t="s">
        <v>56</v>
      </c>
      <c r="C26" s="1286">
        <v>462306</v>
      </c>
      <c r="D26" s="1272">
        <v>401432.13</v>
      </c>
      <c r="E26" s="1284">
        <v>86.8</v>
      </c>
      <c r="F26" s="1273">
        <v>462306</v>
      </c>
      <c r="G26" s="1273">
        <v>401432.13</v>
      </c>
      <c r="H26" s="1273">
        <v>86.8</v>
      </c>
      <c r="I26" s="1290">
        <v>100</v>
      </c>
    </row>
    <row r="27" spans="1:9">
      <c r="A27" s="1274" t="s">
        <v>57</v>
      </c>
      <c r="B27" s="1280" t="s">
        <v>58</v>
      </c>
      <c r="C27" s="1286">
        <v>0</v>
      </c>
      <c r="D27" s="1272">
        <v>0</v>
      </c>
      <c r="E27" s="2065" t="s">
        <v>936</v>
      </c>
      <c r="F27" s="1273">
        <v>0</v>
      </c>
      <c r="G27" s="1273">
        <v>0</v>
      </c>
      <c r="H27" s="2048" t="s">
        <v>936</v>
      </c>
      <c r="I27" s="2064" t="s">
        <v>936</v>
      </c>
    </row>
    <row r="28" spans="1:9" ht="66">
      <c r="A28" s="1274" t="s">
        <v>59</v>
      </c>
      <c r="B28" s="1280" t="s">
        <v>60</v>
      </c>
      <c r="C28" s="1286">
        <v>0</v>
      </c>
      <c r="D28" s="1272">
        <v>0</v>
      </c>
      <c r="E28" s="2065" t="s">
        <v>936</v>
      </c>
      <c r="F28" s="1273">
        <v>0</v>
      </c>
      <c r="G28" s="1273">
        <v>0</v>
      </c>
      <c r="H28" s="2048" t="s">
        <v>936</v>
      </c>
      <c r="I28" s="2064" t="s">
        <v>936</v>
      </c>
    </row>
    <row r="29" spans="1:9">
      <c r="A29" s="1274" t="s">
        <v>61</v>
      </c>
      <c r="B29" s="1280" t="s">
        <v>62</v>
      </c>
      <c r="C29" s="1286">
        <v>0</v>
      </c>
      <c r="D29" s="1272">
        <v>0</v>
      </c>
      <c r="E29" s="2065" t="s">
        <v>936</v>
      </c>
      <c r="F29" s="1273">
        <v>0</v>
      </c>
      <c r="G29" s="1273">
        <v>0</v>
      </c>
      <c r="H29" s="2048" t="s">
        <v>936</v>
      </c>
      <c r="I29" s="2064" t="s">
        <v>936</v>
      </c>
    </row>
    <row r="30" spans="1:9">
      <c r="A30" s="1274" t="s">
        <v>63</v>
      </c>
      <c r="B30" s="1280" t="s">
        <v>64</v>
      </c>
      <c r="C30" s="1286">
        <v>24418.87</v>
      </c>
      <c r="D30" s="1272">
        <v>24418.87</v>
      </c>
      <c r="E30" s="1284">
        <v>100</v>
      </c>
      <c r="F30" s="1273">
        <v>24418.87</v>
      </c>
      <c r="G30" s="1273">
        <v>24418.87</v>
      </c>
      <c r="H30" s="1273">
        <v>100</v>
      </c>
      <c r="I30" s="1290">
        <v>100</v>
      </c>
    </row>
    <row r="31" spans="1:9">
      <c r="A31" s="1274" t="s">
        <v>65</v>
      </c>
      <c r="B31" s="1280" t="s">
        <v>66</v>
      </c>
      <c r="C31" s="1286">
        <v>34862023.850000001</v>
      </c>
      <c r="D31" s="1272">
        <v>29556829.859999999</v>
      </c>
      <c r="E31" s="1284">
        <v>84.8</v>
      </c>
      <c r="F31" s="1273">
        <v>14888815.68</v>
      </c>
      <c r="G31" s="1273">
        <v>12334486.379999999</v>
      </c>
      <c r="H31" s="1273">
        <v>82.8</v>
      </c>
      <c r="I31" s="1290">
        <v>41.7</v>
      </c>
    </row>
    <row r="32" spans="1:9">
      <c r="A32" s="1274" t="s">
        <v>67</v>
      </c>
      <c r="B32" s="1280" t="s">
        <v>68</v>
      </c>
      <c r="C32" s="1286">
        <v>67320661.549999997</v>
      </c>
      <c r="D32" s="1272">
        <v>62256871.82</v>
      </c>
      <c r="E32" s="1284">
        <v>92.5</v>
      </c>
      <c r="F32" s="1273">
        <v>801337.97999999672</v>
      </c>
      <c r="G32" s="1273">
        <v>797702.25</v>
      </c>
      <c r="H32" s="1273">
        <v>99.5</v>
      </c>
      <c r="I32" s="1290">
        <v>1.3</v>
      </c>
    </row>
    <row r="33" spans="1:9">
      <c r="A33" s="1274" t="s">
        <v>69</v>
      </c>
      <c r="B33" s="1280" t="s">
        <v>70</v>
      </c>
      <c r="C33" s="1286">
        <v>1386517966.5699999</v>
      </c>
      <c r="D33" s="1272">
        <v>1358405260.02</v>
      </c>
      <c r="E33" s="1284">
        <v>98</v>
      </c>
      <c r="F33" s="1273">
        <v>1382963272.8899999</v>
      </c>
      <c r="G33" s="1273">
        <v>1354925312.9100001</v>
      </c>
      <c r="H33" s="1273">
        <v>98</v>
      </c>
      <c r="I33" s="1290">
        <v>99.7</v>
      </c>
    </row>
    <row r="34" spans="1:9" ht="26.4">
      <c r="A34" s="1274" t="s">
        <v>71</v>
      </c>
      <c r="B34" s="1280" t="s">
        <v>72</v>
      </c>
      <c r="C34" s="1286">
        <v>180254.35</v>
      </c>
      <c r="D34" s="1272">
        <v>180254.35</v>
      </c>
      <c r="E34" s="1284">
        <v>100</v>
      </c>
      <c r="F34" s="1273">
        <v>180254.35</v>
      </c>
      <c r="G34" s="1273">
        <v>180254.35</v>
      </c>
      <c r="H34" s="1273">
        <v>100</v>
      </c>
      <c r="I34" s="1290">
        <v>100</v>
      </c>
    </row>
    <row r="35" spans="1:9">
      <c r="A35" s="1274" t="s">
        <v>73</v>
      </c>
      <c r="B35" s="1280" t="s">
        <v>74</v>
      </c>
      <c r="C35" s="1286">
        <v>7510293.1500000004</v>
      </c>
      <c r="D35" s="1272">
        <v>7298548.7699999996</v>
      </c>
      <c r="E35" s="1284">
        <v>97.2</v>
      </c>
      <c r="F35" s="1273">
        <v>7510293.1500000004</v>
      </c>
      <c r="G35" s="1273">
        <v>7298548.7699999996</v>
      </c>
      <c r="H35" s="1273">
        <v>97.2</v>
      </c>
      <c r="I35" s="1290">
        <v>100</v>
      </c>
    </row>
    <row r="36" spans="1:9">
      <c r="A36" s="1274" t="s">
        <v>75</v>
      </c>
      <c r="B36" s="1280" t="s">
        <v>76</v>
      </c>
      <c r="C36" s="1286">
        <v>122128194.12</v>
      </c>
      <c r="D36" s="1272">
        <v>116931678.47</v>
      </c>
      <c r="E36" s="1284">
        <v>95.7</v>
      </c>
      <c r="F36" s="1273">
        <v>121928194.12</v>
      </c>
      <c r="G36" s="1273">
        <v>116746810.47</v>
      </c>
      <c r="H36" s="1273">
        <v>95.8</v>
      </c>
      <c r="I36" s="1290">
        <v>99.8</v>
      </c>
    </row>
    <row r="37" spans="1:9" ht="26.4">
      <c r="A37" s="1274" t="s">
        <v>77</v>
      </c>
      <c r="B37" s="1280" t="s">
        <v>78</v>
      </c>
      <c r="C37" s="1286">
        <v>49181545.340000004</v>
      </c>
      <c r="D37" s="1272">
        <v>24307044.620000001</v>
      </c>
      <c r="E37" s="1284">
        <v>49.4</v>
      </c>
      <c r="F37" s="1273">
        <v>49181545.340000004</v>
      </c>
      <c r="G37" s="1273">
        <v>24307044.620000001</v>
      </c>
      <c r="H37" s="1273">
        <v>49.4</v>
      </c>
      <c r="I37" s="1290">
        <v>100</v>
      </c>
    </row>
    <row r="38" spans="1:9" ht="26.4">
      <c r="A38" s="1274" t="s">
        <v>79</v>
      </c>
      <c r="B38" s="1280" t="s">
        <v>80</v>
      </c>
      <c r="C38" s="1286">
        <v>203529</v>
      </c>
      <c r="D38" s="1272">
        <v>179640</v>
      </c>
      <c r="E38" s="1284">
        <v>88.3</v>
      </c>
      <c r="F38" s="1273">
        <v>203529</v>
      </c>
      <c r="G38" s="1273">
        <v>179640</v>
      </c>
      <c r="H38" s="1273">
        <v>88.3</v>
      </c>
      <c r="I38" s="1290">
        <v>100</v>
      </c>
    </row>
    <row r="39" spans="1:9" ht="39.6">
      <c r="A39" s="1274" t="s">
        <v>81</v>
      </c>
      <c r="B39" s="1280" t="s">
        <v>82</v>
      </c>
      <c r="C39" s="1286">
        <v>0</v>
      </c>
      <c r="D39" s="1272">
        <v>0</v>
      </c>
      <c r="E39" s="2065" t="s">
        <v>936</v>
      </c>
      <c r="F39" s="1273">
        <v>0</v>
      </c>
      <c r="G39" s="1273">
        <v>0</v>
      </c>
      <c r="H39" s="2048" t="s">
        <v>936</v>
      </c>
      <c r="I39" s="2064" t="s">
        <v>936</v>
      </c>
    </row>
    <row r="40" spans="1:9">
      <c r="A40" s="1275" t="s">
        <v>83</v>
      </c>
      <c r="B40" s="1281" t="s">
        <v>84</v>
      </c>
      <c r="C40" s="1287">
        <v>48617722</v>
      </c>
      <c r="D40" s="1276">
        <v>47229256</v>
      </c>
      <c r="E40" s="1283">
        <v>97.1</v>
      </c>
      <c r="F40" s="1277">
        <v>0</v>
      </c>
      <c r="G40" s="1277">
        <v>0</v>
      </c>
      <c r="H40" s="1277" t="s">
        <v>135</v>
      </c>
      <c r="I40" s="1291">
        <v>0</v>
      </c>
    </row>
    <row r="42" spans="1:9">
      <c r="A42" s="188" t="s">
        <v>911</v>
      </c>
      <c r="B42" s="187"/>
      <c r="C42" s="187"/>
      <c r="D42" s="187"/>
      <c r="E42" s="187"/>
      <c r="F42" s="187"/>
      <c r="G42" s="187"/>
      <c r="H42" s="187"/>
      <c r="I42" s="187"/>
    </row>
  </sheetData>
  <mergeCells count="7">
    <mergeCell ref="A3:A5"/>
    <mergeCell ref="B3:B5"/>
    <mergeCell ref="C3:E3"/>
    <mergeCell ref="F3:H3"/>
    <mergeCell ref="C5:D5"/>
    <mergeCell ref="F5:G5"/>
    <mergeCell ref="H5:I5"/>
  </mergeCells>
  <pageMargins left="0.70866141732283472" right="0.51181102362204722" top="0.55118110236220474" bottom="0.35433070866141736" header="0.31496062992125984" footer="0.31496062992125984"/>
  <pageSetup paperSize="9" scale="91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BCBE-871E-443F-8693-E7A35DBC94A0}">
  <dimension ref="A1:M325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3.77734375" customWidth="1"/>
    <col min="2" max="2" width="4.21875" customWidth="1"/>
    <col min="3" max="3" width="15.21875" customWidth="1"/>
    <col min="4" max="4" width="13.44140625" customWidth="1"/>
    <col min="5" max="5" width="15.21875" customWidth="1"/>
    <col min="6" max="6" width="13.5546875" customWidth="1"/>
    <col min="7" max="8" width="13.21875" customWidth="1"/>
    <col min="9" max="9" width="11.77734375" customWidth="1"/>
    <col min="10" max="10" width="15.21875" customWidth="1"/>
  </cols>
  <sheetData>
    <row r="1" spans="1:13">
      <c r="A1" s="445" t="s">
        <v>1010</v>
      </c>
      <c r="B1" s="350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3" spans="1:13">
      <c r="A3" s="2138" t="s">
        <v>87</v>
      </c>
      <c r="B3" s="2234" t="s">
        <v>171</v>
      </c>
      <c r="C3" s="2140" t="s">
        <v>172</v>
      </c>
      <c r="D3" s="2396" t="s">
        <v>577</v>
      </c>
      <c r="E3" s="2396" t="s">
        <v>578</v>
      </c>
      <c r="F3" s="2215" t="s">
        <v>88</v>
      </c>
      <c r="G3" s="2215"/>
      <c r="H3" s="2215"/>
      <c r="I3" s="2215"/>
      <c r="J3" s="2400"/>
      <c r="K3" s="2138" t="s">
        <v>575</v>
      </c>
      <c r="L3" s="2215"/>
      <c r="M3" s="2393"/>
    </row>
    <row r="4" spans="1:13">
      <c r="A4" s="2139"/>
      <c r="B4" s="2436"/>
      <c r="C4" s="2141"/>
      <c r="D4" s="2397"/>
      <c r="E4" s="2397"/>
      <c r="F4" s="2394" t="s">
        <v>136</v>
      </c>
      <c r="G4" s="2395" t="s">
        <v>569</v>
      </c>
      <c r="H4" s="2395"/>
      <c r="I4" s="2395" t="s">
        <v>137</v>
      </c>
      <c r="J4" s="354" t="s">
        <v>569</v>
      </c>
      <c r="K4" s="2139"/>
      <c r="L4" s="2395"/>
      <c r="M4" s="2399"/>
    </row>
    <row r="5" spans="1:13" ht="53.25" customHeight="1">
      <c r="A5" s="2139"/>
      <c r="B5" s="2436"/>
      <c r="C5" s="2141"/>
      <c r="D5" s="2397"/>
      <c r="E5" s="2397"/>
      <c r="F5" s="2394"/>
      <c r="G5" s="2394" t="s">
        <v>570</v>
      </c>
      <c r="H5" s="2394" t="s">
        <v>579</v>
      </c>
      <c r="I5" s="2395"/>
      <c r="J5" s="2398" t="s">
        <v>580</v>
      </c>
      <c r="K5" s="2139"/>
      <c r="L5" s="2395"/>
      <c r="M5" s="2399"/>
    </row>
    <row r="6" spans="1:13">
      <c r="A6" s="2139"/>
      <c r="B6" s="2436"/>
      <c r="C6" s="2141"/>
      <c r="D6" s="2397"/>
      <c r="E6" s="2397"/>
      <c r="F6" s="2394"/>
      <c r="G6" s="2394"/>
      <c r="H6" s="2394"/>
      <c r="I6" s="2395"/>
      <c r="J6" s="2398"/>
      <c r="K6" s="351" t="s">
        <v>7</v>
      </c>
      <c r="L6" s="353" t="s">
        <v>581</v>
      </c>
      <c r="M6" s="352" t="s">
        <v>582</v>
      </c>
    </row>
    <row r="7" spans="1:13">
      <c r="A7" s="2139"/>
      <c r="B7" s="2235"/>
      <c r="C7" s="2141"/>
      <c r="D7" s="355"/>
      <c r="E7" s="2221" t="s">
        <v>93</v>
      </c>
      <c r="F7" s="2395"/>
      <c r="G7" s="2395"/>
      <c r="H7" s="2395"/>
      <c r="I7" s="2395"/>
      <c r="J7" s="2222"/>
      <c r="K7" s="2139" t="s">
        <v>169</v>
      </c>
      <c r="L7" s="2395"/>
      <c r="M7" s="2399"/>
    </row>
    <row r="8" spans="1:13">
      <c r="A8" s="347" t="s">
        <v>10</v>
      </c>
      <c r="B8" s="342" t="s">
        <v>11</v>
      </c>
      <c r="C8" s="342" t="s">
        <v>12</v>
      </c>
      <c r="D8" s="746" t="s">
        <v>13</v>
      </c>
      <c r="E8" s="368" t="s">
        <v>14</v>
      </c>
      <c r="F8" s="747" t="s">
        <v>15</v>
      </c>
      <c r="G8" s="368" t="s">
        <v>16</v>
      </c>
      <c r="H8" s="747" t="s">
        <v>17</v>
      </c>
      <c r="I8" s="368" t="s">
        <v>94</v>
      </c>
      <c r="J8" s="369" t="s">
        <v>150</v>
      </c>
      <c r="K8" s="370" t="s">
        <v>170</v>
      </c>
      <c r="L8" s="348" t="s">
        <v>173</v>
      </c>
      <c r="M8" s="349" t="s">
        <v>583</v>
      </c>
    </row>
    <row r="9" spans="1:13" ht="26.4">
      <c r="A9" s="1626"/>
      <c r="B9" s="1627"/>
      <c r="C9" s="1622" t="s">
        <v>562</v>
      </c>
      <c r="D9" s="1630">
        <v>58747803103.919998</v>
      </c>
      <c r="E9" s="1630">
        <v>7019131724.0299997</v>
      </c>
      <c r="F9" s="1630">
        <v>6534932080.1800003</v>
      </c>
      <c r="G9" s="1630">
        <v>4854357339.5699997</v>
      </c>
      <c r="H9" s="1631">
        <v>28336941.530000001</v>
      </c>
      <c r="I9" s="1631">
        <v>484199643.85000002</v>
      </c>
      <c r="J9" s="1631">
        <v>116864167.59</v>
      </c>
      <c r="K9" s="1624">
        <v>11.9</v>
      </c>
      <c r="L9" s="1620">
        <v>93.1</v>
      </c>
      <c r="M9" s="1621">
        <v>69.2</v>
      </c>
    </row>
    <row r="10" spans="1:13">
      <c r="A10" s="1628">
        <v>2</v>
      </c>
      <c r="B10" s="1629">
        <v>1</v>
      </c>
      <c r="C10" s="1623" t="s">
        <v>174</v>
      </c>
      <c r="D10" s="1632">
        <v>193168983.97</v>
      </c>
      <c r="E10" s="1632">
        <v>24936736.550000001</v>
      </c>
      <c r="F10" s="1632">
        <v>24401046.949999999</v>
      </c>
      <c r="G10" s="1632">
        <v>18022349.379999999</v>
      </c>
      <c r="H10" s="1633">
        <v>275760.44</v>
      </c>
      <c r="I10" s="1633">
        <v>535689.6</v>
      </c>
      <c r="J10" s="1633">
        <v>435520</v>
      </c>
      <c r="K10" s="1625">
        <v>12.9</v>
      </c>
      <c r="L10" s="1618">
        <v>97.9</v>
      </c>
      <c r="M10" s="1619">
        <v>72.3</v>
      </c>
    </row>
    <row r="11" spans="1:13">
      <c r="A11" s="1628">
        <v>2</v>
      </c>
      <c r="B11" s="1629">
        <v>2</v>
      </c>
      <c r="C11" s="1623" t="s">
        <v>175</v>
      </c>
      <c r="D11" s="1632">
        <v>193828569.63</v>
      </c>
      <c r="E11" s="1632">
        <v>20631324.620000001</v>
      </c>
      <c r="F11" s="1632">
        <v>20258318.379999999</v>
      </c>
      <c r="G11" s="1632">
        <v>14773656.699999999</v>
      </c>
      <c r="H11" s="1633">
        <v>414715.59</v>
      </c>
      <c r="I11" s="1633">
        <v>373006.24</v>
      </c>
      <c r="J11" s="1633">
        <v>205818.34</v>
      </c>
      <c r="K11" s="1625">
        <v>10.6</v>
      </c>
      <c r="L11" s="1618">
        <v>98.2</v>
      </c>
      <c r="M11" s="1619">
        <v>71.599999999999994</v>
      </c>
    </row>
    <row r="12" spans="1:13">
      <c r="A12" s="1628">
        <v>2</v>
      </c>
      <c r="B12" s="1629">
        <v>3</v>
      </c>
      <c r="C12" s="1623" t="s">
        <v>176</v>
      </c>
      <c r="D12" s="1632">
        <v>244507748.68000001</v>
      </c>
      <c r="E12" s="1632">
        <v>16665635.609999999</v>
      </c>
      <c r="F12" s="1632">
        <v>15550533.91</v>
      </c>
      <c r="G12" s="1632">
        <v>10699351.689999999</v>
      </c>
      <c r="H12" s="1633">
        <v>161634.26999999999</v>
      </c>
      <c r="I12" s="1633">
        <v>1115101.7</v>
      </c>
      <c r="J12" s="1633">
        <v>576306.17000000004</v>
      </c>
      <c r="K12" s="1625">
        <v>6.8</v>
      </c>
      <c r="L12" s="1618">
        <v>93.3</v>
      </c>
      <c r="M12" s="1619">
        <v>64.2</v>
      </c>
    </row>
    <row r="13" spans="1:13">
      <c r="A13" s="1628">
        <v>2</v>
      </c>
      <c r="B13" s="1629">
        <v>4</v>
      </c>
      <c r="C13" s="1623" t="s">
        <v>177</v>
      </c>
      <c r="D13" s="1632">
        <v>96512938.689999998</v>
      </c>
      <c r="E13" s="1632">
        <v>11251534.74</v>
      </c>
      <c r="F13" s="1632">
        <v>10967933.439999999</v>
      </c>
      <c r="G13" s="1632">
        <v>7725782.7699999996</v>
      </c>
      <c r="H13" s="1633">
        <v>10000</v>
      </c>
      <c r="I13" s="1633">
        <v>283601.3</v>
      </c>
      <c r="J13" s="1633">
        <v>252470</v>
      </c>
      <c r="K13" s="1625">
        <v>11.7</v>
      </c>
      <c r="L13" s="1618">
        <v>97.5</v>
      </c>
      <c r="M13" s="1619">
        <v>68.7</v>
      </c>
    </row>
    <row r="14" spans="1:13">
      <c r="A14" s="1628">
        <v>2</v>
      </c>
      <c r="B14" s="1629">
        <v>5</v>
      </c>
      <c r="C14" s="1623" t="s">
        <v>178</v>
      </c>
      <c r="D14" s="1632">
        <v>158492802.88999999</v>
      </c>
      <c r="E14" s="1632">
        <v>14602315.99</v>
      </c>
      <c r="F14" s="1632">
        <v>13616049.779999999</v>
      </c>
      <c r="G14" s="1632">
        <v>10024340.869999999</v>
      </c>
      <c r="H14" s="1633">
        <v>0</v>
      </c>
      <c r="I14" s="1633">
        <v>986266.21</v>
      </c>
      <c r="J14" s="1633">
        <v>788045.01</v>
      </c>
      <c r="K14" s="1625">
        <v>9.1999999999999993</v>
      </c>
      <c r="L14" s="1618">
        <v>93.2</v>
      </c>
      <c r="M14" s="1619">
        <v>68.599999999999994</v>
      </c>
    </row>
    <row r="15" spans="1:13">
      <c r="A15" s="1628">
        <v>2</v>
      </c>
      <c r="B15" s="1629">
        <v>6</v>
      </c>
      <c r="C15" s="1623" t="s">
        <v>179</v>
      </c>
      <c r="D15" s="1632">
        <v>172566762.91999999</v>
      </c>
      <c r="E15" s="1632">
        <v>20894657.219999999</v>
      </c>
      <c r="F15" s="1632">
        <v>20396939.780000001</v>
      </c>
      <c r="G15" s="1632">
        <v>15789431.92</v>
      </c>
      <c r="H15" s="1633">
        <v>0</v>
      </c>
      <c r="I15" s="1633">
        <v>497717.44</v>
      </c>
      <c r="J15" s="1633">
        <v>0</v>
      </c>
      <c r="K15" s="1625">
        <v>12.1</v>
      </c>
      <c r="L15" s="1618">
        <v>97.6</v>
      </c>
      <c r="M15" s="1619">
        <v>75.599999999999994</v>
      </c>
    </row>
    <row r="16" spans="1:13">
      <c r="A16" s="1628">
        <v>2</v>
      </c>
      <c r="B16" s="1629">
        <v>7</v>
      </c>
      <c r="C16" s="1623" t="s">
        <v>180</v>
      </c>
      <c r="D16" s="1632">
        <v>121209338.76000001</v>
      </c>
      <c r="E16" s="1632">
        <v>10574159.5</v>
      </c>
      <c r="F16" s="1632">
        <v>10332995.73</v>
      </c>
      <c r="G16" s="1632">
        <v>8232031.1399999997</v>
      </c>
      <c r="H16" s="1633">
        <v>126881.67</v>
      </c>
      <c r="I16" s="1633">
        <v>241163.77</v>
      </c>
      <c r="J16" s="1633">
        <v>202701.67</v>
      </c>
      <c r="K16" s="1625">
        <v>8.6999999999999993</v>
      </c>
      <c r="L16" s="1618">
        <v>97.7</v>
      </c>
      <c r="M16" s="1619">
        <v>77.900000000000006</v>
      </c>
    </row>
    <row r="17" spans="1:13">
      <c r="A17" s="1628">
        <v>2</v>
      </c>
      <c r="B17" s="1629">
        <v>8</v>
      </c>
      <c r="C17" s="1623" t="s">
        <v>181</v>
      </c>
      <c r="D17" s="1632">
        <v>443799998.14999998</v>
      </c>
      <c r="E17" s="1632">
        <v>32214749.239999998</v>
      </c>
      <c r="F17" s="1632">
        <v>31266327.199999999</v>
      </c>
      <c r="G17" s="1632">
        <v>22064796.02</v>
      </c>
      <c r="H17" s="1633">
        <v>0</v>
      </c>
      <c r="I17" s="1633">
        <v>948422.04</v>
      </c>
      <c r="J17" s="1633">
        <v>746915.04</v>
      </c>
      <c r="K17" s="1625">
        <v>7.3</v>
      </c>
      <c r="L17" s="1618">
        <v>97.1</v>
      </c>
      <c r="M17" s="1619">
        <v>68.5</v>
      </c>
    </row>
    <row r="18" spans="1:13">
      <c r="A18" s="1628">
        <v>2</v>
      </c>
      <c r="B18" s="1629">
        <v>9</v>
      </c>
      <c r="C18" s="1623" t="s">
        <v>182</v>
      </c>
      <c r="D18" s="1632">
        <v>174599679.09</v>
      </c>
      <c r="E18" s="1632">
        <v>19836961.949999999</v>
      </c>
      <c r="F18" s="1632">
        <v>19073136.440000001</v>
      </c>
      <c r="G18" s="1632">
        <v>14125015.75</v>
      </c>
      <c r="H18" s="1633">
        <v>62258.400000000001</v>
      </c>
      <c r="I18" s="1633">
        <v>763825.51</v>
      </c>
      <c r="J18" s="1633">
        <v>142239.82</v>
      </c>
      <c r="K18" s="1625">
        <v>11.4</v>
      </c>
      <c r="L18" s="1618">
        <v>96.1</v>
      </c>
      <c r="M18" s="1619">
        <v>71.2</v>
      </c>
    </row>
    <row r="19" spans="1:13">
      <c r="A19" s="1628">
        <v>2</v>
      </c>
      <c r="B19" s="1629">
        <v>10</v>
      </c>
      <c r="C19" s="1623" t="s">
        <v>183</v>
      </c>
      <c r="D19" s="1632">
        <v>131792377.16</v>
      </c>
      <c r="E19" s="1632">
        <v>12384618.699999999</v>
      </c>
      <c r="F19" s="1632">
        <v>11924940.41</v>
      </c>
      <c r="G19" s="1632">
        <v>8485871.5600000005</v>
      </c>
      <c r="H19" s="1633">
        <v>59275.8</v>
      </c>
      <c r="I19" s="1633">
        <v>459678.29</v>
      </c>
      <c r="J19" s="1633">
        <v>195693</v>
      </c>
      <c r="K19" s="1625">
        <v>9.4</v>
      </c>
      <c r="L19" s="1618">
        <v>96.3</v>
      </c>
      <c r="M19" s="1619">
        <v>68.5</v>
      </c>
    </row>
    <row r="20" spans="1:13">
      <c r="A20" s="1628">
        <v>2</v>
      </c>
      <c r="B20" s="1629">
        <v>11</v>
      </c>
      <c r="C20" s="1623" t="s">
        <v>184</v>
      </c>
      <c r="D20" s="1632">
        <v>249290848.93000001</v>
      </c>
      <c r="E20" s="1632">
        <v>24626735.41</v>
      </c>
      <c r="F20" s="1632">
        <v>23695351.559999999</v>
      </c>
      <c r="G20" s="1632">
        <v>17091331.859999999</v>
      </c>
      <c r="H20" s="1633">
        <v>0</v>
      </c>
      <c r="I20" s="1633">
        <v>931383.85</v>
      </c>
      <c r="J20" s="1633">
        <v>857433</v>
      </c>
      <c r="K20" s="1625">
        <v>9.9</v>
      </c>
      <c r="L20" s="1618">
        <v>96.2</v>
      </c>
      <c r="M20" s="1619">
        <v>69.400000000000006</v>
      </c>
    </row>
    <row r="21" spans="1:13">
      <c r="A21" s="1628">
        <v>2</v>
      </c>
      <c r="B21" s="1629">
        <v>12</v>
      </c>
      <c r="C21" s="1623" t="s">
        <v>185</v>
      </c>
      <c r="D21" s="1632">
        <v>151221601.34</v>
      </c>
      <c r="E21" s="1632">
        <v>13740465.369999999</v>
      </c>
      <c r="F21" s="1632">
        <v>13532515.779999999</v>
      </c>
      <c r="G21" s="1632">
        <v>10420621.310000001</v>
      </c>
      <c r="H21" s="1633">
        <v>156435.67000000001</v>
      </c>
      <c r="I21" s="1633">
        <v>207949.59</v>
      </c>
      <c r="J21" s="1633">
        <v>0</v>
      </c>
      <c r="K21" s="1625">
        <v>9.1</v>
      </c>
      <c r="L21" s="1618">
        <v>98.5</v>
      </c>
      <c r="M21" s="1619">
        <v>75.8</v>
      </c>
    </row>
    <row r="22" spans="1:13">
      <c r="A22" s="1628">
        <v>2</v>
      </c>
      <c r="B22" s="1629">
        <v>13</v>
      </c>
      <c r="C22" s="1623" t="s">
        <v>186</v>
      </c>
      <c r="D22" s="1632">
        <v>117742560.55</v>
      </c>
      <c r="E22" s="1632">
        <v>11160892.9</v>
      </c>
      <c r="F22" s="1632">
        <v>11160892.9</v>
      </c>
      <c r="G22" s="1632">
        <v>8166237.4100000001</v>
      </c>
      <c r="H22" s="1633">
        <v>30816.1</v>
      </c>
      <c r="I22" s="1633">
        <v>0</v>
      </c>
      <c r="J22" s="1633">
        <v>0</v>
      </c>
      <c r="K22" s="1625">
        <v>9.5</v>
      </c>
      <c r="L22" s="1618">
        <v>100</v>
      </c>
      <c r="M22" s="1619">
        <v>73.2</v>
      </c>
    </row>
    <row r="23" spans="1:13">
      <c r="A23" s="1628">
        <v>2</v>
      </c>
      <c r="B23" s="1629">
        <v>14</v>
      </c>
      <c r="C23" s="1623" t="s">
        <v>187</v>
      </c>
      <c r="D23" s="1632">
        <v>242207098.81999999</v>
      </c>
      <c r="E23" s="1632">
        <v>22616627.370000001</v>
      </c>
      <c r="F23" s="1632">
        <v>21393510.77</v>
      </c>
      <c r="G23" s="1632">
        <v>15557166.83</v>
      </c>
      <c r="H23" s="1633">
        <v>40040</v>
      </c>
      <c r="I23" s="1633">
        <v>1223116.6000000001</v>
      </c>
      <c r="J23" s="1633">
        <v>420172.4</v>
      </c>
      <c r="K23" s="1625">
        <v>9.3000000000000007</v>
      </c>
      <c r="L23" s="1618">
        <v>94.6</v>
      </c>
      <c r="M23" s="1619">
        <v>68.8</v>
      </c>
    </row>
    <row r="24" spans="1:13">
      <c r="A24" s="1628">
        <v>2</v>
      </c>
      <c r="B24" s="1629">
        <v>15</v>
      </c>
      <c r="C24" s="1623" t="s">
        <v>188</v>
      </c>
      <c r="D24" s="1632">
        <v>184475671.78</v>
      </c>
      <c r="E24" s="1632">
        <v>17092233.620000001</v>
      </c>
      <c r="F24" s="1632">
        <v>16719646.49</v>
      </c>
      <c r="G24" s="1632">
        <v>11949139.039999999</v>
      </c>
      <c r="H24" s="1633">
        <v>0</v>
      </c>
      <c r="I24" s="1633">
        <v>372587.13</v>
      </c>
      <c r="J24" s="1633">
        <v>0</v>
      </c>
      <c r="K24" s="1625">
        <v>9.3000000000000007</v>
      </c>
      <c r="L24" s="1618">
        <v>97.8</v>
      </c>
      <c r="M24" s="1619">
        <v>69.900000000000006</v>
      </c>
    </row>
    <row r="25" spans="1:13">
      <c r="A25" s="1628">
        <v>2</v>
      </c>
      <c r="B25" s="1629">
        <v>16</v>
      </c>
      <c r="C25" s="1623" t="s">
        <v>189</v>
      </c>
      <c r="D25" s="1632">
        <v>119736890.03</v>
      </c>
      <c r="E25" s="1632">
        <v>21010393.149999999</v>
      </c>
      <c r="F25" s="1632">
        <v>20295387.82</v>
      </c>
      <c r="G25" s="1632">
        <v>15789679.75</v>
      </c>
      <c r="H25" s="1633">
        <v>107624.99</v>
      </c>
      <c r="I25" s="1633">
        <v>715005.33</v>
      </c>
      <c r="J25" s="1633">
        <v>463099.83</v>
      </c>
      <c r="K25" s="1625">
        <v>17.5</v>
      </c>
      <c r="L25" s="1618">
        <v>96.6</v>
      </c>
      <c r="M25" s="1619">
        <v>75.2</v>
      </c>
    </row>
    <row r="26" spans="1:13">
      <c r="A26" s="1628">
        <v>2</v>
      </c>
      <c r="B26" s="1629">
        <v>17</v>
      </c>
      <c r="C26" s="1623" t="s">
        <v>190</v>
      </c>
      <c r="D26" s="1632">
        <v>111414028.7</v>
      </c>
      <c r="E26" s="1632">
        <v>11157766.85</v>
      </c>
      <c r="F26" s="1632">
        <v>11083884.189999999</v>
      </c>
      <c r="G26" s="1632">
        <v>8104925.6100000003</v>
      </c>
      <c r="H26" s="1633">
        <v>0</v>
      </c>
      <c r="I26" s="1633">
        <v>73882.66</v>
      </c>
      <c r="J26" s="1633">
        <v>0</v>
      </c>
      <c r="K26" s="1625">
        <v>10</v>
      </c>
      <c r="L26" s="1618">
        <v>99.3</v>
      </c>
      <c r="M26" s="1619">
        <v>72.599999999999994</v>
      </c>
    </row>
    <row r="27" spans="1:13">
      <c r="A27" s="1628">
        <v>2</v>
      </c>
      <c r="B27" s="1629">
        <v>18</v>
      </c>
      <c r="C27" s="1623" t="s">
        <v>191</v>
      </c>
      <c r="D27" s="1632">
        <v>110444114.3</v>
      </c>
      <c r="E27" s="1632">
        <v>18759389.699999999</v>
      </c>
      <c r="F27" s="1632">
        <v>17831654.82</v>
      </c>
      <c r="G27" s="1632">
        <v>13144015.390000001</v>
      </c>
      <c r="H27" s="1633">
        <v>0</v>
      </c>
      <c r="I27" s="1633">
        <v>927734.88</v>
      </c>
      <c r="J27" s="1633">
        <v>896159.55</v>
      </c>
      <c r="K27" s="1625">
        <v>17</v>
      </c>
      <c r="L27" s="1618">
        <v>95.1</v>
      </c>
      <c r="M27" s="1619">
        <v>70.099999999999994</v>
      </c>
    </row>
    <row r="28" spans="1:13">
      <c r="A28" s="1628">
        <v>2</v>
      </c>
      <c r="B28" s="1629">
        <v>19</v>
      </c>
      <c r="C28" s="1623" t="s">
        <v>192</v>
      </c>
      <c r="D28" s="1632">
        <v>353386142</v>
      </c>
      <c r="E28" s="1632">
        <v>25991152.399999999</v>
      </c>
      <c r="F28" s="1632">
        <v>25237894.460000001</v>
      </c>
      <c r="G28" s="1632">
        <v>17537634.039999999</v>
      </c>
      <c r="H28" s="1633">
        <v>56027</v>
      </c>
      <c r="I28" s="1633">
        <v>753257.94</v>
      </c>
      <c r="J28" s="1633">
        <v>243779.26</v>
      </c>
      <c r="K28" s="1625">
        <v>7.4</v>
      </c>
      <c r="L28" s="1618">
        <v>97.1</v>
      </c>
      <c r="M28" s="1619">
        <v>67.5</v>
      </c>
    </row>
    <row r="29" spans="1:13">
      <c r="A29" s="1628">
        <v>2</v>
      </c>
      <c r="B29" s="1629">
        <v>20</v>
      </c>
      <c r="C29" s="1623" t="s">
        <v>193</v>
      </c>
      <c r="D29" s="1632">
        <v>181747200.22999999</v>
      </c>
      <c r="E29" s="1632">
        <v>25703280.550000001</v>
      </c>
      <c r="F29" s="1632">
        <v>24427444.350000001</v>
      </c>
      <c r="G29" s="1632">
        <v>18429608.300000001</v>
      </c>
      <c r="H29" s="1633">
        <v>239591.7</v>
      </c>
      <c r="I29" s="1633">
        <v>1275836.2</v>
      </c>
      <c r="J29" s="1633">
        <v>676342.82</v>
      </c>
      <c r="K29" s="1625">
        <v>14.1</v>
      </c>
      <c r="L29" s="1618">
        <v>95</v>
      </c>
      <c r="M29" s="1619">
        <v>71.7</v>
      </c>
    </row>
    <row r="30" spans="1:13">
      <c r="A30" s="1628">
        <v>2</v>
      </c>
      <c r="B30" s="1629">
        <v>21</v>
      </c>
      <c r="C30" s="1623" t="s">
        <v>194</v>
      </c>
      <c r="D30" s="1632">
        <v>91869984.540000007</v>
      </c>
      <c r="E30" s="1632">
        <v>18990891.170000002</v>
      </c>
      <c r="F30" s="1632">
        <v>16158715.68</v>
      </c>
      <c r="G30" s="1632">
        <v>11637839.359999999</v>
      </c>
      <c r="H30" s="1633">
        <v>0</v>
      </c>
      <c r="I30" s="1633">
        <v>2832175.49</v>
      </c>
      <c r="J30" s="1633">
        <v>1683733.99</v>
      </c>
      <c r="K30" s="1625">
        <v>20.7</v>
      </c>
      <c r="L30" s="1618">
        <v>85.1</v>
      </c>
      <c r="M30" s="1619">
        <v>61.3</v>
      </c>
    </row>
    <row r="31" spans="1:13">
      <c r="A31" s="1628">
        <v>2</v>
      </c>
      <c r="B31" s="1629">
        <v>22</v>
      </c>
      <c r="C31" s="1623" t="s">
        <v>195</v>
      </c>
      <c r="D31" s="1632">
        <v>143733706.05000001</v>
      </c>
      <c r="E31" s="1632">
        <v>15000038.359999999</v>
      </c>
      <c r="F31" s="1632">
        <v>14725011.560000001</v>
      </c>
      <c r="G31" s="1632">
        <v>11138555.880000001</v>
      </c>
      <c r="H31" s="1633">
        <v>21315</v>
      </c>
      <c r="I31" s="1633">
        <v>275026.8</v>
      </c>
      <c r="J31" s="1633">
        <v>211387.8</v>
      </c>
      <c r="K31" s="1625">
        <v>10.4</v>
      </c>
      <c r="L31" s="1618">
        <v>98.2</v>
      </c>
      <c r="M31" s="1619">
        <v>74.3</v>
      </c>
    </row>
    <row r="32" spans="1:13">
      <c r="A32" s="1628">
        <v>2</v>
      </c>
      <c r="B32" s="1629">
        <v>23</v>
      </c>
      <c r="C32" s="1623" t="s">
        <v>196</v>
      </c>
      <c r="D32" s="1632">
        <v>255245233.63</v>
      </c>
      <c r="E32" s="1632">
        <v>65066036.289999999</v>
      </c>
      <c r="F32" s="1632">
        <v>61274444.909999996</v>
      </c>
      <c r="G32" s="1632">
        <v>46026731.289999999</v>
      </c>
      <c r="H32" s="1633">
        <v>0</v>
      </c>
      <c r="I32" s="1633">
        <v>3791591.38</v>
      </c>
      <c r="J32" s="1633">
        <v>12300</v>
      </c>
      <c r="K32" s="1625">
        <v>25.5</v>
      </c>
      <c r="L32" s="1618">
        <v>94.2</v>
      </c>
      <c r="M32" s="1619">
        <v>70.7</v>
      </c>
    </row>
    <row r="33" spans="1:13">
      <c r="A33" s="1628">
        <v>2</v>
      </c>
      <c r="B33" s="1629">
        <v>24</v>
      </c>
      <c r="C33" s="1623" t="s">
        <v>197</v>
      </c>
      <c r="D33" s="1632">
        <v>189611060.75999999</v>
      </c>
      <c r="E33" s="1632">
        <v>18046293.390000001</v>
      </c>
      <c r="F33" s="1632">
        <v>17287014.390000001</v>
      </c>
      <c r="G33" s="1632">
        <v>13176126.130000001</v>
      </c>
      <c r="H33" s="1633">
        <v>31168.2</v>
      </c>
      <c r="I33" s="1633">
        <v>759279</v>
      </c>
      <c r="J33" s="1633">
        <v>759279</v>
      </c>
      <c r="K33" s="1625">
        <v>9.5</v>
      </c>
      <c r="L33" s="1618">
        <v>95.8</v>
      </c>
      <c r="M33" s="1619">
        <v>73</v>
      </c>
    </row>
    <row r="34" spans="1:13">
      <c r="A34" s="1628">
        <v>2</v>
      </c>
      <c r="B34" s="1629">
        <v>25</v>
      </c>
      <c r="C34" s="1623" t="s">
        <v>198</v>
      </c>
      <c r="D34" s="1632">
        <v>216379539.99000001</v>
      </c>
      <c r="E34" s="1632">
        <v>22862929.379999999</v>
      </c>
      <c r="F34" s="1632">
        <v>17869242.960000001</v>
      </c>
      <c r="G34" s="1632">
        <v>12185381.52</v>
      </c>
      <c r="H34" s="1633">
        <v>366870.68</v>
      </c>
      <c r="I34" s="1633">
        <v>4993686.42</v>
      </c>
      <c r="J34" s="1633">
        <v>4364531.9800000004</v>
      </c>
      <c r="K34" s="1625">
        <v>10.6</v>
      </c>
      <c r="L34" s="1618">
        <v>78.2</v>
      </c>
      <c r="M34" s="1619">
        <v>53.3</v>
      </c>
    </row>
    <row r="35" spans="1:13">
      <c r="A35" s="1628">
        <v>2</v>
      </c>
      <c r="B35" s="1629">
        <v>26</v>
      </c>
      <c r="C35" s="1623" t="s">
        <v>199</v>
      </c>
      <c r="D35" s="1632">
        <v>99594996.409999996</v>
      </c>
      <c r="E35" s="1632">
        <v>17548508.550000001</v>
      </c>
      <c r="F35" s="1632">
        <v>14537026.83</v>
      </c>
      <c r="G35" s="1632">
        <v>10093498.220000001</v>
      </c>
      <c r="H35" s="1633">
        <v>1496504.51</v>
      </c>
      <c r="I35" s="1633">
        <v>3011481.72</v>
      </c>
      <c r="J35" s="1633">
        <v>1314596.3400000001</v>
      </c>
      <c r="K35" s="1625">
        <v>17.600000000000001</v>
      </c>
      <c r="L35" s="1618">
        <v>82.8</v>
      </c>
      <c r="M35" s="1619">
        <v>57.5</v>
      </c>
    </row>
    <row r="36" spans="1:13">
      <c r="A36" s="1628">
        <v>4</v>
      </c>
      <c r="B36" s="1629">
        <v>1</v>
      </c>
      <c r="C36" s="1623" t="s">
        <v>200</v>
      </c>
      <c r="D36" s="1632">
        <v>127355638.23999999</v>
      </c>
      <c r="E36" s="1632">
        <v>12221892.140000001</v>
      </c>
      <c r="F36" s="1632">
        <v>11686749.890000001</v>
      </c>
      <c r="G36" s="1632">
        <v>8462661.7300000004</v>
      </c>
      <c r="H36" s="1633">
        <v>54396.58</v>
      </c>
      <c r="I36" s="1633">
        <v>535142.25</v>
      </c>
      <c r="J36" s="1633">
        <v>502381.2</v>
      </c>
      <c r="K36" s="1625">
        <v>9.6</v>
      </c>
      <c r="L36" s="1618">
        <v>95.6</v>
      </c>
      <c r="M36" s="1619">
        <v>69.2</v>
      </c>
    </row>
    <row r="37" spans="1:13">
      <c r="A37" s="1628">
        <v>4</v>
      </c>
      <c r="B37" s="1629">
        <v>2</v>
      </c>
      <c r="C37" s="1623" t="s">
        <v>201</v>
      </c>
      <c r="D37" s="1632">
        <v>154836937.74000001</v>
      </c>
      <c r="E37" s="1632">
        <v>19904795.629999999</v>
      </c>
      <c r="F37" s="1632">
        <v>19354667.370000001</v>
      </c>
      <c r="G37" s="1632">
        <v>14512440.199999999</v>
      </c>
      <c r="H37" s="1633">
        <v>94611.89</v>
      </c>
      <c r="I37" s="1633">
        <v>550128.26</v>
      </c>
      <c r="J37" s="1633">
        <v>433575</v>
      </c>
      <c r="K37" s="1625">
        <v>12.9</v>
      </c>
      <c r="L37" s="1618">
        <v>97.2</v>
      </c>
      <c r="M37" s="1619">
        <v>72.900000000000006</v>
      </c>
    </row>
    <row r="38" spans="1:13">
      <c r="A38" s="1628">
        <v>4</v>
      </c>
      <c r="B38" s="1629">
        <v>3</v>
      </c>
      <c r="C38" s="1623" t="s">
        <v>202</v>
      </c>
      <c r="D38" s="1632">
        <v>149343447.83000001</v>
      </c>
      <c r="E38" s="1632">
        <v>35734248.280000001</v>
      </c>
      <c r="F38" s="1632">
        <v>35065744.600000001</v>
      </c>
      <c r="G38" s="1632">
        <v>24124833.25</v>
      </c>
      <c r="H38" s="1633">
        <v>8273</v>
      </c>
      <c r="I38" s="1633">
        <v>668503.68000000005</v>
      </c>
      <c r="J38" s="1633">
        <v>0</v>
      </c>
      <c r="K38" s="1625">
        <v>23.9</v>
      </c>
      <c r="L38" s="1618">
        <v>98.1</v>
      </c>
      <c r="M38" s="1619">
        <v>67.5</v>
      </c>
    </row>
    <row r="39" spans="1:13">
      <c r="A39" s="1628">
        <v>4</v>
      </c>
      <c r="B39" s="1629">
        <v>4</v>
      </c>
      <c r="C39" s="1623" t="s">
        <v>203</v>
      </c>
      <c r="D39" s="1632">
        <v>125535221.72</v>
      </c>
      <c r="E39" s="1632">
        <v>13149901.23</v>
      </c>
      <c r="F39" s="1632">
        <v>12614152.98</v>
      </c>
      <c r="G39" s="1632">
        <v>9318371.0600000005</v>
      </c>
      <c r="H39" s="1633">
        <v>293976.01</v>
      </c>
      <c r="I39" s="1633">
        <v>535748.25</v>
      </c>
      <c r="J39" s="1633">
        <v>301104</v>
      </c>
      <c r="K39" s="1625">
        <v>10.5</v>
      </c>
      <c r="L39" s="1618">
        <v>95.9</v>
      </c>
      <c r="M39" s="1619">
        <v>70.900000000000006</v>
      </c>
    </row>
    <row r="40" spans="1:13">
      <c r="A40" s="1628">
        <v>4</v>
      </c>
      <c r="B40" s="1629">
        <v>5</v>
      </c>
      <c r="C40" s="1623" t="s">
        <v>204</v>
      </c>
      <c r="D40" s="1632">
        <v>104040121.79000001</v>
      </c>
      <c r="E40" s="1632">
        <v>10569460.15</v>
      </c>
      <c r="F40" s="1632">
        <v>10396212.15</v>
      </c>
      <c r="G40" s="1632">
        <v>7700207.2199999997</v>
      </c>
      <c r="H40" s="1633">
        <v>0</v>
      </c>
      <c r="I40" s="1633">
        <v>173248</v>
      </c>
      <c r="J40" s="1633">
        <v>0</v>
      </c>
      <c r="K40" s="1625">
        <v>10.199999999999999</v>
      </c>
      <c r="L40" s="1618">
        <v>98.4</v>
      </c>
      <c r="M40" s="1619">
        <v>72.900000000000006</v>
      </c>
    </row>
    <row r="41" spans="1:13">
      <c r="A41" s="1628">
        <v>4</v>
      </c>
      <c r="B41" s="1629">
        <v>6</v>
      </c>
      <c r="C41" s="1623" t="s">
        <v>205</v>
      </c>
      <c r="D41" s="1632">
        <v>72153983.859999999</v>
      </c>
      <c r="E41" s="1632">
        <v>16304924.75</v>
      </c>
      <c r="F41" s="1632">
        <v>14063488.67</v>
      </c>
      <c r="G41" s="1632">
        <v>10009076.67</v>
      </c>
      <c r="H41" s="1633">
        <v>312360.18</v>
      </c>
      <c r="I41" s="1633">
        <v>2241436.08</v>
      </c>
      <c r="J41" s="1633">
        <v>188190</v>
      </c>
      <c r="K41" s="1625">
        <v>22.6</v>
      </c>
      <c r="L41" s="1618">
        <v>86.3</v>
      </c>
      <c r="M41" s="1619">
        <v>61.4</v>
      </c>
    </row>
    <row r="42" spans="1:13">
      <c r="A42" s="1628">
        <v>4</v>
      </c>
      <c r="B42" s="1629">
        <v>7</v>
      </c>
      <c r="C42" s="1623" t="s">
        <v>206</v>
      </c>
      <c r="D42" s="1632">
        <v>334013596.42000002</v>
      </c>
      <c r="E42" s="1632">
        <v>41560794.359999999</v>
      </c>
      <c r="F42" s="1632">
        <v>41480044.859999999</v>
      </c>
      <c r="G42" s="1632">
        <v>30595523.649999999</v>
      </c>
      <c r="H42" s="1633">
        <v>643827.53</v>
      </c>
      <c r="I42" s="1633">
        <v>80749.5</v>
      </c>
      <c r="J42" s="1633">
        <v>0</v>
      </c>
      <c r="K42" s="1625">
        <v>12.4</v>
      </c>
      <c r="L42" s="1618">
        <v>99.8</v>
      </c>
      <c r="M42" s="1619">
        <v>73.599999999999994</v>
      </c>
    </row>
    <row r="43" spans="1:13">
      <c r="A43" s="1628">
        <v>4</v>
      </c>
      <c r="B43" s="1629">
        <v>8</v>
      </c>
      <c r="C43" s="1623" t="s">
        <v>207</v>
      </c>
      <c r="D43" s="1632">
        <v>148003505.68000001</v>
      </c>
      <c r="E43" s="1632">
        <v>22004113.030000001</v>
      </c>
      <c r="F43" s="1632">
        <v>21740948.030000001</v>
      </c>
      <c r="G43" s="1632">
        <v>16601109.939999999</v>
      </c>
      <c r="H43" s="1633">
        <v>167863.46</v>
      </c>
      <c r="I43" s="1633">
        <v>263165</v>
      </c>
      <c r="J43" s="1633">
        <v>0</v>
      </c>
      <c r="K43" s="1625">
        <v>14.9</v>
      </c>
      <c r="L43" s="1618">
        <v>98.8</v>
      </c>
      <c r="M43" s="1619">
        <v>75.400000000000006</v>
      </c>
    </row>
    <row r="44" spans="1:13">
      <c r="A44" s="1628">
        <v>4</v>
      </c>
      <c r="B44" s="1629">
        <v>9</v>
      </c>
      <c r="C44" s="1623" t="s">
        <v>208</v>
      </c>
      <c r="D44" s="1632">
        <v>131622186.06</v>
      </c>
      <c r="E44" s="1632">
        <v>17125901.109999999</v>
      </c>
      <c r="F44" s="1632">
        <v>16581297.199999999</v>
      </c>
      <c r="G44" s="1632">
        <v>12452552.359999999</v>
      </c>
      <c r="H44" s="1633">
        <v>389438.11</v>
      </c>
      <c r="I44" s="1633">
        <v>544603.91</v>
      </c>
      <c r="J44" s="1633">
        <v>192225.88</v>
      </c>
      <c r="K44" s="1625">
        <v>13</v>
      </c>
      <c r="L44" s="1618">
        <v>96.8</v>
      </c>
      <c r="M44" s="1619">
        <v>72.7</v>
      </c>
    </row>
    <row r="45" spans="1:13">
      <c r="A45" s="1628">
        <v>4</v>
      </c>
      <c r="B45" s="1629">
        <v>10</v>
      </c>
      <c r="C45" s="1623" t="s">
        <v>209</v>
      </c>
      <c r="D45" s="1632">
        <v>195271519.27000001</v>
      </c>
      <c r="E45" s="1632">
        <v>21979341.890000001</v>
      </c>
      <c r="F45" s="1632">
        <v>18745100.890000001</v>
      </c>
      <c r="G45" s="1632">
        <v>13727636.449999999</v>
      </c>
      <c r="H45" s="1633">
        <v>5418</v>
      </c>
      <c r="I45" s="1633">
        <v>3234241</v>
      </c>
      <c r="J45" s="1633">
        <v>0</v>
      </c>
      <c r="K45" s="1625">
        <v>11.3</v>
      </c>
      <c r="L45" s="1618">
        <v>85.3</v>
      </c>
      <c r="M45" s="1619">
        <v>62.5</v>
      </c>
    </row>
    <row r="46" spans="1:13">
      <c r="A46" s="1628">
        <v>4</v>
      </c>
      <c r="B46" s="1629">
        <v>11</v>
      </c>
      <c r="C46" s="1623" t="s">
        <v>210</v>
      </c>
      <c r="D46" s="1632">
        <v>130720140.90000001</v>
      </c>
      <c r="E46" s="1632">
        <v>14973892.5</v>
      </c>
      <c r="F46" s="1632">
        <v>13681675.380000001</v>
      </c>
      <c r="G46" s="1632">
        <v>9335543.6799999997</v>
      </c>
      <c r="H46" s="1633">
        <v>0</v>
      </c>
      <c r="I46" s="1633">
        <v>1292217.1200000001</v>
      </c>
      <c r="J46" s="1633">
        <v>0</v>
      </c>
      <c r="K46" s="1625">
        <v>11.5</v>
      </c>
      <c r="L46" s="1618">
        <v>91.4</v>
      </c>
      <c r="M46" s="1619">
        <v>62.3</v>
      </c>
    </row>
    <row r="47" spans="1:13">
      <c r="A47" s="1628">
        <v>4</v>
      </c>
      <c r="B47" s="1629">
        <v>12</v>
      </c>
      <c r="C47" s="1623" t="s">
        <v>211</v>
      </c>
      <c r="D47" s="1632">
        <v>141984118.41</v>
      </c>
      <c r="E47" s="1632">
        <v>12795710.359999999</v>
      </c>
      <c r="F47" s="1632">
        <v>12575115.859999999</v>
      </c>
      <c r="G47" s="1632">
        <v>9513168.2300000004</v>
      </c>
      <c r="H47" s="1633">
        <v>24855.96</v>
      </c>
      <c r="I47" s="1633">
        <v>220594.5</v>
      </c>
      <c r="J47" s="1633">
        <v>0</v>
      </c>
      <c r="K47" s="1625">
        <v>9</v>
      </c>
      <c r="L47" s="1618">
        <v>98.3</v>
      </c>
      <c r="M47" s="1619">
        <v>74.3</v>
      </c>
    </row>
    <row r="48" spans="1:13">
      <c r="A48" s="1628">
        <v>4</v>
      </c>
      <c r="B48" s="1629">
        <v>13</v>
      </c>
      <c r="C48" s="1623" t="s">
        <v>212</v>
      </c>
      <c r="D48" s="1632">
        <v>103606900.70999999</v>
      </c>
      <c r="E48" s="1632">
        <v>11095125.609999999</v>
      </c>
      <c r="F48" s="1632">
        <v>10454380.26</v>
      </c>
      <c r="G48" s="1632">
        <v>7828962.1200000001</v>
      </c>
      <c r="H48" s="1633">
        <v>53960</v>
      </c>
      <c r="I48" s="1633">
        <v>640745.35</v>
      </c>
      <c r="J48" s="1633">
        <v>45256.62</v>
      </c>
      <c r="K48" s="1625">
        <v>10.7</v>
      </c>
      <c r="L48" s="1618">
        <v>94.2</v>
      </c>
      <c r="M48" s="1619">
        <v>70.599999999999994</v>
      </c>
    </row>
    <row r="49" spans="1:13">
      <c r="A49" s="1628">
        <v>4</v>
      </c>
      <c r="B49" s="1629">
        <v>14</v>
      </c>
      <c r="C49" s="1623" t="s">
        <v>213</v>
      </c>
      <c r="D49" s="1632">
        <v>179569925.69999999</v>
      </c>
      <c r="E49" s="1632">
        <v>19504373.77</v>
      </c>
      <c r="F49" s="1632">
        <v>18768887.109999999</v>
      </c>
      <c r="G49" s="1632">
        <v>12038786.529999999</v>
      </c>
      <c r="H49" s="1633">
        <v>498506.7</v>
      </c>
      <c r="I49" s="1633">
        <v>735486.66</v>
      </c>
      <c r="J49" s="1633">
        <v>222084.52</v>
      </c>
      <c r="K49" s="1625">
        <v>10.9</v>
      </c>
      <c r="L49" s="1618">
        <v>96.2</v>
      </c>
      <c r="M49" s="1619">
        <v>61.7</v>
      </c>
    </row>
    <row r="50" spans="1:13">
      <c r="A50" s="1628">
        <v>4</v>
      </c>
      <c r="B50" s="1629">
        <v>15</v>
      </c>
      <c r="C50" s="1623" t="s">
        <v>214</v>
      </c>
      <c r="D50" s="1632">
        <v>212641209.88999999</v>
      </c>
      <c r="E50" s="1632">
        <v>53577021.75</v>
      </c>
      <c r="F50" s="1632">
        <v>33635557.799999997</v>
      </c>
      <c r="G50" s="1632">
        <v>24146088.5</v>
      </c>
      <c r="H50" s="1633">
        <v>0</v>
      </c>
      <c r="I50" s="1633">
        <v>19941463.949999999</v>
      </c>
      <c r="J50" s="1633">
        <v>145107.98000000001</v>
      </c>
      <c r="K50" s="1625">
        <v>25.2</v>
      </c>
      <c r="L50" s="1618">
        <v>62.8</v>
      </c>
      <c r="M50" s="1619">
        <v>45.1</v>
      </c>
    </row>
    <row r="51" spans="1:13">
      <c r="A51" s="1628">
        <v>4</v>
      </c>
      <c r="B51" s="1629">
        <v>16</v>
      </c>
      <c r="C51" s="1623" t="s">
        <v>215</v>
      </c>
      <c r="D51" s="1632">
        <v>130922797.88</v>
      </c>
      <c r="E51" s="1632">
        <v>16522686.15</v>
      </c>
      <c r="F51" s="1632">
        <v>15726835.68</v>
      </c>
      <c r="G51" s="1632">
        <v>10806628.949999999</v>
      </c>
      <c r="H51" s="1633">
        <v>295662.64</v>
      </c>
      <c r="I51" s="1633">
        <v>795850.47</v>
      </c>
      <c r="J51" s="1633">
        <v>219801</v>
      </c>
      <c r="K51" s="1625">
        <v>12.6</v>
      </c>
      <c r="L51" s="1618">
        <v>95.2</v>
      </c>
      <c r="M51" s="1619">
        <v>65.400000000000006</v>
      </c>
    </row>
    <row r="52" spans="1:13">
      <c r="A52" s="1628">
        <v>4</v>
      </c>
      <c r="B52" s="1629">
        <v>17</v>
      </c>
      <c r="C52" s="1623" t="s">
        <v>216</v>
      </c>
      <c r="D52" s="1632">
        <v>91280260.200000003</v>
      </c>
      <c r="E52" s="1632">
        <v>10279725.6</v>
      </c>
      <c r="F52" s="1632">
        <v>9748748.4700000007</v>
      </c>
      <c r="G52" s="1632">
        <v>7151707.0899999999</v>
      </c>
      <c r="H52" s="1633">
        <v>0</v>
      </c>
      <c r="I52" s="1633">
        <v>530977.13</v>
      </c>
      <c r="J52" s="1633">
        <v>0</v>
      </c>
      <c r="K52" s="1625">
        <v>11.3</v>
      </c>
      <c r="L52" s="1618">
        <v>94.8</v>
      </c>
      <c r="M52" s="1619">
        <v>69.599999999999994</v>
      </c>
    </row>
    <row r="53" spans="1:13">
      <c r="A53" s="1628">
        <v>4</v>
      </c>
      <c r="B53" s="1629">
        <v>18</v>
      </c>
      <c r="C53" s="1623" t="s">
        <v>217</v>
      </c>
      <c r="D53" s="1632">
        <v>218214260.38</v>
      </c>
      <c r="E53" s="1632">
        <v>27322464.510000002</v>
      </c>
      <c r="F53" s="1632">
        <v>25907228.210000001</v>
      </c>
      <c r="G53" s="1632">
        <v>18184480.949999999</v>
      </c>
      <c r="H53" s="1633">
        <v>164855</v>
      </c>
      <c r="I53" s="1633">
        <v>1415236.3</v>
      </c>
      <c r="J53" s="1633">
        <v>582282</v>
      </c>
      <c r="K53" s="1625">
        <v>12.5</v>
      </c>
      <c r="L53" s="1618">
        <v>94.8</v>
      </c>
      <c r="M53" s="1619">
        <v>66.599999999999994</v>
      </c>
    </row>
    <row r="54" spans="1:13">
      <c r="A54" s="1628">
        <v>4</v>
      </c>
      <c r="B54" s="1629">
        <v>19</v>
      </c>
      <c r="C54" s="1623" t="s">
        <v>218</v>
      </c>
      <c r="D54" s="1632">
        <v>156805329.84999999</v>
      </c>
      <c r="E54" s="1632">
        <v>21229651.940000001</v>
      </c>
      <c r="F54" s="1632">
        <v>21058691.940000001</v>
      </c>
      <c r="G54" s="1632">
        <v>15789363.58</v>
      </c>
      <c r="H54" s="1633">
        <v>176399.5</v>
      </c>
      <c r="I54" s="1633">
        <v>170960</v>
      </c>
      <c r="J54" s="1633">
        <v>0</v>
      </c>
      <c r="K54" s="1625">
        <v>13.5</v>
      </c>
      <c r="L54" s="1618">
        <v>99.2</v>
      </c>
      <c r="M54" s="1619">
        <v>74.400000000000006</v>
      </c>
    </row>
    <row r="55" spans="1:13">
      <c r="A55" s="1628">
        <v>6</v>
      </c>
      <c r="B55" s="1629">
        <v>1</v>
      </c>
      <c r="C55" s="1623" t="s">
        <v>219</v>
      </c>
      <c r="D55" s="1632">
        <v>236949128.49000001</v>
      </c>
      <c r="E55" s="1632">
        <v>25904099.550000001</v>
      </c>
      <c r="F55" s="1632">
        <v>25889404.550000001</v>
      </c>
      <c r="G55" s="1632">
        <v>18615034.57</v>
      </c>
      <c r="H55" s="1633">
        <v>0</v>
      </c>
      <c r="I55" s="1633">
        <v>14695</v>
      </c>
      <c r="J55" s="1633">
        <v>0</v>
      </c>
      <c r="K55" s="1625">
        <v>10.9</v>
      </c>
      <c r="L55" s="1618">
        <v>99.9</v>
      </c>
      <c r="M55" s="1619">
        <v>71.900000000000006</v>
      </c>
    </row>
    <row r="56" spans="1:13">
      <c r="A56" s="1628">
        <v>6</v>
      </c>
      <c r="B56" s="1629">
        <v>2</v>
      </c>
      <c r="C56" s="1623" t="s">
        <v>220</v>
      </c>
      <c r="D56" s="1632">
        <v>249247616.78999999</v>
      </c>
      <c r="E56" s="1632">
        <v>35712043.259999998</v>
      </c>
      <c r="F56" s="1632">
        <v>25973054.16</v>
      </c>
      <c r="G56" s="1632">
        <v>20900330.870000001</v>
      </c>
      <c r="H56" s="1633">
        <v>0</v>
      </c>
      <c r="I56" s="1633">
        <v>9738989.0999999996</v>
      </c>
      <c r="J56" s="1633">
        <v>202376</v>
      </c>
      <c r="K56" s="1625">
        <v>14.3</v>
      </c>
      <c r="L56" s="1618">
        <v>72.7</v>
      </c>
      <c r="M56" s="1619">
        <v>58.5</v>
      </c>
    </row>
    <row r="57" spans="1:13">
      <c r="A57" s="1628">
        <v>6</v>
      </c>
      <c r="B57" s="1629">
        <v>3</v>
      </c>
      <c r="C57" s="1623" t="s">
        <v>221</v>
      </c>
      <c r="D57" s="1632">
        <v>150746462.94</v>
      </c>
      <c r="E57" s="1632">
        <v>28774215.489999998</v>
      </c>
      <c r="F57" s="1632">
        <v>28220440.41</v>
      </c>
      <c r="G57" s="1632">
        <v>22858605.300000001</v>
      </c>
      <c r="H57" s="1633">
        <v>0</v>
      </c>
      <c r="I57" s="1633">
        <v>553775.07999999996</v>
      </c>
      <c r="J57" s="1633">
        <v>0</v>
      </c>
      <c r="K57" s="1625">
        <v>19.100000000000001</v>
      </c>
      <c r="L57" s="1618">
        <v>98.1</v>
      </c>
      <c r="M57" s="1619">
        <v>79.400000000000006</v>
      </c>
    </row>
    <row r="58" spans="1:13">
      <c r="A58" s="1628">
        <v>6</v>
      </c>
      <c r="B58" s="1629">
        <v>4</v>
      </c>
      <c r="C58" s="1623" t="s">
        <v>222</v>
      </c>
      <c r="D58" s="1632">
        <v>138111178.5</v>
      </c>
      <c r="E58" s="1632">
        <v>17110192.949999999</v>
      </c>
      <c r="F58" s="1632">
        <v>16981399.870000001</v>
      </c>
      <c r="G58" s="1632">
        <v>13186331.43</v>
      </c>
      <c r="H58" s="1633">
        <v>3185.7</v>
      </c>
      <c r="I58" s="1633">
        <v>128793.08</v>
      </c>
      <c r="J58" s="1633">
        <v>0</v>
      </c>
      <c r="K58" s="1625">
        <v>12.4</v>
      </c>
      <c r="L58" s="1618">
        <v>99.2</v>
      </c>
      <c r="M58" s="1619">
        <v>77.099999999999994</v>
      </c>
    </row>
    <row r="59" spans="1:13">
      <c r="A59" s="1628">
        <v>6</v>
      </c>
      <c r="B59" s="1629">
        <v>5</v>
      </c>
      <c r="C59" s="1623" t="s">
        <v>223</v>
      </c>
      <c r="D59" s="1632">
        <v>144052792.84</v>
      </c>
      <c r="E59" s="1632">
        <v>14739384.25</v>
      </c>
      <c r="F59" s="1632">
        <v>14430544.73</v>
      </c>
      <c r="G59" s="1632">
        <v>11336349.6</v>
      </c>
      <c r="H59" s="1633">
        <v>142520.81</v>
      </c>
      <c r="I59" s="1633">
        <v>308839.52</v>
      </c>
      <c r="J59" s="1633">
        <v>0</v>
      </c>
      <c r="K59" s="1625">
        <v>10.199999999999999</v>
      </c>
      <c r="L59" s="1618">
        <v>97.9</v>
      </c>
      <c r="M59" s="1619">
        <v>76.900000000000006</v>
      </c>
    </row>
    <row r="60" spans="1:13">
      <c r="A60" s="1628">
        <v>6</v>
      </c>
      <c r="B60" s="1629">
        <v>6</v>
      </c>
      <c r="C60" s="1623" t="s">
        <v>224</v>
      </c>
      <c r="D60" s="1632">
        <v>193702550.88</v>
      </c>
      <c r="E60" s="1632">
        <v>17942910.18</v>
      </c>
      <c r="F60" s="1632">
        <v>17221407.57</v>
      </c>
      <c r="G60" s="1632">
        <v>13290187.460000001</v>
      </c>
      <c r="H60" s="1633">
        <v>108203.06</v>
      </c>
      <c r="I60" s="1633">
        <v>721502.61</v>
      </c>
      <c r="J60" s="1633">
        <v>473852.98</v>
      </c>
      <c r="K60" s="1625">
        <v>9.3000000000000007</v>
      </c>
      <c r="L60" s="1618">
        <v>96</v>
      </c>
      <c r="M60" s="1619">
        <v>74.099999999999994</v>
      </c>
    </row>
    <row r="61" spans="1:13">
      <c r="A61" s="1628">
        <v>6</v>
      </c>
      <c r="B61" s="1629">
        <v>7</v>
      </c>
      <c r="C61" s="1623" t="s">
        <v>225</v>
      </c>
      <c r="D61" s="1632">
        <v>222636895.94999999</v>
      </c>
      <c r="E61" s="1632">
        <v>25791748.440000001</v>
      </c>
      <c r="F61" s="1632">
        <v>25775853.440000001</v>
      </c>
      <c r="G61" s="1632">
        <v>19758420.620000001</v>
      </c>
      <c r="H61" s="1633">
        <v>188906.25</v>
      </c>
      <c r="I61" s="1633">
        <v>15895</v>
      </c>
      <c r="J61" s="1633">
        <v>0</v>
      </c>
      <c r="K61" s="1625">
        <v>11.6</v>
      </c>
      <c r="L61" s="1618">
        <v>99.9</v>
      </c>
      <c r="M61" s="1619">
        <v>76.599999999999994</v>
      </c>
    </row>
    <row r="62" spans="1:13">
      <c r="A62" s="1628">
        <v>6</v>
      </c>
      <c r="B62" s="1629">
        <v>8</v>
      </c>
      <c r="C62" s="1623" t="s">
        <v>226</v>
      </c>
      <c r="D62" s="1632">
        <v>181931329.40000001</v>
      </c>
      <c r="E62" s="1632">
        <v>22761699.920000002</v>
      </c>
      <c r="F62" s="1632">
        <v>21816824.219999999</v>
      </c>
      <c r="G62" s="1632">
        <v>16535041.199999999</v>
      </c>
      <c r="H62" s="1633">
        <v>0</v>
      </c>
      <c r="I62" s="1633">
        <v>944875.7</v>
      </c>
      <c r="J62" s="1633">
        <v>603763.94999999995</v>
      </c>
      <c r="K62" s="1625">
        <v>12.5</v>
      </c>
      <c r="L62" s="1618">
        <v>95.8</v>
      </c>
      <c r="M62" s="1619">
        <v>72.599999999999994</v>
      </c>
    </row>
    <row r="63" spans="1:13">
      <c r="A63" s="1628">
        <v>6</v>
      </c>
      <c r="B63" s="1629">
        <v>9</v>
      </c>
      <c r="C63" s="1623" t="s">
        <v>227</v>
      </c>
      <c r="D63" s="1632">
        <v>303623226.30000001</v>
      </c>
      <c r="E63" s="1632">
        <v>40212959.530000001</v>
      </c>
      <c r="F63" s="1632">
        <v>39750864.140000001</v>
      </c>
      <c r="G63" s="1632">
        <v>30549339.550000001</v>
      </c>
      <c r="H63" s="1633">
        <v>0</v>
      </c>
      <c r="I63" s="1633">
        <v>462095.39</v>
      </c>
      <c r="J63" s="1633">
        <v>72570</v>
      </c>
      <c r="K63" s="1625">
        <v>13.2</v>
      </c>
      <c r="L63" s="1618">
        <v>98.9</v>
      </c>
      <c r="M63" s="1619">
        <v>76</v>
      </c>
    </row>
    <row r="64" spans="1:13">
      <c r="A64" s="1628">
        <v>6</v>
      </c>
      <c r="B64" s="1629">
        <v>10</v>
      </c>
      <c r="C64" s="1623" t="s">
        <v>228</v>
      </c>
      <c r="D64" s="1632">
        <v>146716427.96000001</v>
      </c>
      <c r="E64" s="1632">
        <v>16259951.720000001</v>
      </c>
      <c r="F64" s="1632">
        <v>16005932.640000001</v>
      </c>
      <c r="G64" s="1632">
        <v>12424813.9</v>
      </c>
      <c r="H64" s="1633">
        <v>0</v>
      </c>
      <c r="I64" s="1633">
        <v>254019.08</v>
      </c>
      <c r="J64" s="1633">
        <v>254019.08</v>
      </c>
      <c r="K64" s="1625">
        <v>11.1</v>
      </c>
      <c r="L64" s="1618">
        <v>98.4</v>
      </c>
      <c r="M64" s="1619">
        <v>76.400000000000006</v>
      </c>
    </row>
    <row r="65" spans="1:13">
      <c r="A65" s="1628">
        <v>6</v>
      </c>
      <c r="B65" s="1629">
        <v>11</v>
      </c>
      <c r="C65" s="1623" t="s">
        <v>229</v>
      </c>
      <c r="D65" s="1632">
        <v>221196287.37</v>
      </c>
      <c r="E65" s="1632">
        <v>28026157.870000001</v>
      </c>
      <c r="F65" s="1632">
        <v>27633079.460000001</v>
      </c>
      <c r="G65" s="1632">
        <v>20459166.030000001</v>
      </c>
      <c r="H65" s="1633">
        <v>0</v>
      </c>
      <c r="I65" s="1633">
        <v>393078.41</v>
      </c>
      <c r="J65" s="1633">
        <v>0</v>
      </c>
      <c r="K65" s="1625">
        <v>12.7</v>
      </c>
      <c r="L65" s="1618">
        <v>98.6</v>
      </c>
      <c r="M65" s="1619">
        <v>73</v>
      </c>
    </row>
    <row r="66" spans="1:13">
      <c r="A66" s="1628">
        <v>6</v>
      </c>
      <c r="B66" s="1629">
        <v>12</v>
      </c>
      <c r="C66" s="1623" t="s">
        <v>230</v>
      </c>
      <c r="D66" s="1632">
        <v>123808898.76000001</v>
      </c>
      <c r="E66" s="1632">
        <v>13630201.720000001</v>
      </c>
      <c r="F66" s="1632">
        <v>12969669.42</v>
      </c>
      <c r="G66" s="1632">
        <v>9739816.4199999999</v>
      </c>
      <c r="H66" s="1633">
        <v>61050</v>
      </c>
      <c r="I66" s="1633">
        <v>660532.30000000005</v>
      </c>
      <c r="J66" s="1633">
        <v>644532.30000000005</v>
      </c>
      <c r="K66" s="1625">
        <v>11</v>
      </c>
      <c r="L66" s="1618">
        <v>95.2</v>
      </c>
      <c r="M66" s="1619">
        <v>71.5</v>
      </c>
    </row>
    <row r="67" spans="1:13">
      <c r="A67" s="1628">
        <v>6</v>
      </c>
      <c r="B67" s="1629">
        <v>13</v>
      </c>
      <c r="C67" s="1623" t="s">
        <v>231</v>
      </c>
      <c r="D67" s="1632">
        <v>87337328.269999996</v>
      </c>
      <c r="E67" s="1632">
        <v>10390787.6</v>
      </c>
      <c r="F67" s="1632">
        <v>9460873.6899999995</v>
      </c>
      <c r="G67" s="1632">
        <v>7241225.2400000002</v>
      </c>
      <c r="H67" s="1633">
        <v>0</v>
      </c>
      <c r="I67" s="1633">
        <v>929913.91</v>
      </c>
      <c r="J67" s="1633">
        <v>685203.48</v>
      </c>
      <c r="K67" s="1625">
        <v>11.9</v>
      </c>
      <c r="L67" s="1618">
        <v>91.1</v>
      </c>
      <c r="M67" s="1619">
        <v>69.7</v>
      </c>
    </row>
    <row r="68" spans="1:13">
      <c r="A68" s="1628">
        <v>6</v>
      </c>
      <c r="B68" s="1629">
        <v>14</v>
      </c>
      <c r="C68" s="1623" t="s">
        <v>232</v>
      </c>
      <c r="D68" s="1632">
        <v>256078418.24000001</v>
      </c>
      <c r="E68" s="1632">
        <v>28530681.370000001</v>
      </c>
      <c r="F68" s="1632">
        <v>28227253.870000001</v>
      </c>
      <c r="G68" s="1632">
        <v>22990497.59</v>
      </c>
      <c r="H68" s="1633">
        <v>0</v>
      </c>
      <c r="I68" s="1633">
        <v>303427.5</v>
      </c>
      <c r="J68" s="1633">
        <v>0</v>
      </c>
      <c r="K68" s="1625">
        <v>11.1</v>
      </c>
      <c r="L68" s="1618">
        <v>98.9</v>
      </c>
      <c r="M68" s="1619">
        <v>80.599999999999994</v>
      </c>
    </row>
    <row r="69" spans="1:13">
      <c r="A69" s="1628">
        <v>6</v>
      </c>
      <c r="B69" s="1629">
        <v>15</v>
      </c>
      <c r="C69" s="1623" t="s">
        <v>233</v>
      </c>
      <c r="D69" s="1632">
        <v>151888006.66</v>
      </c>
      <c r="E69" s="1632">
        <v>13308098.310000001</v>
      </c>
      <c r="F69" s="1632">
        <v>13148198.310000001</v>
      </c>
      <c r="G69" s="1632">
        <v>10117567.939999999</v>
      </c>
      <c r="H69" s="1633">
        <v>0</v>
      </c>
      <c r="I69" s="1633">
        <v>159900</v>
      </c>
      <c r="J69" s="1633">
        <v>0</v>
      </c>
      <c r="K69" s="1625">
        <v>8.8000000000000007</v>
      </c>
      <c r="L69" s="1618">
        <v>98.8</v>
      </c>
      <c r="M69" s="1619">
        <v>76</v>
      </c>
    </row>
    <row r="70" spans="1:13">
      <c r="A70" s="1628">
        <v>6</v>
      </c>
      <c r="B70" s="1629">
        <v>16</v>
      </c>
      <c r="C70" s="1623" t="s">
        <v>234</v>
      </c>
      <c r="D70" s="1632">
        <v>127840946.39</v>
      </c>
      <c r="E70" s="1632">
        <v>14195341.6</v>
      </c>
      <c r="F70" s="1632">
        <v>13708534.66</v>
      </c>
      <c r="G70" s="1632">
        <v>10556858.07</v>
      </c>
      <c r="H70" s="1633">
        <v>200778.77</v>
      </c>
      <c r="I70" s="1633">
        <v>486806.94</v>
      </c>
      <c r="J70" s="1633">
        <v>486806.94</v>
      </c>
      <c r="K70" s="1625">
        <v>11.1</v>
      </c>
      <c r="L70" s="1618">
        <v>96.6</v>
      </c>
      <c r="M70" s="1619">
        <v>74.400000000000006</v>
      </c>
    </row>
    <row r="71" spans="1:13">
      <c r="A71" s="1628">
        <v>6</v>
      </c>
      <c r="B71" s="1629">
        <v>17</v>
      </c>
      <c r="C71" s="1623" t="s">
        <v>192</v>
      </c>
      <c r="D71" s="1632">
        <v>192738357.03</v>
      </c>
      <c r="E71" s="1632">
        <v>18734590.41</v>
      </c>
      <c r="F71" s="1632">
        <v>18062033.5</v>
      </c>
      <c r="G71" s="1632">
        <v>14250362.710000001</v>
      </c>
      <c r="H71" s="1633">
        <v>0</v>
      </c>
      <c r="I71" s="1633">
        <v>672556.91</v>
      </c>
      <c r="J71" s="1633">
        <v>0</v>
      </c>
      <c r="K71" s="1625">
        <v>9.6999999999999993</v>
      </c>
      <c r="L71" s="1618">
        <v>96.4</v>
      </c>
      <c r="M71" s="1619">
        <v>76.099999999999994</v>
      </c>
    </row>
    <row r="72" spans="1:13">
      <c r="A72" s="1628">
        <v>6</v>
      </c>
      <c r="B72" s="1629">
        <v>18</v>
      </c>
      <c r="C72" s="1623" t="s">
        <v>235</v>
      </c>
      <c r="D72" s="1632">
        <v>228942001.91999999</v>
      </c>
      <c r="E72" s="1632">
        <v>18791003.050000001</v>
      </c>
      <c r="F72" s="1632">
        <v>18688305.050000001</v>
      </c>
      <c r="G72" s="1632">
        <v>13674779.140000001</v>
      </c>
      <c r="H72" s="1633">
        <v>29746.720000000001</v>
      </c>
      <c r="I72" s="1633">
        <v>102698</v>
      </c>
      <c r="J72" s="1633">
        <v>0</v>
      </c>
      <c r="K72" s="1625">
        <v>8.1999999999999993</v>
      </c>
      <c r="L72" s="1618">
        <v>99.5</v>
      </c>
      <c r="M72" s="1619">
        <v>72.8</v>
      </c>
    </row>
    <row r="73" spans="1:13">
      <c r="A73" s="1628">
        <v>6</v>
      </c>
      <c r="B73" s="1629">
        <v>19</v>
      </c>
      <c r="C73" s="1623" t="s">
        <v>236</v>
      </c>
      <c r="D73" s="1632">
        <v>133863478.34999999</v>
      </c>
      <c r="E73" s="1632">
        <v>9262547.0999999996</v>
      </c>
      <c r="F73" s="1632">
        <v>9252547.0999999996</v>
      </c>
      <c r="G73" s="1632">
        <v>6950868.6100000003</v>
      </c>
      <c r="H73" s="1633">
        <v>0</v>
      </c>
      <c r="I73" s="1633">
        <v>10000</v>
      </c>
      <c r="J73" s="1633">
        <v>0</v>
      </c>
      <c r="K73" s="1625">
        <v>6.9</v>
      </c>
      <c r="L73" s="1618">
        <v>99.9</v>
      </c>
      <c r="M73" s="1619">
        <v>75</v>
      </c>
    </row>
    <row r="74" spans="1:13">
      <c r="A74" s="1628">
        <v>6</v>
      </c>
      <c r="B74" s="1629">
        <v>20</v>
      </c>
      <c r="C74" s="1623" t="s">
        <v>237</v>
      </c>
      <c r="D74" s="1632">
        <v>149950557.63</v>
      </c>
      <c r="E74" s="1632">
        <v>26199607.370000001</v>
      </c>
      <c r="F74" s="1632">
        <v>23451270.600000001</v>
      </c>
      <c r="G74" s="1632">
        <v>17800840.100000001</v>
      </c>
      <c r="H74" s="1633">
        <v>0</v>
      </c>
      <c r="I74" s="1633">
        <v>2748336.77</v>
      </c>
      <c r="J74" s="1633">
        <v>776661.5</v>
      </c>
      <c r="K74" s="1625">
        <v>17.5</v>
      </c>
      <c r="L74" s="1618">
        <v>89.5</v>
      </c>
      <c r="M74" s="1619">
        <v>67.900000000000006</v>
      </c>
    </row>
    <row r="75" spans="1:13">
      <c r="A75" s="1628">
        <v>8</v>
      </c>
      <c r="B75" s="1629">
        <v>1</v>
      </c>
      <c r="C75" s="1623" t="s">
        <v>238</v>
      </c>
      <c r="D75" s="1632">
        <v>109529180.84</v>
      </c>
      <c r="E75" s="1632">
        <v>20667873.68</v>
      </c>
      <c r="F75" s="1632">
        <v>20323294.399999999</v>
      </c>
      <c r="G75" s="1632">
        <v>14721730.73</v>
      </c>
      <c r="H75" s="1633">
        <v>46198.3</v>
      </c>
      <c r="I75" s="1633">
        <v>344579.28</v>
      </c>
      <c r="J75" s="1633">
        <v>283623.24</v>
      </c>
      <c r="K75" s="1625">
        <v>18.899999999999999</v>
      </c>
      <c r="L75" s="1618">
        <v>98.3</v>
      </c>
      <c r="M75" s="1619">
        <v>71.2</v>
      </c>
    </row>
    <row r="76" spans="1:13">
      <c r="A76" s="1628">
        <v>8</v>
      </c>
      <c r="B76" s="1629">
        <v>2</v>
      </c>
      <c r="C76" s="1623" t="s">
        <v>239</v>
      </c>
      <c r="D76" s="1632">
        <v>119107388.78</v>
      </c>
      <c r="E76" s="1632">
        <v>16356264.640000001</v>
      </c>
      <c r="F76" s="1632">
        <v>15294631.41</v>
      </c>
      <c r="G76" s="1632">
        <v>11536790.4</v>
      </c>
      <c r="H76" s="1633">
        <v>129314.57</v>
      </c>
      <c r="I76" s="1633">
        <v>1061633.23</v>
      </c>
      <c r="J76" s="1633">
        <v>880142.23</v>
      </c>
      <c r="K76" s="1625">
        <v>13.7</v>
      </c>
      <c r="L76" s="1618">
        <v>93.5</v>
      </c>
      <c r="M76" s="1619">
        <v>70.5</v>
      </c>
    </row>
    <row r="77" spans="1:13">
      <c r="A77" s="1628">
        <v>8</v>
      </c>
      <c r="B77" s="1629">
        <v>3</v>
      </c>
      <c r="C77" s="1623" t="s">
        <v>240</v>
      </c>
      <c r="D77" s="1632">
        <v>163691326.34999999</v>
      </c>
      <c r="E77" s="1632">
        <v>15448233.83</v>
      </c>
      <c r="F77" s="1632">
        <v>15413838.609999999</v>
      </c>
      <c r="G77" s="1632">
        <v>11415107.630000001</v>
      </c>
      <c r="H77" s="1633">
        <v>0</v>
      </c>
      <c r="I77" s="1633">
        <v>34395.22</v>
      </c>
      <c r="J77" s="1633">
        <v>0</v>
      </c>
      <c r="K77" s="1625">
        <v>9.4</v>
      </c>
      <c r="L77" s="1618">
        <v>99.8</v>
      </c>
      <c r="M77" s="1619">
        <v>73.900000000000006</v>
      </c>
    </row>
    <row r="78" spans="1:13">
      <c r="A78" s="1628">
        <v>8</v>
      </c>
      <c r="B78" s="1629">
        <v>4</v>
      </c>
      <c r="C78" s="1623" t="s">
        <v>241</v>
      </c>
      <c r="D78" s="1632">
        <v>183284253.05000001</v>
      </c>
      <c r="E78" s="1632">
        <v>15582978.6</v>
      </c>
      <c r="F78" s="1632">
        <v>15086668.68</v>
      </c>
      <c r="G78" s="1632">
        <v>10640239.869999999</v>
      </c>
      <c r="H78" s="1633">
        <v>353523.92</v>
      </c>
      <c r="I78" s="1633">
        <v>496309.92</v>
      </c>
      <c r="J78" s="1633">
        <v>496309.92</v>
      </c>
      <c r="K78" s="1625">
        <v>8.5</v>
      </c>
      <c r="L78" s="1618">
        <v>96.8</v>
      </c>
      <c r="M78" s="1619">
        <v>68.3</v>
      </c>
    </row>
    <row r="79" spans="1:13">
      <c r="A79" s="1628">
        <v>8</v>
      </c>
      <c r="B79" s="1629">
        <v>5</v>
      </c>
      <c r="C79" s="1623" t="s">
        <v>242</v>
      </c>
      <c r="D79" s="1632">
        <v>95152520.819999993</v>
      </c>
      <c r="E79" s="1632">
        <v>14441651.26</v>
      </c>
      <c r="F79" s="1632">
        <v>14202401.25</v>
      </c>
      <c r="G79" s="1632">
        <v>10518191.15</v>
      </c>
      <c r="H79" s="1633">
        <v>0</v>
      </c>
      <c r="I79" s="1633">
        <v>239250.01</v>
      </c>
      <c r="J79" s="1633">
        <v>221400</v>
      </c>
      <c r="K79" s="1625">
        <v>15.2</v>
      </c>
      <c r="L79" s="1618">
        <v>98.3</v>
      </c>
      <c r="M79" s="1619">
        <v>72.8</v>
      </c>
    </row>
    <row r="80" spans="1:13">
      <c r="A80" s="1628">
        <v>8</v>
      </c>
      <c r="B80" s="1629">
        <v>6</v>
      </c>
      <c r="C80" s="1623" t="s">
        <v>243</v>
      </c>
      <c r="D80" s="1632">
        <v>101697743.02</v>
      </c>
      <c r="E80" s="1632">
        <v>14799110.15</v>
      </c>
      <c r="F80" s="1632">
        <v>14161389.060000001</v>
      </c>
      <c r="G80" s="1632">
        <v>10563619.67</v>
      </c>
      <c r="H80" s="1633">
        <v>185524.07</v>
      </c>
      <c r="I80" s="1633">
        <v>637721.09</v>
      </c>
      <c r="J80" s="1633">
        <v>499995</v>
      </c>
      <c r="K80" s="1625">
        <v>14.6</v>
      </c>
      <c r="L80" s="1618">
        <v>95.7</v>
      </c>
      <c r="M80" s="1619">
        <v>71.400000000000006</v>
      </c>
    </row>
    <row r="81" spans="1:13">
      <c r="A81" s="1628">
        <v>8</v>
      </c>
      <c r="B81" s="1629">
        <v>7</v>
      </c>
      <c r="C81" s="1623" t="s">
        <v>244</v>
      </c>
      <c r="D81" s="1632">
        <v>96312540.420000002</v>
      </c>
      <c r="E81" s="1632">
        <v>10371491.619999999</v>
      </c>
      <c r="F81" s="1632">
        <v>9356661.3100000005</v>
      </c>
      <c r="G81" s="1632">
        <v>6713026.3700000001</v>
      </c>
      <c r="H81" s="1633">
        <v>91020.87</v>
      </c>
      <c r="I81" s="1633">
        <v>1014830.31</v>
      </c>
      <c r="J81" s="1633">
        <v>932650.03</v>
      </c>
      <c r="K81" s="1625">
        <v>10.8</v>
      </c>
      <c r="L81" s="1618">
        <v>90.2</v>
      </c>
      <c r="M81" s="1619">
        <v>64.7</v>
      </c>
    </row>
    <row r="82" spans="1:13">
      <c r="A82" s="1628">
        <v>8</v>
      </c>
      <c r="B82" s="1629">
        <v>8</v>
      </c>
      <c r="C82" s="1623" t="s">
        <v>245</v>
      </c>
      <c r="D82" s="1632">
        <v>154021024.44999999</v>
      </c>
      <c r="E82" s="1632">
        <v>17216901.649999999</v>
      </c>
      <c r="F82" s="1632">
        <v>15888982.02</v>
      </c>
      <c r="G82" s="1632">
        <v>11750516.76</v>
      </c>
      <c r="H82" s="1633">
        <v>85312.8</v>
      </c>
      <c r="I82" s="1633">
        <v>1327919.6299999999</v>
      </c>
      <c r="J82" s="1633">
        <v>818688</v>
      </c>
      <c r="K82" s="1625">
        <v>11.2</v>
      </c>
      <c r="L82" s="1618">
        <v>92.3</v>
      </c>
      <c r="M82" s="1619">
        <v>68.2</v>
      </c>
    </row>
    <row r="83" spans="1:13">
      <c r="A83" s="1628">
        <v>8</v>
      </c>
      <c r="B83" s="1629">
        <v>9</v>
      </c>
      <c r="C83" s="1623" t="s">
        <v>246</v>
      </c>
      <c r="D83" s="1632">
        <v>152416661.47999999</v>
      </c>
      <c r="E83" s="1632">
        <v>17262098.100000001</v>
      </c>
      <c r="F83" s="1632">
        <v>17113511.289999999</v>
      </c>
      <c r="G83" s="1632">
        <v>10877902.050000001</v>
      </c>
      <c r="H83" s="1633">
        <v>59443.24</v>
      </c>
      <c r="I83" s="1633">
        <v>148586.81</v>
      </c>
      <c r="J83" s="1633">
        <v>0</v>
      </c>
      <c r="K83" s="1625">
        <v>11.3</v>
      </c>
      <c r="L83" s="1618">
        <v>99.1</v>
      </c>
      <c r="M83" s="1619">
        <v>63</v>
      </c>
    </row>
    <row r="84" spans="1:13">
      <c r="A84" s="1628">
        <v>8</v>
      </c>
      <c r="B84" s="1629">
        <v>10</v>
      </c>
      <c r="C84" s="1623" t="s">
        <v>247</v>
      </c>
      <c r="D84" s="1632">
        <v>150261132.56</v>
      </c>
      <c r="E84" s="1632">
        <v>19946337.219999999</v>
      </c>
      <c r="F84" s="1632">
        <v>17257567.350000001</v>
      </c>
      <c r="G84" s="1632">
        <v>12488693.74</v>
      </c>
      <c r="H84" s="1633">
        <v>204902.11</v>
      </c>
      <c r="I84" s="1633">
        <v>2688769.87</v>
      </c>
      <c r="J84" s="1633">
        <v>639034.19999999995</v>
      </c>
      <c r="K84" s="1625">
        <v>13.3</v>
      </c>
      <c r="L84" s="1618">
        <v>86.5</v>
      </c>
      <c r="M84" s="1619">
        <v>62.6</v>
      </c>
    </row>
    <row r="85" spans="1:13">
      <c r="A85" s="1628">
        <v>8</v>
      </c>
      <c r="B85" s="1629">
        <v>11</v>
      </c>
      <c r="C85" s="1623" t="s">
        <v>248</v>
      </c>
      <c r="D85" s="1632">
        <v>220447989.06999999</v>
      </c>
      <c r="E85" s="1632">
        <v>15583040.93</v>
      </c>
      <c r="F85" s="1632">
        <v>14658339.390000001</v>
      </c>
      <c r="G85" s="1632">
        <v>10199916.689999999</v>
      </c>
      <c r="H85" s="1633">
        <v>0</v>
      </c>
      <c r="I85" s="1633">
        <v>924701.54</v>
      </c>
      <c r="J85" s="1633">
        <v>0</v>
      </c>
      <c r="K85" s="1625">
        <v>7.1</v>
      </c>
      <c r="L85" s="1618">
        <v>94.1</v>
      </c>
      <c r="M85" s="1619">
        <v>65.5</v>
      </c>
    </row>
    <row r="86" spans="1:13">
      <c r="A86" s="1628">
        <v>8</v>
      </c>
      <c r="B86" s="1629">
        <v>12</v>
      </c>
      <c r="C86" s="1623" t="s">
        <v>249</v>
      </c>
      <c r="D86" s="1632">
        <v>107103486.78</v>
      </c>
      <c r="E86" s="1632">
        <v>11434742.880000001</v>
      </c>
      <c r="F86" s="1632">
        <v>11248528.1</v>
      </c>
      <c r="G86" s="1632">
        <v>8416495.6199999992</v>
      </c>
      <c r="H86" s="1633">
        <v>12237.88</v>
      </c>
      <c r="I86" s="1633">
        <v>186214.78</v>
      </c>
      <c r="J86" s="1633">
        <v>0</v>
      </c>
      <c r="K86" s="1625">
        <v>10.7</v>
      </c>
      <c r="L86" s="1618">
        <v>98.4</v>
      </c>
      <c r="M86" s="1619">
        <v>73.599999999999994</v>
      </c>
    </row>
    <row r="87" spans="1:13">
      <c r="A87" s="1628">
        <v>10</v>
      </c>
      <c r="B87" s="1629">
        <v>1</v>
      </c>
      <c r="C87" s="1623" t="s">
        <v>250</v>
      </c>
      <c r="D87" s="1632">
        <v>240300305.18000001</v>
      </c>
      <c r="E87" s="1632">
        <v>27115038.039999999</v>
      </c>
      <c r="F87" s="1632">
        <v>26440770.109999999</v>
      </c>
      <c r="G87" s="1632">
        <v>20452852.690000001</v>
      </c>
      <c r="H87" s="1633">
        <v>226808.34</v>
      </c>
      <c r="I87" s="1633">
        <v>674267.93</v>
      </c>
      <c r="J87" s="1633">
        <v>339080.25</v>
      </c>
      <c r="K87" s="1625">
        <v>11.3</v>
      </c>
      <c r="L87" s="1618">
        <v>97.5</v>
      </c>
      <c r="M87" s="1619">
        <v>75.400000000000006</v>
      </c>
    </row>
    <row r="88" spans="1:13">
      <c r="A88" s="1628">
        <v>10</v>
      </c>
      <c r="B88" s="1629">
        <v>2</v>
      </c>
      <c r="C88" s="1623" t="s">
        <v>251</v>
      </c>
      <c r="D88" s="1632">
        <v>255918599.44999999</v>
      </c>
      <c r="E88" s="1632">
        <v>17043325.800000001</v>
      </c>
      <c r="F88" s="1632">
        <v>16059229.779999999</v>
      </c>
      <c r="G88" s="1632">
        <v>11354717.92</v>
      </c>
      <c r="H88" s="1633">
        <v>63116.59</v>
      </c>
      <c r="I88" s="1633">
        <v>984096.02</v>
      </c>
      <c r="J88" s="1633">
        <v>380023.74</v>
      </c>
      <c r="K88" s="1625">
        <v>6.7</v>
      </c>
      <c r="L88" s="1618">
        <v>94.2</v>
      </c>
      <c r="M88" s="1619">
        <v>66.599999999999994</v>
      </c>
    </row>
    <row r="89" spans="1:13">
      <c r="A89" s="1628">
        <v>10</v>
      </c>
      <c r="B89" s="1629">
        <v>3</v>
      </c>
      <c r="C89" s="1623" t="s">
        <v>252</v>
      </c>
      <c r="D89" s="1632">
        <v>87936447.299999997</v>
      </c>
      <c r="E89" s="1632">
        <v>19450065.420000002</v>
      </c>
      <c r="F89" s="1632">
        <v>18703996.489999998</v>
      </c>
      <c r="G89" s="1632">
        <v>13310325.98</v>
      </c>
      <c r="H89" s="1633">
        <v>180430</v>
      </c>
      <c r="I89" s="1633">
        <v>746068.93</v>
      </c>
      <c r="J89" s="1633">
        <v>493230</v>
      </c>
      <c r="K89" s="1625">
        <v>22.1</v>
      </c>
      <c r="L89" s="1618">
        <v>96.2</v>
      </c>
      <c r="M89" s="1619">
        <v>68.400000000000006</v>
      </c>
    </row>
    <row r="90" spans="1:13">
      <c r="A90" s="1628">
        <v>10</v>
      </c>
      <c r="B90" s="1629">
        <v>4</v>
      </c>
      <c r="C90" s="1623" t="s">
        <v>253</v>
      </c>
      <c r="D90" s="1632">
        <v>123599459.27</v>
      </c>
      <c r="E90" s="1632">
        <v>16089817.640000001</v>
      </c>
      <c r="F90" s="1632">
        <v>15379987.33</v>
      </c>
      <c r="G90" s="1632">
        <v>11702703.130000001</v>
      </c>
      <c r="H90" s="1633">
        <v>385676.1</v>
      </c>
      <c r="I90" s="1633">
        <v>709830.31</v>
      </c>
      <c r="J90" s="1633">
        <v>343483.65</v>
      </c>
      <c r="K90" s="1625">
        <v>13</v>
      </c>
      <c r="L90" s="1618">
        <v>95.6</v>
      </c>
      <c r="M90" s="1619">
        <v>72.7</v>
      </c>
    </row>
    <row r="91" spans="1:13">
      <c r="A91" s="1628">
        <v>10</v>
      </c>
      <c r="B91" s="1629">
        <v>5</v>
      </c>
      <c r="C91" s="1623" t="s">
        <v>254</v>
      </c>
      <c r="D91" s="1632">
        <v>177671772.49000001</v>
      </c>
      <c r="E91" s="1632">
        <v>21951580.890000001</v>
      </c>
      <c r="F91" s="1632">
        <v>21857020.390000001</v>
      </c>
      <c r="G91" s="1632">
        <v>15762295.779999999</v>
      </c>
      <c r="H91" s="1633">
        <v>40650</v>
      </c>
      <c r="I91" s="1633">
        <v>94560.5</v>
      </c>
      <c r="J91" s="1633">
        <v>0</v>
      </c>
      <c r="K91" s="1625">
        <v>12.4</v>
      </c>
      <c r="L91" s="1618">
        <v>99.6</v>
      </c>
      <c r="M91" s="1619">
        <v>71.8</v>
      </c>
    </row>
    <row r="92" spans="1:13">
      <c r="A92" s="1628">
        <v>10</v>
      </c>
      <c r="B92" s="1629">
        <v>6</v>
      </c>
      <c r="C92" s="1623" t="s">
        <v>255</v>
      </c>
      <c r="D92" s="1632">
        <v>137616376.16</v>
      </c>
      <c r="E92" s="1632">
        <v>16486801.960000001</v>
      </c>
      <c r="F92" s="1632">
        <v>16194928.76</v>
      </c>
      <c r="G92" s="1632">
        <v>11937728.5</v>
      </c>
      <c r="H92" s="1633">
        <v>130435.59</v>
      </c>
      <c r="I92" s="1633">
        <v>291873.2</v>
      </c>
      <c r="J92" s="1633">
        <v>0</v>
      </c>
      <c r="K92" s="1625">
        <v>12</v>
      </c>
      <c r="L92" s="1618">
        <v>98.2</v>
      </c>
      <c r="M92" s="1619">
        <v>72.400000000000006</v>
      </c>
    </row>
    <row r="93" spans="1:13">
      <c r="A93" s="1628">
        <v>10</v>
      </c>
      <c r="B93" s="1629">
        <v>7</v>
      </c>
      <c r="C93" s="1623" t="s">
        <v>256</v>
      </c>
      <c r="D93" s="1632">
        <v>172945389.06999999</v>
      </c>
      <c r="E93" s="1632">
        <v>23975463.379999999</v>
      </c>
      <c r="F93" s="1632">
        <v>23135568.809999999</v>
      </c>
      <c r="G93" s="1632">
        <v>18392269.829999998</v>
      </c>
      <c r="H93" s="1633">
        <v>0</v>
      </c>
      <c r="I93" s="1633">
        <v>839894.57</v>
      </c>
      <c r="J93" s="1633">
        <v>0</v>
      </c>
      <c r="K93" s="1625">
        <v>13.9</v>
      </c>
      <c r="L93" s="1618">
        <v>96.5</v>
      </c>
      <c r="M93" s="1619">
        <v>76.7</v>
      </c>
    </row>
    <row r="94" spans="1:13">
      <c r="A94" s="1628">
        <v>10</v>
      </c>
      <c r="B94" s="1629">
        <v>8</v>
      </c>
      <c r="C94" s="1623" t="s">
        <v>257</v>
      </c>
      <c r="D94" s="1632">
        <v>221246277.31</v>
      </c>
      <c r="E94" s="1632">
        <v>27826911.969999999</v>
      </c>
      <c r="F94" s="1632">
        <v>26330351.370000001</v>
      </c>
      <c r="G94" s="1632">
        <v>20006977.859999999</v>
      </c>
      <c r="H94" s="1633">
        <v>0</v>
      </c>
      <c r="I94" s="1633">
        <v>1496560.6</v>
      </c>
      <c r="J94" s="1633">
        <v>0</v>
      </c>
      <c r="K94" s="1625">
        <v>12.6</v>
      </c>
      <c r="L94" s="1618">
        <v>94.6</v>
      </c>
      <c r="M94" s="1619">
        <v>71.900000000000006</v>
      </c>
    </row>
    <row r="95" spans="1:13">
      <c r="A95" s="1628">
        <v>10</v>
      </c>
      <c r="B95" s="1629">
        <v>9</v>
      </c>
      <c r="C95" s="1623" t="s">
        <v>258</v>
      </c>
      <c r="D95" s="1632">
        <v>89727199.060000002</v>
      </c>
      <c r="E95" s="1632">
        <v>13536967.960000001</v>
      </c>
      <c r="F95" s="1632">
        <v>13512565.99</v>
      </c>
      <c r="G95" s="1632">
        <v>10802671.4</v>
      </c>
      <c r="H95" s="1633">
        <v>0</v>
      </c>
      <c r="I95" s="1633">
        <v>24401.97</v>
      </c>
      <c r="J95" s="1633">
        <v>0</v>
      </c>
      <c r="K95" s="1625">
        <v>15.1</v>
      </c>
      <c r="L95" s="1618">
        <v>99.8</v>
      </c>
      <c r="M95" s="1619">
        <v>79.8</v>
      </c>
    </row>
    <row r="96" spans="1:13">
      <c r="A96" s="1628">
        <v>10</v>
      </c>
      <c r="B96" s="1629">
        <v>10</v>
      </c>
      <c r="C96" s="1623" t="s">
        <v>259</v>
      </c>
      <c r="D96" s="1632">
        <v>121291317.23</v>
      </c>
      <c r="E96" s="1632">
        <v>32398976.91</v>
      </c>
      <c r="F96" s="1632">
        <v>31870610.920000002</v>
      </c>
      <c r="G96" s="1632">
        <v>22569361.59</v>
      </c>
      <c r="H96" s="1633">
        <v>259700</v>
      </c>
      <c r="I96" s="1633">
        <v>528365.99</v>
      </c>
      <c r="J96" s="1633">
        <v>440849.99</v>
      </c>
      <c r="K96" s="1625">
        <v>26.7</v>
      </c>
      <c r="L96" s="1618">
        <v>98.4</v>
      </c>
      <c r="M96" s="1619">
        <v>69.7</v>
      </c>
    </row>
    <row r="97" spans="1:13">
      <c r="A97" s="1628">
        <v>10</v>
      </c>
      <c r="B97" s="1629">
        <v>11</v>
      </c>
      <c r="C97" s="1623" t="s">
        <v>260</v>
      </c>
      <c r="D97" s="1632">
        <v>96992776.659999996</v>
      </c>
      <c r="E97" s="1632">
        <v>15550632.73</v>
      </c>
      <c r="F97" s="1632">
        <v>15195900.73</v>
      </c>
      <c r="G97" s="1632">
        <v>11931222.369999999</v>
      </c>
      <c r="H97" s="1633">
        <v>275462.38</v>
      </c>
      <c r="I97" s="1633">
        <v>354732</v>
      </c>
      <c r="J97" s="1633">
        <v>338250</v>
      </c>
      <c r="K97" s="1625">
        <v>16</v>
      </c>
      <c r="L97" s="1618">
        <v>97.7</v>
      </c>
      <c r="M97" s="1619">
        <v>76.7</v>
      </c>
    </row>
    <row r="98" spans="1:13">
      <c r="A98" s="1628">
        <v>10</v>
      </c>
      <c r="B98" s="1629">
        <v>12</v>
      </c>
      <c r="C98" s="1623" t="s">
        <v>261</v>
      </c>
      <c r="D98" s="1632">
        <v>224694208.5</v>
      </c>
      <c r="E98" s="1632">
        <v>27464615.739999998</v>
      </c>
      <c r="F98" s="1632">
        <v>26937160.57</v>
      </c>
      <c r="G98" s="1632">
        <v>20752834.899999999</v>
      </c>
      <c r="H98" s="1633">
        <v>265384.74</v>
      </c>
      <c r="I98" s="1633">
        <v>527455.17000000004</v>
      </c>
      <c r="J98" s="1633">
        <v>49409.61</v>
      </c>
      <c r="K98" s="1625">
        <v>12.2</v>
      </c>
      <c r="L98" s="1618">
        <v>98.1</v>
      </c>
      <c r="M98" s="1619">
        <v>75.599999999999994</v>
      </c>
    </row>
    <row r="99" spans="1:13">
      <c r="A99" s="1628">
        <v>10</v>
      </c>
      <c r="B99" s="1629">
        <v>13</v>
      </c>
      <c r="C99" s="1623" t="s">
        <v>262</v>
      </c>
      <c r="D99" s="1632">
        <v>126009613.27</v>
      </c>
      <c r="E99" s="1632">
        <v>16538795.66</v>
      </c>
      <c r="F99" s="1632">
        <v>15723330.26</v>
      </c>
      <c r="G99" s="1632">
        <v>11814302.26</v>
      </c>
      <c r="H99" s="1633">
        <v>36033.800000000003</v>
      </c>
      <c r="I99" s="1633">
        <v>815465.4</v>
      </c>
      <c r="J99" s="1633">
        <v>815465.4</v>
      </c>
      <c r="K99" s="1625">
        <v>13.1</v>
      </c>
      <c r="L99" s="1618">
        <v>95.1</v>
      </c>
      <c r="M99" s="1619">
        <v>71.400000000000006</v>
      </c>
    </row>
    <row r="100" spans="1:13">
      <c r="A100" s="1628">
        <v>10</v>
      </c>
      <c r="B100" s="1629">
        <v>14</v>
      </c>
      <c r="C100" s="1623" t="s">
        <v>263</v>
      </c>
      <c r="D100" s="1632">
        <v>283017304.22000003</v>
      </c>
      <c r="E100" s="1632">
        <v>32005767.010000002</v>
      </c>
      <c r="F100" s="1632">
        <v>31052505.600000001</v>
      </c>
      <c r="G100" s="1632">
        <v>23548269.149999999</v>
      </c>
      <c r="H100" s="1633">
        <v>340700.08</v>
      </c>
      <c r="I100" s="1633">
        <v>953261.41</v>
      </c>
      <c r="J100" s="1633">
        <v>312198.59999999998</v>
      </c>
      <c r="K100" s="1625">
        <v>11.3</v>
      </c>
      <c r="L100" s="1618">
        <v>97</v>
      </c>
      <c r="M100" s="1619">
        <v>73.599999999999994</v>
      </c>
    </row>
    <row r="101" spans="1:13">
      <c r="A101" s="1628">
        <v>10</v>
      </c>
      <c r="B101" s="1629">
        <v>15</v>
      </c>
      <c r="C101" s="1623" t="s">
        <v>264</v>
      </c>
      <c r="D101" s="1632">
        <v>59759286.609999999</v>
      </c>
      <c r="E101" s="1632">
        <v>12960928.43</v>
      </c>
      <c r="F101" s="1632">
        <v>12529292.92</v>
      </c>
      <c r="G101" s="1632">
        <v>8381386.2599999998</v>
      </c>
      <c r="H101" s="1633">
        <v>323459</v>
      </c>
      <c r="I101" s="1633">
        <v>431635.51</v>
      </c>
      <c r="J101" s="1633">
        <v>0</v>
      </c>
      <c r="K101" s="1625">
        <v>21.7</v>
      </c>
      <c r="L101" s="1618">
        <v>96.7</v>
      </c>
      <c r="M101" s="1619">
        <v>64.7</v>
      </c>
    </row>
    <row r="102" spans="1:13">
      <c r="A102" s="1628">
        <v>10</v>
      </c>
      <c r="B102" s="1629">
        <v>16</v>
      </c>
      <c r="C102" s="1623" t="s">
        <v>235</v>
      </c>
      <c r="D102" s="1632">
        <v>258026126.75999999</v>
      </c>
      <c r="E102" s="1632">
        <v>30681446.039999999</v>
      </c>
      <c r="F102" s="1632">
        <v>30110389.609999999</v>
      </c>
      <c r="G102" s="1632">
        <v>23717501.640000001</v>
      </c>
      <c r="H102" s="1633">
        <v>0</v>
      </c>
      <c r="I102" s="1633">
        <v>571056.43000000005</v>
      </c>
      <c r="J102" s="1633">
        <v>76600</v>
      </c>
      <c r="K102" s="1625">
        <v>11.9</v>
      </c>
      <c r="L102" s="1618">
        <v>98.1</v>
      </c>
      <c r="M102" s="1619">
        <v>77.3</v>
      </c>
    </row>
    <row r="103" spans="1:13">
      <c r="A103" s="1628">
        <v>10</v>
      </c>
      <c r="B103" s="1629">
        <v>17</v>
      </c>
      <c r="C103" s="1623" t="s">
        <v>265</v>
      </c>
      <c r="D103" s="1632">
        <v>224633583.93000001</v>
      </c>
      <c r="E103" s="1632">
        <v>20735358.420000002</v>
      </c>
      <c r="F103" s="1632">
        <v>20088132.420000002</v>
      </c>
      <c r="G103" s="1632">
        <v>15179623.880000001</v>
      </c>
      <c r="H103" s="1633">
        <v>110946</v>
      </c>
      <c r="I103" s="1633">
        <v>647226</v>
      </c>
      <c r="J103" s="1633">
        <v>647226</v>
      </c>
      <c r="K103" s="1625">
        <v>9.1999999999999993</v>
      </c>
      <c r="L103" s="1618">
        <v>96.9</v>
      </c>
      <c r="M103" s="1619">
        <v>73.2</v>
      </c>
    </row>
    <row r="104" spans="1:13">
      <c r="A104" s="1628">
        <v>10</v>
      </c>
      <c r="B104" s="1629">
        <v>18</v>
      </c>
      <c r="C104" s="1623" t="s">
        <v>266</v>
      </c>
      <c r="D104" s="1632">
        <v>93833208.650000006</v>
      </c>
      <c r="E104" s="1632">
        <v>11210687.73</v>
      </c>
      <c r="F104" s="1632">
        <v>10961892.720000001</v>
      </c>
      <c r="G104" s="1632">
        <v>8170254.96</v>
      </c>
      <c r="H104" s="1633">
        <v>79000.52</v>
      </c>
      <c r="I104" s="1633">
        <v>248795.01</v>
      </c>
      <c r="J104" s="1633">
        <v>215120</v>
      </c>
      <c r="K104" s="1625">
        <v>11.9</v>
      </c>
      <c r="L104" s="1618">
        <v>97.8</v>
      </c>
      <c r="M104" s="1619">
        <v>72.900000000000006</v>
      </c>
    </row>
    <row r="105" spans="1:13">
      <c r="A105" s="1628">
        <v>10</v>
      </c>
      <c r="B105" s="1629">
        <v>19</v>
      </c>
      <c r="C105" s="1623" t="s">
        <v>267</v>
      </c>
      <c r="D105" s="1632">
        <v>187896376.38</v>
      </c>
      <c r="E105" s="1632">
        <v>12055711.76</v>
      </c>
      <c r="F105" s="1632">
        <v>11286233.15</v>
      </c>
      <c r="G105" s="1632">
        <v>8739307.9100000001</v>
      </c>
      <c r="H105" s="1633">
        <v>116300</v>
      </c>
      <c r="I105" s="1633">
        <v>769478.61</v>
      </c>
      <c r="J105" s="1633">
        <v>645258</v>
      </c>
      <c r="K105" s="1625">
        <v>6.4</v>
      </c>
      <c r="L105" s="1618">
        <v>93.6</v>
      </c>
      <c r="M105" s="1619">
        <v>72.5</v>
      </c>
    </row>
    <row r="106" spans="1:13">
      <c r="A106" s="1628">
        <v>10</v>
      </c>
      <c r="B106" s="1629">
        <v>20</v>
      </c>
      <c r="C106" s="1623" t="s">
        <v>268</v>
      </c>
      <c r="D106" s="1632">
        <v>300428143.11000001</v>
      </c>
      <c r="E106" s="1632">
        <v>37443694.640000001</v>
      </c>
      <c r="F106" s="1632">
        <v>35790709.840000004</v>
      </c>
      <c r="G106" s="1632">
        <v>23386111.210000001</v>
      </c>
      <c r="H106" s="1633">
        <v>97170</v>
      </c>
      <c r="I106" s="1633">
        <v>1652984.8</v>
      </c>
      <c r="J106" s="1633">
        <v>23985</v>
      </c>
      <c r="K106" s="1625">
        <v>12.5</v>
      </c>
      <c r="L106" s="1618">
        <v>95.6</v>
      </c>
      <c r="M106" s="1619">
        <v>62.5</v>
      </c>
    </row>
    <row r="107" spans="1:13">
      <c r="A107" s="1628">
        <v>10</v>
      </c>
      <c r="B107" s="1629">
        <v>21</v>
      </c>
      <c r="C107" s="1623" t="s">
        <v>269</v>
      </c>
      <c r="D107" s="1632">
        <v>85998270.760000005</v>
      </c>
      <c r="E107" s="1632">
        <v>10894960.970000001</v>
      </c>
      <c r="F107" s="1632">
        <v>10002332.75</v>
      </c>
      <c r="G107" s="1632">
        <v>7419988.1799999997</v>
      </c>
      <c r="H107" s="1633">
        <v>18600</v>
      </c>
      <c r="I107" s="1633">
        <v>892628.22</v>
      </c>
      <c r="J107" s="1633">
        <v>892628.22</v>
      </c>
      <c r="K107" s="1625">
        <v>12.7</v>
      </c>
      <c r="L107" s="1618">
        <v>91.8</v>
      </c>
      <c r="M107" s="1619">
        <v>68.099999999999994</v>
      </c>
    </row>
    <row r="108" spans="1:13">
      <c r="A108" s="1628">
        <v>12</v>
      </c>
      <c r="B108" s="1629">
        <v>1</v>
      </c>
      <c r="C108" s="1623" t="s">
        <v>270</v>
      </c>
      <c r="D108" s="1632">
        <v>244286797.75999999</v>
      </c>
      <c r="E108" s="1632">
        <v>25434384.329999998</v>
      </c>
      <c r="F108" s="1632">
        <v>23673768.890000001</v>
      </c>
      <c r="G108" s="1632">
        <v>18205662.050000001</v>
      </c>
      <c r="H108" s="1633">
        <v>0</v>
      </c>
      <c r="I108" s="1633">
        <v>1760615.44</v>
      </c>
      <c r="J108" s="1633">
        <v>55482.84</v>
      </c>
      <c r="K108" s="1625">
        <v>10.4</v>
      </c>
      <c r="L108" s="1618">
        <v>93.1</v>
      </c>
      <c r="M108" s="1619">
        <v>71.599999999999994</v>
      </c>
    </row>
    <row r="109" spans="1:13">
      <c r="A109" s="1628">
        <v>12</v>
      </c>
      <c r="B109" s="1629">
        <v>2</v>
      </c>
      <c r="C109" s="1623" t="s">
        <v>271</v>
      </c>
      <c r="D109" s="1632">
        <v>207247837.03</v>
      </c>
      <c r="E109" s="1632">
        <v>21137723.809999999</v>
      </c>
      <c r="F109" s="1632">
        <v>20419872.809999999</v>
      </c>
      <c r="G109" s="1632">
        <v>14812787.619999999</v>
      </c>
      <c r="H109" s="1633">
        <v>56130</v>
      </c>
      <c r="I109" s="1633">
        <v>717851</v>
      </c>
      <c r="J109" s="1633">
        <v>618951</v>
      </c>
      <c r="K109" s="1625">
        <v>10.199999999999999</v>
      </c>
      <c r="L109" s="1618">
        <v>96.6</v>
      </c>
      <c r="M109" s="1619">
        <v>70.099999999999994</v>
      </c>
    </row>
    <row r="110" spans="1:13">
      <c r="A110" s="1628">
        <v>12</v>
      </c>
      <c r="B110" s="1629">
        <v>3</v>
      </c>
      <c r="C110" s="1623" t="s">
        <v>272</v>
      </c>
      <c r="D110" s="1632">
        <v>255547511.34</v>
      </c>
      <c r="E110" s="1632">
        <v>25159640.640000001</v>
      </c>
      <c r="F110" s="1632">
        <v>23551392.710000001</v>
      </c>
      <c r="G110" s="1632">
        <v>16857231.010000002</v>
      </c>
      <c r="H110" s="1633">
        <v>48866.67</v>
      </c>
      <c r="I110" s="1633">
        <v>1608247.93</v>
      </c>
      <c r="J110" s="1633">
        <v>677856.69</v>
      </c>
      <c r="K110" s="1625">
        <v>9.8000000000000007</v>
      </c>
      <c r="L110" s="1618">
        <v>93.6</v>
      </c>
      <c r="M110" s="1619">
        <v>67</v>
      </c>
    </row>
    <row r="111" spans="1:13">
      <c r="A111" s="1628">
        <v>12</v>
      </c>
      <c r="B111" s="1629">
        <v>4</v>
      </c>
      <c r="C111" s="1623" t="s">
        <v>273</v>
      </c>
      <c r="D111" s="1632">
        <v>99271308.659999996</v>
      </c>
      <c r="E111" s="1632">
        <v>13186291.52</v>
      </c>
      <c r="F111" s="1632">
        <v>12282072.810000001</v>
      </c>
      <c r="G111" s="1632">
        <v>8958329.0399999991</v>
      </c>
      <c r="H111" s="1633">
        <v>49815</v>
      </c>
      <c r="I111" s="1633">
        <v>904218.71</v>
      </c>
      <c r="J111" s="1633">
        <v>698640</v>
      </c>
      <c r="K111" s="1625">
        <v>13.3</v>
      </c>
      <c r="L111" s="1618">
        <v>93.1</v>
      </c>
      <c r="M111" s="1619">
        <v>67.900000000000006</v>
      </c>
    </row>
    <row r="112" spans="1:13">
      <c r="A112" s="1628">
        <v>12</v>
      </c>
      <c r="B112" s="1629">
        <v>5</v>
      </c>
      <c r="C112" s="1623" t="s">
        <v>274</v>
      </c>
      <c r="D112" s="1632">
        <v>282635167.42000002</v>
      </c>
      <c r="E112" s="1632">
        <v>18759561.91</v>
      </c>
      <c r="F112" s="1632">
        <v>18286249.059999999</v>
      </c>
      <c r="G112" s="1632">
        <v>13792470.85</v>
      </c>
      <c r="H112" s="1633">
        <v>174631.9</v>
      </c>
      <c r="I112" s="1633">
        <v>473312.85</v>
      </c>
      <c r="J112" s="1633">
        <v>269732.84999999998</v>
      </c>
      <c r="K112" s="1625">
        <v>6.6</v>
      </c>
      <c r="L112" s="1618">
        <v>97.5</v>
      </c>
      <c r="M112" s="1619">
        <v>73.5</v>
      </c>
    </row>
    <row r="113" spans="1:13">
      <c r="A113" s="1628">
        <v>12</v>
      </c>
      <c r="B113" s="1629">
        <v>6</v>
      </c>
      <c r="C113" s="1623" t="s">
        <v>275</v>
      </c>
      <c r="D113" s="1632">
        <v>515479696.05000001</v>
      </c>
      <c r="E113" s="1632">
        <v>83978715.219999999</v>
      </c>
      <c r="F113" s="1632">
        <v>81012625.870000005</v>
      </c>
      <c r="G113" s="1632">
        <v>59566160.68</v>
      </c>
      <c r="H113" s="1633">
        <v>0</v>
      </c>
      <c r="I113" s="1633">
        <v>2966089.35</v>
      </c>
      <c r="J113" s="1633">
        <v>743870.97</v>
      </c>
      <c r="K113" s="1625">
        <v>16.3</v>
      </c>
      <c r="L113" s="1618">
        <v>96.5</v>
      </c>
      <c r="M113" s="1619">
        <v>70.900000000000006</v>
      </c>
    </row>
    <row r="114" spans="1:13">
      <c r="A114" s="1628">
        <v>12</v>
      </c>
      <c r="B114" s="1629">
        <v>7</v>
      </c>
      <c r="C114" s="1623" t="s">
        <v>276</v>
      </c>
      <c r="D114" s="1632">
        <v>267287314.31999999</v>
      </c>
      <c r="E114" s="1632">
        <v>31135501.199999999</v>
      </c>
      <c r="F114" s="1632">
        <v>30355839.52</v>
      </c>
      <c r="G114" s="1632">
        <v>23446265.52</v>
      </c>
      <c r="H114" s="1633">
        <v>0</v>
      </c>
      <c r="I114" s="1633">
        <v>779661.68</v>
      </c>
      <c r="J114" s="1633">
        <v>309258.67</v>
      </c>
      <c r="K114" s="1625">
        <v>11.6</v>
      </c>
      <c r="L114" s="1618">
        <v>97.5</v>
      </c>
      <c r="M114" s="1619">
        <v>75.3</v>
      </c>
    </row>
    <row r="115" spans="1:13">
      <c r="A115" s="1628">
        <v>12</v>
      </c>
      <c r="B115" s="1629">
        <v>8</v>
      </c>
      <c r="C115" s="1623" t="s">
        <v>277</v>
      </c>
      <c r="D115" s="1632">
        <v>194436202.44999999</v>
      </c>
      <c r="E115" s="1632">
        <v>17433607.32</v>
      </c>
      <c r="F115" s="1632">
        <v>15942604.26</v>
      </c>
      <c r="G115" s="1632">
        <v>12047295.32</v>
      </c>
      <c r="H115" s="1633">
        <v>241412.1</v>
      </c>
      <c r="I115" s="1633">
        <v>1491003.06</v>
      </c>
      <c r="J115" s="1633">
        <v>516969</v>
      </c>
      <c r="K115" s="1625">
        <v>9</v>
      </c>
      <c r="L115" s="1618">
        <v>91.4</v>
      </c>
      <c r="M115" s="1619">
        <v>69.099999999999994</v>
      </c>
    </row>
    <row r="116" spans="1:13">
      <c r="A116" s="1628">
        <v>12</v>
      </c>
      <c r="B116" s="1629">
        <v>9</v>
      </c>
      <c r="C116" s="1623" t="s">
        <v>278</v>
      </c>
      <c r="D116" s="1632">
        <v>255768115.41999999</v>
      </c>
      <c r="E116" s="1632">
        <v>24518672.27</v>
      </c>
      <c r="F116" s="1632">
        <v>22754964.449999999</v>
      </c>
      <c r="G116" s="1632">
        <v>15937616.68</v>
      </c>
      <c r="H116" s="1633">
        <v>8000</v>
      </c>
      <c r="I116" s="1633">
        <v>1763707.82</v>
      </c>
      <c r="J116" s="1633">
        <v>0</v>
      </c>
      <c r="K116" s="1625">
        <v>9.6</v>
      </c>
      <c r="L116" s="1618">
        <v>92.8</v>
      </c>
      <c r="M116" s="1619">
        <v>65</v>
      </c>
    </row>
    <row r="117" spans="1:13">
      <c r="A117" s="1628">
        <v>12</v>
      </c>
      <c r="B117" s="1629">
        <v>10</v>
      </c>
      <c r="C117" s="1623" t="s">
        <v>279</v>
      </c>
      <c r="D117" s="1632">
        <v>327424018.5</v>
      </c>
      <c r="E117" s="1632">
        <v>43449535.710000001</v>
      </c>
      <c r="F117" s="1632">
        <v>41581087.82</v>
      </c>
      <c r="G117" s="1632">
        <v>31105192.879999999</v>
      </c>
      <c r="H117" s="1633">
        <v>110329.60000000001</v>
      </c>
      <c r="I117" s="1633">
        <v>1868447.89</v>
      </c>
      <c r="J117" s="1633">
        <v>138029.42000000001</v>
      </c>
      <c r="K117" s="1625">
        <v>13.3</v>
      </c>
      <c r="L117" s="1618">
        <v>95.7</v>
      </c>
      <c r="M117" s="1619">
        <v>71.599999999999994</v>
      </c>
    </row>
    <row r="118" spans="1:13">
      <c r="A118" s="1628">
        <v>12</v>
      </c>
      <c r="B118" s="1629">
        <v>11</v>
      </c>
      <c r="C118" s="1623" t="s">
        <v>280</v>
      </c>
      <c r="D118" s="1632">
        <v>408213388.91000003</v>
      </c>
      <c r="E118" s="1632">
        <v>47149667.909999996</v>
      </c>
      <c r="F118" s="1632">
        <v>46905715.509999998</v>
      </c>
      <c r="G118" s="1632">
        <v>36894792.439999998</v>
      </c>
      <c r="H118" s="1633">
        <v>712150.24</v>
      </c>
      <c r="I118" s="1633">
        <v>243952.4</v>
      </c>
      <c r="J118" s="1633">
        <v>0</v>
      </c>
      <c r="K118" s="1625">
        <v>11.6</v>
      </c>
      <c r="L118" s="1618">
        <v>99.5</v>
      </c>
      <c r="M118" s="1619">
        <v>78.3</v>
      </c>
    </row>
    <row r="119" spans="1:13">
      <c r="A119" s="1628">
        <v>12</v>
      </c>
      <c r="B119" s="1629">
        <v>12</v>
      </c>
      <c r="C119" s="1623" t="s">
        <v>281</v>
      </c>
      <c r="D119" s="1632">
        <v>244170515.38999999</v>
      </c>
      <c r="E119" s="1632">
        <v>30900850.510000002</v>
      </c>
      <c r="F119" s="1632">
        <v>30177566.870000001</v>
      </c>
      <c r="G119" s="1632">
        <v>22788004.23</v>
      </c>
      <c r="H119" s="1633">
        <v>0</v>
      </c>
      <c r="I119" s="1633">
        <v>723283.64</v>
      </c>
      <c r="J119" s="1633">
        <v>0</v>
      </c>
      <c r="K119" s="1625">
        <v>12.7</v>
      </c>
      <c r="L119" s="1618">
        <v>97.7</v>
      </c>
      <c r="M119" s="1619">
        <v>73.7</v>
      </c>
    </row>
    <row r="120" spans="1:13">
      <c r="A120" s="1628">
        <v>12</v>
      </c>
      <c r="B120" s="1629">
        <v>13</v>
      </c>
      <c r="C120" s="1623" t="s">
        <v>282</v>
      </c>
      <c r="D120" s="1632">
        <v>340149966.08999997</v>
      </c>
      <c r="E120" s="1632">
        <v>25792205.399999999</v>
      </c>
      <c r="F120" s="1632">
        <v>24385066.190000001</v>
      </c>
      <c r="G120" s="1632">
        <v>17196037.41</v>
      </c>
      <c r="H120" s="1633">
        <v>0</v>
      </c>
      <c r="I120" s="1633">
        <v>1407139.21</v>
      </c>
      <c r="J120" s="1633">
        <v>879356.2</v>
      </c>
      <c r="K120" s="1625">
        <v>7.6</v>
      </c>
      <c r="L120" s="1618">
        <v>94.5</v>
      </c>
      <c r="M120" s="1619">
        <v>66.7</v>
      </c>
    </row>
    <row r="121" spans="1:13">
      <c r="A121" s="1628">
        <v>12</v>
      </c>
      <c r="B121" s="1629">
        <v>14</v>
      </c>
      <c r="C121" s="1623" t="s">
        <v>283</v>
      </c>
      <c r="D121" s="1632">
        <v>104920629.68000001</v>
      </c>
      <c r="E121" s="1632">
        <v>9957869.3599999994</v>
      </c>
      <c r="F121" s="1632">
        <v>9366755.9600000009</v>
      </c>
      <c r="G121" s="1632">
        <v>6677918.6399999997</v>
      </c>
      <c r="H121" s="1633">
        <v>0</v>
      </c>
      <c r="I121" s="1633">
        <v>591113.4</v>
      </c>
      <c r="J121" s="1633">
        <v>467252.4</v>
      </c>
      <c r="K121" s="1625">
        <v>9.5</v>
      </c>
      <c r="L121" s="1618">
        <v>94.1</v>
      </c>
      <c r="M121" s="1619">
        <v>67.099999999999994</v>
      </c>
    </row>
    <row r="122" spans="1:13">
      <c r="A122" s="1628">
        <v>12</v>
      </c>
      <c r="B122" s="1629">
        <v>15</v>
      </c>
      <c r="C122" s="1623" t="s">
        <v>284</v>
      </c>
      <c r="D122" s="1632">
        <v>209319265.46000001</v>
      </c>
      <c r="E122" s="1632">
        <v>18852147.899999999</v>
      </c>
      <c r="F122" s="1632">
        <v>18429276.149999999</v>
      </c>
      <c r="G122" s="1632">
        <v>14009128.02</v>
      </c>
      <c r="H122" s="1633">
        <v>0</v>
      </c>
      <c r="I122" s="1633">
        <v>422871.75</v>
      </c>
      <c r="J122" s="1633">
        <v>29197.99</v>
      </c>
      <c r="K122" s="1625">
        <v>9</v>
      </c>
      <c r="L122" s="1618">
        <v>97.8</v>
      </c>
      <c r="M122" s="1619">
        <v>74.3</v>
      </c>
    </row>
    <row r="123" spans="1:13">
      <c r="A123" s="1628">
        <v>12</v>
      </c>
      <c r="B123" s="1629">
        <v>16</v>
      </c>
      <c r="C123" s="1623" t="s">
        <v>285</v>
      </c>
      <c r="D123" s="1632">
        <v>284823609.42000002</v>
      </c>
      <c r="E123" s="1632">
        <v>53302449.549999997</v>
      </c>
      <c r="F123" s="1632">
        <v>52958672.859999999</v>
      </c>
      <c r="G123" s="1632">
        <v>41820079.420000002</v>
      </c>
      <c r="H123" s="1633">
        <v>0</v>
      </c>
      <c r="I123" s="1633">
        <v>343776.69</v>
      </c>
      <c r="J123" s="1633">
        <v>0</v>
      </c>
      <c r="K123" s="1625">
        <v>18.7</v>
      </c>
      <c r="L123" s="1618">
        <v>99.4</v>
      </c>
      <c r="M123" s="1619">
        <v>78.5</v>
      </c>
    </row>
    <row r="124" spans="1:13">
      <c r="A124" s="1628">
        <v>12</v>
      </c>
      <c r="B124" s="1629">
        <v>17</v>
      </c>
      <c r="C124" s="1623" t="s">
        <v>286</v>
      </c>
      <c r="D124" s="1632">
        <v>144734315.18000001</v>
      </c>
      <c r="E124" s="1632">
        <v>21260313.25</v>
      </c>
      <c r="F124" s="1632">
        <v>18887895.219999999</v>
      </c>
      <c r="G124" s="1632">
        <v>14387162.34</v>
      </c>
      <c r="H124" s="1633">
        <v>0</v>
      </c>
      <c r="I124" s="1633">
        <v>2372418.0299999998</v>
      </c>
      <c r="J124" s="1633">
        <v>179634.63</v>
      </c>
      <c r="K124" s="1625">
        <v>14.7</v>
      </c>
      <c r="L124" s="1618">
        <v>88.8</v>
      </c>
      <c r="M124" s="1619">
        <v>67.7</v>
      </c>
    </row>
    <row r="125" spans="1:13">
      <c r="A125" s="1628">
        <v>12</v>
      </c>
      <c r="B125" s="1629">
        <v>18</v>
      </c>
      <c r="C125" s="1623" t="s">
        <v>287</v>
      </c>
      <c r="D125" s="1632">
        <v>313569512.25</v>
      </c>
      <c r="E125" s="1632">
        <v>30703587.359999999</v>
      </c>
      <c r="F125" s="1632">
        <v>30126946.199999999</v>
      </c>
      <c r="G125" s="1632">
        <v>22980385.719999999</v>
      </c>
      <c r="H125" s="1633">
        <v>14883</v>
      </c>
      <c r="I125" s="1633">
        <v>576641.16</v>
      </c>
      <c r="J125" s="1633">
        <v>41451</v>
      </c>
      <c r="K125" s="1625">
        <v>9.8000000000000007</v>
      </c>
      <c r="L125" s="1618">
        <v>98.1</v>
      </c>
      <c r="M125" s="1619">
        <v>74.8</v>
      </c>
    </row>
    <row r="126" spans="1:13">
      <c r="A126" s="1628">
        <v>12</v>
      </c>
      <c r="B126" s="1629">
        <v>19</v>
      </c>
      <c r="C126" s="1623" t="s">
        <v>288</v>
      </c>
      <c r="D126" s="1632">
        <v>240103572.71000001</v>
      </c>
      <c r="E126" s="1632">
        <v>80944280.329999998</v>
      </c>
      <c r="F126" s="1632">
        <v>33155028.550000001</v>
      </c>
      <c r="G126" s="1632">
        <v>23034828.050000001</v>
      </c>
      <c r="H126" s="1633">
        <v>0</v>
      </c>
      <c r="I126" s="1633">
        <v>47789251.780000001</v>
      </c>
      <c r="J126" s="1633">
        <v>575320.19999999995</v>
      </c>
      <c r="K126" s="1625">
        <v>33.700000000000003</v>
      </c>
      <c r="L126" s="1618">
        <v>41</v>
      </c>
      <c r="M126" s="1619">
        <v>28.5</v>
      </c>
    </row>
    <row r="127" spans="1:13">
      <c r="A127" s="1628">
        <v>14</v>
      </c>
      <c r="B127" s="1629">
        <v>1</v>
      </c>
      <c r="C127" s="1623" t="s">
        <v>289</v>
      </c>
      <c r="D127" s="1632">
        <v>68948489.329999998</v>
      </c>
      <c r="E127" s="1632">
        <v>13457447.119999999</v>
      </c>
      <c r="F127" s="1632">
        <v>12428712.27</v>
      </c>
      <c r="G127" s="1632">
        <v>8736430.3200000003</v>
      </c>
      <c r="H127" s="1633">
        <v>35875.5</v>
      </c>
      <c r="I127" s="1633">
        <v>1028734.85</v>
      </c>
      <c r="J127" s="1633">
        <v>676377</v>
      </c>
      <c r="K127" s="1625">
        <v>19.5</v>
      </c>
      <c r="L127" s="1618">
        <v>92.4</v>
      </c>
      <c r="M127" s="1619">
        <v>64.900000000000006</v>
      </c>
    </row>
    <row r="128" spans="1:13">
      <c r="A128" s="1628">
        <v>14</v>
      </c>
      <c r="B128" s="1629">
        <v>2</v>
      </c>
      <c r="C128" s="1623" t="s">
        <v>290</v>
      </c>
      <c r="D128" s="1632">
        <v>219375120.27000001</v>
      </c>
      <c r="E128" s="1632">
        <v>31674378.370000001</v>
      </c>
      <c r="F128" s="1632">
        <v>22824478.280000001</v>
      </c>
      <c r="G128" s="1632">
        <v>16945183.41</v>
      </c>
      <c r="H128" s="1633">
        <v>33674.629999999997</v>
      </c>
      <c r="I128" s="1633">
        <v>8849900.0899999999</v>
      </c>
      <c r="J128" s="1633">
        <v>0</v>
      </c>
      <c r="K128" s="1625">
        <v>14.4</v>
      </c>
      <c r="L128" s="1618">
        <v>72.099999999999994</v>
      </c>
      <c r="M128" s="1619">
        <v>53.5</v>
      </c>
    </row>
    <row r="129" spans="1:13">
      <c r="A129" s="1628">
        <v>14</v>
      </c>
      <c r="B129" s="1629">
        <v>3</v>
      </c>
      <c r="C129" s="1623" t="s">
        <v>291</v>
      </c>
      <c r="D129" s="1632">
        <v>263592089.34</v>
      </c>
      <c r="E129" s="1632">
        <v>23969985.109999999</v>
      </c>
      <c r="F129" s="1632">
        <v>23765106.899999999</v>
      </c>
      <c r="G129" s="1632">
        <v>16104336.25</v>
      </c>
      <c r="H129" s="1633">
        <v>0</v>
      </c>
      <c r="I129" s="1633">
        <v>204878.21</v>
      </c>
      <c r="J129" s="1633">
        <v>0</v>
      </c>
      <c r="K129" s="1625">
        <v>9.1</v>
      </c>
      <c r="L129" s="1618">
        <v>99.1</v>
      </c>
      <c r="M129" s="1619">
        <v>67.2</v>
      </c>
    </row>
    <row r="130" spans="1:13">
      <c r="A130" s="1628">
        <v>14</v>
      </c>
      <c r="B130" s="1629">
        <v>4</v>
      </c>
      <c r="C130" s="1623" t="s">
        <v>292</v>
      </c>
      <c r="D130" s="1632">
        <v>125590288.8</v>
      </c>
      <c r="E130" s="1632">
        <v>14021372.35</v>
      </c>
      <c r="F130" s="1632">
        <v>13283508.75</v>
      </c>
      <c r="G130" s="1632">
        <v>9887931.2300000004</v>
      </c>
      <c r="H130" s="1633">
        <v>133486</v>
      </c>
      <c r="I130" s="1633">
        <v>737863.6</v>
      </c>
      <c r="J130" s="1633">
        <v>485358</v>
      </c>
      <c r="K130" s="1625">
        <v>11.2</v>
      </c>
      <c r="L130" s="1618">
        <v>94.7</v>
      </c>
      <c r="M130" s="1619">
        <v>70.5</v>
      </c>
    </row>
    <row r="131" spans="1:13">
      <c r="A131" s="1628">
        <v>14</v>
      </c>
      <c r="B131" s="1629">
        <v>5</v>
      </c>
      <c r="C131" s="1623" t="s">
        <v>293</v>
      </c>
      <c r="D131" s="1632">
        <v>228536542.03999999</v>
      </c>
      <c r="E131" s="1632">
        <v>34523446.520000003</v>
      </c>
      <c r="F131" s="1632">
        <v>33780398.479999997</v>
      </c>
      <c r="G131" s="1632">
        <v>24500668.43</v>
      </c>
      <c r="H131" s="1633">
        <v>0</v>
      </c>
      <c r="I131" s="1633">
        <v>743048.04</v>
      </c>
      <c r="J131" s="1633">
        <v>0</v>
      </c>
      <c r="K131" s="1625">
        <v>15.1</v>
      </c>
      <c r="L131" s="1618">
        <v>97.8</v>
      </c>
      <c r="M131" s="1619">
        <v>71</v>
      </c>
    </row>
    <row r="132" spans="1:13">
      <c r="A132" s="1628">
        <v>14</v>
      </c>
      <c r="B132" s="1629">
        <v>6</v>
      </c>
      <c r="C132" s="1623" t="s">
        <v>294</v>
      </c>
      <c r="D132" s="1632">
        <v>300788151.42000002</v>
      </c>
      <c r="E132" s="1632">
        <v>23288584.32</v>
      </c>
      <c r="F132" s="1632">
        <v>22353817.32</v>
      </c>
      <c r="G132" s="1632">
        <v>16113047.199999999</v>
      </c>
      <c r="H132" s="1633">
        <v>100545</v>
      </c>
      <c r="I132" s="1633">
        <v>934767</v>
      </c>
      <c r="J132" s="1633">
        <v>710520</v>
      </c>
      <c r="K132" s="1625">
        <v>7.7</v>
      </c>
      <c r="L132" s="1618">
        <v>96</v>
      </c>
      <c r="M132" s="1619">
        <v>69.2</v>
      </c>
    </row>
    <row r="133" spans="1:13">
      <c r="A133" s="1628">
        <v>14</v>
      </c>
      <c r="B133" s="1629">
        <v>7</v>
      </c>
      <c r="C133" s="1623" t="s">
        <v>295</v>
      </c>
      <c r="D133" s="1632">
        <v>117352946.17</v>
      </c>
      <c r="E133" s="1632">
        <v>19654451.52</v>
      </c>
      <c r="F133" s="1632">
        <v>19244156.239999998</v>
      </c>
      <c r="G133" s="1632">
        <v>15243369.029999999</v>
      </c>
      <c r="H133" s="1633">
        <v>6150</v>
      </c>
      <c r="I133" s="1633">
        <v>410295.28</v>
      </c>
      <c r="J133" s="1633">
        <v>164720.10999999999</v>
      </c>
      <c r="K133" s="1625">
        <v>16.7</v>
      </c>
      <c r="L133" s="1618">
        <v>97.9</v>
      </c>
      <c r="M133" s="1619">
        <v>77.599999999999994</v>
      </c>
    </row>
    <row r="134" spans="1:13">
      <c r="A134" s="1628">
        <v>14</v>
      </c>
      <c r="B134" s="1629">
        <v>8</v>
      </c>
      <c r="C134" s="1623" t="s">
        <v>296</v>
      </c>
      <c r="D134" s="1632">
        <v>218764620.30000001</v>
      </c>
      <c r="E134" s="1632">
        <v>49176103.229999997</v>
      </c>
      <c r="F134" s="1632">
        <v>36150872.630000003</v>
      </c>
      <c r="G134" s="1632">
        <v>27242199.039999999</v>
      </c>
      <c r="H134" s="1633">
        <v>0</v>
      </c>
      <c r="I134" s="1633">
        <v>13025230.6</v>
      </c>
      <c r="J134" s="1633">
        <v>0</v>
      </c>
      <c r="K134" s="1625">
        <v>22.5</v>
      </c>
      <c r="L134" s="1618">
        <v>73.5</v>
      </c>
      <c r="M134" s="1619">
        <v>55.4</v>
      </c>
    </row>
    <row r="135" spans="1:13">
      <c r="A135" s="1628">
        <v>14</v>
      </c>
      <c r="B135" s="1629">
        <v>9</v>
      </c>
      <c r="C135" s="1623" t="s">
        <v>297</v>
      </c>
      <c r="D135" s="1632">
        <v>125624395.43000001</v>
      </c>
      <c r="E135" s="1632">
        <v>12760095.82</v>
      </c>
      <c r="F135" s="1632">
        <v>12742260.82</v>
      </c>
      <c r="G135" s="1632">
        <v>9874424.7899999991</v>
      </c>
      <c r="H135" s="1633">
        <v>0</v>
      </c>
      <c r="I135" s="1633">
        <v>17835</v>
      </c>
      <c r="J135" s="1633">
        <v>0</v>
      </c>
      <c r="K135" s="1625">
        <v>10.199999999999999</v>
      </c>
      <c r="L135" s="1618">
        <v>99.9</v>
      </c>
      <c r="M135" s="1619">
        <v>77.400000000000006</v>
      </c>
    </row>
    <row r="136" spans="1:13">
      <c r="A136" s="1628">
        <v>14</v>
      </c>
      <c r="B136" s="1629">
        <v>10</v>
      </c>
      <c r="C136" s="1623" t="s">
        <v>298</v>
      </c>
      <c r="D136" s="1632">
        <v>77314704.409999996</v>
      </c>
      <c r="E136" s="1632">
        <v>8431448.3300000001</v>
      </c>
      <c r="F136" s="1632">
        <v>8405812.2699999996</v>
      </c>
      <c r="G136" s="1632">
        <v>5940723.6900000004</v>
      </c>
      <c r="H136" s="1633">
        <v>25534.799999999999</v>
      </c>
      <c r="I136" s="1633">
        <v>25636.06</v>
      </c>
      <c r="J136" s="1633">
        <v>0</v>
      </c>
      <c r="K136" s="1625">
        <v>10.9</v>
      </c>
      <c r="L136" s="1618">
        <v>99.7</v>
      </c>
      <c r="M136" s="1619">
        <v>70.5</v>
      </c>
    </row>
    <row r="137" spans="1:13">
      <c r="A137" s="1628">
        <v>14</v>
      </c>
      <c r="B137" s="1629">
        <v>11</v>
      </c>
      <c r="C137" s="1623" t="s">
        <v>299</v>
      </c>
      <c r="D137" s="1632">
        <v>127293832</v>
      </c>
      <c r="E137" s="1632">
        <v>29564422.530000001</v>
      </c>
      <c r="F137" s="1632">
        <v>18218867.66</v>
      </c>
      <c r="G137" s="1632">
        <v>14489876.74</v>
      </c>
      <c r="H137" s="1633">
        <v>0</v>
      </c>
      <c r="I137" s="1633">
        <v>11345554.869999999</v>
      </c>
      <c r="J137" s="1633">
        <v>0</v>
      </c>
      <c r="K137" s="1625">
        <v>23.2</v>
      </c>
      <c r="L137" s="1618">
        <v>61.6</v>
      </c>
      <c r="M137" s="1619">
        <v>49</v>
      </c>
    </row>
    <row r="138" spans="1:13">
      <c r="A138" s="1628">
        <v>14</v>
      </c>
      <c r="B138" s="1629">
        <v>12</v>
      </c>
      <c r="C138" s="1623" t="s">
        <v>300</v>
      </c>
      <c r="D138" s="1632">
        <v>335482159.64999998</v>
      </c>
      <c r="E138" s="1632">
        <v>38602260.689999998</v>
      </c>
      <c r="F138" s="1632">
        <v>37835782.170000002</v>
      </c>
      <c r="G138" s="1632">
        <v>27742979.390000001</v>
      </c>
      <c r="H138" s="1633">
        <v>0</v>
      </c>
      <c r="I138" s="1633">
        <v>766478.52</v>
      </c>
      <c r="J138" s="1633">
        <v>162975</v>
      </c>
      <c r="K138" s="1625">
        <v>11.5</v>
      </c>
      <c r="L138" s="1618">
        <v>98</v>
      </c>
      <c r="M138" s="1619">
        <v>71.900000000000006</v>
      </c>
    </row>
    <row r="139" spans="1:13">
      <c r="A139" s="1628">
        <v>14</v>
      </c>
      <c r="B139" s="1629">
        <v>13</v>
      </c>
      <c r="C139" s="1623" t="s">
        <v>301</v>
      </c>
      <c r="D139" s="1632">
        <v>173384234.06</v>
      </c>
      <c r="E139" s="1632">
        <v>16798442.98</v>
      </c>
      <c r="F139" s="1632">
        <v>16798442.98</v>
      </c>
      <c r="G139" s="1632">
        <v>12750314.890000001</v>
      </c>
      <c r="H139" s="1633">
        <v>0</v>
      </c>
      <c r="I139" s="1633">
        <v>0</v>
      </c>
      <c r="J139" s="1633">
        <v>0</v>
      </c>
      <c r="K139" s="1625">
        <v>9.6999999999999993</v>
      </c>
      <c r="L139" s="1618">
        <v>100</v>
      </c>
      <c r="M139" s="1619">
        <v>75.900000000000006</v>
      </c>
    </row>
    <row r="140" spans="1:13">
      <c r="A140" s="1628">
        <v>14</v>
      </c>
      <c r="B140" s="1629">
        <v>14</v>
      </c>
      <c r="C140" s="1623" t="s">
        <v>302</v>
      </c>
      <c r="D140" s="1632">
        <v>118763065.18000001</v>
      </c>
      <c r="E140" s="1632">
        <v>21274124.469999999</v>
      </c>
      <c r="F140" s="1632">
        <v>20973941.280000001</v>
      </c>
      <c r="G140" s="1632">
        <v>14951786.91</v>
      </c>
      <c r="H140" s="1633">
        <v>10062</v>
      </c>
      <c r="I140" s="1633">
        <v>300183.19</v>
      </c>
      <c r="J140" s="1633">
        <v>0</v>
      </c>
      <c r="K140" s="1625">
        <v>17.899999999999999</v>
      </c>
      <c r="L140" s="1618">
        <v>98.6</v>
      </c>
      <c r="M140" s="1619">
        <v>70.3</v>
      </c>
    </row>
    <row r="141" spans="1:13">
      <c r="A141" s="1628">
        <v>14</v>
      </c>
      <c r="B141" s="1629">
        <v>15</v>
      </c>
      <c r="C141" s="1623" t="s">
        <v>303</v>
      </c>
      <c r="D141" s="1632">
        <v>208016836.13</v>
      </c>
      <c r="E141" s="1632">
        <v>28432697.98</v>
      </c>
      <c r="F141" s="1632">
        <v>27048419.600000001</v>
      </c>
      <c r="G141" s="1632">
        <v>20559480</v>
      </c>
      <c r="H141" s="1633">
        <v>0</v>
      </c>
      <c r="I141" s="1633">
        <v>1384278.38</v>
      </c>
      <c r="J141" s="1633">
        <v>0</v>
      </c>
      <c r="K141" s="1625">
        <v>13.7</v>
      </c>
      <c r="L141" s="1618">
        <v>95.1</v>
      </c>
      <c r="M141" s="1619">
        <v>72.3</v>
      </c>
    </row>
    <row r="142" spans="1:13">
      <c r="A142" s="1628">
        <v>14</v>
      </c>
      <c r="B142" s="1629">
        <v>16</v>
      </c>
      <c r="C142" s="1623" t="s">
        <v>304</v>
      </c>
      <c r="D142" s="1632">
        <v>149427564.88999999</v>
      </c>
      <c r="E142" s="1632">
        <v>15240041.59</v>
      </c>
      <c r="F142" s="1632">
        <v>15240041.59</v>
      </c>
      <c r="G142" s="1632">
        <v>10858630.220000001</v>
      </c>
      <c r="H142" s="1633">
        <v>0</v>
      </c>
      <c r="I142" s="1633">
        <v>0</v>
      </c>
      <c r="J142" s="1633">
        <v>0</v>
      </c>
      <c r="K142" s="1625">
        <v>10.199999999999999</v>
      </c>
      <c r="L142" s="1618">
        <v>100</v>
      </c>
      <c r="M142" s="1619">
        <v>71.3</v>
      </c>
    </row>
    <row r="143" spans="1:13">
      <c r="A143" s="1628">
        <v>14</v>
      </c>
      <c r="B143" s="1629">
        <v>17</v>
      </c>
      <c r="C143" s="1623" t="s">
        <v>305</v>
      </c>
      <c r="D143" s="1632">
        <v>314417513.33999997</v>
      </c>
      <c r="E143" s="1632">
        <v>26608689.460000001</v>
      </c>
      <c r="F143" s="1632">
        <v>25736014.91</v>
      </c>
      <c r="G143" s="1632">
        <v>18767585.550000001</v>
      </c>
      <c r="H143" s="1633">
        <v>83575</v>
      </c>
      <c r="I143" s="1633">
        <v>872674.55</v>
      </c>
      <c r="J143" s="1633">
        <v>569962.31999999995</v>
      </c>
      <c r="K143" s="1625">
        <v>8.5</v>
      </c>
      <c r="L143" s="1618">
        <v>96.7</v>
      </c>
      <c r="M143" s="1619">
        <v>70.5</v>
      </c>
    </row>
    <row r="144" spans="1:13">
      <c r="A144" s="1628">
        <v>14</v>
      </c>
      <c r="B144" s="1629">
        <v>18</v>
      </c>
      <c r="C144" s="1623" t="s">
        <v>306</v>
      </c>
      <c r="D144" s="1632">
        <v>462220762.97000003</v>
      </c>
      <c r="E144" s="1632">
        <v>43359347.909999996</v>
      </c>
      <c r="F144" s="1632">
        <v>40406565.090000004</v>
      </c>
      <c r="G144" s="1632">
        <v>29026936.920000002</v>
      </c>
      <c r="H144" s="1633">
        <v>58029.48</v>
      </c>
      <c r="I144" s="1633">
        <v>2952782.82</v>
      </c>
      <c r="J144" s="1633">
        <v>534608.42000000004</v>
      </c>
      <c r="K144" s="1625">
        <v>9.4</v>
      </c>
      <c r="L144" s="1618">
        <v>93.2</v>
      </c>
      <c r="M144" s="1619">
        <v>66.900000000000006</v>
      </c>
    </row>
    <row r="145" spans="1:13">
      <c r="A145" s="1628">
        <v>14</v>
      </c>
      <c r="B145" s="1629">
        <v>19</v>
      </c>
      <c r="C145" s="1623" t="s">
        <v>307</v>
      </c>
      <c r="D145" s="1632">
        <v>245982674.91999999</v>
      </c>
      <c r="E145" s="1632">
        <v>40422972.460000001</v>
      </c>
      <c r="F145" s="1632">
        <v>39799152.340000004</v>
      </c>
      <c r="G145" s="1632">
        <v>30380152.699999999</v>
      </c>
      <c r="H145" s="1633">
        <v>105500</v>
      </c>
      <c r="I145" s="1633">
        <v>623820.12</v>
      </c>
      <c r="J145" s="1633">
        <v>159078.35999999999</v>
      </c>
      <c r="K145" s="1625">
        <v>16.399999999999999</v>
      </c>
      <c r="L145" s="1618">
        <v>98.5</v>
      </c>
      <c r="M145" s="1619">
        <v>75.2</v>
      </c>
    </row>
    <row r="146" spans="1:13">
      <c r="A146" s="1628">
        <v>14</v>
      </c>
      <c r="B146" s="1629">
        <v>20</v>
      </c>
      <c r="C146" s="1623" t="s">
        <v>308</v>
      </c>
      <c r="D146" s="1632">
        <v>241266817.13</v>
      </c>
      <c r="E146" s="1632">
        <v>26418252.329999998</v>
      </c>
      <c r="F146" s="1632">
        <v>26039178.440000001</v>
      </c>
      <c r="G146" s="1632">
        <v>20621795.52</v>
      </c>
      <c r="H146" s="1633">
        <v>0</v>
      </c>
      <c r="I146" s="1633">
        <v>379073.89</v>
      </c>
      <c r="J146" s="1633">
        <v>0</v>
      </c>
      <c r="K146" s="1625">
        <v>10.9</v>
      </c>
      <c r="L146" s="1618">
        <v>98.6</v>
      </c>
      <c r="M146" s="1619">
        <v>78.099999999999994</v>
      </c>
    </row>
    <row r="147" spans="1:13">
      <c r="A147" s="1628">
        <v>14</v>
      </c>
      <c r="B147" s="1629">
        <v>21</v>
      </c>
      <c r="C147" s="1623" t="s">
        <v>309</v>
      </c>
      <c r="D147" s="1632">
        <v>323517176.04000002</v>
      </c>
      <c r="E147" s="1632">
        <v>61057472.600000001</v>
      </c>
      <c r="F147" s="1632">
        <v>55407756.789999999</v>
      </c>
      <c r="G147" s="1632">
        <v>39887100.899999999</v>
      </c>
      <c r="H147" s="1633">
        <v>56070</v>
      </c>
      <c r="I147" s="1633">
        <v>5649715.8099999996</v>
      </c>
      <c r="J147" s="1633">
        <v>1199990</v>
      </c>
      <c r="K147" s="1625">
        <v>18.899999999999999</v>
      </c>
      <c r="L147" s="1618">
        <v>90.7</v>
      </c>
      <c r="M147" s="1619">
        <v>65.3</v>
      </c>
    </row>
    <row r="148" spans="1:13">
      <c r="A148" s="1628">
        <v>14</v>
      </c>
      <c r="B148" s="1629">
        <v>22</v>
      </c>
      <c r="C148" s="1623" t="s">
        <v>310</v>
      </c>
      <c r="D148" s="1632">
        <v>152099051.61000001</v>
      </c>
      <c r="E148" s="1632">
        <v>16102982.310000001</v>
      </c>
      <c r="F148" s="1632">
        <v>16102982.310000001</v>
      </c>
      <c r="G148" s="1632">
        <v>12465317.77</v>
      </c>
      <c r="H148" s="1633">
        <v>0</v>
      </c>
      <c r="I148" s="1633">
        <v>0</v>
      </c>
      <c r="J148" s="1633">
        <v>0</v>
      </c>
      <c r="K148" s="1625">
        <v>10.6</v>
      </c>
      <c r="L148" s="1618">
        <v>100</v>
      </c>
      <c r="M148" s="1619">
        <v>77.400000000000006</v>
      </c>
    </row>
    <row r="149" spans="1:13">
      <c r="A149" s="1628">
        <v>14</v>
      </c>
      <c r="B149" s="1629">
        <v>23</v>
      </c>
      <c r="C149" s="1623" t="s">
        <v>311</v>
      </c>
      <c r="D149" s="1632">
        <v>171788065.16</v>
      </c>
      <c r="E149" s="1632">
        <v>30435958.890000001</v>
      </c>
      <c r="F149" s="1632">
        <v>14276509.939999999</v>
      </c>
      <c r="G149" s="1632">
        <v>10136468.470000001</v>
      </c>
      <c r="H149" s="1633">
        <v>0</v>
      </c>
      <c r="I149" s="1633">
        <v>16159448.949999999</v>
      </c>
      <c r="J149" s="1633">
        <v>831357</v>
      </c>
      <c r="K149" s="1625">
        <v>17.7</v>
      </c>
      <c r="L149" s="1618">
        <v>46.9</v>
      </c>
      <c r="M149" s="1619">
        <v>33.299999999999997</v>
      </c>
    </row>
    <row r="150" spans="1:13">
      <c r="A150" s="1628">
        <v>14</v>
      </c>
      <c r="B150" s="1629">
        <v>24</v>
      </c>
      <c r="C150" s="1623" t="s">
        <v>312</v>
      </c>
      <c r="D150" s="1632">
        <v>189809720.56999999</v>
      </c>
      <c r="E150" s="1632">
        <v>16058386.029999999</v>
      </c>
      <c r="F150" s="1632">
        <v>15259276.199999999</v>
      </c>
      <c r="G150" s="1632">
        <v>11747348.699999999</v>
      </c>
      <c r="H150" s="1633">
        <v>0</v>
      </c>
      <c r="I150" s="1633">
        <v>799109.83</v>
      </c>
      <c r="J150" s="1633">
        <v>142510</v>
      </c>
      <c r="K150" s="1625">
        <v>8.5</v>
      </c>
      <c r="L150" s="1618">
        <v>95</v>
      </c>
      <c r="M150" s="1619">
        <v>73.2</v>
      </c>
    </row>
    <row r="151" spans="1:13">
      <c r="A151" s="1628">
        <v>14</v>
      </c>
      <c r="B151" s="1629">
        <v>25</v>
      </c>
      <c r="C151" s="1623" t="s">
        <v>313</v>
      </c>
      <c r="D151" s="1632">
        <v>280080552.30000001</v>
      </c>
      <c r="E151" s="1632">
        <v>40772930.560000002</v>
      </c>
      <c r="F151" s="1632">
        <v>38996906.119999997</v>
      </c>
      <c r="G151" s="1632">
        <v>28770778.68</v>
      </c>
      <c r="H151" s="1633">
        <v>172877.66</v>
      </c>
      <c r="I151" s="1633">
        <v>1776024.44</v>
      </c>
      <c r="J151" s="1633">
        <v>0</v>
      </c>
      <c r="K151" s="1625">
        <v>14.6</v>
      </c>
      <c r="L151" s="1618">
        <v>95.6</v>
      </c>
      <c r="M151" s="1619">
        <v>70.599999999999994</v>
      </c>
    </row>
    <row r="152" spans="1:13">
      <c r="A152" s="1628">
        <v>14</v>
      </c>
      <c r="B152" s="1629">
        <v>26</v>
      </c>
      <c r="C152" s="1623" t="s">
        <v>314</v>
      </c>
      <c r="D152" s="1632">
        <v>105689212.08</v>
      </c>
      <c r="E152" s="1632">
        <v>23247783.82</v>
      </c>
      <c r="F152" s="1632">
        <v>22869058.629999999</v>
      </c>
      <c r="G152" s="1632">
        <v>17023908.989999998</v>
      </c>
      <c r="H152" s="1633">
        <v>176099.27</v>
      </c>
      <c r="I152" s="1633">
        <v>378725.19</v>
      </c>
      <c r="J152" s="1633">
        <v>331725.19</v>
      </c>
      <c r="K152" s="1625">
        <v>22</v>
      </c>
      <c r="L152" s="1618">
        <v>98.4</v>
      </c>
      <c r="M152" s="1619">
        <v>73.2</v>
      </c>
    </row>
    <row r="153" spans="1:13">
      <c r="A153" s="1628">
        <v>14</v>
      </c>
      <c r="B153" s="1629">
        <v>27</v>
      </c>
      <c r="C153" s="1623" t="s">
        <v>315</v>
      </c>
      <c r="D153" s="1632">
        <v>122872291.56999999</v>
      </c>
      <c r="E153" s="1632">
        <v>13764388.75</v>
      </c>
      <c r="F153" s="1632">
        <v>13764388.75</v>
      </c>
      <c r="G153" s="1632">
        <v>10641424.439999999</v>
      </c>
      <c r="H153" s="1633">
        <v>0</v>
      </c>
      <c r="I153" s="1633">
        <v>0</v>
      </c>
      <c r="J153" s="1633">
        <v>0</v>
      </c>
      <c r="K153" s="1625">
        <v>11.2</v>
      </c>
      <c r="L153" s="1618">
        <v>100</v>
      </c>
      <c r="M153" s="1619">
        <v>77.3</v>
      </c>
    </row>
    <row r="154" spans="1:13">
      <c r="A154" s="1628">
        <v>14</v>
      </c>
      <c r="B154" s="1629">
        <v>28</v>
      </c>
      <c r="C154" s="1623" t="s">
        <v>316</v>
      </c>
      <c r="D154" s="1632">
        <v>181170710.50999999</v>
      </c>
      <c r="E154" s="1632">
        <v>23351646.039999999</v>
      </c>
      <c r="F154" s="1632">
        <v>22669145.829999998</v>
      </c>
      <c r="G154" s="1632">
        <v>15403567.01</v>
      </c>
      <c r="H154" s="1633">
        <v>225450.36</v>
      </c>
      <c r="I154" s="1633">
        <v>682500.21</v>
      </c>
      <c r="J154" s="1633">
        <v>541093.57999999996</v>
      </c>
      <c r="K154" s="1625">
        <v>12.9</v>
      </c>
      <c r="L154" s="1618">
        <v>97.1</v>
      </c>
      <c r="M154" s="1619">
        <v>66</v>
      </c>
    </row>
    <row r="155" spans="1:13">
      <c r="A155" s="1628">
        <v>14</v>
      </c>
      <c r="B155" s="1629">
        <v>29</v>
      </c>
      <c r="C155" s="1623" t="s">
        <v>317</v>
      </c>
      <c r="D155" s="1632">
        <v>162881742.61000001</v>
      </c>
      <c r="E155" s="1632">
        <v>14525188.98</v>
      </c>
      <c r="F155" s="1632">
        <v>13835699.9</v>
      </c>
      <c r="G155" s="1632">
        <v>10566008.42</v>
      </c>
      <c r="H155" s="1633">
        <v>274116.75</v>
      </c>
      <c r="I155" s="1633">
        <v>689489.08</v>
      </c>
      <c r="J155" s="1633">
        <v>533697</v>
      </c>
      <c r="K155" s="1625">
        <v>8.9</v>
      </c>
      <c r="L155" s="1618">
        <v>95.3</v>
      </c>
      <c r="M155" s="1619">
        <v>72.7</v>
      </c>
    </row>
    <row r="156" spans="1:13">
      <c r="A156" s="1628">
        <v>14</v>
      </c>
      <c r="B156" s="1629">
        <v>30</v>
      </c>
      <c r="C156" s="1623" t="s">
        <v>318</v>
      </c>
      <c r="D156" s="1632">
        <v>110522561.81</v>
      </c>
      <c r="E156" s="1632">
        <v>15800592.189999999</v>
      </c>
      <c r="F156" s="1632">
        <v>14141660</v>
      </c>
      <c r="G156" s="1632">
        <v>10738055.630000001</v>
      </c>
      <c r="H156" s="1633">
        <v>0</v>
      </c>
      <c r="I156" s="1633">
        <v>1658932.19</v>
      </c>
      <c r="J156" s="1633">
        <v>0</v>
      </c>
      <c r="K156" s="1625">
        <v>14.3</v>
      </c>
      <c r="L156" s="1618">
        <v>89.5</v>
      </c>
      <c r="M156" s="1619">
        <v>68</v>
      </c>
    </row>
    <row r="157" spans="1:13">
      <c r="A157" s="1628">
        <v>14</v>
      </c>
      <c r="B157" s="1629">
        <v>32</v>
      </c>
      <c r="C157" s="1623" t="s">
        <v>319</v>
      </c>
      <c r="D157" s="1632">
        <v>301859231.69</v>
      </c>
      <c r="E157" s="1632">
        <v>48756756.340000004</v>
      </c>
      <c r="F157" s="1632">
        <v>46670656.380000003</v>
      </c>
      <c r="G157" s="1632">
        <v>32735271.239999998</v>
      </c>
      <c r="H157" s="1633">
        <v>0</v>
      </c>
      <c r="I157" s="1633">
        <v>2086099.96</v>
      </c>
      <c r="J157" s="1633">
        <v>979116.78</v>
      </c>
      <c r="K157" s="1625">
        <v>16.2</v>
      </c>
      <c r="L157" s="1618">
        <v>95.7</v>
      </c>
      <c r="M157" s="1619">
        <v>67.099999999999994</v>
      </c>
    </row>
    <row r="158" spans="1:13">
      <c r="A158" s="1628">
        <v>14</v>
      </c>
      <c r="B158" s="1629">
        <v>33</v>
      </c>
      <c r="C158" s="1623" t="s">
        <v>320</v>
      </c>
      <c r="D158" s="1632">
        <v>151198915.50999999</v>
      </c>
      <c r="E158" s="1632">
        <v>17181709.25</v>
      </c>
      <c r="F158" s="1632">
        <v>16989600.649999999</v>
      </c>
      <c r="G158" s="1632">
        <v>13009828.35</v>
      </c>
      <c r="H158" s="1633">
        <v>15067.5</v>
      </c>
      <c r="I158" s="1633">
        <v>192108.6</v>
      </c>
      <c r="J158" s="1633">
        <v>36900</v>
      </c>
      <c r="K158" s="1625">
        <v>11.4</v>
      </c>
      <c r="L158" s="1618">
        <v>98.9</v>
      </c>
      <c r="M158" s="1619">
        <v>75.7</v>
      </c>
    </row>
    <row r="159" spans="1:13">
      <c r="A159" s="1628">
        <v>14</v>
      </c>
      <c r="B159" s="1629">
        <v>34</v>
      </c>
      <c r="C159" s="1623" t="s">
        <v>321</v>
      </c>
      <c r="D159" s="1632">
        <v>498733388.08999997</v>
      </c>
      <c r="E159" s="1632">
        <v>72945596.719999999</v>
      </c>
      <c r="F159" s="1632">
        <v>63738762.630000003</v>
      </c>
      <c r="G159" s="1632">
        <v>47718258.579999998</v>
      </c>
      <c r="H159" s="1633">
        <v>42057.14</v>
      </c>
      <c r="I159" s="1633">
        <v>9206834.0899999999</v>
      </c>
      <c r="J159" s="1633">
        <v>0</v>
      </c>
      <c r="K159" s="1625">
        <v>14.6</v>
      </c>
      <c r="L159" s="1618">
        <v>87.4</v>
      </c>
      <c r="M159" s="1619">
        <v>65.400000000000006</v>
      </c>
    </row>
    <row r="160" spans="1:13">
      <c r="A160" s="1628">
        <v>14</v>
      </c>
      <c r="B160" s="1629">
        <v>35</v>
      </c>
      <c r="C160" s="1623" t="s">
        <v>322</v>
      </c>
      <c r="D160" s="1632">
        <v>210878148.90000001</v>
      </c>
      <c r="E160" s="1632">
        <v>19526004.32</v>
      </c>
      <c r="F160" s="1632">
        <v>19409537.16</v>
      </c>
      <c r="G160" s="1632">
        <v>13775032.550000001</v>
      </c>
      <c r="H160" s="1633">
        <v>29520</v>
      </c>
      <c r="I160" s="1633">
        <v>116467.16</v>
      </c>
      <c r="J160" s="1633">
        <v>84501</v>
      </c>
      <c r="K160" s="1625">
        <v>9.3000000000000007</v>
      </c>
      <c r="L160" s="1618">
        <v>99.4</v>
      </c>
      <c r="M160" s="1619">
        <v>70.5</v>
      </c>
    </row>
    <row r="161" spans="1:13">
      <c r="A161" s="1628">
        <v>14</v>
      </c>
      <c r="B161" s="1629">
        <v>36</v>
      </c>
      <c r="C161" s="1623" t="s">
        <v>323</v>
      </c>
      <c r="D161" s="1632">
        <v>75903657.760000005</v>
      </c>
      <c r="E161" s="1632">
        <v>12095604.23</v>
      </c>
      <c r="F161" s="1632">
        <v>12061287.23</v>
      </c>
      <c r="G161" s="1632">
        <v>9514314.8399999999</v>
      </c>
      <c r="H161" s="1633">
        <v>92180.5</v>
      </c>
      <c r="I161" s="1633">
        <v>34317</v>
      </c>
      <c r="J161" s="1633">
        <v>0</v>
      </c>
      <c r="K161" s="1625">
        <v>15.9</v>
      </c>
      <c r="L161" s="1618">
        <v>99.7</v>
      </c>
      <c r="M161" s="1619">
        <v>78.7</v>
      </c>
    </row>
    <row r="162" spans="1:13">
      <c r="A162" s="1628">
        <v>14</v>
      </c>
      <c r="B162" s="1629">
        <v>37</v>
      </c>
      <c r="C162" s="1623" t="s">
        <v>324</v>
      </c>
      <c r="D162" s="1632">
        <v>94920469.030000001</v>
      </c>
      <c r="E162" s="1632">
        <v>11277436.800000001</v>
      </c>
      <c r="F162" s="1632">
        <v>10170098.449999999</v>
      </c>
      <c r="G162" s="1632">
        <v>7906234.2800000003</v>
      </c>
      <c r="H162" s="1633">
        <v>37341</v>
      </c>
      <c r="I162" s="1633">
        <v>1107338.3500000001</v>
      </c>
      <c r="J162" s="1633">
        <v>737774.5</v>
      </c>
      <c r="K162" s="1625">
        <v>11.9</v>
      </c>
      <c r="L162" s="1618">
        <v>90.2</v>
      </c>
      <c r="M162" s="1619">
        <v>70.099999999999994</v>
      </c>
    </row>
    <row r="163" spans="1:13">
      <c r="A163" s="1628">
        <v>14</v>
      </c>
      <c r="B163" s="1629">
        <v>38</v>
      </c>
      <c r="C163" s="1623" t="s">
        <v>325</v>
      </c>
      <c r="D163" s="1632">
        <v>197657458.03999999</v>
      </c>
      <c r="E163" s="1632">
        <v>26224327.559999999</v>
      </c>
      <c r="F163" s="1632">
        <v>25377995.870000001</v>
      </c>
      <c r="G163" s="1632">
        <v>19032635.370000001</v>
      </c>
      <c r="H163" s="1633">
        <v>17220</v>
      </c>
      <c r="I163" s="1633">
        <v>846331.69</v>
      </c>
      <c r="J163" s="1633">
        <v>476580.45</v>
      </c>
      <c r="K163" s="1625">
        <v>13.3</v>
      </c>
      <c r="L163" s="1618">
        <v>96.8</v>
      </c>
      <c r="M163" s="1619">
        <v>72.599999999999994</v>
      </c>
    </row>
    <row r="164" spans="1:13">
      <c r="A164" s="1628">
        <v>16</v>
      </c>
      <c r="B164" s="1629">
        <v>1</v>
      </c>
      <c r="C164" s="1623" t="s">
        <v>271</v>
      </c>
      <c r="D164" s="1632">
        <v>203275174.46000001</v>
      </c>
      <c r="E164" s="1632">
        <v>19749167.07</v>
      </c>
      <c r="F164" s="1632">
        <v>19584793.460000001</v>
      </c>
      <c r="G164" s="1632">
        <v>14629020.25</v>
      </c>
      <c r="H164" s="1633">
        <v>0</v>
      </c>
      <c r="I164" s="1633">
        <v>164373.60999999999</v>
      </c>
      <c r="J164" s="1633">
        <v>0</v>
      </c>
      <c r="K164" s="1625">
        <v>9.6999999999999993</v>
      </c>
      <c r="L164" s="1618">
        <v>99.2</v>
      </c>
      <c r="M164" s="1619">
        <v>74.099999999999994</v>
      </c>
    </row>
    <row r="165" spans="1:13">
      <c r="A165" s="1628">
        <v>16</v>
      </c>
      <c r="B165" s="1629">
        <v>2</v>
      </c>
      <c r="C165" s="1623" t="s">
        <v>326</v>
      </c>
      <c r="D165" s="1632">
        <v>156606673.41999999</v>
      </c>
      <c r="E165" s="1632">
        <v>12290215.75</v>
      </c>
      <c r="F165" s="1632">
        <v>11320140.789999999</v>
      </c>
      <c r="G165" s="1632">
        <v>8288945.8899999997</v>
      </c>
      <c r="H165" s="1633">
        <v>140953.91</v>
      </c>
      <c r="I165" s="1633">
        <v>970074.96</v>
      </c>
      <c r="J165" s="1633">
        <v>623118</v>
      </c>
      <c r="K165" s="1625">
        <v>7.8</v>
      </c>
      <c r="L165" s="1618">
        <v>92.1</v>
      </c>
      <c r="M165" s="1619">
        <v>67.400000000000006</v>
      </c>
    </row>
    <row r="166" spans="1:13">
      <c r="A166" s="1628">
        <v>16</v>
      </c>
      <c r="B166" s="1629">
        <v>3</v>
      </c>
      <c r="C166" s="1623" t="s">
        <v>327</v>
      </c>
      <c r="D166" s="1632">
        <v>199339531.61000001</v>
      </c>
      <c r="E166" s="1632">
        <v>22487775.390000001</v>
      </c>
      <c r="F166" s="1632">
        <v>22207827.390000001</v>
      </c>
      <c r="G166" s="1632">
        <v>14849904.35</v>
      </c>
      <c r="H166" s="1633">
        <v>561213.04</v>
      </c>
      <c r="I166" s="1633">
        <v>279948</v>
      </c>
      <c r="J166" s="1633">
        <v>260883</v>
      </c>
      <c r="K166" s="1625">
        <v>11.3</v>
      </c>
      <c r="L166" s="1618">
        <v>98.8</v>
      </c>
      <c r="M166" s="1619">
        <v>66</v>
      </c>
    </row>
    <row r="167" spans="1:13">
      <c r="A167" s="1628">
        <v>16</v>
      </c>
      <c r="B167" s="1629">
        <v>4</v>
      </c>
      <c r="C167" s="1623" t="s">
        <v>328</v>
      </c>
      <c r="D167" s="1632">
        <v>154440944.22</v>
      </c>
      <c r="E167" s="1632">
        <v>12938834.119999999</v>
      </c>
      <c r="F167" s="1632">
        <v>12763243.42</v>
      </c>
      <c r="G167" s="1632">
        <v>10056869.380000001</v>
      </c>
      <c r="H167" s="1633">
        <v>0</v>
      </c>
      <c r="I167" s="1633">
        <v>175590.7</v>
      </c>
      <c r="J167" s="1633">
        <v>25590.7</v>
      </c>
      <c r="K167" s="1625">
        <v>8.4</v>
      </c>
      <c r="L167" s="1618">
        <v>98.6</v>
      </c>
      <c r="M167" s="1619">
        <v>77.7</v>
      </c>
    </row>
    <row r="168" spans="1:13">
      <c r="A168" s="1628">
        <v>16</v>
      </c>
      <c r="B168" s="1629">
        <v>5</v>
      </c>
      <c r="C168" s="1623" t="s">
        <v>329</v>
      </c>
      <c r="D168" s="1632">
        <v>142984169.87</v>
      </c>
      <c r="E168" s="1632">
        <v>21135533.859999999</v>
      </c>
      <c r="F168" s="1632">
        <v>20131487.32</v>
      </c>
      <c r="G168" s="1632">
        <v>15657244.17</v>
      </c>
      <c r="H168" s="1633">
        <v>38850</v>
      </c>
      <c r="I168" s="1633">
        <v>1004046.54</v>
      </c>
      <c r="J168" s="1633">
        <v>819180</v>
      </c>
      <c r="K168" s="1625">
        <v>14.8</v>
      </c>
      <c r="L168" s="1618">
        <v>95.2</v>
      </c>
      <c r="M168" s="1619">
        <v>74.099999999999994</v>
      </c>
    </row>
    <row r="169" spans="1:13">
      <c r="A169" s="1628">
        <v>16</v>
      </c>
      <c r="B169" s="1629">
        <v>6</v>
      </c>
      <c r="C169" s="1623" t="s">
        <v>330</v>
      </c>
      <c r="D169" s="1632">
        <v>106366208.40000001</v>
      </c>
      <c r="E169" s="1632">
        <v>12666975.130000001</v>
      </c>
      <c r="F169" s="1632">
        <v>12320200.43</v>
      </c>
      <c r="G169" s="1632">
        <v>9505867.3800000008</v>
      </c>
      <c r="H169" s="1633">
        <v>13566.9</v>
      </c>
      <c r="I169" s="1633">
        <v>346774.7</v>
      </c>
      <c r="J169" s="1633">
        <v>317515.57</v>
      </c>
      <c r="K169" s="1625">
        <v>11.9</v>
      </c>
      <c r="L169" s="1618">
        <v>97.3</v>
      </c>
      <c r="M169" s="1619">
        <v>75</v>
      </c>
    </row>
    <row r="170" spans="1:13">
      <c r="A170" s="1628">
        <v>16</v>
      </c>
      <c r="B170" s="1629">
        <v>7</v>
      </c>
      <c r="C170" s="1623" t="s">
        <v>331</v>
      </c>
      <c r="D170" s="1632">
        <v>305934071.37</v>
      </c>
      <c r="E170" s="1632">
        <v>32385697.239999998</v>
      </c>
      <c r="F170" s="1632">
        <v>31365848.149999999</v>
      </c>
      <c r="G170" s="1632">
        <v>22497232.870000001</v>
      </c>
      <c r="H170" s="1633">
        <v>428649.67</v>
      </c>
      <c r="I170" s="1633">
        <v>1019849.09</v>
      </c>
      <c r="J170" s="1633">
        <v>456742.05</v>
      </c>
      <c r="K170" s="1625">
        <v>10.6</v>
      </c>
      <c r="L170" s="1618">
        <v>96.9</v>
      </c>
      <c r="M170" s="1619">
        <v>69.5</v>
      </c>
    </row>
    <row r="171" spans="1:13">
      <c r="A171" s="1628">
        <v>16</v>
      </c>
      <c r="B171" s="1629">
        <v>8</v>
      </c>
      <c r="C171" s="1623" t="s">
        <v>332</v>
      </c>
      <c r="D171" s="1632">
        <v>122347386.39</v>
      </c>
      <c r="E171" s="1632">
        <v>19457635.68</v>
      </c>
      <c r="F171" s="1632">
        <v>15898944.720000001</v>
      </c>
      <c r="G171" s="1632">
        <v>12193482.220000001</v>
      </c>
      <c r="H171" s="1633">
        <v>0</v>
      </c>
      <c r="I171" s="1633">
        <v>3558690.96</v>
      </c>
      <c r="J171" s="1633">
        <v>1106349</v>
      </c>
      <c r="K171" s="1625">
        <v>15.9</v>
      </c>
      <c r="L171" s="1618">
        <v>81.7</v>
      </c>
      <c r="M171" s="1619">
        <v>62.7</v>
      </c>
    </row>
    <row r="172" spans="1:13">
      <c r="A172" s="1628">
        <v>16</v>
      </c>
      <c r="B172" s="1629">
        <v>9</v>
      </c>
      <c r="C172" s="1623" t="s">
        <v>230</v>
      </c>
      <c r="D172" s="1632">
        <v>174432757.40000001</v>
      </c>
      <c r="E172" s="1632">
        <v>30214163.030000001</v>
      </c>
      <c r="F172" s="1632">
        <v>29287057.73</v>
      </c>
      <c r="G172" s="1632">
        <v>22923868.719999999</v>
      </c>
      <c r="H172" s="1633">
        <v>68440</v>
      </c>
      <c r="I172" s="1633">
        <v>927105.3</v>
      </c>
      <c r="J172" s="1633">
        <v>0</v>
      </c>
      <c r="K172" s="1625">
        <v>17.3</v>
      </c>
      <c r="L172" s="1618">
        <v>96.9</v>
      </c>
      <c r="M172" s="1619">
        <v>75.900000000000006</v>
      </c>
    </row>
    <row r="173" spans="1:13">
      <c r="A173" s="1628">
        <v>16</v>
      </c>
      <c r="B173" s="1629">
        <v>10</v>
      </c>
      <c r="C173" s="1623" t="s">
        <v>333</v>
      </c>
      <c r="D173" s="1632">
        <v>130957215.14</v>
      </c>
      <c r="E173" s="1632">
        <v>15795280.26</v>
      </c>
      <c r="F173" s="1632">
        <v>14859064.77</v>
      </c>
      <c r="G173" s="1632">
        <v>10451988.1</v>
      </c>
      <c r="H173" s="1633">
        <v>326730</v>
      </c>
      <c r="I173" s="1633">
        <v>936215.49</v>
      </c>
      <c r="J173" s="1633">
        <v>444000</v>
      </c>
      <c r="K173" s="1625">
        <v>12.1</v>
      </c>
      <c r="L173" s="1618">
        <v>94.1</v>
      </c>
      <c r="M173" s="1619">
        <v>66.2</v>
      </c>
    </row>
    <row r="174" spans="1:13">
      <c r="A174" s="1628">
        <v>16</v>
      </c>
      <c r="B174" s="1629">
        <v>11</v>
      </c>
      <c r="C174" s="1623" t="s">
        <v>334</v>
      </c>
      <c r="D174" s="1632">
        <v>181953039.75999999</v>
      </c>
      <c r="E174" s="1632">
        <v>16825880.760000002</v>
      </c>
      <c r="F174" s="1632">
        <v>15096765.279999999</v>
      </c>
      <c r="G174" s="1632">
        <v>10732820.189999999</v>
      </c>
      <c r="H174" s="1633">
        <v>80852.67</v>
      </c>
      <c r="I174" s="1633">
        <v>1729115.48</v>
      </c>
      <c r="J174" s="1633">
        <v>586439.4</v>
      </c>
      <c r="K174" s="1625">
        <v>9.1999999999999993</v>
      </c>
      <c r="L174" s="1618">
        <v>89.7</v>
      </c>
      <c r="M174" s="1619">
        <v>63.8</v>
      </c>
    </row>
    <row r="175" spans="1:13">
      <c r="A175" s="1628">
        <v>18</v>
      </c>
      <c r="B175" s="1629">
        <v>1</v>
      </c>
      <c r="C175" s="1623" t="s">
        <v>335</v>
      </c>
      <c r="D175" s="1632">
        <v>74061831.909999996</v>
      </c>
      <c r="E175" s="1632">
        <v>8911824.9800000004</v>
      </c>
      <c r="F175" s="1632">
        <v>8613898.8100000005</v>
      </c>
      <c r="G175" s="1632">
        <v>5939214.4699999997</v>
      </c>
      <c r="H175" s="1633">
        <v>0</v>
      </c>
      <c r="I175" s="1633">
        <v>297926.17</v>
      </c>
      <c r="J175" s="1633">
        <v>0</v>
      </c>
      <c r="K175" s="1625">
        <v>12</v>
      </c>
      <c r="L175" s="1618">
        <v>96.7</v>
      </c>
      <c r="M175" s="1619">
        <v>66.599999999999994</v>
      </c>
    </row>
    <row r="176" spans="1:13">
      <c r="A176" s="1628">
        <v>18</v>
      </c>
      <c r="B176" s="1629">
        <v>2</v>
      </c>
      <c r="C176" s="1623" t="s">
        <v>336</v>
      </c>
      <c r="D176" s="1632">
        <v>168084004.25</v>
      </c>
      <c r="E176" s="1632">
        <v>24217072.84</v>
      </c>
      <c r="F176" s="1632">
        <v>19203037.210000001</v>
      </c>
      <c r="G176" s="1632">
        <v>15316934.83</v>
      </c>
      <c r="H176" s="1633">
        <v>0</v>
      </c>
      <c r="I176" s="1633">
        <v>5014035.63</v>
      </c>
      <c r="J176" s="1633">
        <v>0</v>
      </c>
      <c r="K176" s="1625">
        <v>14.4</v>
      </c>
      <c r="L176" s="1618">
        <v>79.3</v>
      </c>
      <c r="M176" s="1619">
        <v>63.2</v>
      </c>
    </row>
    <row r="177" spans="1:13">
      <c r="A177" s="1628">
        <v>18</v>
      </c>
      <c r="B177" s="1629">
        <v>3</v>
      </c>
      <c r="C177" s="1623" t="s">
        <v>337</v>
      </c>
      <c r="D177" s="1632">
        <v>262213744.55000001</v>
      </c>
      <c r="E177" s="1632">
        <v>25832752.260000002</v>
      </c>
      <c r="F177" s="1632">
        <v>23377696.73</v>
      </c>
      <c r="G177" s="1632">
        <v>15772901.1</v>
      </c>
      <c r="H177" s="1633">
        <v>9057.6299999999992</v>
      </c>
      <c r="I177" s="1633">
        <v>2455055.5299999998</v>
      </c>
      <c r="J177" s="1633">
        <v>1811525.68</v>
      </c>
      <c r="K177" s="1625">
        <v>9.9</v>
      </c>
      <c r="L177" s="1618">
        <v>90.5</v>
      </c>
      <c r="M177" s="1619">
        <v>61.1</v>
      </c>
    </row>
    <row r="178" spans="1:13">
      <c r="A178" s="1628">
        <v>18</v>
      </c>
      <c r="B178" s="1629">
        <v>4</v>
      </c>
      <c r="C178" s="1623" t="s">
        <v>338</v>
      </c>
      <c r="D178" s="1632">
        <v>352699518.26999998</v>
      </c>
      <c r="E178" s="1632">
        <v>27146558.420000002</v>
      </c>
      <c r="F178" s="1632">
        <v>26401034.920000002</v>
      </c>
      <c r="G178" s="1632">
        <v>22211117.18</v>
      </c>
      <c r="H178" s="1633">
        <v>56530</v>
      </c>
      <c r="I178" s="1633">
        <v>745523.5</v>
      </c>
      <c r="J178" s="1633">
        <v>666350.46</v>
      </c>
      <c r="K178" s="1625">
        <v>7.7</v>
      </c>
      <c r="L178" s="1618">
        <v>97.3</v>
      </c>
      <c r="M178" s="1619">
        <v>81.8</v>
      </c>
    </row>
    <row r="179" spans="1:13">
      <c r="A179" s="1628">
        <v>18</v>
      </c>
      <c r="B179" s="1629">
        <v>5</v>
      </c>
      <c r="C179" s="1623" t="s">
        <v>339</v>
      </c>
      <c r="D179" s="1632">
        <v>263506078.53999999</v>
      </c>
      <c r="E179" s="1632">
        <v>27000305.93</v>
      </c>
      <c r="F179" s="1632">
        <v>26943683.300000001</v>
      </c>
      <c r="G179" s="1632">
        <v>21584910.289999999</v>
      </c>
      <c r="H179" s="1633">
        <v>0</v>
      </c>
      <c r="I179" s="1633">
        <v>56622.63</v>
      </c>
      <c r="J179" s="1633">
        <v>0</v>
      </c>
      <c r="K179" s="1625">
        <v>10.199999999999999</v>
      </c>
      <c r="L179" s="1618">
        <v>99.8</v>
      </c>
      <c r="M179" s="1619">
        <v>79.900000000000006</v>
      </c>
    </row>
    <row r="180" spans="1:13">
      <c r="A180" s="1628">
        <v>18</v>
      </c>
      <c r="B180" s="1629">
        <v>6</v>
      </c>
      <c r="C180" s="1623" t="s">
        <v>340</v>
      </c>
      <c r="D180" s="1632">
        <v>103666540.91</v>
      </c>
      <c r="E180" s="1632">
        <v>19121099.109999999</v>
      </c>
      <c r="F180" s="1632">
        <v>11234624.32</v>
      </c>
      <c r="G180" s="1632">
        <v>8228536.5</v>
      </c>
      <c r="H180" s="1633">
        <v>0</v>
      </c>
      <c r="I180" s="1633">
        <v>7886474.79</v>
      </c>
      <c r="J180" s="1633">
        <v>0</v>
      </c>
      <c r="K180" s="1625">
        <v>18.399999999999999</v>
      </c>
      <c r="L180" s="1618">
        <v>58.8</v>
      </c>
      <c r="M180" s="1619">
        <v>43</v>
      </c>
    </row>
    <row r="181" spans="1:13">
      <c r="A181" s="1628">
        <v>18</v>
      </c>
      <c r="B181" s="1629">
        <v>7</v>
      </c>
      <c r="C181" s="1623" t="s">
        <v>239</v>
      </c>
      <c r="D181" s="1632">
        <v>198979037.36000001</v>
      </c>
      <c r="E181" s="1632">
        <v>26259831.649999999</v>
      </c>
      <c r="F181" s="1632">
        <v>24308043.600000001</v>
      </c>
      <c r="G181" s="1632">
        <v>19372978.02</v>
      </c>
      <c r="H181" s="1633">
        <v>0</v>
      </c>
      <c r="I181" s="1633">
        <v>1951788.05</v>
      </c>
      <c r="J181" s="1633">
        <v>486450</v>
      </c>
      <c r="K181" s="1625">
        <v>13.2</v>
      </c>
      <c r="L181" s="1618">
        <v>92.6</v>
      </c>
      <c r="M181" s="1619">
        <v>73.8</v>
      </c>
    </row>
    <row r="182" spans="1:13">
      <c r="A182" s="1628">
        <v>18</v>
      </c>
      <c r="B182" s="1629">
        <v>8</v>
      </c>
      <c r="C182" s="1623" t="s">
        <v>341</v>
      </c>
      <c r="D182" s="1632">
        <v>219012749.56</v>
      </c>
      <c r="E182" s="1632">
        <v>16886631.260000002</v>
      </c>
      <c r="F182" s="1632">
        <v>16871562.260000002</v>
      </c>
      <c r="G182" s="1632">
        <v>13128224.76</v>
      </c>
      <c r="H182" s="1633">
        <v>0</v>
      </c>
      <c r="I182" s="1633">
        <v>15069</v>
      </c>
      <c r="J182" s="1633">
        <v>0</v>
      </c>
      <c r="K182" s="1625">
        <v>7.7</v>
      </c>
      <c r="L182" s="1618">
        <v>99.9</v>
      </c>
      <c r="M182" s="1619">
        <v>77.7</v>
      </c>
    </row>
    <row r="183" spans="1:13">
      <c r="A183" s="1628">
        <v>18</v>
      </c>
      <c r="B183" s="1629">
        <v>9</v>
      </c>
      <c r="C183" s="1623" t="s">
        <v>342</v>
      </c>
      <c r="D183" s="1632">
        <v>149184988.68000001</v>
      </c>
      <c r="E183" s="1632">
        <v>13242609.98</v>
      </c>
      <c r="F183" s="1632">
        <v>12785772.77</v>
      </c>
      <c r="G183" s="1632">
        <v>10220500.560000001</v>
      </c>
      <c r="H183" s="1633">
        <v>110606.52</v>
      </c>
      <c r="I183" s="1633">
        <v>456837.21</v>
      </c>
      <c r="J183" s="1633">
        <v>419766.31</v>
      </c>
      <c r="K183" s="1625">
        <v>8.9</v>
      </c>
      <c r="L183" s="1618">
        <v>96.6</v>
      </c>
      <c r="M183" s="1619">
        <v>77.2</v>
      </c>
    </row>
    <row r="184" spans="1:13">
      <c r="A184" s="1628">
        <v>18</v>
      </c>
      <c r="B184" s="1629">
        <v>10</v>
      </c>
      <c r="C184" s="1623" t="s">
        <v>343</v>
      </c>
      <c r="D184" s="1632">
        <v>174978426.81999999</v>
      </c>
      <c r="E184" s="1632">
        <v>18691702.829999998</v>
      </c>
      <c r="F184" s="1632">
        <v>15883637.24</v>
      </c>
      <c r="G184" s="1632">
        <v>12481219.58</v>
      </c>
      <c r="H184" s="1633">
        <v>47964.94</v>
      </c>
      <c r="I184" s="1633">
        <v>2808065.59</v>
      </c>
      <c r="J184" s="1633">
        <v>2499308.87</v>
      </c>
      <c r="K184" s="1625">
        <v>10.7</v>
      </c>
      <c r="L184" s="1618">
        <v>85</v>
      </c>
      <c r="M184" s="1619">
        <v>66.8</v>
      </c>
    </row>
    <row r="185" spans="1:13">
      <c r="A185" s="1628">
        <v>18</v>
      </c>
      <c r="B185" s="1629">
        <v>11</v>
      </c>
      <c r="C185" s="1623" t="s">
        <v>344</v>
      </c>
      <c r="D185" s="1632">
        <v>309182804.91000003</v>
      </c>
      <c r="E185" s="1632">
        <v>24250217</v>
      </c>
      <c r="F185" s="1632">
        <v>24221927</v>
      </c>
      <c r="G185" s="1632">
        <v>17026717.379999999</v>
      </c>
      <c r="H185" s="1633">
        <v>0</v>
      </c>
      <c r="I185" s="1633">
        <v>28290</v>
      </c>
      <c r="J185" s="1633">
        <v>28290</v>
      </c>
      <c r="K185" s="1625">
        <v>7.8</v>
      </c>
      <c r="L185" s="1618">
        <v>99.9</v>
      </c>
      <c r="M185" s="1619">
        <v>70.2</v>
      </c>
    </row>
    <row r="186" spans="1:13">
      <c r="A186" s="1628">
        <v>18</v>
      </c>
      <c r="B186" s="1629">
        <v>12</v>
      </c>
      <c r="C186" s="1623" t="s">
        <v>345</v>
      </c>
      <c r="D186" s="1632">
        <v>157242545.06</v>
      </c>
      <c r="E186" s="1632">
        <v>18123568.449999999</v>
      </c>
      <c r="F186" s="1632">
        <v>15003008.73</v>
      </c>
      <c r="G186" s="1632">
        <v>11203961</v>
      </c>
      <c r="H186" s="1633">
        <v>374210.23</v>
      </c>
      <c r="I186" s="1633">
        <v>3120559.72</v>
      </c>
      <c r="J186" s="1633">
        <v>3043502.72</v>
      </c>
      <c r="K186" s="1625">
        <v>11.5</v>
      </c>
      <c r="L186" s="1618">
        <v>82.8</v>
      </c>
      <c r="M186" s="1619">
        <v>61.8</v>
      </c>
    </row>
    <row r="187" spans="1:13">
      <c r="A187" s="1628">
        <v>18</v>
      </c>
      <c r="B187" s="1629">
        <v>13</v>
      </c>
      <c r="C187" s="1623" t="s">
        <v>346</v>
      </c>
      <c r="D187" s="1632">
        <v>101851593.68000001</v>
      </c>
      <c r="E187" s="1632">
        <v>19216567.27</v>
      </c>
      <c r="F187" s="1632">
        <v>18601027.879999999</v>
      </c>
      <c r="G187" s="1632">
        <v>14558978.07</v>
      </c>
      <c r="H187" s="1633">
        <v>40765.24</v>
      </c>
      <c r="I187" s="1633">
        <v>615539.39</v>
      </c>
      <c r="J187" s="1633">
        <v>358717.5</v>
      </c>
      <c r="K187" s="1625">
        <v>18.899999999999999</v>
      </c>
      <c r="L187" s="1618">
        <v>96.8</v>
      </c>
      <c r="M187" s="1619">
        <v>75.8</v>
      </c>
    </row>
    <row r="188" spans="1:13">
      <c r="A188" s="1628">
        <v>18</v>
      </c>
      <c r="B188" s="1629">
        <v>14</v>
      </c>
      <c r="C188" s="1623" t="s">
        <v>347</v>
      </c>
      <c r="D188" s="1632">
        <v>161459884</v>
      </c>
      <c r="E188" s="1632">
        <v>20611168.989999998</v>
      </c>
      <c r="F188" s="1632">
        <v>20600713.989999998</v>
      </c>
      <c r="G188" s="1632">
        <v>15905270.060000001</v>
      </c>
      <c r="H188" s="1633">
        <v>0</v>
      </c>
      <c r="I188" s="1633">
        <v>10455</v>
      </c>
      <c r="J188" s="1633">
        <v>0</v>
      </c>
      <c r="K188" s="1625">
        <v>12.8</v>
      </c>
      <c r="L188" s="1618">
        <v>99.9</v>
      </c>
      <c r="M188" s="1619">
        <v>77.2</v>
      </c>
    </row>
    <row r="189" spans="1:13">
      <c r="A189" s="1628">
        <v>18</v>
      </c>
      <c r="B189" s="1629">
        <v>15</v>
      </c>
      <c r="C189" s="1623" t="s">
        <v>348</v>
      </c>
      <c r="D189" s="1632">
        <v>176902527.47</v>
      </c>
      <c r="E189" s="1632">
        <v>21851864.050000001</v>
      </c>
      <c r="F189" s="1632">
        <v>17290965.920000002</v>
      </c>
      <c r="G189" s="1632">
        <v>12767884.720000001</v>
      </c>
      <c r="H189" s="1633">
        <v>70435.55</v>
      </c>
      <c r="I189" s="1633">
        <v>4560898.13</v>
      </c>
      <c r="J189" s="1633">
        <v>4358382.3499999996</v>
      </c>
      <c r="K189" s="1625">
        <v>12.4</v>
      </c>
      <c r="L189" s="1618">
        <v>79.099999999999994</v>
      </c>
      <c r="M189" s="1619">
        <v>58.4</v>
      </c>
    </row>
    <row r="190" spans="1:13">
      <c r="A190" s="1628">
        <v>18</v>
      </c>
      <c r="B190" s="1629">
        <v>16</v>
      </c>
      <c r="C190" s="1623" t="s">
        <v>349</v>
      </c>
      <c r="D190" s="1632">
        <v>274834063.95999998</v>
      </c>
      <c r="E190" s="1632">
        <v>50798639.75</v>
      </c>
      <c r="F190" s="1632">
        <v>49540721.960000001</v>
      </c>
      <c r="G190" s="1632">
        <v>36158965.899999999</v>
      </c>
      <c r="H190" s="1633">
        <v>1613832.32</v>
      </c>
      <c r="I190" s="1633">
        <v>1257917.79</v>
      </c>
      <c r="J190" s="1633">
        <v>0</v>
      </c>
      <c r="K190" s="1625">
        <v>18.5</v>
      </c>
      <c r="L190" s="1618">
        <v>97.5</v>
      </c>
      <c r="M190" s="1619">
        <v>71.2</v>
      </c>
    </row>
    <row r="191" spans="1:13">
      <c r="A191" s="1628">
        <v>18</v>
      </c>
      <c r="B191" s="1629">
        <v>17</v>
      </c>
      <c r="C191" s="1623" t="s">
        <v>350</v>
      </c>
      <c r="D191" s="1632">
        <v>188515426.25999999</v>
      </c>
      <c r="E191" s="1632">
        <v>25802902.079999998</v>
      </c>
      <c r="F191" s="1632">
        <v>25333675.390000001</v>
      </c>
      <c r="G191" s="1632">
        <v>19795295.120000001</v>
      </c>
      <c r="H191" s="1633">
        <v>0</v>
      </c>
      <c r="I191" s="1633">
        <v>469226.69</v>
      </c>
      <c r="J191" s="1633">
        <v>0</v>
      </c>
      <c r="K191" s="1625">
        <v>13.7</v>
      </c>
      <c r="L191" s="1618">
        <v>98.2</v>
      </c>
      <c r="M191" s="1619">
        <v>76.7</v>
      </c>
    </row>
    <row r="192" spans="1:13">
      <c r="A192" s="1628">
        <v>18</v>
      </c>
      <c r="B192" s="1629">
        <v>18</v>
      </c>
      <c r="C192" s="1623" t="s">
        <v>351</v>
      </c>
      <c r="D192" s="1632">
        <v>266540402.69</v>
      </c>
      <c r="E192" s="1632">
        <v>19686492.199999999</v>
      </c>
      <c r="F192" s="1632">
        <v>19418233.969999999</v>
      </c>
      <c r="G192" s="1632">
        <v>15396261.869999999</v>
      </c>
      <c r="H192" s="1633">
        <v>0</v>
      </c>
      <c r="I192" s="1633">
        <v>268258.23</v>
      </c>
      <c r="J192" s="1633">
        <v>0</v>
      </c>
      <c r="K192" s="1625">
        <v>7.4</v>
      </c>
      <c r="L192" s="1618">
        <v>98.6</v>
      </c>
      <c r="M192" s="1619">
        <v>78.2</v>
      </c>
    </row>
    <row r="193" spans="1:13">
      <c r="A193" s="1628">
        <v>18</v>
      </c>
      <c r="B193" s="1629">
        <v>19</v>
      </c>
      <c r="C193" s="1623" t="s">
        <v>352</v>
      </c>
      <c r="D193" s="1632">
        <v>201504036.56999999</v>
      </c>
      <c r="E193" s="1632">
        <v>22401959.109999999</v>
      </c>
      <c r="F193" s="1632">
        <v>17163765.489999998</v>
      </c>
      <c r="G193" s="1632">
        <v>13464718.51</v>
      </c>
      <c r="H193" s="1633">
        <v>23360.240000000002</v>
      </c>
      <c r="I193" s="1633">
        <v>5238193.62</v>
      </c>
      <c r="J193" s="1633">
        <v>4775665.3</v>
      </c>
      <c r="K193" s="1625">
        <v>11.1</v>
      </c>
      <c r="L193" s="1618">
        <v>76.599999999999994</v>
      </c>
      <c r="M193" s="1619">
        <v>60.1</v>
      </c>
    </row>
    <row r="194" spans="1:13">
      <c r="A194" s="1628">
        <v>18</v>
      </c>
      <c r="B194" s="1629">
        <v>20</v>
      </c>
      <c r="C194" s="1623" t="s">
        <v>353</v>
      </c>
      <c r="D194" s="1632">
        <v>115513089.19</v>
      </c>
      <c r="E194" s="1632">
        <v>12618801.439999999</v>
      </c>
      <c r="F194" s="1632">
        <v>11643989.210000001</v>
      </c>
      <c r="G194" s="1632">
        <v>8638542.6999999993</v>
      </c>
      <c r="H194" s="1633">
        <v>13180</v>
      </c>
      <c r="I194" s="1633">
        <v>974812.23</v>
      </c>
      <c r="J194" s="1633">
        <v>549281.1</v>
      </c>
      <c r="K194" s="1625">
        <v>10.9</v>
      </c>
      <c r="L194" s="1618">
        <v>92.3</v>
      </c>
      <c r="M194" s="1619">
        <v>68.5</v>
      </c>
    </row>
    <row r="195" spans="1:13">
      <c r="A195" s="1628">
        <v>18</v>
      </c>
      <c r="B195" s="1629">
        <v>21</v>
      </c>
      <c r="C195" s="1623" t="s">
        <v>354</v>
      </c>
      <c r="D195" s="1632">
        <v>71974169.859999999</v>
      </c>
      <c r="E195" s="1632">
        <v>12438233.050000001</v>
      </c>
      <c r="F195" s="1632">
        <v>11978138.060000001</v>
      </c>
      <c r="G195" s="1632">
        <v>8542273.6799999997</v>
      </c>
      <c r="H195" s="1633">
        <v>0</v>
      </c>
      <c r="I195" s="1633">
        <v>460094.99</v>
      </c>
      <c r="J195" s="1633">
        <v>0</v>
      </c>
      <c r="K195" s="1625">
        <v>17.3</v>
      </c>
      <c r="L195" s="1618">
        <v>96.3</v>
      </c>
      <c r="M195" s="1619">
        <v>68.7</v>
      </c>
    </row>
    <row r="196" spans="1:13">
      <c r="A196" s="1628">
        <v>20</v>
      </c>
      <c r="B196" s="1629">
        <v>1</v>
      </c>
      <c r="C196" s="1623" t="s">
        <v>355</v>
      </c>
      <c r="D196" s="1632">
        <v>131774933.84999999</v>
      </c>
      <c r="E196" s="1632">
        <v>16141982.210000001</v>
      </c>
      <c r="F196" s="1632">
        <v>15391901.98</v>
      </c>
      <c r="G196" s="1632">
        <v>10966136.49</v>
      </c>
      <c r="H196" s="1633">
        <v>45720</v>
      </c>
      <c r="I196" s="1633">
        <v>750080.23</v>
      </c>
      <c r="J196" s="1633">
        <v>222167.33</v>
      </c>
      <c r="K196" s="1625">
        <v>12.2</v>
      </c>
      <c r="L196" s="1618">
        <v>95.4</v>
      </c>
      <c r="M196" s="1619">
        <v>67.900000000000006</v>
      </c>
    </row>
    <row r="197" spans="1:13">
      <c r="A197" s="1628">
        <v>20</v>
      </c>
      <c r="B197" s="1629">
        <v>2</v>
      </c>
      <c r="C197" s="1623" t="s">
        <v>356</v>
      </c>
      <c r="D197" s="1632">
        <v>265426863.16</v>
      </c>
      <c r="E197" s="1632">
        <v>61275025.57</v>
      </c>
      <c r="F197" s="1632">
        <v>35845469.649999999</v>
      </c>
      <c r="G197" s="1632">
        <v>26306631.140000001</v>
      </c>
      <c r="H197" s="1633">
        <v>46986</v>
      </c>
      <c r="I197" s="1633">
        <v>25429555.920000002</v>
      </c>
      <c r="J197" s="1633">
        <v>807249</v>
      </c>
      <c r="K197" s="1625">
        <v>23.1</v>
      </c>
      <c r="L197" s="1618">
        <v>58.5</v>
      </c>
      <c r="M197" s="1619">
        <v>42.9</v>
      </c>
    </row>
    <row r="198" spans="1:13">
      <c r="A198" s="1628">
        <v>20</v>
      </c>
      <c r="B198" s="1629">
        <v>3</v>
      </c>
      <c r="C198" s="1623" t="s">
        <v>357</v>
      </c>
      <c r="D198" s="1632">
        <v>115860682.78</v>
      </c>
      <c r="E198" s="1632">
        <v>16441281.08</v>
      </c>
      <c r="F198" s="1632">
        <v>16241550.08</v>
      </c>
      <c r="G198" s="1632">
        <v>13387399.4</v>
      </c>
      <c r="H198" s="1633">
        <v>0</v>
      </c>
      <c r="I198" s="1633">
        <v>199731</v>
      </c>
      <c r="J198" s="1633">
        <v>0</v>
      </c>
      <c r="K198" s="1625">
        <v>14.2</v>
      </c>
      <c r="L198" s="1618">
        <v>98.8</v>
      </c>
      <c r="M198" s="1619">
        <v>81.400000000000006</v>
      </c>
    </row>
    <row r="199" spans="1:13">
      <c r="A199" s="1628">
        <v>20</v>
      </c>
      <c r="B199" s="1629">
        <v>4</v>
      </c>
      <c r="C199" s="1623" t="s">
        <v>358</v>
      </c>
      <c r="D199" s="1632">
        <v>150483675.55000001</v>
      </c>
      <c r="E199" s="1632">
        <v>11597676.52</v>
      </c>
      <c r="F199" s="1632">
        <v>11520053.68</v>
      </c>
      <c r="G199" s="1632">
        <v>8835720.1799999997</v>
      </c>
      <c r="H199" s="1633">
        <v>0</v>
      </c>
      <c r="I199" s="1633">
        <v>77622.84</v>
      </c>
      <c r="J199" s="1633">
        <v>0</v>
      </c>
      <c r="K199" s="1625">
        <v>7.7</v>
      </c>
      <c r="L199" s="1618">
        <v>99.3</v>
      </c>
      <c r="M199" s="1619">
        <v>76.2</v>
      </c>
    </row>
    <row r="200" spans="1:13">
      <c r="A200" s="1628">
        <v>20</v>
      </c>
      <c r="B200" s="1629">
        <v>5</v>
      </c>
      <c r="C200" s="1623" t="s">
        <v>359</v>
      </c>
      <c r="D200" s="1632">
        <v>116078739.34</v>
      </c>
      <c r="E200" s="1632">
        <v>12823494.130000001</v>
      </c>
      <c r="F200" s="1632">
        <v>12750555.130000001</v>
      </c>
      <c r="G200" s="1632">
        <v>10055799.630000001</v>
      </c>
      <c r="H200" s="1633">
        <v>0</v>
      </c>
      <c r="I200" s="1633">
        <v>72939</v>
      </c>
      <c r="J200" s="1633">
        <v>0</v>
      </c>
      <c r="K200" s="1625">
        <v>11</v>
      </c>
      <c r="L200" s="1618">
        <v>99.4</v>
      </c>
      <c r="M200" s="1619">
        <v>78.400000000000006</v>
      </c>
    </row>
    <row r="201" spans="1:13">
      <c r="A201" s="1628">
        <v>20</v>
      </c>
      <c r="B201" s="1629">
        <v>6</v>
      </c>
      <c r="C201" s="1623" t="s">
        <v>360</v>
      </c>
      <c r="D201" s="1632">
        <v>63577579.719999999</v>
      </c>
      <c r="E201" s="1632">
        <v>14395028.630000001</v>
      </c>
      <c r="F201" s="1632">
        <v>12726768.35</v>
      </c>
      <c r="G201" s="1632">
        <v>9364855.4399999995</v>
      </c>
      <c r="H201" s="1633">
        <v>110215</v>
      </c>
      <c r="I201" s="1633">
        <v>1668260.28</v>
      </c>
      <c r="J201" s="1633">
        <v>706020</v>
      </c>
      <c r="K201" s="1625">
        <v>22.6</v>
      </c>
      <c r="L201" s="1618">
        <v>88.4</v>
      </c>
      <c r="M201" s="1619">
        <v>65.099999999999994</v>
      </c>
    </row>
    <row r="202" spans="1:13">
      <c r="A202" s="1628">
        <v>20</v>
      </c>
      <c r="B202" s="1629">
        <v>7</v>
      </c>
      <c r="C202" s="1623" t="s">
        <v>361</v>
      </c>
      <c r="D202" s="1632">
        <v>84647739.379999995</v>
      </c>
      <c r="E202" s="1632">
        <v>17294195.25</v>
      </c>
      <c r="F202" s="1632">
        <v>15830793.140000001</v>
      </c>
      <c r="G202" s="1632">
        <v>11354134.439999999</v>
      </c>
      <c r="H202" s="1633">
        <v>198645</v>
      </c>
      <c r="I202" s="1633">
        <v>1463402.11</v>
      </c>
      <c r="J202" s="1633">
        <v>195570</v>
      </c>
      <c r="K202" s="1625">
        <v>20.399999999999999</v>
      </c>
      <c r="L202" s="1618">
        <v>91.5</v>
      </c>
      <c r="M202" s="1619">
        <v>65.7</v>
      </c>
    </row>
    <row r="203" spans="1:13">
      <c r="A203" s="1628">
        <v>20</v>
      </c>
      <c r="B203" s="1629">
        <v>8</v>
      </c>
      <c r="C203" s="1623" t="s">
        <v>362</v>
      </c>
      <c r="D203" s="1632">
        <v>129980753.34</v>
      </c>
      <c r="E203" s="1632">
        <v>8669968.1899999995</v>
      </c>
      <c r="F203" s="1632">
        <v>8669968.1899999995</v>
      </c>
      <c r="G203" s="1632">
        <v>6525705.3399999999</v>
      </c>
      <c r="H203" s="1633">
        <v>0</v>
      </c>
      <c r="I203" s="1633">
        <v>0</v>
      </c>
      <c r="J203" s="1633">
        <v>0</v>
      </c>
      <c r="K203" s="1625">
        <v>6.7</v>
      </c>
      <c r="L203" s="1618">
        <v>100</v>
      </c>
      <c r="M203" s="1619">
        <v>75.3</v>
      </c>
    </row>
    <row r="204" spans="1:13">
      <c r="A204" s="1628">
        <v>20</v>
      </c>
      <c r="B204" s="1629">
        <v>9</v>
      </c>
      <c r="C204" s="1623" t="s">
        <v>363</v>
      </c>
      <c r="D204" s="1632">
        <v>53268110.079999998</v>
      </c>
      <c r="E204" s="1632">
        <v>7331065.3600000003</v>
      </c>
      <c r="F204" s="1632">
        <v>7181165.3600000003</v>
      </c>
      <c r="G204" s="1632">
        <v>4967602.6100000003</v>
      </c>
      <c r="H204" s="1633">
        <v>0</v>
      </c>
      <c r="I204" s="1633">
        <v>149900</v>
      </c>
      <c r="J204" s="1633">
        <v>0</v>
      </c>
      <c r="K204" s="1625">
        <v>13.8</v>
      </c>
      <c r="L204" s="1618">
        <v>98</v>
      </c>
      <c r="M204" s="1619">
        <v>67.8</v>
      </c>
    </row>
    <row r="205" spans="1:13">
      <c r="A205" s="1628">
        <v>20</v>
      </c>
      <c r="B205" s="1629">
        <v>10</v>
      </c>
      <c r="C205" s="1623" t="s">
        <v>364</v>
      </c>
      <c r="D205" s="1632">
        <v>175840281.91999999</v>
      </c>
      <c r="E205" s="1632">
        <v>11568911.029999999</v>
      </c>
      <c r="F205" s="1632">
        <v>11568911.029999999</v>
      </c>
      <c r="G205" s="1632">
        <v>9202001.2599999998</v>
      </c>
      <c r="H205" s="1633">
        <v>0</v>
      </c>
      <c r="I205" s="1633">
        <v>0</v>
      </c>
      <c r="J205" s="1633">
        <v>0</v>
      </c>
      <c r="K205" s="1625">
        <v>6.6</v>
      </c>
      <c r="L205" s="1618">
        <v>100</v>
      </c>
      <c r="M205" s="1619">
        <v>79.5</v>
      </c>
    </row>
    <row r="206" spans="1:13">
      <c r="A206" s="1628">
        <v>20</v>
      </c>
      <c r="B206" s="1629">
        <v>11</v>
      </c>
      <c r="C206" s="1623" t="s">
        <v>365</v>
      </c>
      <c r="D206" s="1632">
        <v>218976096.27000001</v>
      </c>
      <c r="E206" s="1632">
        <v>23846958.059999999</v>
      </c>
      <c r="F206" s="1632">
        <v>23407027.789999999</v>
      </c>
      <c r="G206" s="1632">
        <v>19054987.739999998</v>
      </c>
      <c r="H206" s="1633">
        <v>0</v>
      </c>
      <c r="I206" s="1633">
        <v>439930.27</v>
      </c>
      <c r="J206" s="1633">
        <v>0</v>
      </c>
      <c r="K206" s="1625">
        <v>10.9</v>
      </c>
      <c r="L206" s="1618">
        <v>98.2</v>
      </c>
      <c r="M206" s="1619">
        <v>79.900000000000006</v>
      </c>
    </row>
    <row r="207" spans="1:13">
      <c r="A207" s="1628">
        <v>20</v>
      </c>
      <c r="B207" s="1629">
        <v>12</v>
      </c>
      <c r="C207" s="1623" t="s">
        <v>366</v>
      </c>
      <c r="D207" s="1632">
        <v>57321876.640000001</v>
      </c>
      <c r="E207" s="1632">
        <v>11317046.439999999</v>
      </c>
      <c r="F207" s="1632">
        <v>11317046.439999999</v>
      </c>
      <c r="G207" s="1632">
        <v>8088498.3899999997</v>
      </c>
      <c r="H207" s="1633">
        <v>0</v>
      </c>
      <c r="I207" s="1633">
        <v>0</v>
      </c>
      <c r="J207" s="1633">
        <v>0</v>
      </c>
      <c r="K207" s="1625">
        <v>19.7</v>
      </c>
      <c r="L207" s="1618">
        <v>100</v>
      </c>
      <c r="M207" s="1619">
        <v>71.5</v>
      </c>
    </row>
    <row r="208" spans="1:13">
      <c r="A208" s="1628">
        <v>20</v>
      </c>
      <c r="B208" s="1629">
        <v>13</v>
      </c>
      <c r="C208" s="1623" t="s">
        <v>367</v>
      </c>
      <c r="D208" s="1632">
        <v>183185069.08000001</v>
      </c>
      <c r="E208" s="1632">
        <v>29893882.079999998</v>
      </c>
      <c r="F208" s="1632">
        <v>12051880.08</v>
      </c>
      <c r="G208" s="1632">
        <v>8904783.7100000009</v>
      </c>
      <c r="H208" s="1633">
        <v>14612.4</v>
      </c>
      <c r="I208" s="1633">
        <v>17842002</v>
      </c>
      <c r="J208" s="1633">
        <v>0</v>
      </c>
      <c r="K208" s="1625">
        <v>16.3</v>
      </c>
      <c r="L208" s="1618">
        <v>40.299999999999997</v>
      </c>
      <c r="M208" s="1619">
        <v>29.8</v>
      </c>
    </row>
    <row r="209" spans="1:13">
      <c r="A209" s="1628">
        <v>20</v>
      </c>
      <c r="B209" s="1629">
        <v>14</v>
      </c>
      <c r="C209" s="1623" t="s">
        <v>368</v>
      </c>
      <c r="D209" s="1632">
        <v>104193484.98999999</v>
      </c>
      <c r="E209" s="1632">
        <v>9954666.9399999995</v>
      </c>
      <c r="F209" s="1632">
        <v>9671209.9900000002</v>
      </c>
      <c r="G209" s="1632">
        <v>7521760.6500000004</v>
      </c>
      <c r="H209" s="1633">
        <v>0</v>
      </c>
      <c r="I209" s="1633">
        <v>283456.95</v>
      </c>
      <c r="J209" s="1633">
        <v>282226.95</v>
      </c>
      <c r="K209" s="1625">
        <v>9.6</v>
      </c>
      <c r="L209" s="1618">
        <v>97.2</v>
      </c>
      <c r="M209" s="1619">
        <v>75.599999999999994</v>
      </c>
    </row>
    <row r="210" spans="1:13">
      <c r="A210" s="1628">
        <v>22</v>
      </c>
      <c r="B210" s="1629">
        <v>1</v>
      </c>
      <c r="C210" s="1623" t="s">
        <v>369</v>
      </c>
      <c r="D210" s="1632">
        <v>223681574.80000001</v>
      </c>
      <c r="E210" s="1632">
        <v>17264211.469999999</v>
      </c>
      <c r="F210" s="1632">
        <v>17083685.989999998</v>
      </c>
      <c r="G210" s="1632">
        <v>12070034.83</v>
      </c>
      <c r="H210" s="1633">
        <v>37626.9</v>
      </c>
      <c r="I210" s="1633">
        <v>180525.48</v>
      </c>
      <c r="J210" s="1633">
        <v>154875.48000000001</v>
      </c>
      <c r="K210" s="1625">
        <v>7.7</v>
      </c>
      <c r="L210" s="1618">
        <v>99</v>
      </c>
      <c r="M210" s="1619">
        <v>69.900000000000006</v>
      </c>
    </row>
    <row r="211" spans="1:13">
      <c r="A211" s="1628">
        <v>22</v>
      </c>
      <c r="B211" s="1629">
        <v>2</v>
      </c>
      <c r="C211" s="1623" t="s">
        <v>370</v>
      </c>
      <c r="D211" s="1632">
        <v>258475867.80000001</v>
      </c>
      <c r="E211" s="1632">
        <v>19650128.879999999</v>
      </c>
      <c r="F211" s="1632">
        <v>19337846.710000001</v>
      </c>
      <c r="G211" s="1632">
        <v>13754898.279999999</v>
      </c>
      <c r="H211" s="1633">
        <v>54905</v>
      </c>
      <c r="I211" s="1633">
        <v>312282.17</v>
      </c>
      <c r="J211" s="1633">
        <v>284989.7</v>
      </c>
      <c r="K211" s="1625">
        <v>7.6</v>
      </c>
      <c r="L211" s="1618">
        <v>98.4</v>
      </c>
      <c r="M211" s="1619">
        <v>70</v>
      </c>
    </row>
    <row r="212" spans="1:13">
      <c r="A212" s="1628">
        <v>22</v>
      </c>
      <c r="B212" s="1629">
        <v>3</v>
      </c>
      <c r="C212" s="1623" t="s">
        <v>371</v>
      </c>
      <c r="D212" s="1632">
        <v>227804291.36000001</v>
      </c>
      <c r="E212" s="1632">
        <v>16819554.219999999</v>
      </c>
      <c r="F212" s="1632">
        <v>16740554.220000001</v>
      </c>
      <c r="G212" s="1632">
        <v>13108801.57</v>
      </c>
      <c r="H212" s="1633">
        <v>0</v>
      </c>
      <c r="I212" s="1633">
        <v>79000</v>
      </c>
      <c r="J212" s="1633">
        <v>0</v>
      </c>
      <c r="K212" s="1625">
        <v>7.4</v>
      </c>
      <c r="L212" s="1618">
        <v>99.5</v>
      </c>
      <c r="M212" s="1619">
        <v>77.900000000000006</v>
      </c>
    </row>
    <row r="213" spans="1:13">
      <c r="A213" s="1628">
        <v>22</v>
      </c>
      <c r="B213" s="1629">
        <v>4</v>
      </c>
      <c r="C213" s="1623" t="s">
        <v>372</v>
      </c>
      <c r="D213" s="1632">
        <v>222386853.80000001</v>
      </c>
      <c r="E213" s="1632">
        <v>27737232.399999999</v>
      </c>
      <c r="F213" s="1632">
        <v>26339988.530000001</v>
      </c>
      <c r="G213" s="1632">
        <v>18365695.66</v>
      </c>
      <c r="H213" s="1633">
        <v>425663.12</v>
      </c>
      <c r="I213" s="1633">
        <v>1397243.87</v>
      </c>
      <c r="J213" s="1633">
        <v>561869.30000000005</v>
      </c>
      <c r="K213" s="1625">
        <v>12.5</v>
      </c>
      <c r="L213" s="1618">
        <v>95</v>
      </c>
      <c r="M213" s="1619">
        <v>66.2</v>
      </c>
    </row>
    <row r="214" spans="1:13">
      <c r="A214" s="1628">
        <v>22</v>
      </c>
      <c r="B214" s="1629">
        <v>5</v>
      </c>
      <c r="C214" s="1623" t="s">
        <v>373</v>
      </c>
      <c r="D214" s="1632">
        <v>310068883.05000001</v>
      </c>
      <c r="E214" s="1632">
        <v>40656923.979999997</v>
      </c>
      <c r="F214" s="1632">
        <v>40211201.960000001</v>
      </c>
      <c r="G214" s="1632">
        <v>28669272.170000002</v>
      </c>
      <c r="H214" s="1633">
        <v>1845</v>
      </c>
      <c r="I214" s="1633">
        <v>445722.02</v>
      </c>
      <c r="J214" s="1633">
        <v>264204</v>
      </c>
      <c r="K214" s="1625">
        <v>13.1</v>
      </c>
      <c r="L214" s="1618">
        <v>98.9</v>
      </c>
      <c r="M214" s="1619">
        <v>70.5</v>
      </c>
    </row>
    <row r="215" spans="1:13">
      <c r="A215" s="1628">
        <v>22</v>
      </c>
      <c r="B215" s="1629">
        <v>6</v>
      </c>
      <c r="C215" s="1623" t="s">
        <v>374</v>
      </c>
      <c r="D215" s="1632">
        <v>166694565.68000001</v>
      </c>
      <c r="E215" s="1632">
        <v>16747810.76</v>
      </c>
      <c r="F215" s="1632">
        <v>15917105.310000001</v>
      </c>
      <c r="G215" s="1632">
        <v>11437459.48</v>
      </c>
      <c r="H215" s="1633">
        <v>68836.679999999993</v>
      </c>
      <c r="I215" s="1633">
        <v>830705.45</v>
      </c>
      <c r="J215" s="1633">
        <v>546837.61</v>
      </c>
      <c r="K215" s="1625">
        <v>10</v>
      </c>
      <c r="L215" s="1618">
        <v>95</v>
      </c>
      <c r="M215" s="1619">
        <v>68.3</v>
      </c>
    </row>
    <row r="216" spans="1:13">
      <c r="A216" s="1628">
        <v>22</v>
      </c>
      <c r="B216" s="1629">
        <v>7</v>
      </c>
      <c r="C216" s="1623" t="s">
        <v>375</v>
      </c>
      <c r="D216" s="1632">
        <v>208409293.46000001</v>
      </c>
      <c r="E216" s="1632">
        <v>17741449.300000001</v>
      </c>
      <c r="F216" s="1632">
        <v>17081369.829999998</v>
      </c>
      <c r="G216" s="1632">
        <v>12300184.189999999</v>
      </c>
      <c r="H216" s="1633">
        <v>0</v>
      </c>
      <c r="I216" s="1633">
        <v>660079.47</v>
      </c>
      <c r="J216" s="1633">
        <v>587582.97</v>
      </c>
      <c r="K216" s="1625">
        <v>8.5</v>
      </c>
      <c r="L216" s="1618">
        <v>96.3</v>
      </c>
      <c r="M216" s="1619">
        <v>69.3</v>
      </c>
    </row>
    <row r="217" spans="1:13">
      <c r="A217" s="1628">
        <v>22</v>
      </c>
      <c r="B217" s="1629">
        <v>8</v>
      </c>
      <c r="C217" s="1623" t="s">
        <v>376</v>
      </c>
      <c r="D217" s="1632">
        <v>184815402.80000001</v>
      </c>
      <c r="E217" s="1632">
        <v>36386273.090000004</v>
      </c>
      <c r="F217" s="1632">
        <v>17093150.899999999</v>
      </c>
      <c r="G217" s="1632">
        <v>11744661.07</v>
      </c>
      <c r="H217" s="1633">
        <v>56027</v>
      </c>
      <c r="I217" s="1633">
        <v>19293122.190000001</v>
      </c>
      <c r="J217" s="1633">
        <v>706600</v>
      </c>
      <c r="K217" s="1625">
        <v>19.7</v>
      </c>
      <c r="L217" s="1618">
        <v>47</v>
      </c>
      <c r="M217" s="1619">
        <v>32.299999999999997</v>
      </c>
    </row>
    <row r="218" spans="1:13">
      <c r="A218" s="1628">
        <v>22</v>
      </c>
      <c r="B218" s="1629">
        <v>9</v>
      </c>
      <c r="C218" s="1623" t="s">
        <v>377</v>
      </c>
      <c r="D218" s="1632">
        <v>172006670.81</v>
      </c>
      <c r="E218" s="1632">
        <v>12664815.85</v>
      </c>
      <c r="F218" s="1632">
        <v>12510155.85</v>
      </c>
      <c r="G218" s="1632">
        <v>9046680.4499999993</v>
      </c>
      <c r="H218" s="1633">
        <v>0</v>
      </c>
      <c r="I218" s="1633">
        <v>154660</v>
      </c>
      <c r="J218" s="1633">
        <v>0</v>
      </c>
      <c r="K218" s="1625">
        <v>7.4</v>
      </c>
      <c r="L218" s="1618">
        <v>98.8</v>
      </c>
      <c r="M218" s="1619">
        <v>71.400000000000006</v>
      </c>
    </row>
    <row r="219" spans="1:13">
      <c r="A219" s="1628">
        <v>22</v>
      </c>
      <c r="B219" s="1629">
        <v>10</v>
      </c>
      <c r="C219" s="1623" t="s">
        <v>302</v>
      </c>
      <c r="D219" s="1632">
        <v>92021824.040000007</v>
      </c>
      <c r="E219" s="1632">
        <v>11811835.92</v>
      </c>
      <c r="F219" s="1632">
        <v>11811835.92</v>
      </c>
      <c r="G219" s="1632">
        <v>8499771.4000000004</v>
      </c>
      <c r="H219" s="1633">
        <v>10758</v>
      </c>
      <c r="I219" s="1633">
        <v>0</v>
      </c>
      <c r="J219" s="1633">
        <v>0</v>
      </c>
      <c r="K219" s="1625">
        <v>12.8</v>
      </c>
      <c r="L219" s="1618">
        <v>100</v>
      </c>
      <c r="M219" s="1619">
        <v>72</v>
      </c>
    </row>
    <row r="220" spans="1:13">
      <c r="A220" s="1628">
        <v>22</v>
      </c>
      <c r="B220" s="1629">
        <v>11</v>
      </c>
      <c r="C220" s="1623" t="s">
        <v>378</v>
      </c>
      <c r="D220" s="1632">
        <v>197017199.90000001</v>
      </c>
      <c r="E220" s="1632">
        <v>21151253.77</v>
      </c>
      <c r="F220" s="1632">
        <v>20246634.57</v>
      </c>
      <c r="G220" s="1632">
        <v>15314218.85</v>
      </c>
      <c r="H220" s="1633">
        <v>191793.89</v>
      </c>
      <c r="I220" s="1633">
        <v>904619.2</v>
      </c>
      <c r="J220" s="1633">
        <v>461902.18</v>
      </c>
      <c r="K220" s="1625">
        <v>10.7</v>
      </c>
      <c r="L220" s="1618">
        <v>95.7</v>
      </c>
      <c r="M220" s="1619">
        <v>72.400000000000006</v>
      </c>
    </row>
    <row r="221" spans="1:13">
      <c r="A221" s="1628">
        <v>22</v>
      </c>
      <c r="B221" s="1629">
        <v>12</v>
      </c>
      <c r="C221" s="1623" t="s">
        <v>379</v>
      </c>
      <c r="D221" s="1632">
        <v>254245336.63999999</v>
      </c>
      <c r="E221" s="1632">
        <v>25889418.940000001</v>
      </c>
      <c r="F221" s="1632">
        <v>23458818.390000001</v>
      </c>
      <c r="G221" s="1632">
        <v>16460473.800000001</v>
      </c>
      <c r="H221" s="1633">
        <v>12546</v>
      </c>
      <c r="I221" s="1633">
        <v>2430600.5499999998</v>
      </c>
      <c r="J221" s="1633">
        <v>585670.65</v>
      </c>
      <c r="K221" s="1625">
        <v>10.199999999999999</v>
      </c>
      <c r="L221" s="1618">
        <v>90.6</v>
      </c>
      <c r="M221" s="1619">
        <v>63.6</v>
      </c>
    </row>
    <row r="222" spans="1:13">
      <c r="A222" s="1628">
        <v>22</v>
      </c>
      <c r="B222" s="1629">
        <v>13</v>
      </c>
      <c r="C222" s="1623" t="s">
        <v>380</v>
      </c>
      <c r="D222" s="1632">
        <v>334566139.55000001</v>
      </c>
      <c r="E222" s="1632">
        <v>30510941.809999999</v>
      </c>
      <c r="F222" s="1632">
        <v>29631375.670000002</v>
      </c>
      <c r="G222" s="1632">
        <v>22257196.350000001</v>
      </c>
      <c r="H222" s="1633">
        <v>37395</v>
      </c>
      <c r="I222" s="1633">
        <v>879566.14</v>
      </c>
      <c r="J222" s="1633">
        <v>541694.42000000004</v>
      </c>
      <c r="K222" s="1625">
        <v>9.1</v>
      </c>
      <c r="L222" s="1618">
        <v>97.1</v>
      </c>
      <c r="M222" s="1619">
        <v>72.900000000000006</v>
      </c>
    </row>
    <row r="223" spans="1:13">
      <c r="A223" s="1628">
        <v>22</v>
      </c>
      <c r="B223" s="1629">
        <v>14</v>
      </c>
      <c r="C223" s="1623" t="s">
        <v>381</v>
      </c>
      <c r="D223" s="1632">
        <v>306444252.44</v>
      </c>
      <c r="E223" s="1632">
        <v>23041680.760000002</v>
      </c>
      <c r="F223" s="1632">
        <v>22380195.370000001</v>
      </c>
      <c r="G223" s="1632">
        <v>15554355.439999999</v>
      </c>
      <c r="H223" s="1633">
        <v>112630</v>
      </c>
      <c r="I223" s="1633">
        <v>661485.39</v>
      </c>
      <c r="J223" s="1633">
        <v>165264</v>
      </c>
      <c r="K223" s="1625">
        <v>7.5</v>
      </c>
      <c r="L223" s="1618">
        <v>97.1</v>
      </c>
      <c r="M223" s="1619">
        <v>67.5</v>
      </c>
    </row>
    <row r="224" spans="1:13">
      <c r="A224" s="1628">
        <v>22</v>
      </c>
      <c r="B224" s="1629">
        <v>15</v>
      </c>
      <c r="C224" s="1623" t="s">
        <v>382</v>
      </c>
      <c r="D224" s="1632">
        <v>477381940.56</v>
      </c>
      <c r="E224" s="1632">
        <v>38187346.119999997</v>
      </c>
      <c r="F224" s="1632">
        <v>37395928.409999996</v>
      </c>
      <c r="G224" s="1632">
        <v>29779648.329999998</v>
      </c>
      <c r="H224" s="1633">
        <v>15450</v>
      </c>
      <c r="I224" s="1633">
        <v>791417.71</v>
      </c>
      <c r="J224" s="1633">
        <v>349846.44</v>
      </c>
      <c r="K224" s="1625">
        <v>8</v>
      </c>
      <c r="L224" s="1618">
        <v>97.9</v>
      </c>
      <c r="M224" s="1619">
        <v>78</v>
      </c>
    </row>
    <row r="225" spans="1:13">
      <c r="A225" s="1628">
        <v>22</v>
      </c>
      <c r="B225" s="1629">
        <v>16</v>
      </c>
      <c r="C225" s="1623" t="s">
        <v>383</v>
      </c>
      <c r="D225" s="1632">
        <v>94787802.730000004</v>
      </c>
      <c r="E225" s="1632">
        <v>8340527.0300000003</v>
      </c>
      <c r="F225" s="1632">
        <v>8054400.04</v>
      </c>
      <c r="G225" s="1632">
        <v>5902011.3799999999</v>
      </c>
      <c r="H225" s="1633">
        <v>0</v>
      </c>
      <c r="I225" s="1633">
        <v>286126.99</v>
      </c>
      <c r="J225" s="1633">
        <v>0</v>
      </c>
      <c r="K225" s="1625">
        <v>8.8000000000000007</v>
      </c>
      <c r="L225" s="1618">
        <v>96.6</v>
      </c>
      <c r="M225" s="1619">
        <v>70.8</v>
      </c>
    </row>
    <row r="226" spans="1:13">
      <c r="A226" s="1628">
        <v>24</v>
      </c>
      <c r="B226" s="1629">
        <v>1</v>
      </c>
      <c r="C226" s="1623" t="s">
        <v>384</v>
      </c>
      <c r="D226" s="1632">
        <v>253223993.5</v>
      </c>
      <c r="E226" s="1632">
        <v>35445436.280000001</v>
      </c>
      <c r="F226" s="1632">
        <v>34795433.689999998</v>
      </c>
      <c r="G226" s="1632">
        <v>25416775.68</v>
      </c>
      <c r="H226" s="1633">
        <v>111400.45</v>
      </c>
      <c r="I226" s="1633">
        <v>650002.59</v>
      </c>
      <c r="J226" s="1633">
        <v>258841.03</v>
      </c>
      <c r="K226" s="1625">
        <v>14</v>
      </c>
      <c r="L226" s="1618">
        <v>98.2</v>
      </c>
      <c r="M226" s="1619">
        <v>71.7</v>
      </c>
    </row>
    <row r="227" spans="1:13">
      <c r="A227" s="1628">
        <v>24</v>
      </c>
      <c r="B227" s="1629">
        <v>2</v>
      </c>
      <c r="C227" s="1623" t="s">
        <v>357</v>
      </c>
      <c r="D227" s="1632">
        <v>249445723.09999999</v>
      </c>
      <c r="E227" s="1632">
        <v>41281549.270000003</v>
      </c>
      <c r="F227" s="1632">
        <v>39283971.689999998</v>
      </c>
      <c r="G227" s="1632">
        <v>27880566.579999998</v>
      </c>
      <c r="H227" s="1633">
        <v>245077.72</v>
      </c>
      <c r="I227" s="1633">
        <v>1997577.58</v>
      </c>
      <c r="J227" s="1633">
        <v>46679.73</v>
      </c>
      <c r="K227" s="1625">
        <v>16.5</v>
      </c>
      <c r="L227" s="1618">
        <v>95.2</v>
      </c>
      <c r="M227" s="1619">
        <v>67.5</v>
      </c>
    </row>
    <row r="228" spans="1:13">
      <c r="A228" s="1628">
        <v>24</v>
      </c>
      <c r="B228" s="1629">
        <v>3</v>
      </c>
      <c r="C228" s="1623" t="s">
        <v>385</v>
      </c>
      <c r="D228" s="1632">
        <v>417816977.07999998</v>
      </c>
      <c r="E228" s="1632">
        <v>30490413.109999999</v>
      </c>
      <c r="F228" s="1632">
        <v>28956459.75</v>
      </c>
      <c r="G228" s="1632">
        <v>19292640.079999998</v>
      </c>
      <c r="H228" s="1633">
        <v>61472.6</v>
      </c>
      <c r="I228" s="1633">
        <v>1533953.36</v>
      </c>
      <c r="J228" s="1633">
        <v>577758.43000000005</v>
      </c>
      <c r="K228" s="1625">
        <v>7.3</v>
      </c>
      <c r="L228" s="1618">
        <v>95</v>
      </c>
      <c r="M228" s="1619">
        <v>63.3</v>
      </c>
    </row>
    <row r="229" spans="1:13">
      <c r="A229" s="1628">
        <v>24</v>
      </c>
      <c r="B229" s="1629">
        <v>4</v>
      </c>
      <c r="C229" s="1623" t="s">
        <v>386</v>
      </c>
      <c r="D229" s="1632">
        <v>205274398.38999999</v>
      </c>
      <c r="E229" s="1632">
        <v>41095266.640000001</v>
      </c>
      <c r="F229" s="1632">
        <v>39671673.799999997</v>
      </c>
      <c r="G229" s="1632">
        <v>31727291.699999999</v>
      </c>
      <c r="H229" s="1633">
        <v>138060.06</v>
      </c>
      <c r="I229" s="1633">
        <v>1423592.84</v>
      </c>
      <c r="J229" s="1633">
        <v>487936.14</v>
      </c>
      <c r="K229" s="1625">
        <v>20</v>
      </c>
      <c r="L229" s="1618">
        <v>96.5</v>
      </c>
      <c r="M229" s="1619">
        <v>77.2</v>
      </c>
    </row>
    <row r="230" spans="1:13">
      <c r="A230" s="1628">
        <v>24</v>
      </c>
      <c r="B230" s="1629">
        <v>5</v>
      </c>
      <c r="C230" s="1623" t="s">
        <v>387</v>
      </c>
      <c r="D230" s="1632">
        <v>196630655.27000001</v>
      </c>
      <c r="E230" s="1632">
        <v>30145375.050000001</v>
      </c>
      <c r="F230" s="1632">
        <v>28835230.050000001</v>
      </c>
      <c r="G230" s="1632">
        <v>22220661.57</v>
      </c>
      <c r="H230" s="1633">
        <v>172172.54</v>
      </c>
      <c r="I230" s="1633">
        <v>1310145</v>
      </c>
      <c r="J230" s="1633">
        <v>0</v>
      </c>
      <c r="K230" s="1625">
        <v>15.3</v>
      </c>
      <c r="L230" s="1618">
        <v>95.7</v>
      </c>
      <c r="M230" s="1619">
        <v>73.7</v>
      </c>
    </row>
    <row r="231" spans="1:13">
      <c r="A231" s="1628">
        <v>24</v>
      </c>
      <c r="B231" s="1629">
        <v>6</v>
      </c>
      <c r="C231" s="1623" t="s">
        <v>388</v>
      </c>
      <c r="D231" s="1632">
        <v>129171335.31</v>
      </c>
      <c r="E231" s="1632">
        <v>20695082.620000001</v>
      </c>
      <c r="F231" s="1632">
        <v>20682794.920000002</v>
      </c>
      <c r="G231" s="1632">
        <v>15817861.039999999</v>
      </c>
      <c r="H231" s="1633">
        <v>0</v>
      </c>
      <c r="I231" s="1633">
        <v>12287.7</v>
      </c>
      <c r="J231" s="1633">
        <v>0</v>
      </c>
      <c r="K231" s="1625">
        <v>16</v>
      </c>
      <c r="L231" s="1618">
        <v>99.9</v>
      </c>
      <c r="M231" s="1619">
        <v>76.400000000000006</v>
      </c>
    </row>
    <row r="232" spans="1:13">
      <c r="A232" s="1628">
        <v>24</v>
      </c>
      <c r="B232" s="1629">
        <v>7</v>
      </c>
      <c r="C232" s="1623" t="s">
        <v>389</v>
      </c>
      <c r="D232" s="1632">
        <v>186534084.69</v>
      </c>
      <c r="E232" s="1632">
        <v>20501769.559999999</v>
      </c>
      <c r="F232" s="1632">
        <v>19497335.960000001</v>
      </c>
      <c r="G232" s="1632">
        <v>14324732.609999999</v>
      </c>
      <c r="H232" s="1633">
        <v>0</v>
      </c>
      <c r="I232" s="1633">
        <v>1004433.6</v>
      </c>
      <c r="J232" s="1633">
        <v>624004.61</v>
      </c>
      <c r="K232" s="1625">
        <v>11</v>
      </c>
      <c r="L232" s="1618">
        <v>95.1</v>
      </c>
      <c r="M232" s="1619">
        <v>69.900000000000006</v>
      </c>
    </row>
    <row r="233" spans="1:13">
      <c r="A233" s="1628">
        <v>24</v>
      </c>
      <c r="B233" s="1629">
        <v>8</v>
      </c>
      <c r="C233" s="1623" t="s">
        <v>390</v>
      </c>
      <c r="D233" s="1632">
        <v>226848656.63</v>
      </c>
      <c r="E233" s="1632">
        <v>30307542.870000001</v>
      </c>
      <c r="F233" s="1632">
        <v>28695769.550000001</v>
      </c>
      <c r="G233" s="1632">
        <v>21724059.109999999</v>
      </c>
      <c r="H233" s="1633">
        <v>139930</v>
      </c>
      <c r="I233" s="1633">
        <v>1611773.32</v>
      </c>
      <c r="J233" s="1633">
        <v>593690.25</v>
      </c>
      <c r="K233" s="1625">
        <v>13.4</v>
      </c>
      <c r="L233" s="1618">
        <v>94.7</v>
      </c>
      <c r="M233" s="1619">
        <v>71.7</v>
      </c>
    </row>
    <row r="234" spans="1:13">
      <c r="A234" s="1628">
        <v>24</v>
      </c>
      <c r="B234" s="1629">
        <v>9</v>
      </c>
      <c r="C234" s="1623" t="s">
        <v>391</v>
      </c>
      <c r="D234" s="1632">
        <v>156052188.75</v>
      </c>
      <c r="E234" s="1632">
        <v>23150831.879999999</v>
      </c>
      <c r="F234" s="1632">
        <v>20832789.07</v>
      </c>
      <c r="G234" s="1632">
        <v>15393496.41</v>
      </c>
      <c r="H234" s="1633">
        <v>0</v>
      </c>
      <c r="I234" s="1633">
        <v>2318042.81</v>
      </c>
      <c r="J234" s="1633">
        <v>134365.20000000001</v>
      </c>
      <c r="K234" s="1625">
        <v>14.8</v>
      </c>
      <c r="L234" s="1618">
        <v>90</v>
      </c>
      <c r="M234" s="1619">
        <v>66.5</v>
      </c>
    </row>
    <row r="235" spans="1:13">
      <c r="A235" s="1628">
        <v>24</v>
      </c>
      <c r="B235" s="1629">
        <v>10</v>
      </c>
      <c r="C235" s="1623" t="s">
        <v>392</v>
      </c>
      <c r="D235" s="1632">
        <v>214809115.75999999</v>
      </c>
      <c r="E235" s="1632">
        <v>32881057.210000001</v>
      </c>
      <c r="F235" s="1632">
        <v>31782278.809999999</v>
      </c>
      <c r="G235" s="1632">
        <v>24823552.829999998</v>
      </c>
      <c r="H235" s="1633">
        <v>94980.800000000003</v>
      </c>
      <c r="I235" s="1633">
        <v>1098778.3999999999</v>
      </c>
      <c r="J235" s="1633">
        <v>606931.19999999995</v>
      </c>
      <c r="K235" s="1625">
        <v>15.3</v>
      </c>
      <c r="L235" s="1618">
        <v>96.7</v>
      </c>
      <c r="M235" s="1619">
        <v>75.5</v>
      </c>
    </row>
    <row r="236" spans="1:13">
      <c r="A236" s="1628">
        <v>24</v>
      </c>
      <c r="B236" s="1629">
        <v>11</v>
      </c>
      <c r="C236" s="1623" t="s">
        <v>393</v>
      </c>
      <c r="D236" s="1632">
        <v>281391191.60000002</v>
      </c>
      <c r="E236" s="1632">
        <v>27741912.949999999</v>
      </c>
      <c r="F236" s="1632">
        <v>26957219.710000001</v>
      </c>
      <c r="G236" s="1632">
        <v>20675948.41</v>
      </c>
      <c r="H236" s="1633">
        <v>212125.27</v>
      </c>
      <c r="I236" s="1633">
        <v>784693.24</v>
      </c>
      <c r="J236" s="1633">
        <v>715339.29</v>
      </c>
      <c r="K236" s="1625">
        <v>9.9</v>
      </c>
      <c r="L236" s="1618">
        <v>97.2</v>
      </c>
      <c r="M236" s="1619">
        <v>74.5</v>
      </c>
    </row>
    <row r="237" spans="1:13">
      <c r="A237" s="1628">
        <v>24</v>
      </c>
      <c r="B237" s="1629">
        <v>12</v>
      </c>
      <c r="C237" s="1623" t="s">
        <v>394</v>
      </c>
      <c r="D237" s="1632">
        <v>96463725.560000002</v>
      </c>
      <c r="E237" s="1632">
        <v>18051238.84</v>
      </c>
      <c r="F237" s="1632">
        <v>17473468.140000001</v>
      </c>
      <c r="G237" s="1632">
        <v>11762471.32</v>
      </c>
      <c r="H237" s="1633">
        <v>0</v>
      </c>
      <c r="I237" s="1633">
        <v>577770.69999999995</v>
      </c>
      <c r="J237" s="1633">
        <v>0</v>
      </c>
      <c r="K237" s="1625">
        <v>18.7</v>
      </c>
      <c r="L237" s="1618">
        <v>96.8</v>
      </c>
      <c r="M237" s="1619">
        <v>65.2</v>
      </c>
    </row>
    <row r="238" spans="1:13">
      <c r="A238" s="1628">
        <v>24</v>
      </c>
      <c r="B238" s="1629">
        <v>13</v>
      </c>
      <c r="C238" s="1623" t="s">
        <v>395</v>
      </c>
      <c r="D238" s="1632">
        <v>387271959.92000002</v>
      </c>
      <c r="E238" s="1632">
        <v>41461624.960000001</v>
      </c>
      <c r="F238" s="1632">
        <v>40023519.68</v>
      </c>
      <c r="G238" s="1632">
        <v>30652275.5</v>
      </c>
      <c r="H238" s="1633">
        <v>0</v>
      </c>
      <c r="I238" s="1633">
        <v>1438105.28</v>
      </c>
      <c r="J238" s="1633">
        <v>0</v>
      </c>
      <c r="K238" s="1625">
        <v>10.7</v>
      </c>
      <c r="L238" s="1618">
        <v>96.5</v>
      </c>
      <c r="M238" s="1619">
        <v>73.900000000000006</v>
      </c>
    </row>
    <row r="239" spans="1:13">
      <c r="A239" s="1628">
        <v>24</v>
      </c>
      <c r="B239" s="1629">
        <v>14</v>
      </c>
      <c r="C239" s="1623" t="s">
        <v>396</v>
      </c>
      <c r="D239" s="1632">
        <v>100653733.89</v>
      </c>
      <c r="E239" s="1632">
        <v>21452397.550000001</v>
      </c>
      <c r="F239" s="1632">
        <v>20673201.16</v>
      </c>
      <c r="G239" s="1632">
        <v>15505713.949999999</v>
      </c>
      <c r="H239" s="1633">
        <v>204743.83</v>
      </c>
      <c r="I239" s="1633">
        <v>779196.39</v>
      </c>
      <c r="J239" s="1633">
        <v>677499.99</v>
      </c>
      <c r="K239" s="1625">
        <v>21.3</v>
      </c>
      <c r="L239" s="1618">
        <v>96.4</v>
      </c>
      <c r="M239" s="1619">
        <v>72.3</v>
      </c>
    </row>
    <row r="240" spans="1:13">
      <c r="A240" s="1628">
        <v>24</v>
      </c>
      <c r="B240" s="1629">
        <v>15</v>
      </c>
      <c r="C240" s="1623" t="s">
        <v>397</v>
      </c>
      <c r="D240" s="1632">
        <v>343783618.32999998</v>
      </c>
      <c r="E240" s="1632">
        <v>39492920.789999999</v>
      </c>
      <c r="F240" s="1632">
        <v>37068881.109999999</v>
      </c>
      <c r="G240" s="1632">
        <v>28536539.760000002</v>
      </c>
      <c r="H240" s="1633">
        <v>71047.929999999993</v>
      </c>
      <c r="I240" s="1633">
        <v>2424039.6800000002</v>
      </c>
      <c r="J240" s="1633">
        <v>143435.51999999999</v>
      </c>
      <c r="K240" s="1625">
        <v>11.5</v>
      </c>
      <c r="L240" s="1618">
        <v>93.9</v>
      </c>
      <c r="M240" s="1619">
        <v>72.3</v>
      </c>
    </row>
    <row r="241" spans="1:13">
      <c r="A241" s="1628">
        <v>24</v>
      </c>
      <c r="B241" s="1629">
        <v>16</v>
      </c>
      <c r="C241" s="1623" t="s">
        <v>398</v>
      </c>
      <c r="D241" s="1632">
        <v>236191372.81</v>
      </c>
      <c r="E241" s="1632">
        <v>31905003.93</v>
      </c>
      <c r="F241" s="1632">
        <v>31480779.940000001</v>
      </c>
      <c r="G241" s="1632">
        <v>24111455.550000001</v>
      </c>
      <c r="H241" s="1633">
        <v>272277.40000000002</v>
      </c>
      <c r="I241" s="1633">
        <v>424223.99</v>
      </c>
      <c r="J241" s="1633">
        <v>324953.96999999997</v>
      </c>
      <c r="K241" s="1625">
        <v>13.5</v>
      </c>
      <c r="L241" s="1618">
        <v>98.7</v>
      </c>
      <c r="M241" s="1619">
        <v>75.599999999999994</v>
      </c>
    </row>
    <row r="242" spans="1:13">
      <c r="A242" s="1628">
        <v>24</v>
      </c>
      <c r="B242" s="1629">
        <v>17</v>
      </c>
      <c r="C242" s="1623" t="s">
        <v>399</v>
      </c>
      <c r="D242" s="1632">
        <v>335600116.29000002</v>
      </c>
      <c r="E242" s="1632">
        <v>28020221.699999999</v>
      </c>
      <c r="F242" s="1632">
        <v>27777321</v>
      </c>
      <c r="G242" s="1632">
        <v>20792467.59</v>
      </c>
      <c r="H242" s="1633">
        <v>65473.43</v>
      </c>
      <c r="I242" s="1633">
        <v>242900.7</v>
      </c>
      <c r="J242" s="1633">
        <v>0</v>
      </c>
      <c r="K242" s="1625">
        <v>8.3000000000000007</v>
      </c>
      <c r="L242" s="1618">
        <v>99.1</v>
      </c>
      <c r="M242" s="1619">
        <v>74.2</v>
      </c>
    </row>
    <row r="243" spans="1:13">
      <c r="A243" s="1628">
        <v>26</v>
      </c>
      <c r="B243" s="1629">
        <v>1</v>
      </c>
      <c r="C243" s="1623" t="s">
        <v>400</v>
      </c>
      <c r="D243" s="1632">
        <v>182089913.68000001</v>
      </c>
      <c r="E243" s="1632">
        <v>20341884.02</v>
      </c>
      <c r="F243" s="1632">
        <v>19015873.399999999</v>
      </c>
      <c r="G243" s="1632">
        <v>16519549.73</v>
      </c>
      <c r="H243" s="1633">
        <v>78463</v>
      </c>
      <c r="I243" s="1633">
        <v>1326010.6200000001</v>
      </c>
      <c r="J243" s="1633">
        <v>661864</v>
      </c>
      <c r="K243" s="1625">
        <v>11.2</v>
      </c>
      <c r="L243" s="1618">
        <v>93.5</v>
      </c>
      <c r="M243" s="1619">
        <v>81.2</v>
      </c>
    </row>
    <row r="244" spans="1:13">
      <c r="A244" s="1628">
        <v>26</v>
      </c>
      <c r="B244" s="1629">
        <v>2</v>
      </c>
      <c r="C244" s="1623" t="s">
        <v>401</v>
      </c>
      <c r="D244" s="1632">
        <v>196882177.11000001</v>
      </c>
      <c r="E244" s="1632">
        <v>26214720.760000002</v>
      </c>
      <c r="F244" s="1632">
        <v>24019859.859999999</v>
      </c>
      <c r="G244" s="1632">
        <v>18969360.73</v>
      </c>
      <c r="H244" s="1633">
        <v>0</v>
      </c>
      <c r="I244" s="1633">
        <v>2194860.9</v>
      </c>
      <c r="J244" s="1633">
        <v>0</v>
      </c>
      <c r="K244" s="1625">
        <v>13.3</v>
      </c>
      <c r="L244" s="1618">
        <v>91.6</v>
      </c>
      <c r="M244" s="1619">
        <v>72.400000000000006</v>
      </c>
    </row>
    <row r="245" spans="1:13">
      <c r="A245" s="1628">
        <v>26</v>
      </c>
      <c r="B245" s="1629">
        <v>3</v>
      </c>
      <c r="C245" s="1623" t="s">
        <v>402</v>
      </c>
      <c r="D245" s="1632">
        <v>112939023.3</v>
      </c>
      <c r="E245" s="1632">
        <v>13843907.84</v>
      </c>
      <c r="F245" s="1632">
        <v>13007817.35</v>
      </c>
      <c r="G245" s="1632">
        <v>9433455.0899999999</v>
      </c>
      <c r="H245" s="1633">
        <v>0</v>
      </c>
      <c r="I245" s="1633">
        <v>836090.49</v>
      </c>
      <c r="J245" s="1633">
        <v>785917.89</v>
      </c>
      <c r="K245" s="1625">
        <v>12.3</v>
      </c>
      <c r="L245" s="1618">
        <v>94</v>
      </c>
      <c r="M245" s="1619">
        <v>68.099999999999994</v>
      </c>
    </row>
    <row r="246" spans="1:13">
      <c r="A246" s="1628">
        <v>26</v>
      </c>
      <c r="B246" s="1629">
        <v>4</v>
      </c>
      <c r="C246" s="1623" t="s">
        <v>403</v>
      </c>
      <c r="D246" s="1632">
        <v>303223344.73000002</v>
      </c>
      <c r="E246" s="1632">
        <v>61901141.369999997</v>
      </c>
      <c r="F246" s="1632">
        <v>60148120.130000003</v>
      </c>
      <c r="G246" s="1632">
        <v>44747552.869999997</v>
      </c>
      <c r="H246" s="1633">
        <v>18500</v>
      </c>
      <c r="I246" s="1633">
        <v>1753021.24</v>
      </c>
      <c r="J246" s="1633">
        <v>439712</v>
      </c>
      <c r="K246" s="1625">
        <v>20.399999999999999</v>
      </c>
      <c r="L246" s="1618">
        <v>97.2</v>
      </c>
      <c r="M246" s="1619">
        <v>72.3</v>
      </c>
    </row>
    <row r="247" spans="1:13">
      <c r="A247" s="1628">
        <v>26</v>
      </c>
      <c r="B247" s="1629">
        <v>5</v>
      </c>
      <c r="C247" s="1623" t="s">
        <v>404</v>
      </c>
      <c r="D247" s="1632">
        <v>203621341.97999999</v>
      </c>
      <c r="E247" s="1632">
        <v>18055045.41</v>
      </c>
      <c r="F247" s="1632">
        <v>18016300.41</v>
      </c>
      <c r="G247" s="1632">
        <v>13829429.289999999</v>
      </c>
      <c r="H247" s="1633">
        <v>0</v>
      </c>
      <c r="I247" s="1633">
        <v>38745</v>
      </c>
      <c r="J247" s="1633">
        <v>0</v>
      </c>
      <c r="K247" s="1625">
        <v>8.9</v>
      </c>
      <c r="L247" s="1618">
        <v>99.8</v>
      </c>
      <c r="M247" s="1619">
        <v>76.599999999999994</v>
      </c>
    </row>
    <row r="248" spans="1:13">
      <c r="A248" s="1628">
        <v>26</v>
      </c>
      <c r="B248" s="1629">
        <v>6</v>
      </c>
      <c r="C248" s="1623" t="s">
        <v>405</v>
      </c>
      <c r="D248" s="1632">
        <v>178634025.49000001</v>
      </c>
      <c r="E248" s="1632">
        <v>16244139.76</v>
      </c>
      <c r="F248" s="1632">
        <v>15839433.1</v>
      </c>
      <c r="G248" s="1632">
        <v>12206159.58</v>
      </c>
      <c r="H248" s="1633">
        <v>0</v>
      </c>
      <c r="I248" s="1633">
        <v>404706.66</v>
      </c>
      <c r="J248" s="1633">
        <v>0</v>
      </c>
      <c r="K248" s="1625">
        <v>9.1</v>
      </c>
      <c r="L248" s="1618">
        <v>97.5</v>
      </c>
      <c r="M248" s="1619">
        <v>75.099999999999994</v>
      </c>
    </row>
    <row r="249" spans="1:13">
      <c r="A249" s="1628">
        <v>26</v>
      </c>
      <c r="B249" s="1629">
        <v>7</v>
      </c>
      <c r="C249" s="1623" t="s">
        <v>406</v>
      </c>
      <c r="D249" s="1632">
        <v>289462309.68000001</v>
      </c>
      <c r="E249" s="1632">
        <v>20231513.280000001</v>
      </c>
      <c r="F249" s="1632">
        <v>20231513.280000001</v>
      </c>
      <c r="G249" s="1632">
        <v>14750675.970000001</v>
      </c>
      <c r="H249" s="1633">
        <v>0</v>
      </c>
      <c r="I249" s="1633">
        <v>0</v>
      </c>
      <c r="J249" s="1633">
        <v>0</v>
      </c>
      <c r="K249" s="1625">
        <v>7</v>
      </c>
      <c r="L249" s="1618">
        <v>100</v>
      </c>
      <c r="M249" s="1619">
        <v>72.900000000000006</v>
      </c>
    </row>
    <row r="250" spans="1:13">
      <c r="A250" s="1628">
        <v>26</v>
      </c>
      <c r="B250" s="1629">
        <v>8</v>
      </c>
      <c r="C250" s="1623" t="s">
        <v>407</v>
      </c>
      <c r="D250" s="1632">
        <v>103478603.77</v>
      </c>
      <c r="E250" s="1632">
        <v>10131134.050000001</v>
      </c>
      <c r="F250" s="1632">
        <v>9720315.0299999993</v>
      </c>
      <c r="G250" s="1632">
        <v>7428024.3099999996</v>
      </c>
      <c r="H250" s="1633">
        <v>0</v>
      </c>
      <c r="I250" s="1633">
        <v>410819.02</v>
      </c>
      <c r="J250" s="1633">
        <v>395691</v>
      </c>
      <c r="K250" s="1625">
        <v>9.8000000000000007</v>
      </c>
      <c r="L250" s="1618">
        <v>95.9</v>
      </c>
      <c r="M250" s="1619">
        <v>73.3</v>
      </c>
    </row>
    <row r="251" spans="1:13">
      <c r="A251" s="1628">
        <v>26</v>
      </c>
      <c r="B251" s="1629">
        <v>9</v>
      </c>
      <c r="C251" s="1623" t="s">
        <v>408</v>
      </c>
      <c r="D251" s="1632">
        <v>182722069.87</v>
      </c>
      <c r="E251" s="1632">
        <v>18074874.66</v>
      </c>
      <c r="F251" s="1632">
        <v>18027009.260000002</v>
      </c>
      <c r="G251" s="1632">
        <v>13680531.27</v>
      </c>
      <c r="H251" s="1633">
        <v>0</v>
      </c>
      <c r="I251" s="1633">
        <v>47865.4</v>
      </c>
      <c r="J251" s="1633">
        <v>1600</v>
      </c>
      <c r="K251" s="1625">
        <v>9.9</v>
      </c>
      <c r="L251" s="1618">
        <v>99.7</v>
      </c>
      <c r="M251" s="1619">
        <v>75.7</v>
      </c>
    </row>
    <row r="252" spans="1:13">
      <c r="A252" s="1628">
        <v>26</v>
      </c>
      <c r="B252" s="1629">
        <v>10</v>
      </c>
      <c r="C252" s="1623" t="s">
        <v>409</v>
      </c>
      <c r="D252" s="1632">
        <v>219424157.87</v>
      </c>
      <c r="E252" s="1632">
        <v>20314987.600000001</v>
      </c>
      <c r="F252" s="1632">
        <v>20314987.600000001</v>
      </c>
      <c r="G252" s="1632">
        <v>16768203.539999999</v>
      </c>
      <c r="H252" s="1633">
        <v>0</v>
      </c>
      <c r="I252" s="1633">
        <v>0</v>
      </c>
      <c r="J252" s="1633">
        <v>0</v>
      </c>
      <c r="K252" s="1625">
        <v>9.3000000000000007</v>
      </c>
      <c r="L252" s="1618">
        <v>100</v>
      </c>
      <c r="M252" s="1619">
        <v>82.5</v>
      </c>
    </row>
    <row r="253" spans="1:13">
      <c r="A253" s="1628">
        <v>26</v>
      </c>
      <c r="B253" s="1629">
        <v>11</v>
      </c>
      <c r="C253" s="1623" t="s">
        <v>410</v>
      </c>
      <c r="D253" s="1632">
        <v>242405558.55000001</v>
      </c>
      <c r="E253" s="1632">
        <v>18044465.800000001</v>
      </c>
      <c r="F253" s="1632">
        <v>18026015.800000001</v>
      </c>
      <c r="G253" s="1632">
        <v>13203340.199999999</v>
      </c>
      <c r="H253" s="1633">
        <v>0</v>
      </c>
      <c r="I253" s="1633">
        <v>18450</v>
      </c>
      <c r="J253" s="1633">
        <v>0</v>
      </c>
      <c r="K253" s="1625">
        <v>7.4</v>
      </c>
      <c r="L253" s="1618">
        <v>99.9</v>
      </c>
      <c r="M253" s="1619">
        <v>73.2</v>
      </c>
    </row>
    <row r="254" spans="1:13">
      <c r="A254" s="1628">
        <v>26</v>
      </c>
      <c r="B254" s="1629">
        <v>12</v>
      </c>
      <c r="C254" s="1623" t="s">
        <v>411</v>
      </c>
      <c r="D254" s="1632">
        <v>143866765.30000001</v>
      </c>
      <c r="E254" s="1632">
        <v>17770666.73</v>
      </c>
      <c r="F254" s="1632">
        <v>17612580.879999999</v>
      </c>
      <c r="G254" s="1632">
        <v>13633412.710000001</v>
      </c>
      <c r="H254" s="1633">
        <v>0</v>
      </c>
      <c r="I254" s="1633">
        <v>158085.85</v>
      </c>
      <c r="J254" s="1633">
        <v>0</v>
      </c>
      <c r="K254" s="1625">
        <v>12.4</v>
      </c>
      <c r="L254" s="1618">
        <v>99.1</v>
      </c>
      <c r="M254" s="1619">
        <v>76.7</v>
      </c>
    </row>
    <row r="255" spans="1:13">
      <c r="A255" s="1628">
        <v>26</v>
      </c>
      <c r="B255" s="1629">
        <v>13</v>
      </c>
      <c r="C255" s="1623" t="s">
        <v>412</v>
      </c>
      <c r="D255" s="1632">
        <v>115030205.48</v>
      </c>
      <c r="E255" s="1632">
        <v>13009692.5</v>
      </c>
      <c r="F255" s="1632">
        <v>12641526.369999999</v>
      </c>
      <c r="G255" s="1632">
        <v>9695522.7300000004</v>
      </c>
      <c r="H255" s="1633">
        <v>0</v>
      </c>
      <c r="I255" s="1633">
        <v>368166.13</v>
      </c>
      <c r="J255" s="1633">
        <v>0</v>
      </c>
      <c r="K255" s="1625">
        <v>11.3</v>
      </c>
      <c r="L255" s="1618">
        <v>97.2</v>
      </c>
      <c r="M255" s="1619">
        <v>74.5</v>
      </c>
    </row>
    <row r="256" spans="1:13">
      <c r="A256" s="1628">
        <v>28</v>
      </c>
      <c r="B256" s="1629">
        <v>1</v>
      </c>
      <c r="C256" s="1623" t="s">
        <v>413</v>
      </c>
      <c r="D256" s="1632">
        <v>175027485.62</v>
      </c>
      <c r="E256" s="1632">
        <v>16629893.02</v>
      </c>
      <c r="F256" s="1632">
        <v>15748245.619999999</v>
      </c>
      <c r="G256" s="1632">
        <v>12131986.890000001</v>
      </c>
      <c r="H256" s="1633">
        <v>33757</v>
      </c>
      <c r="I256" s="1633">
        <v>881647.4</v>
      </c>
      <c r="J256" s="1633">
        <v>462357.2</v>
      </c>
      <c r="K256" s="1625">
        <v>9.5</v>
      </c>
      <c r="L256" s="1618">
        <v>94.7</v>
      </c>
      <c r="M256" s="1619">
        <v>73</v>
      </c>
    </row>
    <row r="257" spans="1:13">
      <c r="A257" s="1628">
        <v>28</v>
      </c>
      <c r="B257" s="1629">
        <v>2</v>
      </c>
      <c r="C257" s="1623" t="s">
        <v>414</v>
      </c>
      <c r="D257" s="1632">
        <v>97943326.379999995</v>
      </c>
      <c r="E257" s="1632">
        <v>13864259.85</v>
      </c>
      <c r="F257" s="1632">
        <v>13831049.85</v>
      </c>
      <c r="G257" s="1632">
        <v>11168860.939999999</v>
      </c>
      <c r="H257" s="1633">
        <v>32098.5</v>
      </c>
      <c r="I257" s="1633">
        <v>33210</v>
      </c>
      <c r="J257" s="1633">
        <v>33210</v>
      </c>
      <c r="K257" s="1625">
        <v>14.2</v>
      </c>
      <c r="L257" s="1618">
        <v>99.8</v>
      </c>
      <c r="M257" s="1619">
        <v>80.599999999999994</v>
      </c>
    </row>
    <row r="258" spans="1:13">
      <c r="A258" s="1628">
        <v>28</v>
      </c>
      <c r="B258" s="1629">
        <v>3</v>
      </c>
      <c r="C258" s="1623" t="s">
        <v>415</v>
      </c>
      <c r="D258" s="1632">
        <v>148785966.87</v>
      </c>
      <c r="E258" s="1632">
        <v>22812228.079999998</v>
      </c>
      <c r="F258" s="1632">
        <v>18525729.02</v>
      </c>
      <c r="G258" s="1632">
        <v>14397636.74</v>
      </c>
      <c r="H258" s="1633">
        <v>0</v>
      </c>
      <c r="I258" s="1633">
        <v>4286499.0599999996</v>
      </c>
      <c r="J258" s="1633">
        <v>572647.06000000006</v>
      </c>
      <c r="K258" s="1625">
        <v>15.3</v>
      </c>
      <c r="L258" s="1618">
        <v>81.2</v>
      </c>
      <c r="M258" s="1619">
        <v>63.1</v>
      </c>
    </row>
    <row r="259" spans="1:13">
      <c r="A259" s="1628">
        <v>28</v>
      </c>
      <c r="B259" s="1629">
        <v>4</v>
      </c>
      <c r="C259" s="1623" t="s">
        <v>416</v>
      </c>
      <c r="D259" s="1632">
        <v>139413423.09999999</v>
      </c>
      <c r="E259" s="1632">
        <v>23794174.050000001</v>
      </c>
      <c r="F259" s="1632">
        <v>22674267.91</v>
      </c>
      <c r="G259" s="1632">
        <v>17110004.969999999</v>
      </c>
      <c r="H259" s="1633">
        <v>0</v>
      </c>
      <c r="I259" s="1633">
        <v>1119906.1399999999</v>
      </c>
      <c r="J259" s="1633">
        <v>817437.37</v>
      </c>
      <c r="K259" s="1625">
        <v>17.100000000000001</v>
      </c>
      <c r="L259" s="1618">
        <v>95.3</v>
      </c>
      <c r="M259" s="1619">
        <v>71.900000000000006</v>
      </c>
    </row>
    <row r="260" spans="1:13">
      <c r="A260" s="1628">
        <v>28</v>
      </c>
      <c r="B260" s="1629">
        <v>5</v>
      </c>
      <c r="C260" s="1623" t="s">
        <v>417</v>
      </c>
      <c r="D260" s="1632">
        <v>267676883.16999999</v>
      </c>
      <c r="E260" s="1632">
        <v>28314185.879999999</v>
      </c>
      <c r="F260" s="1632">
        <v>20714764.73</v>
      </c>
      <c r="G260" s="1632">
        <v>15227732.25</v>
      </c>
      <c r="H260" s="1633">
        <v>21000</v>
      </c>
      <c r="I260" s="1633">
        <v>7599421.1500000004</v>
      </c>
      <c r="J260" s="1633">
        <v>0</v>
      </c>
      <c r="K260" s="1625">
        <v>10.6</v>
      </c>
      <c r="L260" s="1618">
        <v>73.2</v>
      </c>
      <c r="M260" s="1619">
        <v>53.8</v>
      </c>
    </row>
    <row r="261" spans="1:13">
      <c r="A261" s="1628">
        <v>28</v>
      </c>
      <c r="B261" s="1629">
        <v>6</v>
      </c>
      <c r="C261" s="1623" t="s">
        <v>418</v>
      </c>
      <c r="D261" s="1632">
        <v>168229408.56999999</v>
      </c>
      <c r="E261" s="1632">
        <v>18295791.300000001</v>
      </c>
      <c r="F261" s="1632">
        <v>18048475.300000001</v>
      </c>
      <c r="G261" s="1632">
        <v>13390124.83</v>
      </c>
      <c r="H261" s="1633">
        <v>0</v>
      </c>
      <c r="I261" s="1633">
        <v>247316</v>
      </c>
      <c r="J261" s="1633">
        <v>0</v>
      </c>
      <c r="K261" s="1625">
        <v>10.9</v>
      </c>
      <c r="L261" s="1618">
        <v>98.6</v>
      </c>
      <c r="M261" s="1619">
        <v>73.2</v>
      </c>
    </row>
    <row r="262" spans="1:13">
      <c r="A262" s="1628">
        <v>28</v>
      </c>
      <c r="B262" s="1629">
        <v>7</v>
      </c>
      <c r="C262" s="1623" t="s">
        <v>419</v>
      </c>
      <c r="D262" s="1632">
        <v>233809069.80000001</v>
      </c>
      <c r="E262" s="1632">
        <v>20066826.68</v>
      </c>
      <c r="F262" s="1632">
        <v>19280658.140000001</v>
      </c>
      <c r="G262" s="1632">
        <v>14392860.390000001</v>
      </c>
      <c r="H262" s="1633">
        <v>0</v>
      </c>
      <c r="I262" s="1633">
        <v>786168.54</v>
      </c>
      <c r="J262" s="1633">
        <v>693087.14</v>
      </c>
      <c r="K262" s="1625">
        <v>8.6</v>
      </c>
      <c r="L262" s="1618">
        <v>96.1</v>
      </c>
      <c r="M262" s="1619">
        <v>71.7</v>
      </c>
    </row>
    <row r="263" spans="1:13">
      <c r="A263" s="1628">
        <v>28</v>
      </c>
      <c r="B263" s="1629">
        <v>8</v>
      </c>
      <c r="C263" s="1623" t="s">
        <v>420</v>
      </c>
      <c r="D263" s="1632">
        <v>160132954.81999999</v>
      </c>
      <c r="E263" s="1632">
        <v>21400845.920000002</v>
      </c>
      <c r="F263" s="1632">
        <v>17551560.920000002</v>
      </c>
      <c r="G263" s="1632">
        <v>12989631.49</v>
      </c>
      <c r="H263" s="1633">
        <v>0</v>
      </c>
      <c r="I263" s="1633">
        <v>3849285</v>
      </c>
      <c r="J263" s="1633">
        <v>3849285</v>
      </c>
      <c r="K263" s="1625">
        <v>13.4</v>
      </c>
      <c r="L263" s="1618">
        <v>82</v>
      </c>
      <c r="M263" s="1619">
        <v>60.7</v>
      </c>
    </row>
    <row r="264" spans="1:13">
      <c r="A264" s="1628">
        <v>28</v>
      </c>
      <c r="B264" s="1629">
        <v>9</v>
      </c>
      <c r="C264" s="1623" t="s">
        <v>421</v>
      </c>
      <c r="D264" s="1632">
        <v>92570491.569999993</v>
      </c>
      <c r="E264" s="1632">
        <v>13451185.85</v>
      </c>
      <c r="F264" s="1632">
        <v>12434493.77</v>
      </c>
      <c r="G264" s="1632">
        <v>9467017.8100000005</v>
      </c>
      <c r="H264" s="1633">
        <v>40508</v>
      </c>
      <c r="I264" s="1633">
        <v>1016692.08</v>
      </c>
      <c r="J264" s="1633">
        <v>410898.72</v>
      </c>
      <c r="K264" s="1625">
        <v>14.5</v>
      </c>
      <c r="L264" s="1618">
        <v>92.4</v>
      </c>
      <c r="M264" s="1619">
        <v>70.400000000000006</v>
      </c>
    </row>
    <row r="265" spans="1:13">
      <c r="A265" s="1628">
        <v>28</v>
      </c>
      <c r="B265" s="1629">
        <v>10</v>
      </c>
      <c r="C265" s="1623" t="s">
        <v>422</v>
      </c>
      <c r="D265" s="1632">
        <v>132824745.58</v>
      </c>
      <c r="E265" s="1632">
        <v>13166295</v>
      </c>
      <c r="F265" s="1632">
        <v>12942843.220000001</v>
      </c>
      <c r="G265" s="1632">
        <v>10010734.98</v>
      </c>
      <c r="H265" s="1633">
        <v>0</v>
      </c>
      <c r="I265" s="1633">
        <v>223451.78</v>
      </c>
      <c r="J265" s="1633">
        <v>12090.75</v>
      </c>
      <c r="K265" s="1625">
        <v>9.9</v>
      </c>
      <c r="L265" s="1618">
        <v>98.3</v>
      </c>
      <c r="M265" s="1619">
        <v>76</v>
      </c>
    </row>
    <row r="266" spans="1:13">
      <c r="A266" s="1628">
        <v>28</v>
      </c>
      <c r="B266" s="1629">
        <v>11</v>
      </c>
      <c r="C266" s="1623" t="s">
        <v>423</v>
      </c>
      <c r="D266" s="1632">
        <v>99989359.810000002</v>
      </c>
      <c r="E266" s="1632">
        <v>11599370.789999999</v>
      </c>
      <c r="F266" s="1632">
        <v>10988040.789999999</v>
      </c>
      <c r="G266" s="1632">
        <v>8338883.0300000003</v>
      </c>
      <c r="H266" s="1633">
        <v>0</v>
      </c>
      <c r="I266" s="1633">
        <v>611330</v>
      </c>
      <c r="J266" s="1633">
        <v>0</v>
      </c>
      <c r="K266" s="1625">
        <v>11.6</v>
      </c>
      <c r="L266" s="1618">
        <v>94.7</v>
      </c>
      <c r="M266" s="1619">
        <v>71.900000000000006</v>
      </c>
    </row>
    <row r="267" spans="1:13">
      <c r="A267" s="1628">
        <v>28</v>
      </c>
      <c r="B267" s="1629">
        <v>12</v>
      </c>
      <c r="C267" s="1623" t="s">
        <v>424</v>
      </c>
      <c r="D267" s="1632">
        <v>94496586.769999996</v>
      </c>
      <c r="E267" s="1632">
        <v>12004113.460000001</v>
      </c>
      <c r="F267" s="1632">
        <v>11306853.960000001</v>
      </c>
      <c r="G267" s="1632">
        <v>8444238.8900000006</v>
      </c>
      <c r="H267" s="1633">
        <v>199907.82</v>
      </c>
      <c r="I267" s="1633">
        <v>697259.5</v>
      </c>
      <c r="J267" s="1633">
        <v>694759.5</v>
      </c>
      <c r="K267" s="1625">
        <v>12.7</v>
      </c>
      <c r="L267" s="1618">
        <v>94.2</v>
      </c>
      <c r="M267" s="1619">
        <v>70.3</v>
      </c>
    </row>
    <row r="268" spans="1:13">
      <c r="A268" s="1628">
        <v>28</v>
      </c>
      <c r="B268" s="1629">
        <v>13</v>
      </c>
      <c r="C268" s="1623" t="s">
        <v>425</v>
      </c>
      <c r="D268" s="1632">
        <v>104558087.89</v>
      </c>
      <c r="E268" s="1632">
        <v>10607464.119999999</v>
      </c>
      <c r="F268" s="1632">
        <v>9823858.4100000001</v>
      </c>
      <c r="G268" s="1632">
        <v>7433669.2000000002</v>
      </c>
      <c r="H268" s="1633">
        <v>0</v>
      </c>
      <c r="I268" s="1633">
        <v>783605.71</v>
      </c>
      <c r="J268" s="1633">
        <v>553605.71</v>
      </c>
      <c r="K268" s="1625">
        <v>10.1</v>
      </c>
      <c r="L268" s="1618">
        <v>92.6</v>
      </c>
      <c r="M268" s="1619">
        <v>70.099999999999994</v>
      </c>
    </row>
    <row r="269" spans="1:13">
      <c r="A269" s="1628">
        <v>28</v>
      </c>
      <c r="B269" s="1629">
        <v>14</v>
      </c>
      <c r="C269" s="1623" t="s">
        <v>426</v>
      </c>
      <c r="D269" s="1632">
        <v>265740794.44999999</v>
      </c>
      <c r="E269" s="1632">
        <v>28132033.66</v>
      </c>
      <c r="F269" s="1632">
        <v>27605135.25</v>
      </c>
      <c r="G269" s="1632">
        <v>20341846.760000002</v>
      </c>
      <c r="H269" s="1633">
        <v>0</v>
      </c>
      <c r="I269" s="1633">
        <v>526898.41</v>
      </c>
      <c r="J269" s="1633">
        <v>0</v>
      </c>
      <c r="K269" s="1625">
        <v>10.6</v>
      </c>
      <c r="L269" s="1618">
        <v>98.1</v>
      </c>
      <c r="M269" s="1619">
        <v>72.3</v>
      </c>
    </row>
    <row r="270" spans="1:13">
      <c r="A270" s="1628">
        <v>28</v>
      </c>
      <c r="B270" s="1629">
        <v>15</v>
      </c>
      <c r="C270" s="1623" t="s">
        <v>427</v>
      </c>
      <c r="D270" s="1632">
        <v>274709724.07999998</v>
      </c>
      <c r="E270" s="1632">
        <v>20960097.949999999</v>
      </c>
      <c r="F270" s="1632">
        <v>20557028.079999998</v>
      </c>
      <c r="G270" s="1632">
        <v>13990325.66</v>
      </c>
      <c r="H270" s="1633">
        <v>97095.8</v>
      </c>
      <c r="I270" s="1633">
        <v>403069.87</v>
      </c>
      <c r="J270" s="1633">
        <v>403069.87</v>
      </c>
      <c r="K270" s="1625">
        <v>7.6</v>
      </c>
      <c r="L270" s="1618">
        <v>98.1</v>
      </c>
      <c r="M270" s="1619">
        <v>66.7</v>
      </c>
    </row>
    <row r="271" spans="1:13">
      <c r="A271" s="1628">
        <v>28</v>
      </c>
      <c r="B271" s="1629">
        <v>16</v>
      </c>
      <c r="C271" s="1623" t="s">
        <v>428</v>
      </c>
      <c r="D271" s="1632">
        <v>135487587.28999999</v>
      </c>
      <c r="E271" s="1632">
        <v>18775975.050000001</v>
      </c>
      <c r="F271" s="1632">
        <v>18225896.91</v>
      </c>
      <c r="G271" s="1632">
        <v>13638758.16</v>
      </c>
      <c r="H271" s="1633">
        <v>245710.81</v>
      </c>
      <c r="I271" s="1633">
        <v>550078.14</v>
      </c>
      <c r="J271" s="1633">
        <v>342299.16</v>
      </c>
      <c r="K271" s="1625">
        <v>13.9</v>
      </c>
      <c r="L271" s="1618">
        <v>97.1</v>
      </c>
      <c r="M271" s="1619">
        <v>72.599999999999994</v>
      </c>
    </row>
    <row r="272" spans="1:13">
      <c r="A272" s="1628">
        <v>28</v>
      </c>
      <c r="B272" s="1629">
        <v>17</v>
      </c>
      <c r="C272" s="1623" t="s">
        <v>429</v>
      </c>
      <c r="D272" s="1632">
        <v>149342611.13</v>
      </c>
      <c r="E272" s="1632">
        <v>14572207.6</v>
      </c>
      <c r="F272" s="1632">
        <v>14065324.6</v>
      </c>
      <c r="G272" s="1632">
        <v>10267031.59</v>
      </c>
      <c r="H272" s="1633">
        <v>199641.81</v>
      </c>
      <c r="I272" s="1633">
        <v>506883</v>
      </c>
      <c r="J272" s="1633">
        <v>476379</v>
      </c>
      <c r="K272" s="1625">
        <v>9.8000000000000007</v>
      </c>
      <c r="L272" s="1618">
        <v>96.5</v>
      </c>
      <c r="M272" s="1619">
        <v>70.5</v>
      </c>
    </row>
    <row r="273" spans="1:13">
      <c r="A273" s="1628">
        <v>28</v>
      </c>
      <c r="B273" s="1629">
        <v>18</v>
      </c>
      <c r="C273" s="1623" t="s">
        <v>430</v>
      </c>
      <c r="D273" s="1632">
        <v>64525108.619999997</v>
      </c>
      <c r="E273" s="1632">
        <v>10731773.98</v>
      </c>
      <c r="F273" s="1632">
        <v>9876140.5800000001</v>
      </c>
      <c r="G273" s="1632">
        <v>7285161.2000000002</v>
      </c>
      <c r="H273" s="1633">
        <v>430402</v>
      </c>
      <c r="I273" s="1633">
        <v>855633.4</v>
      </c>
      <c r="J273" s="1633">
        <v>773153.4</v>
      </c>
      <c r="K273" s="1625">
        <v>16.600000000000001</v>
      </c>
      <c r="L273" s="1618">
        <v>92</v>
      </c>
      <c r="M273" s="1619">
        <v>67.900000000000006</v>
      </c>
    </row>
    <row r="274" spans="1:13">
      <c r="A274" s="1628">
        <v>28</v>
      </c>
      <c r="B274" s="1629">
        <v>19</v>
      </c>
      <c r="C274" s="1623" t="s">
        <v>431</v>
      </c>
      <c r="D274" s="1632">
        <v>83486838.469999999</v>
      </c>
      <c r="E274" s="1632">
        <v>6206935.4800000004</v>
      </c>
      <c r="F274" s="1632">
        <v>6074134.2199999997</v>
      </c>
      <c r="G274" s="1632">
        <v>4581308.04</v>
      </c>
      <c r="H274" s="1633">
        <v>26556.7</v>
      </c>
      <c r="I274" s="1633">
        <v>132801.26</v>
      </c>
      <c r="J274" s="1633">
        <v>0</v>
      </c>
      <c r="K274" s="1625">
        <v>7.4</v>
      </c>
      <c r="L274" s="1618">
        <v>97.9</v>
      </c>
      <c r="M274" s="1619">
        <v>73.8</v>
      </c>
    </row>
    <row r="275" spans="1:13">
      <c r="A275" s="1628">
        <v>30</v>
      </c>
      <c r="B275" s="1629">
        <v>1</v>
      </c>
      <c r="C275" s="1623" t="s">
        <v>432</v>
      </c>
      <c r="D275" s="1632">
        <v>122931853.61</v>
      </c>
      <c r="E275" s="1632">
        <v>11241137</v>
      </c>
      <c r="F275" s="1632">
        <v>11072184.199999999</v>
      </c>
      <c r="G275" s="1632">
        <v>9198298.3200000003</v>
      </c>
      <c r="H275" s="1633">
        <v>158073.22</v>
      </c>
      <c r="I275" s="1633">
        <v>168952.8</v>
      </c>
      <c r="J275" s="1633">
        <v>110527.8</v>
      </c>
      <c r="K275" s="1625">
        <v>9.1</v>
      </c>
      <c r="L275" s="1618">
        <v>98.5</v>
      </c>
      <c r="M275" s="1619">
        <v>81.8</v>
      </c>
    </row>
    <row r="276" spans="1:13" ht="26.4">
      <c r="A276" s="1628">
        <v>30</v>
      </c>
      <c r="B276" s="1629">
        <v>2</v>
      </c>
      <c r="C276" s="1623" t="s">
        <v>433</v>
      </c>
      <c r="D276" s="1632">
        <v>213346773.59</v>
      </c>
      <c r="E276" s="1632">
        <v>22298814.5</v>
      </c>
      <c r="F276" s="1632">
        <v>21675404.390000001</v>
      </c>
      <c r="G276" s="1632">
        <v>16098323.42</v>
      </c>
      <c r="H276" s="1633">
        <v>7257</v>
      </c>
      <c r="I276" s="1633">
        <v>623410.11</v>
      </c>
      <c r="J276" s="1633">
        <v>567038.61</v>
      </c>
      <c r="K276" s="1625">
        <v>10.5</v>
      </c>
      <c r="L276" s="1618">
        <v>97.2</v>
      </c>
      <c r="M276" s="1619">
        <v>72.2</v>
      </c>
    </row>
    <row r="277" spans="1:13">
      <c r="A277" s="1628">
        <v>30</v>
      </c>
      <c r="B277" s="1629">
        <v>3</v>
      </c>
      <c r="C277" s="1623" t="s">
        <v>434</v>
      </c>
      <c r="D277" s="1632">
        <v>328017950.48000002</v>
      </c>
      <c r="E277" s="1632">
        <v>34339254.93</v>
      </c>
      <c r="F277" s="1632">
        <v>32035286.379999999</v>
      </c>
      <c r="G277" s="1632">
        <v>23381561.879999999</v>
      </c>
      <c r="H277" s="1633">
        <v>210928.19</v>
      </c>
      <c r="I277" s="1633">
        <v>2303968.5499999998</v>
      </c>
      <c r="J277" s="1633">
        <v>364210</v>
      </c>
      <c r="K277" s="1625">
        <v>10.5</v>
      </c>
      <c r="L277" s="1618">
        <v>93.3</v>
      </c>
      <c r="M277" s="1619">
        <v>68.099999999999994</v>
      </c>
    </row>
    <row r="278" spans="1:13">
      <c r="A278" s="1628">
        <v>30</v>
      </c>
      <c r="B278" s="1629">
        <v>4</v>
      </c>
      <c r="C278" s="1623" t="s">
        <v>435</v>
      </c>
      <c r="D278" s="1632">
        <v>177228947.91999999</v>
      </c>
      <c r="E278" s="1632">
        <v>13822827.24</v>
      </c>
      <c r="F278" s="1632">
        <v>13702336.74</v>
      </c>
      <c r="G278" s="1632">
        <v>9293473.1300000008</v>
      </c>
      <c r="H278" s="1633">
        <v>53890.42</v>
      </c>
      <c r="I278" s="1633">
        <v>120490.5</v>
      </c>
      <c r="J278" s="1633">
        <v>0</v>
      </c>
      <c r="K278" s="1625">
        <v>7.8</v>
      </c>
      <c r="L278" s="1618">
        <v>99.1</v>
      </c>
      <c r="M278" s="1619">
        <v>67.2</v>
      </c>
    </row>
    <row r="279" spans="1:13">
      <c r="A279" s="1628">
        <v>30</v>
      </c>
      <c r="B279" s="1629">
        <v>5</v>
      </c>
      <c r="C279" s="1623" t="s">
        <v>293</v>
      </c>
      <c r="D279" s="1632">
        <v>133753491.67</v>
      </c>
      <c r="E279" s="1632">
        <v>16711912.32</v>
      </c>
      <c r="F279" s="1632">
        <v>14417778.82</v>
      </c>
      <c r="G279" s="1632">
        <v>10119977.210000001</v>
      </c>
      <c r="H279" s="1633">
        <v>212780</v>
      </c>
      <c r="I279" s="1633">
        <v>2294133.5</v>
      </c>
      <c r="J279" s="1633">
        <v>660879</v>
      </c>
      <c r="K279" s="1625">
        <v>12.5</v>
      </c>
      <c r="L279" s="1618">
        <v>86.3</v>
      </c>
      <c r="M279" s="1619">
        <v>60.6</v>
      </c>
    </row>
    <row r="280" spans="1:13">
      <c r="A280" s="1628">
        <v>30</v>
      </c>
      <c r="B280" s="1629">
        <v>6</v>
      </c>
      <c r="C280" s="1623" t="s">
        <v>436</v>
      </c>
      <c r="D280" s="1632">
        <v>167581981.81999999</v>
      </c>
      <c r="E280" s="1632">
        <v>12201760.449999999</v>
      </c>
      <c r="F280" s="1632">
        <v>11799148.16</v>
      </c>
      <c r="G280" s="1632">
        <v>8589124.3000000007</v>
      </c>
      <c r="H280" s="1633">
        <v>214119.46</v>
      </c>
      <c r="I280" s="1633">
        <v>402612.29</v>
      </c>
      <c r="J280" s="1633">
        <v>93114.69</v>
      </c>
      <c r="K280" s="1625">
        <v>7.3</v>
      </c>
      <c r="L280" s="1618">
        <v>96.7</v>
      </c>
      <c r="M280" s="1619">
        <v>70.400000000000006</v>
      </c>
    </row>
    <row r="281" spans="1:13">
      <c r="A281" s="1628">
        <v>30</v>
      </c>
      <c r="B281" s="1629">
        <v>7</v>
      </c>
      <c r="C281" s="1623" t="s">
        <v>437</v>
      </c>
      <c r="D281" s="1632">
        <v>134413263.11000001</v>
      </c>
      <c r="E281" s="1632">
        <v>25283192.620000001</v>
      </c>
      <c r="F281" s="1632">
        <v>24532182.609999999</v>
      </c>
      <c r="G281" s="1632">
        <v>19086767.460000001</v>
      </c>
      <c r="H281" s="1633">
        <v>22885.97</v>
      </c>
      <c r="I281" s="1633">
        <v>751010.01</v>
      </c>
      <c r="J281" s="1633">
        <v>441204.25</v>
      </c>
      <c r="K281" s="1625">
        <v>18.8</v>
      </c>
      <c r="L281" s="1618">
        <v>97</v>
      </c>
      <c r="M281" s="1619">
        <v>75.5</v>
      </c>
    </row>
    <row r="282" spans="1:13">
      <c r="A282" s="1628">
        <v>30</v>
      </c>
      <c r="B282" s="1629">
        <v>8</v>
      </c>
      <c r="C282" s="1623" t="s">
        <v>438</v>
      </c>
      <c r="D282" s="1632">
        <v>154378418.43000001</v>
      </c>
      <c r="E282" s="1632">
        <v>15449451.800000001</v>
      </c>
      <c r="F282" s="1632">
        <v>14115953.66</v>
      </c>
      <c r="G282" s="1632">
        <v>11332056</v>
      </c>
      <c r="H282" s="1633">
        <v>87533.66</v>
      </c>
      <c r="I282" s="1633">
        <v>1333498.1399999999</v>
      </c>
      <c r="J282" s="1633">
        <v>938030.36</v>
      </c>
      <c r="K282" s="1625">
        <v>10</v>
      </c>
      <c r="L282" s="1618">
        <v>91.4</v>
      </c>
      <c r="M282" s="1619">
        <v>73.3</v>
      </c>
    </row>
    <row r="283" spans="1:13">
      <c r="A283" s="1628">
        <v>30</v>
      </c>
      <c r="B283" s="1629">
        <v>9</v>
      </c>
      <c r="C283" s="1623" t="s">
        <v>439</v>
      </c>
      <c r="D283" s="1632">
        <v>209640608.44999999</v>
      </c>
      <c r="E283" s="1632">
        <v>21439165.359999999</v>
      </c>
      <c r="F283" s="1632">
        <v>20410645.350000001</v>
      </c>
      <c r="G283" s="1632">
        <v>14284860.439999999</v>
      </c>
      <c r="H283" s="1633">
        <v>54413.599999999999</v>
      </c>
      <c r="I283" s="1633">
        <v>1028520.01</v>
      </c>
      <c r="J283" s="1633">
        <v>771566.21</v>
      </c>
      <c r="K283" s="1625">
        <v>10.199999999999999</v>
      </c>
      <c r="L283" s="1618">
        <v>95.2</v>
      </c>
      <c r="M283" s="1619">
        <v>66.599999999999994</v>
      </c>
    </row>
    <row r="284" spans="1:13">
      <c r="A284" s="1628">
        <v>30</v>
      </c>
      <c r="B284" s="1629">
        <v>10</v>
      </c>
      <c r="C284" s="1623" t="s">
        <v>440</v>
      </c>
      <c r="D284" s="1632">
        <v>182080128.52000001</v>
      </c>
      <c r="E284" s="1632">
        <v>30403890.789999999</v>
      </c>
      <c r="F284" s="1632">
        <v>30292448.390000001</v>
      </c>
      <c r="G284" s="1632">
        <v>21318027.18</v>
      </c>
      <c r="H284" s="1633">
        <v>0</v>
      </c>
      <c r="I284" s="1633">
        <v>111442.4</v>
      </c>
      <c r="J284" s="1633">
        <v>0</v>
      </c>
      <c r="K284" s="1625">
        <v>16.7</v>
      </c>
      <c r="L284" s="1618">
        <v>99.6</v>
      </c>
      <c r="M284" s="1619">
        <v>70.099999999999994</v>
      </c>
    </row>
    <row r="285" spans="1:13">
      <c r="A285" s="1628">
        <v>30</v>
      </c>
      <c r="B285" s="1629">
        <v>11</v>
      </c>
      <c r="C285" s="1623" t="s">
        <v>441</v>
      </c>
      <c r="D285" s="1632">
        <v>153983536.88999999</v>
      </c>
      <c r="E285" s="1632">
        <v>16153788.279999999</v>
      </c>
      <c r="F285" s="1632">
        <v>15715645.66</v>
      </c>
      <c r="G285" s="1632">
        <v>10557147.41</v>
      </c>
      <c r="H285" s="1633">
        <v>3505.5</v>
      </c>
      <c r="I285" s="1633">
        <v>438142.62</v>
      </c>
      <c r="J285" s="1633">
        <v>0</v>
      </c>
      <c r="K285" s="1625">
        <v>10.5</v>
      </c>
      <c r="L285" s="1618">
        <v>97.3</v>
      </c>
      <c r="M285" s="1619">
        <v>65.400000000000006</v>
      </c>
    </row>
    <row r="286" spans="1:13">
      <c r="A286" s="1628">
        <v>30</v>
      </c>
      <c r="B286" s="1629">
        <v>12</v>
      </c>
      <c r="C286" s="1623" t="s">
        <v>442</v>
      </c>
      <c r="D286" s="1632">
        <v>199720191.72999999</v>
      </c>
      <c r="E286" s="1632">
        <v>17054120.359999999</v>
      </c>
      <c r="F286" s="1632">
        <v>16879891.25</v>
      </c>
      <c r="G286" s="1632">
        <v>13364454.560000001</v>
      </c>
      <c r="H286" s="1633">
        <v>145827.34</v>
      </c>
      <c r="I286" s="1633">
        <v>174229.11</v>
      </c>
      <c r="J286" s="1633">
        <v>129906.43</v>
      </c>
      <c r="K286" s="1625">
        <v>8.5</v>
      </c>
      <c r="L286" s="1618">
        <v>99</v>
      </c>
      <c r="M286" s="1619">
        <v>78.400000000000006</v>
      </c>
    </row>
    <row r="287" spans="1:13">
      <c r="A287" s="1628">
        <v>30</v>
      </c>
      <c r="B287" s="1629">
        <v>13</v>
      </c>
      <c r="C287" s="1623" t="s">
        <v>443</v>
      </c>
      <c r="D287" s="1632">
        <v>97899411.109999999</v>
      </c>
      <c r="E287" s="1632">
        <v>15898246.34</v>
      </c>
      <c r="F287" s="1632">
        <v>15898246.34</v>
      </c>
      <c r="G287" s="1632">
        <v>11686147.35</v>
      </c>
      <c r="H287" s="1633">
        <v>0</v>
      </c>
      <c r="I287" s="1633">
        <v>0</v>
      </c>
      <c r="J287" s="1633">
        <v>0</v>
      </c>
      <c r="K287" s="1625">
        <v>16.2</v>
      </c>
      <c r="L287" s="1618">
        <v>100</v>
      </c>
      <c r="M287" s="1619">
        <v>73.5</v>
      </c>
    </row>
    <row r="288" spans="1:13">
      <c r="A288" s="1628">
        <v>30</v>
      </c>
      <c r="B288" s="1629">
        <v>14</v>
      </c>
      <c r="C288" s="1623" t="s">
        <v>444</v>
      </c>
      <c r="D288" s="1632">
        <v>113243651.89</v>
      </c>
      <c r="E288" s="1632">
        <v>12344863.1</v>
      </c>
      <c r="F288" s="1632">
        <v>11086372.1</v>
      </c>
      <c r="G288" s="1632">
        <v>7870976.0199999996</v>
      </c>
      <c r="H288" s="1633">
        <v>0</v>
      </c>
      <c r="I288" s="1633">
        <v>1258491</v>
      </c>
      <c r="J288" s="1633">
        <v>838491</v>
      </c>
      <c r="K288" s="1625">
        <v>10.9</v>
      </c>
      <c r="L288" s="1618">
        <v>89.8</v>
      </c>
      <c r="M288" s="1619">
        <v>63.8</v>
      </c>
    </row>
    <row r="289" spans="1:13">
      <c r="A289" s="1628">
        <v>30</v>
      </c>
      <c r="B289" s="1629">
        <v>15</v>
      </c>
      <c r="C289" s="1623" t="s">
        <v>445</v>
      </c>
      <c r="D289" s="1632">
        <v>148696638.06999999</v>
      </c>
      <c r="E289" s="1632">
        <v>24040056.25</v>
      </c>
      <c r="F289" s="1632">
        <v>21796206.280000001</v>
      </c>
      <c r="G289" s="1632">
        <v>15546028.08</v>
      </c>
      <c r="H289" s="1633">
        <v>140887.9</v>
      </c>
      <c r="I289" s="1633">
        <v>2243849.9700000002</v>
      </c>
      <c r="J289" s="1633">
        <v>971185.86</v>
      </c>
      <c r="K289" s="1625">
        <v>16.2</v>
      </c>
      <c r="L289" s="1618">
        <v>90.7</v>
      </c>
      <c r="M289" s="1619">
        <v>64.7</v>
      </c>
    </row>
    <row r="290" spans="1:13">
      <c r="A290" s="1628">
        <v>30</v>
      </c>
      <c r="B290" s="1629">
        <v>16</v>
      </c>
      <c r="C290" s="1623" t="s">
        <v>446</v>
      </c>
      <c r="D290" s="1632">
        <v>104978908.45</v>
      </c>
      <c r="E290" s="1632">
        <v>15479567.539999999</v>
      </c>
      <c r="F290" s="1632">
        <v>14965337.93</v>
      </c>
      <c r="G290" s="1632">
        <v>10634809.76</v>
      </c>
      <c r="H290" s="1633">
        <v>39118.43</v>
      </c>
      <c r="I290" s="1633">
        <v>514229.61</v>
      </c>
      <c r="J290" s="1633">
        <v>126382</v>
      </c>
      <c r="K290" s="1625">
        <v>14.7</v>
      </c>
      <c r="L290" s="1618">
        <v>96.7</v>
      </c>
      <c r="M290" s="1619">
        <v>68.7</v>
      </c>
    </row>
    <row r="291" spans="1:13">
      <c r="A291" s="1628">
        <v>30</v>
      </c>
      <c r="B291" s="1629">
        <v>17</v>
      </c>
      <c r="C291" s="1623" t="s">
        <v>304</v>
      </c>
      <c r="D291" s="1632">
        <v>333147401.62</v>
      </c>
      <c r="E291" s="1632">
        <v>26178853.960000001</v>
      </c>
      <c r="F291" s="1632">
        <v>24868334.489999998</v>
      </c>
      <c r="G291" s="1632">
        <v>18801746.329999998</v>
      </c>
      <c r="H291" s="1633">
        <v>201808.26</v>
      </c>
      <c r="I291" s="1633">
        <v>1310519.47</v>
      </c>
      <c r="J291" s="1633">
        <v>510450</v>
      </c>
      <c r="K291" s="1625">
        <v>7.9</v>
      </c>
      <c r="L291" s="1618">
        <v>95</v>
      </c>
      <c r="M291" s="1619">
        <v>71.8</v>
      </c>
    </row>
    <row r="292" spans="1:13">
      <c r="A292" s="1628">
        <v>30</v>
      </c>
      <c r="B292" s="1629">
        <v>18</v>
      </c>
      <c r="C292" s="1623" t="s">
        <v>447</v>
      </c>
      <c r="D292" s="1632">
        <v>158111099.09999999</v>
      </c>
      <c r="E292" s="1632">
        <v>16188107.810000001</v>
      </c>
      <c r="F292" s="1632">
        <v>15553328.58</v>
      </c>
      <c r="G292" s="1632">
        <v>11417034.140000001</v>
      </c>
      <c r="H292" s="1633">
        <v>105226.5</v>
      </c>
      <c r="I292" s="1633">
        <v>634779.23</v>
      </c>
      <c r="J292" s="1633">
        <v>587940</v>
      </c>
      <c r="K292" s="1625">
        <v>10.199999999999999</v>
      </c>
      <c r="L292" s="1618">
        <v>96.1</v>
      </c>
      <c r="M292" s="1619">
        <v>70.5</v>
      </c>
    </row>
    <row r="293" spans="1:13">
      <c r="A293" s="1628">
        <v>30</v>
      </c>
      <c r="B293" s="1629">
        <v>19</v>
      </c>
      <c r="C293" s="1623" t="s">
        <v>448</v>
      </c>
      <c r="D293" s="1632">
        <v>337844229.73000002</v>
      </c>
      <c r="E293" s="1632">
        <v>30848978.98</v>
      </c>
      <c r="F293" s="1632">
        <v>28698146.760000002</v>
      </c>
      <c r="G293" s="1632">
        <v>19608092</v>
      </c>
      <c r="H293" s="1633">
        <v>585551.4</v>
      </c>
      <c r="I293" s="1633">
        <v>2150832.2200000002</v>
      </c>
      <c r="J293" s="1633">
        <v>696192.6</v>
      </c>
      <c r="K293" s="1625">
        <v>9.1</v>
      </c>
      <c r="L293" s="1618">
        <v>93</v>
      </c>
      <c r="M293" s="1619">
        <v>63.6</v>
      </c>
    </row>
    <row r="294" spans="1:13">
      <c r="A294" s="1628">
        <v>30</v>
      </c>
      <c r="B294" s="1629">
        <v>20</v>
      </c>
      <c r="C294" s="1623" t="s">
        <v>449</v>
      </c>
      <c r="D294" s="1632">
        <v>191559879.09</v>
      </c>
      <c r="E294" s="1632">
        <v>16491368.73</v>
      </c>
      <c r="F294" s="1632">
        <v>14734865.560000001</v>
      </c>
      <c r="G294" s="1632">
        <v>10615104.57</v>
      </c>
      <c r="H294" s="1633">
        <v>0</v>
      </c>
      <c r="I294" s="1633">
        <v>1756503.17</v>
      </c>
      <c r="J294" s="1633">
        <v>807759.45</v>
      </c>
      <c r="K294" s="1625">
        <v>8.6</v>
      </c>
      <c r="L294" s="1618">
        <v>89.3</v>
      </c>
      <c r="M294" s="1619">
        <v>64.400000000000006</v>
      </c>
    </row>
    <row r="295" spans="1:13">
      <c r="A295" s="1628">
        <v>30</v>
      </c>
      <c r="B295" s="1629">
        <v>21</v>
      </c>
      <c r="C295" s="1623" t="s">
        <v>450</v>
      </c>
      <c r="D295" s="1632">
        <v>687849771.59000003</v>
      </c>
      <c r="E295" s="1632">
        <v>126327464.73999999</v>
      </c>
      <c r="F295" s="1632">
        <v>122482597.91</v>
      </c>
      <c r="G295" s="1632">
        <v>82030231.459999993</v>
      </c>
      <c r="H295" s="1633">
        <v>0</v>
      </c>
      <c r="I295" s="1633">
        <v>3844866.83</v>
      </c>
      <c r="J295" s="1633">
        <v>0</v>
      </c>
      <c r="K295" s="1625">
        <v>18.399999999999999</v>
      </c>
      <c r="L295" s="1618">
        <v>97</v>
      </c>
      <c r="M295" s="1619">
        <v>64.900000000000006</v>
      </c>
    </row>
    <row r="296" spans="1:13">
      <c r="A296" s="1628">
        <v>30</v>
      </c>
      <c r="B296" s="1629">
        <v>22</v>
      </c>
      <c r="C296" s="1623" t="s">
        <v>451</v>
      </c>
      <c r="D296" s="1632">
        <v>129495409.03</v>
      </c>
      <c r="E296" s="1632">
        <v>15278567.359999999</v>
      </c>
      <c r="F296" s="1632">
        <v>14853487.83</v>
      </c>
      <c r="G296" s="1632">
        <v>10418090.91</v>
      </c>
      <c r="H296" s="1633">
        <v>56369.67</v>
      </c>
      <c r="I296" s="1633">
        <v>425079.53</v>
      </c>
      <c r="J296" s="1633">
        <v>21254.400000000001</v>
      </c>
      <c r="K296" s="1625">
        <v>11.8</v>
      </c>
      <c r="L296" s="1618">
        <v>97.2</v>
      </c>
      <c r="M296" s="1619">
        <v>68.2</v>
      </c>
    </row>
    <row r="297" spans="1:13">
      <c r="A297" s="1628">
        <v>30</v>
      </c>
      <c r="B297" s="1629">
        <v>23</v>
      </c>
      <c r="C297" s="1623" t="s">
        <v>452</v>
      </c>
      <c r="D297" s="1632">
        <v>138270934.88</v>
      </c>
      <c r="E297" s="1632">
        <v>15841591.09</v>
      </c>
      <c r="F297" s="1632">
        <v>15305033.77</v>
      </c>
      <c r="G297" s="1632">
        <v>10767796.99</v>
      </c>
      <c r="H297" s="1633">
        <v>64914.239999999998</v>
      </c>
      <c r="I297" s="1633">
        <v>536557.31999999995</v>
      </c>
      <c r="J297" s="1633">
        <v>440074.32</v>
      </c>
      <c r="K297" s="1625">
        <v>11.5</v>
      </c>
      <c r="L297" s="1618">
        <v>96.6</v>
      </c>
      <c r="M297" s="1619">
        <v>68</v>
      </c>
    </row>
    <row r="298" spans="1:13">
      <c r="A298" s="1628">
        <v>30</v>
      </c>
      <c r="B298" s="1629">
        <v>24</v>
      </c>
      <c r="C298" s="1623" t="s">
        <v>453</v>
      </c>
      <c r="D298" s="1632">
        <v>180625659.66</v>
      </c>
      <c r="E298" s="1632">
        <v>19196528.66</v>
      </c>
      <c r="F298" s="1632">
        <v>18558290.66</v>
      </c>
      <c r="G298" s="1632">
        <v>12827839.689999999</v>
      </c>
      <c r="H298" s="1633">
        <v>98386.49</v>
      </c>
      <c r="I298" s="1633">
        <v>638238</v>
      </c>
      <c r="J298" s="1633">
        <v>430500</v>
      </c>
      <c r="K298" s="1625">
        <v>10.6</v>
      </c>
      <c r="L298" s="1618">
        <v>96.7</v>
      </c>
      <c r="M298" s="1619">
        <v>66.8</v>
      </c>
    </row>
    <row r="299" spans="1:13">
      <c r="A299" s="1628">
        <v>30</v>
      </c>
      <c r="B299" s="1629">
        <v>25</v>
      </c>
      <c r="C299" s="1623" t="s">
        <v>191</v>
      </c>
      <c r="D299" s="1632">
        <v>152856160.19999999</v>
      </c>
      <c r="E299" s="1632">
        <v>15406798.4</v>
      </c>
      <c r="F299" s="1632">
        <v>14677823.59</v>
      </c>
      <c r="G299" s="1632">
        <v>8569554.3499999996</v>
      </c>
      <c r="H299" s="1633">
        <v>150445.60999999999</v>
      </c>
      <c r="I299" s="1633">
        <v>728974.81</v>
      </c>
      <c r="J299" s="1633">
        <v>448529.35</v>
      </c>
      <c r="K299" s="1625">
        <v>10.1</v>
      </c>
      <c r="L299" s="1618">
        <v>95.3</v>
      </c>
      <c r="M299" s="1619">
        <v>55.6</v>
      </c>
    </row>
    <row r="300" spans="1:13">
      <c r="A300" s="1628">
        <v>30</v>
      </c>
      <c r="B300" s="1629">
        <v>26</v>
      </c>
      <c r="C300" s="1623" t="s">
        <v>454</v>
      </c>
      <c r="D300" s="1632">
        <v>146405429.19999999</v>
      </c>
      <c r="E300" s="1632">
        <v>12138060.66</v>
      </c>
      <c r="F300" s="1632">
        <v>11956407.93</v>
      </c>
      <c r="G300" s="1632">
        <v>8488847.1899999995</v>
      </c>
      <c r="H300" s="1633">
        <v>0</v>
      </c>
      <c r="I300" s="1633">
        <v>181652.73</v>
      </c>
      <c r="J300" s="1633">
        <v>0</v>
      </c>
      <c r="K300" s="1625">
        <v>8.3000000000000007</v>
      </c>
      <c r="L300" s="1618">
        <v>98.5</v>
      </c>
      <c r="M300" s="1619">
        <v>69.900000000000006</v>
      </c>
    </row>
    <row r="301" spans="1:13">
      <c r="A301" s="1628">
        <v>30</v>
      </c>
      <c r="B301" s="1629">
        <v>27</v>
      </c>
      <c r="C301" s="1623" t="s">
        <v>455</v>
      </c>
      <c r="D301" s="1632">
        <v>176039378.56999999</v>
      </c>
      <c r="E301" s="1632">
        <v>22331880.469999999</v>
      </c>
      <c r="F301" s="1632">
        <v>21326830.77</v>
      </c>
      <c r="G301" s="1632">
        <v>15551408.1</v>
      </c>
      <c r="H301" s="1633">
        <v>51386</v>
      </c>
      <c r="I301" s="1633">
        <v>1005049.7</v>
      </c>
      <c r="J301" s="1633">
        <v>740324.3</v>
      </c>
      <c r="K301" s="1625">
        <v>12.7</v>
      </c>
      <c r="L301" s="1618">
        <v>95.5</v>
      </c>
      <c r="M301" s="1619">
        <v>69.599999999999994</v>
      </c>
    </row>
    <row r="302" spans="1:13">
      <c r="A302" s="1628">
        <v>30</v>
      </c>
      <c r="B302" s="1629">
        <v>28</v>
      </c>
      <c r="C302" s="1623" t="s">
        <v>456</v>
      </c>
      <c r="D302" s="1632">
        <v>190169103.66</v>
      </c>
      <c r="E302" s="1632">
        <v>18054362.52</v>
      </c>
      <c r="F302" s="1632">
        <v>17276328.530000001</v>
      </c>
      <c r="G302" s="1632">
        <v>12446313.869999999</v>
      </c>
      <c r="H302" s="1633">
        <v>304767.3</v>
      </c>
      <c r="I302" s="1633">
        <v>778033.99</v>
      </c>
      <c r="J302" s="1633">
        <v>620773</v>
      </c>
      <c r="K302" s="1625">
        <v>9.5</v>
      </c>
      <c r="L302" s="1618">
        <v>95.7</v>
      </c>
      <c r="M302" s="1619">
        <v>68.900000000000006</v>
      </c>
    </row>
    <row r="303" spans="1:13">
      <c r="A303" s="1628">
        <v>30</v>
      </c>
      <c r="B303" s="1629">
        <v>29</v>
      </c>
      <c r="C303" s="1623" t="s">
        <v>457</v>
      </c>
      <c r="D303" s="1632">
        <v>171536695.72</v>
      </c>
      <c r="E303" s="1632">
        <v>17134083.489999998</v>
      </c>
      <c r="F303" s="1632">
        <v>14630539.51</v>
      </c>
      <c r="G303" s="1632">
        <v>11429923.210000001</v>
      </c>
      <c r="H303" s="1633">
        <v>458929.59</v>
      </c>
      <c r="I303" s="1633">
        <v>2503543.98</v>
      </c>
      <c r="J303" s="1633">
        <v>2404477.48</v>
      </c>
      <c r="K303" s="1625">
        <v>10</v>
      </c>
      <c r="L303" s="1618">
        <v>85.4</v>
      </c>
      <c r="M303" s="1619">
        <v>66.7</v>
      </c>
    </row>
    <row r="304" spans="1:13">
      <c r="A304" s="1628">
        <v>30</v>
      </c>
      <c r="B304" s="1629">
        <v>30</v>
      </c>
      <c r="C304" s="1623" t="s">
        <v>458</v>
      </c>
      <c r="D304" s="1632">
        <v>166076141.96000001</v>
      </c>
      <c r="E304" s="1632">
        <v>18502305.989999998</v>
      </c>
      <c r="F304" s="1632">
        <v>18044736.940000001</v>
      </c>
      <c r="G304" s="1632">
        <v>12971251.75</v>
      </c>
      <c r="H304" s="1633">
        <v>56260</v>
      </c>
      <c r="I304" s="1633">
        <v>457569.05</v>
      </c>
      <c r="J304" s="1633">
        <v>256234.65</v>
      </c>
      <c r="K304" s="1625">
        <v>11.1</v>
      </c>
      <c r="L304" s="1618">
        <v>97.5</v>
      </c>
      <c r="M304" s="1619">
        <v>70.099999999999994</v>
      </c>
    </row>
    <row r="305" spans="1:13">
      <c r="A305" s="1628">
        <v>30</v>
      </c>
      <c r="B305" s="1629">
        <v>31</v>
      </c>
      <c r="C305" s="1623" t="s">
        <v>459</v>
      </c>
      <c r="D305" s="1632">
        <v>149779997.94</v>
      </c>
      <c r="E305" s="1632">
        <v>18343262.27</v>
      </c>
      <c r="F305" s="1632">
        <v>17569514.780000001</v>
      </c>
      <c r="G305" s="1632">
        <v>13944649.66</v>
      </c>
      <c r="H305" s="1633">
        <v>157558.54999999999</v>
      </c>
      <c r="I305" s="1633">
        <v>773747.49</v>
      </c>
      <c r="J305" s="1633">
        <v>661694.49</v>
      </c>
      <c r="K305" s="1625">
        <v>12.2</v>
      </c>
      <c r="L305" s="1618">
        <v>95.8</v>
      </c>
      <c r="M305" s="1619">
        <v>76</v>
      </c>
    </row>
    <row r="306" spans="1:13">
      <c r="A306" s="1628">
        <v>32</v>
      </c>
      <c r="B306" s="1629">
        <v>1</v>
      </c>
      <c r="C306" s="1623" t="s">
        <v>460</v>
      </c>
      <c r="D306" s="1632">
        <v>131398687.19</v>
      </c>
      <c r="E306" s="1632">
        <v>16219855.92</v>
      </c>
      <c r="F306" s="1632">
        <v>16219855.92</v>
      </c>
      <c r="G306" s="1632">
        <v>12849237.189999999</v>
      </c>
      <c r="H306" s="1633">
        <v>0</v>
      </c>
      <c r="I306" s="1633">
        <v>0</v>
      </c>
      <c r="J306" s="1633">
        <v>0</v>
      </c>
      <c r="K306" s="1625">
        <v>12.3</v>
      </c>
      <c r="L306" s="1618">
        <v>100</v>
      </c>
      <c r="M306" s="1619">
        <v>79.2</v>
      </c>
    </row>
    <row r="307" spans="1:13">
      <c r="A307" s="1628">
        <v>32</v>
      </c>
      <c r="B307" s="1629">
        <v>2</v>
      </c>
      <c r="C307" s="1623" t="s">
        <v>461</v>
      </c>
      <c r="D307" s="1632">
        <v>102011642.40000001</v>
      </c>
      <c r="E307" s="1632">
        <v>18313152.57</v>
      </c>
      <c r="F307" s="1632">
        <v>17914595.57</v>
      </c>
      <c r="G307" s="1632">
        <v>13972546.6</v>
      </c>
      <c r="H307" s="1633">
        <v>400645.66</v>
      </c>
      <c r="I307" s="1633">
        <v>398557</v>
      </c>
      <c r="J307" s="1633">
        <v>127797</v>
      </c>
      <c r="K307" s="1625">
        <v>18</v>
      </c>
      <c r="L307" s="1618">
        <v>97.8</v>
      </c>
      <c r="M307" s="1619">
        <v>76.3</v>
      </c>
    </row>
    <row r="308" spans="1:13">
      <c r="A308" s="1628">
        <v>32</v>
      </c>
      <c r="B308" s="1629">
        <v>3</v>
      </c>
      <c r="C308" s="1623" t="s">
        <v>462</v>
      </c>
      <c r="D308" s="1632">
        <v>202601818.56999999</v>
      </c>
      <c r="E308" s="1632">
        <v>18382489.449999999</v>
      </c>
      <c r="F308" s="1632">
        <v>17864312.210000001</v>
      </c>
      <c r="G308" s="1632">
        <v>13830616.789999999</v>
      </c>
      <c r="H308" s="1633">
        <v>167745</v>
      </c>
      <c r="I308" s="1633">
        <v>518177.24</v>
      </c>
      <c r="J308" s="1633">
        <v>120500</v>
      </c>
      <c r="K308" s="1625">
        <v>9.1</v>
      </c>
      <c r="L308" s="1618">
        <v>97.2</v>
      </c>
      <c r="M308" s="1619">
        <v>75.2</v>
      </c>
    </row>
    <row r="309" spans="1:13">
      <c r="A309" s="1628">
        <v>32</v>
      </c>
      <c r="B309" s="1629">
        <v>4</v>
      </c>
      <c r="C309" s="1623" t="s">
        <v>463</v>
      </c>
      <c r="D309" s="1632">
        <v>194277533.08000001</v>
      </c>
      <c r="E309" s="1632">
        <v>15778065.060000001</v>
      </c>
      <c r="F309" s="1632">
        <v>14880415.310000001</v>
      </c>
      <c r="G309" s="1632">
        <v>10246685.25</v>
      </c>
      <c r="H309" s="1633">
        <v>99666.9</v>
      </c>
      <c r="I309" s="1633">
        <v>897649.75</v>
      </c>
      <c r="J309" s="1633">
        <v>393071.1</v>
      </c>
      <c r="K309" s="1625">
        <v>8.1</v>
      </c>
      <c r="L309" s="1618">
        <v>94.3</v>
      </c>
      <c r="M309" s="1619">
        <v>64.900000000000006</v>
      </c>
    </row>
    <row r="310" spans="1:13">
      <c r="A310" s="1628">
        <v>32</v>
      </c>
      <c r="B310" s="1629">
        <v>5</v>
      </c>
      <c r="C310" s="1623" t="s">
        <v>464</v>
      </c>
      <c r="D310" s="1632">
        <v>178796037.83000001</v>
      </c>
      <c r="E310" s="1632">
        <v>18131281.239999998</v>
      </c>
      <c r="F310" s="1632">
        <v>17858217.23</v>
      </c>
      <c r="G310" s="1632">
        <v>14112246.310000001</v>
      </c>
      <c r="H310" s="1633">
        <v>0</v>
      </c>
      <c r="I310" s="1633">
        <v>273064.01</v>
      </c>
      <c r="J310" s="1633">
        <v>241064.01</v>
      </c>
      <c r="K310" s="1625">
        <v>10.1</v>
      </c>
      <c r="L310" s="1618">
        <v>98.5</v>
      </c>
      <c r="M310" s="1619">
        <v>77.8</v>
      </c>
    </row>
    <row r="311" spans="1:13">
      <c r="A311" s="1628">
        <v>32</v>
      </c>
      <c r="B311" s="1629">
        <v>6</v>
      </c>
      <c r="C311" s="1623" t="s">
        <v>465</v>
      </c>
      <c r="D311" s="1632">
        <v>177150274.81999999</v>
      </c>
      <c r="E311" s="1632">
        <v>18220663.879999999</v>
      </c>
      <c r="F311" s="1632">
        <v>18046374.879999999</v>
      </c>
      <c r="G311" s="1632">
        <v>13336158.289999999</v>
      </c>
      <c r="H311" s="1633">
        <v>0</v>
      </c>
      <c r="I311" s="1633">
        <v>174289</v>
      </c>
      <c r="J311" s="1633">
        <v>0</v>
      </c>
      <c r="K311" s="1625">
        <v>10.3</v>
      </c>
      <c r="L311" s="1618">
        <v>99</v>
      </c>
      <c r="M311" s="1619">
        <v>73.2</v>
      </c>
    </row>
    <row r="312" spans="1:13">
      <c r="A312" s="1628">
        <v>32</v>
      </c>
      <c r="B312" s="1629">
        <v>7</v>
      </c>
      <c r="C312" s="1623" t="s">
        <v>466</v>
      </c>
      <c r="D312" s="1632">
        <v>153089431.55000001</v>
      </c>
      <c r="E312" s="1632">
        <v>14577044.52</v>
      </c>
      <c r="F312" s="1632">
        <v>14004772.24</v>
      </c>
      <c r="G312" s="1632">
        <v>10882114.43</v>
      </c>
      <c r="H312" s="1633">
        <v>0</v>
      </c>
      <c r="I312" s="1633">
        <v>572272.28</v>
      </c>
      <c r="J312" s="1633">
        <v>0</v>
      </c>
      <c r="K312" s="1625">
        <v>9.5</v>
      </c>
      <c r="L312" s="1618">
        <v>96.1</v>
      </c>
      <c r="M312" s="1619">
        <v>74.7</v>
      </c>
    </row>
    <row r="313" spans="1:13">
      <c r="A313" s="1628">
        <v>32</v>
      </c>
      <c r="B313" s="1629">
        <v>8</v>
      </c>
      <c r="C313" s="1623" t="s">
        <v>467</v>
      </c>
      <c r="D313" s="1632">
        <v>211080139.62</v>
      </c>
      <c r="E313" s="1632">
        <v>20502022.870000001</v>
      </c>
      <c r="F313" s="1632">
        <v>20501522.870000001</v>
      </c>
      <c r="G313" s="1632">
        <v>16108515.949999999</v>
      </c>
      <c r="H313" s="1633">
        <v>11700</v>
      </c>
      <c r="I313" s="1633">
        <v>500</v>
      </c>
      <c r="J313" s="1633">
        <v>0</v>
      </c>
      <c r="K313" s="1625">
        <v>9.6999999999999993</v>
      </c>
      <c r="L313" s="1618">
        <v>100</v>
      </c>
      <c r="M313" s="1619">
        <v>78.599999999999994</v>
      </c>
    </row>
    <row r="314" spans="1:13">
      <c r="A314" s="1628">
        <v>32</v>
      </c>
      <c r="B314" s="1629">
        <v>9</v>
      </c>
      <c r="C314" s="1623" t="s">
        <v>468</v>
      </c>
      <c r="D314" s="1632">
        <v>163850102.03999999</v>
      </c>
      <c r="E314" s="1632">
        <v>30529230.07</v>
      </c>
      <c r="F314" s="1632">
        <v>29485796.870000001</v>
      </c>
      <c r="G314" s="1632">
        <v>23261094.059999999</v>
      </c>
      <c r="H314" s="1633">
        <v>319639.32</v>
      </c>
      <c r="I314" s="1633">
        <v>1043433.2</v>
      </c>
      <c r="J314" s="1633">
        <v>468387.66</v>
      </c>
      <c r="K314" s="1625">
        <v>18.600000000000001</v>
      </c>
      <c r="L314" s="1618">
        <v>96.6</v>
      </c>
      <c r="M314" s="1619">
        <v>76.2</v>
      </c>
    </row>
    <row r="315" spans="1:13">
      <c r="A315" s="1628">
        <v>32</v>
      </c>
      <c r="B315" s="1629">
        <v>10</v>
      </c>
      <c r="C315" s="1623" t="s">
        <v>469</v>
      </c>
      <c r="D315" s="1632">
        <v>170604337.30000001</v>
      </c>
      <c r="E315" s="1632">
        <v>19884707.989999998</v>
      </c>
      <c r="F315" s="1632">
        <v>19188840.390000001</v>
      </c>
      <c r="G315" s="1632">
        <v>14780109.1</v>
      </c>
      <c r="H315" s="1633">
        <v>54254</v>
      </c>
      <c r="I315" s="1633">
        <v>695867.6</v>
      </c>
      <c r="J315" s="1633">
        <v>679367.6</v>
      </c>
      <c r="K315" s="1625">
        <v>11.7</v>
      </c>
      <c r="L315" s="1618">
        <v>96.5</v>
      </c>
      <c r="M315" s="1619">
        <v>74.3</v>
      </c>
    </row>
    <row r="316" spans="1:13">
      <c r="A316" s="1628">
        <v>32</v>
      </c>
      <c r="B316" s="1629">
        <v>11</v>
      </c>
      <c r="C316" s="1623" t="s">
        <v>470</v>
      </c>
      <c r="D316" s="1632">
        <v>182136059.31</v>
      </c>
      <c r="E316" s="1632">
        <v>22318120.940000001</v>
      </c>
      <c r="F316" s="1632">
        <v>21738034.489999998</v>
      </c>
      <c r="G316" s="1632">
        <v>17127679.57</v>
      </c>
      <c r="H316" s="1633">
        <v>0</v>
      </c>
      <c r="I316" s="1633">
        <v>580086.44999999995</v>
      </c>
      <c r="J316" s="1633">
        <v>0</v>
      </c>
      <c r="K316" s="1625">
        <v>12.3</v>
      </c>
      <c r="L316" s="1618">
        <v>97.4</v>
      </c>
      <c r="M316" s="1619">
        <v>76.7</v>
      </c>
    </row>
    <row r="317" spans="1:13">
      <c r="A317" s="1628">
        <v>32</v>
      </c>
      <c r="B317" s="1629">
        <v>12</v>
      </c>
      <c r="C317" s="1623" t="s">
        <v>471</v>
      </c>
      <c r="D317" s="1632">
        <v>100873239.73999999</v>
      </c>
      <c r="E317" s="1632">
        <v>12971921.550000001</v>
      </c>
      <c r="F317" s="1632">
        <v>12235311.550000001</v>
      </c>
      <c r="G317" s="1632">
        <v>9083871.6699999999</v>
      </c>
      <c r="H317" s="1633">
        <v>23370</v>
      </c>
      <c r="I317" s="1633">
        <v>736610</v>
      </c>
      <c r="J317" s="1633">
        <v>736610</v>
      </c>
      <c r="K317" s="1625">
        <v>12.9</v>
      </c>
      <c r="L317" s="1618">
        <v>94.3</v>
      </c>
      <c r="M317" s="1619">
        <v>70</v>
      </c>
    </row>
    <row r="318" spans="1:13">
      <c r="A318" s="1628">
        <v>32</v>
      </c>
      <c r="B318" s="1629">
        <v>13</v>
      </c>
      <c r="C318" s="1623" t="s">
        <v>472</v>
      </c>
      <c r="D318" s="1632">
        <v>144329424.13999999</v>
      </c>
      <c r="E318" s="1632">
        <v>17585025.890000001</v>
      </c>
      <c r="F318" s="1632">
        <v>14031573.93</v>
      </c>
      <c r="G318" s="1632">
        <v>9543448.7400000002</v>
      </c>
      <c r="H318" s="1633">
        <v>65117.8</v>
      </c>
      <c r="I318" s="1633">
        <v>3553451.96</v>
      </c>
      <c r="J318" s="1633">
        <v>699227</v>
      </c>
      <c r="K318" s="1625">
        <v>12.2</v>
      </c>
      <c r="L318" s="1618">
        <v>79.8</v>
      </c>
      <c r="M318" s="1619">
        <v>54.3</v>
      </c>
    </row>
    <row r="319" spans="1:13">
      <c r="A319" s="1628">
        <v>32</v>
      </c>
      <c r="B319" s="1629">
        <v>14</v>
      </c>
      <c r="C319" s="1623" t="s">
        <v>473</v>
      </c>
      <c r="D319" s="1632">
        <v>283800804.08999997</v>
      </c>
      <c r="E319" s="1632">
        <v>20182323.760000002</v>
      </c>
      <c r="F319" s="1632">
        <v>19483818.690000001</v>
      </c>
      <c r="G319" s="1632">
        <v>13745256.859999999</v>
      </c>
      <c r="H319" s="1633">
        <v>0</v>
      </c>
      <c r="I319" s="1633">
        <v>698505.07</v>
      </c>
      <c r="J319" s="1633">
        <v>446736</v>
      </c>
      <c r="K319" s="1625">
        <v>7.1</v>
      </c>
      <c r="L319" s="1618">
        <v>96.5</v>
      </c>
      <c r="M319" s="1619">
        <v>68.099999999999994</v>
      </c>
    </row>
    <row r="320" spans="1:13">
      <c r="A320" s="1628">
        <v>32</v>
      </c>
      <c r="B320" s="1629">
        <v>15</v>
      </c>
      <c r="C320" s="1623" t="s">
        <v>474</v>
      </c>
      <c r="D320" s="1632">
        <v>240168693.65000001</v>
      </c>
      <c r="E320" s="1632">
        <v>23385900.350000001</v>
      </c>
      <c r="F320" s="1632">
        <v>22688342.27</v>
      </c>
      <c r="G320" s="1632">
        <v>16709848.109999999</v>
      </c>
      <c r="H320" s="1633">
        <v>29483.14</v>
      </c>
      <c r="I320" s="1633">
        <v>697558.08</v>
      </c>
      <c r="J320" s="1633">
        <v>543369.72</v>
      </c>
      <c r="K320" s="1625">
        <v>9.6999999999999993</v>
      </c>
      <c r="L320" s="1618">
        <v>97</v>
      </c>
      <c r="M320" s="1619">
        <v>71.5</v>
      </c>
    </row>
    <row r="321" spans="1:13">
      <c r="A321" s="1628">
        <v>32</v>
      </c>
      <c r="B321" s="1629">
        <v>16</v>
      </c>
      <c r="C321" s="1623" t="s">
        <v>475</v>
      </c>
      <c r="D321" s="1632">
        <v>151350945.03999999</v>
      </c>
      <c r="E321" s="1632">
        <v>15569272.18</v>
      </c>
      <c r="F321" s="1632">
        <v>14905501.529999999</v>
      </c>
      <c r="G321" s="1632">
        <v>11911388.359999999</v>
      </c>
      <c r="H321" s="1633">
        <v>0</v>
      </c>
      <c r="I321" s="1633">
        <v>663770.65</v>
      </c>
      <c r="J321" s="1633">
        <v>92250</v>
      </c>
      <c r="K321" s="1625">
        <v>10.3</v>
      </c>
      <c r="L321" s="1618">
        <v>95.7</v>
      </c>
      <c r="M321" s="1619">
        <v>76.5</v>
      </c>
    </row>
    <row r="322" spans="1:13">
      <c r="A322" s="1628">
        <v>32</v>
      </c>
      <c r="B322" s="1629">
        <v>17</v>
      </c>
      <c r="C322" s="1623" t="s">
        <v>476</v>
      </c>
      <c r="D322" s="1632">
        <v>138131824.21000001</v>
      </c>
      <c r="E322" s="1632">
        <v>16127785.77</v>
      </c>
      <c r="F322" s="1632">
        <v>15697943.710000001</v>
      </c>
      <c r="G322" s="1632">
        <v>11965840.960000001</v>
      </c>
      <c r="H322" s="1633">
        <v>9520.2000000000007</v>
      </c>
      <c r="I322" s="1633">
        <v>429842.06</v>
      </c>
      <c r="J322" s="1633">
        <v>220099.98</v>
      </c>
      <c r="K322" s="1625">
        <v>11.7</v>
      </c>
      <c r="L322" s="1618">
        <v>97.3</v>
      </c>
      <c r="M322" s="1619">
        <v>74.2</v>
      </c>
    </row>
    <row r="323" spans="1:13">
      <c r="A323" s="1628">
        <v>32</v>
      </c>
      <c r="B323" s="1629">
        <v>18</v>
      </c>
      <c r="C323" s="1623" t="s">
        <v>477</v>
      </c>
      <c r="D323" s="1632">
        <v>125283776.62</v>
      </c>
      <c r="E323" s="1632">
        <v>12245387.9</v>
      </c>
      <c r="F323" s="1632">
        <v>11938593.9</v>
      </c>
      <c r="G323" s="1632">
        <v>8776802.8699999992</v>
      </c>
      <c r="H323" s="1633">
        <v>0</v>
      </c>
      <c r="I323" s="1633">
        <v>306794</v>
      </c>
      <c r="J323" s="1633">
        <v>0</v>
      </c>
      <c r="K323" s="1625">
        <v>9.8000000000000007</v>
      </c>
      <c r="L323" s="1618">
        <v>97.5</v>
      </c>
      <c r="M323" s="1619">
        <v>71.7</v>
      </c>
    </row>
    <row r="325" spans="1:13">
      <c r="A325" s="365" t="s">
        <v>911</v>
      </c>
    </row>
  </sheetData>
  <mergeCells count="15">
    <mergeCell ref="K3:M5"/>
    <mergeCell ref="K7:M7"/>
    <mergeCell ref="F3:J3"/>
    <mergeCell ref="E7:J7"/>
    <mergeCell ref="F4:F6"/>
    <mergeCell ref="G4:H4"/>
    <mergeCell ref="I4:I6"/>
    <mergeCell ref="G5:G6"/>
    <mergeCell ref="H5:H6"/>
    <mergeCell ref="J5:J6"/>
    <mergeCell ref="B3:B7"/>
    <mergeCell ref="A3:A7"/>
    <mergeCell ref="C3:C7"/>
    <mergeCell ref="D3:D6"/>
    <mergeCell ref="E3:E6"/>
  </mergeCells>
  <pageMargins left="0.70866141732283472" right="0.31496062992125984" top="0.55118110236220474" bottom="0.55118110236220474" header="0.31496062992125984" footer="0.31496062992125984"/>
  <pageSetup paperSize="9" scale="9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B799-A976-4DBC-BD24-CC2600D7CCBF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5.5546875" style="441" customWidth="1"/>
    <col min="3" max="3" width="9.77734375" style="441" customWidth="1"/>
    <col min="4" max="4" width="13.21875" style="441" customWidth="1"/>
    <col min="5" max="5" width="10.44140625" style="441" customWidth="1"/>
    <col min="6" max="6" width="10.88671875" style="441" customWidth="1"/>
    <col min="7" max="7" width="12.5546875" style="441" customWidth="1"/>
    <col min="8" max="8" width="12.21875" style="441" customWidth="1"/>
    <col min="9" max="9" width="13.44140625" style="441" customWidth="1"/>
    <col min="10" max="16384" width="9.21875" style="441"/>
  </cols>
  <sheetData>
    <row r="1" spans="1:9" ht="14.4">
      <c r="A1" s="280" t="s">
        <v>1011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2142" t="s">
        <v>157</v>
      </c>
      <c r="D3" s="2239" t="s">
        <v>563</v>
      </c>
      <c r="E3" s="2239" t="s">
        <v>564</v>
      </c>
      <c r="F3" s="2239" t="s">
        <v>565</v>
      </c>
      <c r="G3" s="2239" t="s">
        <v>566</v>
      </c>
      <c r="H3" s="2239" t="s">
        <v>567</v>
      </c>
      <c r="I3" s="2236" t="s">
        <v>568</v>
      </c>
    </row>
    <row r="4" spans="1:9" ht="48.6" customHeight="1">
      <c r="A4" s="2139"/>
      <c r="B4" s="2141"/>
      <c r="C4" s="2143"/>
      <c r="D4" s="2240"/>
      <c r="E4" s="2240"/>
      <c r="F4" s="2240"/>
      <c r="G4" s="2240"/>
      <c r="H4" s="2240"/>
      <c r="I4" s="2237"/>
    </row>
    <row r="5" spans="1:9" ht="14.4">
      <c r="A5" s="2139"/>
      <c r="B5" s="2141"/>
      <c r="C5" s="297"/>
      <c r="D5" s="2238" t="s">
        <v>163</v>
      </c>
      <c r="E5" s="2238"/>
      <c r="F5" s="377" t="s">
        <v>169</v>
      </c>
      <c r="G5" s="2238" t="s">
        <v>163</v>
      </c>
      <c r="H5" s="2238"/>
      <c r="I5" s="298" t="s">
        <v>169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438"/>
      <c r="B7" s="1439" t="s">
        <v>129</v>
      </c>
      <c r="C7" s="1442">
        <v>25238257</v>
      </c>
      <c r="D7" s="1451">
        <v>11706216563.709999</v>
      </c>
      <c r="E7" s="1448">
        <v>463.8</v>
      </c>
      <c r="F7" s="1448">
        <v>19.899999999999999</v>
      </c>
      <c r="G7" s="1451">
        <v>11561158943.639999</v>
      </c>
      <c r="H7" s="1448">
        <v>458.1</v>
      </c>
      <c r="I7" s="1445">
        <v>19.7</v>
      </c>
    </row>
    <row r="8" spans="1:9">
      <c r="A8" s="1436" t="s">
        <v>96</v>
      </c>
      <c r="B8" s="1440" t="s">
        <v>97</v>
      </c>
      <c r="C8" s="1443">
        <v>1931595</v>
      </c>
      <c r="D8" s="1452">
        <v>848219564.54999995</v>
      </c>
      <c r="E8" s="1449">
        <v>439.13</v>
      </c>
      <c r="F8" s="1449">
        <v>17.899999999999999</v>
      </c>
      <c r="G8" s="1452">
        <v>837358064.54999995</v>
      </c>
      <c r="H8" s="1449">
        <v>433.5</v>
      </c>
      <c r="I8" s="1446">
        <v>17.600000000000001</v>
      </c>
    </row>
    <row r="9" spans="1:9">
      <c r="A9" s="1436" t="s">
        <v>98</v>
      </c>
      <c r="B9" s="1440" t="s">
        <v>99</v>
      </c>
      <c r="C9" s="1443">
        <v>1279549</v>
      </c>
      <c r="D9" s="1452">
        <v>498562054.91000003</v>
      </c>
      <c r="E9" s="1449">
        <v>389.64</v>
      </c>
      <c r="F9" s="1449">
        <v>17.100000000000001</v>
      </c>
      <c r="G9" s="1452">
        <v>492581554.91000003</v>
      </c>
      <c r="H9" s="1449">
        <v>385</v>
      </c>
      <c r="I9" s="1446">
        <v>16.899999999999999</v>
      </c>
    </row>
    <row r="10" spans="1:9">
      <c r="A10" s="1436" t="s">
        <v>100</v>
      </c>
      <c r="B10" s="1440" t="s">
        <v>101</v>
      </c>
      <c r="C10" s="1443">
        <v>1500297</v>
      </c>
      <c r="D10" s="1452">
        <v>940059483.45000005</v>
      </c>
      <c r="E10" s="1449">
        <v>626.58000000000004</v>
      </c>
      <c r="F10" s="1449">
        <v>25.8</v>
      </c>
      <c r="G10" s="1452">
        <v>936472489.25</v>
      </c>
      <c r="H10" s="1449">
        <v>624.20000000000005</v>
      </c>
      <c r="I10" s="1446">
        <v>25.7</v>
      </c>
    </row>
    <row r="11" spans="1:9">
      <c r="A11" s="1436" t="s">
        <v>102</v>
      </c>
      <c r="B11" s="1440" t="s">
        <v>103</v>
      </c>
      <c r="C11" s="1443">
        <v>716250</v>
      </c>
      <c r="D11" s="1452">
        <v>279204605.5</v>
      </c>
      <c r="E11" s="1449">
        <v>389.81</v>
      </c>
      <c r="F11" s="1449">
        <v>16.899999999999999</v>
      </c>
      <c r="G11" s="1452">
        <v>262820658.34999999</v>
      </c>
      <c r="H11" s="1449">
        <v>366.9</v>
      </c>
      <c r="I11" s="1446">
        <v>15.9</v>
      </c>
    </row>
    <row r="12" spans="1:9">
      <c r="A12" s="1436" t="s">
        <v>104</v>
      </c>
      <c r="B12" s="1440" t="s">
        <v>105</v>
      </c>
      <c r="C12" s="1443">
        <v>1589088</v>
      </c>
      <c r="D12" s="1452">
        <v>553623874.17999995</v>
      </c>
      <c r="E12" s="1449">
        <v>348.39</v>
      </c>
      <c r="F12" s="1449">
        <v>15.5</v>
      </c>
      <c r="G12" s="1452">
        <v>548075674.17999995</v>
      </c>
      <c r="H12" s="1449">
        <v>344.9</v>
      </c>
      <c r="I12" s="1446">
        <v>15.4</v>
      </c>
    </row>
    <row r="13" spans="1:9">
      <c r="A13" s="1436" t="s">
        <v>106</v>
      </c>
      <c r="B13" s="1440" t="s">
        <v>107</v>
      </c>
      <c r="C13" s="1443">
        <v>2437972</v>
      </c>
      <c r="D13" s="1452">
        <v>994968116.90999997</v>
      </c>
      <c r="E13" s="1449">
        <v>408.11</v>
      </c>
      <c r="F13" s="1449">
        <v>20.100000000000001</v>
      </c>
      <c r="G13" s="1452">
        <v>982742933.40999997</v>
      </c>
      <c r="H13" s="1449">
        <v>403.1</v>
      </c>
      <c r="I13" s="1446">
        <v>19.899999999999999</v>
      </c>
    </row>
    <row r="14" spans="1:9">
      <c r="A14" s="1436" t="s">
        <v>108</v>
      </c>
      <c r="B14" s="1440" t="s">
        <v>109</v>
      </c>
      <c r="C14" s="1443">
        <v>3218209</v>
      </c>
      <c r="D14" s="1452">
        <v>1512006994.5</v>
      </c>
      <c r="E14" s="1449">
        <v>469.83</v>
      </c>
      <c r="F14" s="1449">
        <v>20.3</v>
      </c>
      <c r="G14" s="1452">
        <v>1503919394.5</v>
      </c>
      <c r="H14" s="1449">
        <v>467.3</v>
      </c>
      <c r="I14" s="1446">
        <v>20.2</v>
      </c>
    </row>
    <row r="15" spans="1:9">
      <c r="A15" s="1436" t="s">
        <v>110</v>
      </c>
      <c r="B15" s="1440" t="s">
        <v>111</v>
      </c>
      <c r="C15" s="1443">
        <v>804804</v>
      </c>
      <c r="D15" s="1452">
        <v>314698808.36000001</v>
      </c>
      <c r="E15" s="1449">
        <v>391.03</v>
      </c>
      <c r="F15" s="1449">
        <v>16.8</v>
      </c>
      <c r="G15" s="1452">
        <v>308501908.36000001</v>
      </c>
      <c r="H15" s="1449">
        <v>383.3</v>
      </c>
      <c r="I15" s="1446">
        <v>16.399999999999999</v>
      </c>
    </row>
    <row r="16" spans="1:9">
      <c r="A16" s="1436" t="s">
        <v>112</v>
      </c>
      <c r="B16" s="1440" t="s">
        <v>113</v>
      </c>
      <c r="C16" s="1443">
        <v>1722570</v>
      </c>
      <c r="D16" s="1452">
        <v>1011014251.8</v>
      </c>
      <c r="E16" s="1449">
        <v>586.91999999999996</v>
      </c>
      <c r="F16" s="1449">
        <v>25.3</v>
      </c>
      <c r="G16" s="1452">
        <v>1009514251.8</v>
      </c>
      <c r="H16" s="1449">
        <v>586.1</v>
      </c>
      <c r="I16" s="1446">
        <v>25.3</v>
      </c>
    </row>
    <row r="17" spans="1:9">
      <c r="A17" s="1436" t="s">
        <v>114</v>
      </c>
      <c r="B17" s="1440" t="s">
        <v>115</v>
      </c>
      <c r="C17" s="1443">
        <v>714849</v>
      </c>
      <c r="D17" s="1452">
        <v>656250970.54999995</v>
      </c>
      <c r="E17" s="1449">
        <v>918.03</v>
      </c>
      <c r="F17" s="1449">
        <v>35.5</v>
      </c>
      <c r="G17" s="1452">
        <v>655750959.88</v>
      </c>
      <c r="H17" s="1449">
        <v>917.3</v>
      </c>
      <c r="I17" s="1446">
        <v>35.4</v>
      </c>
    </row>
    <row r="18" spans="1:9">
      <c r="A18" s="1436" t="s">
        <v>116</v>
      </c>
      <c r="B18" s="1440" t="s">
        <v>117</v>
      </c>
      <c r="C18" s="1443">
        <v>1514547</v>
      </c>
      <c r="D18" s="1452">
        <v>682228818.49000001</v>
      </c>
      <c r="E18" s="1449">
        <v>450.45</v>
      </c>
      <c r="F18" s="1449">
        <v>18.3</v>
      </c>
      <c r="G18" s="1452">
        <v>676016318.49000001</v>
      </c>
      <c r="H18" s="1449">
        <v>446.3</v>
      </c>
      <c r="I18" s="1446">
        <v>18.100000000000001</v>
      </c>
    </row>
    <row r="19" spans="1:9">
      <c r="A19" s="1436" t="s">
        <v>118</v>
      </c>
      <c r="B19" s="1440" t="s">
        <v>119</v>
      </c>
      <c r="C19" s="1443">
        <v>1941847</v>
      </c>
      <c r="D19" s="1452">
        <v>684263142.82000005</v>
      </c>
      <c r="E19" s="1449">
        <v>352.38</v>
      </c>
      <c r="F19" s="1449">
        <v>17</v>
      </c>
      <c r="G19" s="1452">
        <v>663362858.26999998</v>
      </c>
      <c r="H19" s="1449">
        <v>341.6</v>
      </c>
      <c r="I19" s="1446">
        <v>16.5</v>
      </c>
    </row>
    <row r="20" spans="1:9">
      <c r="A20" s="1436" t="s">
        <v>120</v>
      </c>
      <c r="B20" s="1440" t="s">
        <v>121</v>
      </c>
      <c r="C20" s="1443">
        <v>977454</v>
      </c>
      <c r="D20" s="1452">
        <v>480403086.80000001</v>
      </c>
      <c r="E20" s="1449">
        <v>491.48</v>
      </c>
      <c r="F20" s="1449">
        <v>19.399999999999999</v>
      </c>
      <c r="G20" s="1452">
        <v>478324086.80000001</v>
      </c>
      <c r="H20" s="1449">
        <v>489.4</v>
      </c>
      <c r="I20" s="1446">
        <v>19.3</v>
      </c>
    </row>
    <row r="21" spans="1:9">
      <c r="A21" s="1436" t="s">
        <v>122</v>
      </c>
      <c r="B21" s="1440" t="s">
        <v>123</v>
      </c>
      <c r="C21" s="1443">
        <v>1070728</v>
      </c>
      <c r="D21" s="1452">
        <v>477527087.41000003</v>
      </c>
      <c r="E21" s="1449">
        <v>445.98</v>
      </c>
      <c r="F21" s="1449">
        <v>16.5</v>
      </c>
      <c r="G21" s="1452">
        <v>462856587.41000003</v>
      </c>
      <c r="H21" s="1449">
        <v>432.3</v>
      </c>
      <c r="I21" s="1446">
        <v>16</v>
      </c>
    </row>
    <row r="22" spans="1:9">
      <c r="A22" s="1436" t="s">
        <v>124</v>
      </c>
      <c r="B22" s="1440" t="s">
        <v>125</v>
      </c>
      <c r="C22" s="1443">
        <v>2726248</v>
      </c>
      <c r="D22" s="1452">
        <v>1238350502.02</v>
      </c>
      <c r="E22" s="1449">
        <v>454.23</v>
      </c>
      <c r="F22" s="1449">
        <v>20.8</v>
      </c>
      <c r="G22" s="1452">
        <v>1213081502.02</v>
      </c>
      <c r="H22" s="1449">
        <v>445</v>
      </c>
      <c r="I22" s="1446">
        <v>20.399999999999999</v>
      </c>
    </row>
    <row r="23" spans="1:9">
      <c r="A23" s="1437" t="s">
        <v>126</v>
      </c>
      <c r="B23" s="1441" t="s">
        <v>127</v>
      </c>
      <c r="C23" s="1444">
        <v>1092250</v>
      </c>
      <c r="D23" s="1453">
        <v>534835201.45999998</v>
      </c>
      <c r="E23" s="1450">
        <v>489.66</v>
      </c>
      <c r="F23" s="1450">
        <v>17.5</v>
      </c>
      <c r="G23" s="1453">
        <v>529779701.45999998</v>
      </c>
      <c r="H23" s="1450">
        <v>485</v>
      </c>
      <c r="I23" s="1447">
        <v>17.399999999999999</v>
      </c>
    </row>
    <row r="25" spans="1:9" ht="14.4">
      <c r="A25" s="295" t="s">
        <v>128</v>
      </c>
      <c r="B25" s="295" t="s">
        <v>909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295" t="s">
        <v>910</v>
      </c>
      <c r="C26" s="295"/>
      <c r="D26" s="295"/>
      <c r="E26" s="295"/>
      <c r="F26" s="295"/>
      <c r="G26" s="295"/>
      <c r="H26" s="295"/>
      <c r="I26" s="295"/>
    </row>
  </sheetData>
  <mergeCells count="11">
    <mergeCell ref="A3:A5"/>
    <mergeCell ref="B3:B5"/>
    <mergeCell ref="C3:C4"/>
    <mergeCell ref="D3:D4"/>
    <mergeCell ref="E3:E4"/>
    <mergeCell ref="G3:G4"/>
    <mergeCell ref="H3:H4"/>
    <mergeCell ref="I3:I4"/>
    <mergeCell ref="D5:E5"/>
    <mergeCell ref="G5:H5"/>
    <mergeCell ref="F3:F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9FE0F-90F2-44DF-911D-D6CA251EC7D1}">
  <dimension ref="A1:J44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23" customWidth="1"/>
    <col min="3" max="10" width="14.77734375" customWidth="1"/>
  </cols>
  <sheetData>
    <row r="1" spans="1:10">
      <c r="A1" s="445" t="s">
        <v>1012</v>
      </c>
      <c r="B1" s="316"/>
      <c r="C1" s="316"/>
      <c r="D1" s="316"/>
      <c r="E1" s="316"/>
      <c r="F1" s="316"/>
      <c r="G1" s="316"/>
      <c r="H1" s="316"/>
      <c r="I1" s="316"/>
      <c r="J1" s="316"/>
    </row>
    <row r="3" spans="1:10">
      <c r="A3" s="2138" t="s">
        <v>0</v>
      </c>
      <c r="B3" s="2140" t="s">
        <v>1</v>
      </c>
      <c r="C3" s="2392" t="s">
        <v>152</v>
      </c>
      <c r="D3" s="2215" t="s">
        <v>88</v>
      </c>
      <c r="E3" s="2215"/>
      <c r="F3" s="2215"/>
      <c r="G3" s="2215"/>
      <c r="H3" s="2215"/>
      <c r="I3" s="2215"/>
      <c r="J3" s="2393"/>
    </row>
    <row r="4" spans="1:10">
      <c r="A4" s="2139"/>
      <c r="B4" s="2141"/>
      <c r="C4" s="2221"/>
      <c r="D4" s="2394" t="s">
        <v>136</v>
      </c>
      <c r="E4" s="2222" t="s">
        <v>569</v>
      </c>
      <c r="F4" s="2220"/>
      <c r="G4" s="2220"/>
      <c r="H4" s="2221"/>
      <c r="I4" s="2395" t="s">
        <v>137</v>
      </c>
      <c r="J4" s="497" t="s">
        <v>569</v>
      </c>
    </row>
    <row r="5" spans="1:10">
      <c r="A5" s="2139"/>
      <c r="B5" s="2141"/>
      <c r="C5" s="2221"/>
      <c r="D5" s="2394"/>
      <c r="E5" s="2390" t="s">
        <v>570</v>
      </c>
      <c r="F5" s="2394" t="s">
        <v>571</v>
      </c>
      <c r="G5" s="2394" t="s">
        <v>572</v>
      </c>
      <c r="H5" s="2390" t="s">
        <v>573</v>
      </c>
      <c r="I5" s="2395"/>
      <c r="J5" s="2141" t="s">
        <v>574</v>
      </c>
    </row>
    <row r="6" spans="1:10" ht="40.200000000000003" customHeight="1">
      <c r="A6" s="2139"/>
      <c r="B6" s="2141"/>
      <c r="C6" s="2221"/>
      <c r="D6" s="2394"/>
      <c r="E6" s="2391"/>
      <c r="F6" s="2394"/>
      <c r="G6" s="2394"/>
      <c r="H6" s="2391"/>
      <c r="I6" s="2395"/>
      <c r="J6" s="2141"/>
    </row>
    <row r="7" spans="1:10">
      <c r="A7" s="2139"/>
      <c r="B7" s="2141"/>
      <c r="C7" s="2220" t="s">
        <v>93</v>
      </c>
      <c r="D7" s="2220"/>
      <c r="E7" s="2220"/>
      <c r="F7" s="2220"/>
      <c r="G7" s="2220"/>
      <c r="H7" s="2220"/>
      <c r="I7" s="2220"/>
      <c r="J7" s="2223"/>
    </row>
    <row r="8" spans="1:10">
      <c r="A8" s="746" t="s">
        <v>10</v>
      </c>
      <c r="B8" s="369" t="s">
        <v>11</v>
      </c>
      <c r="C8" s="746" t="s">
        <v>12</v>
      </c>
      <c r="D8" s="368" t="s">
        <v>13</v>
      </c>
      <c r="E8" s="747" t="s">
        <v>14</v>
      </c>
      <c r="F8" s="368" t="s">
        <v>15</v>
      </c>
      <c r="G8" s="747" t="s">
        <v>16</v>
      </c>
      <c r="H8" s="368" t="s">
        <v>17</v>
      </c>
      <c r="I8" s="368" t="s">
        <v>94</v>
      </c>
      <c r="J8" s="748" t="s">
        <v>150</v>
      </c>
    </row>
    <row r="9" spans="1:10">
      <c r="A9" s="1522"/>
      <c r="B9" s="1523" t="s">
        <v>562</v>
      </c>
      <c r="C9" s="1526">
        <v>58747803103.919998</v>
      </c>
      <c r="D9" s="1527">
        <v>47041586540.209999</v>
      </c>
      <c r="E9" s="1527">
        <v>30812916849.82</v>
      </c>
      <c r="F9" s="1527">
        <v>4134446451.9200001</v>
      </c>
      <c r="G9" s="1527">
        <v>1350099419.77</v>
      </c>
      <c r="H9" s="1527">
        <v>832801101.25</v>
      </c>
      <c r="I9" s="1527">
        <v>11706216563.709999</v>
      </c>
      <c r="J9" s="1532">
        <v>1622598240.21</v>
      </c>
    </row>
    <row r="10" spans="1:10">
      <c r="A10" s="1520" t="s">
        <v>19</v>
      </c>
      <c r="B10" s="1524" t="s">
        <v>20</v>
      </c>
      <c r="C10" s="1528">
        <v>692012067.26999998</v>
      </c>
      <c r="D10" s="1529">
        <v>116589145.90000001</v>
      </c>
      <c r="E10" s="1529">
        <v>15557477.18</v>
      </c>
      <c r="F10" s="1529">
        <v>4708162.97</v>
      </c>
      <c r="G10" s="1529">
        <v>2746.46</v>
      </c>
      <c r="H10" s="1529">
        <v>83810124.299999997</v>
      </c>
      <c r="I10" s="1529">
        <v>575422921.37</v>
      </c>
      <c r="J10" s="1533">
        <v>563886227.44000006</v>
      </c>
    </row>
    <row r="11" spans="1:10">
      <c r="A11" s="1520" t="s">
        <v>21</v>
      </c>
      <c r="B11" s="1524" t="s">
        <v>22</v>
      </c>
      <c r="C11" s="1528">
        <v>36863566.68</v>
      </c>
      <c r="D11" s="1529">
        <v>36779894.829999998</v>
      </c>
      <c r="E11" s="1529">
        <v>2556592.7000000002</v>
      </c>
      <c r="F11" s="1529">
        <v>1728052.53</v>
      </c>
      <c r="G11" s="1529">
        <v>625156.41</v>
      </c>
      <c r="H11" s="1529">
        <v>0</v>
      </c>
      <c r="I11" s="1529">
        <v>83671.850000000006</v>
      </c>
      <c r="J11" s="1533">
        <v>0</v>
      </c>
    </row>
    <row r="12" spans="1:10">
      <c r="A12" s="1520" t="s">
        <v>23</v>
      </c>
      <c r="B12" s="1524" t="s">
        <v>24</v>
      </c>
      <c r="C12" s="1528">
        <v>149582.96</v>
      </c>
      <c r="D12" s="1529">
        <v>149582.96</v>
      </c>
      <c r="E12" s="1529">
        <v>0</v>
      </c>
      <c r="F12" s="1529">
        <v>6000</v>
      </c>
      <c r="G12" s="1529">
        <v>994</v>
      </c>
      <c r="H12" s="1529">
        <v>0</v>
      </c>
      <c r="I12" s="1529">
        <v>0</v>
      </c>
      <c r="J12" s="1533">
        <v>0</v>
      </c>
    </row>
    <row r="13" spans="1:10">
      <c r="A13" s="1520" t="s">
        <v>25</v>
      </c>
      <c r="B13" s="1524" t="s">
        <v>26</v>
      </c>
      <c r="C13" s="1528">
        <v>3692209.78</v>
      </c>
      <c r="D13" s="1529">
        <v>3692209.78</v>
      </c>
      <c r="E13" s="1529">
        <v>3594116.3</v>
      </c>
      <c r="F13" s="1529">
        <v>0</v>
      </c>
      <c r="G13" s="1529">
        <v>986.87</v>
      </c>
      <c r="H13" s="1529">
        <v>0</v>
      </c>
      <c r="I13" s="1529">
        <v>0</v>
      </c>
      <c r="J13" s="1533">
        <v>0</v>
      </c>
    </row>
    <row r="14" spans="1:10">
      <c r="A14" s="1520" t="s">
        <v>27</v>
      </c>
      <c r="B14" s="1524" t="s">
        <v>28</v>
      </c>
      <c r="C14" s="1528">
        <v>1149936.42</v>
      </c>
      <c r="D14" s="1529">
        <v>637436.42000000004</v>
      </c>
      <c r="E14" s="1529">
        <v>207214.36</v>
      </c>
      <c r="F14" s="1529">
        <v>0</v>
      </c>
      <c r="G14" s="1529">
        <v>0</v>
      </c>
      <c r="H14" s="1529">
        <v>89261.8</v>
      </c>
      <c r="I14" s="1529">
        <v>512500</v>
      </c>
      <c r="J14" s="1533">
        <v>0</v>
      </c>
    </row>
    <row r="15" spans="1:10" ht="26.4">
      <c r="A15" s="1520" t="s">
        <v>29</v>
      </c>
      <c r="B15" s="1524" t="s">
        <v>30</v>
      </c>
      <c r="C15" s="1528">
        <v>309885.37</v>
      </c>
      <c r="D15" s="1529">
        <v>198694.6</v>
      </c>
      <c r="E15" s="1529">
        <v>9844.75</v>
      </c>
      <c r="F15" s="1529">
        <v>0</v>
      </c>
      <c r="G15" s="1529">
        <v>0</v>
      </c>
      <c r="H15" s="1529">
        <v>80073</v>
      </c>
      <c r="I15" s="1529">
        <v>111190.77</v>
      </c>
      <c r="J15" s="1533">
        <v>104690.77</v>
      </c>
    </row>
    <row r="16" spans="1:10">
      <c r="A16" s="1520" t="s">
        <v>31</v>
      </c>
      <c r="B16" s="1524" t="s">
        <v>32</v>
      </c>
      <c r="C16" s="1528">
        <v>0</v>
      </c>
      <c r="D16" s="1529">
        <v>0</v>
      </c>
      <c r="E16" s="1529">
        <v>0</v>
      </c>
      <c r="F16" s="1529">
        <v>0</v>
      </c>
      <c r="G16" s="1529">
        <v>0</v>
      </c>
      <c r="H16" s="1529">
        <v>0</v>
      </c>
      <c r="I16" s="1529">
        <v>0</v>
      </c>
      <c r="J16" s="1533">
        <v>0</v>
      </c>
    </row>
    <row r="17" spans="1:10">
      <c r="A17" s="1520" t="s">
        <v>33</v>
      </c>
      <c r="B17" s="1524" t="s">
        <v>34</v>
      </c>
      <c r="C17" s="1528">
        <v>0</v>
      </c>
      <c r="D17" s="1529">
        <v>0</v>
      </c>
      <c r="E17" s="1529">
        <v>0</v>
      </c>
      <c r="F17" s="1529">
        <v>0</v>
      </c>
      <c r="G17" s="1529">
        <v>0</v>
      </c>
      <c r="H17" s="1529">
        <v>0</v>
      </c>
      <c r="I17" s="1529">
        <v>0</v>
      </c>
      <c r="J17" s="1533">
        <v>0</v>
      </c>
    </row>
    <row r="18" spans="1:10">
      <c r="A18" s="1520" t="s">
        <v>35</v>
      </c>
      <c r="B18" s="1524" t="s">
        <v>36</v>
      </c>
      <c r="C18" s="1528">
        <v>8654151962.4899998</v>
      </c>
      <c r="D18" s="1529">
        <v>2368892050.1700001</v>
      </c>
      <c r="E18" s="1529">
        <v>64947929.649999999</v>
      </c>
      <c r="F18" s="1529">
        <v>136191959.03</v>
      </c>
      <c r="G18" s="1529">
        <v>1613627.22</v>
      </c>
      <c r="H18" s="1529">
        <v>1742939.98</v>
      </c>
      <c r="I18" s="1529">
        <v>6285259912.3199997</v>
      </c>
      <c r="J18" s="1533">
        <v>393054436.33999997</v>
      </c>
    </row>
    <row r="19" spans="1:10">
      <c r="A19" s="1520" t="s">
        <v>37</v>
      </c>
      <c r="B19" s="1524" t="s">
        <v>38</v>
      </c>
      <c r="C19" s="1528">
        <v>14032720.59</v>
      </c>
      <c r="D19" s="1529">
        <v>6243856.21</v>
      </c>
      <c r="E19" s="1529">
        <v>827673.14</v>
      </c>
      <c r="F19" s="1529">
        <v>2106076.86</v>
      </c>
      <c r="G19" s="1529">
        <v>19778.7</v>
      </c>
      <c r="H19" s="1529">
        <v>478834.06</v>
      </c>
      <c r="I19" s="1529">
        <v>7788864.3799999999</v>
      </c>
      <c r="J19" s="1533">
        <v>2754181.37</v>
      </c>
    </row>
    <row r="20" spans="1:10">
      <c r="A20" s="1520" t="s">
        <v>39</v>
      </c>
      <c r="B20" s="1524" t="s">
        <v>40</v>
      </c>
      <c r="C20" s="1528">
        <v>483922779.51999998</v>
      </c>
      <c r="D20" s="1529">
        <v>327355542.63</v>
      </c>
      <c r="E20" s="1529">
        <v>125270943.18000001</v>
      </c>
      <c r="F20" s="1529">
        <v>0</v>
      </c>
      <c r="G20" s="1529">
        <v>72198.69</v>
      </c>
      <c r="H20" s="1529">
        <v>25101.5</v>
      </c>
      <c r="I20" s="1529">
        <v>156567236.88999999</v>
      </c>
      <c r="J20" s="1533">
        <v>7063198.4699999997</v>
      </c>
    </row>
    <row r="21" spans="1:10">
      <c r="A21" s="1520" t="s">
        <v>41</v>
      </c>
      <c r="B21" s="1524" t="s">
        <v>42</v>
      </c>
      <c r="C21" s="1528">
        <v>891168698.10000002</v>
      </c>
      <c r="D21" s="1529">
        <v>792832499.47000003</v>
      </c>
      <c r="E21" s="1529">
        <v>594210725.75999999</v>
      </c>
      <c r="F21" s="1529">
        <v>3165877.11</v>
      </c>
      <c r="G21" s="1529">
        <v>858939.36</v>
      </c>
      <c r="H21" s="1529">
        <v>4978561.75</v>
      </c>
      <c r="I21" s="1529">
        <v>98336198.629999995</v>
      </c>
      <c r="J21" s="1533">
        <v>67125957.700000003</v>
      </c>
    </row>
    <row r="22" spans="1:10">
      <c r="A22" s="1520" t="s">
        <v>43</v>
      </c>
      <c r="B22" s="1524" t="s">
        <v>44</v>
      </c>
      <c r="C22" s="1528">
        <v>26567817.670000002</v>
      </c>
      <c r="D22" s="1529">
        <v>4606042.84</v>
      </c>
      <c r="E22" s="1529">
        <v>0</v>
      </c>
      <c r="F22" s="1529">
        <v>5000</v>
      </c>
      <c r="G22" s="1529">
        <v>0</v>
      </c>
      <c r="H22" s="1529">
        <v>4332957.9800000004</v>
      </c>
      <c r="I22" s="1529">
        <v>21961774.829999998</v>
      </c>
      <c r="J22" s="1533">
        <v>21550901.170000002</v>
      </c>
    </row>
    <row r="23" spans="1:10">
      <c r="A23" s="1520" t="s">
        <v>45</v>
      </c>
      <c r="B23" s="1524" t="s">
        <v>46</v>
      </c>
      <c r="C23" s="1528">
        <v>1707562</v>
      </c>
      <c r="D23" s="1529">
        <v>1692562</v>
      </c>
      <c r="E23" s="1529">
        <v>0</v>
      </c>
      <c r="F23" s="1529">
        <v>233000</v>
      </c>
      <c r="G23" s="1529">
        <v>1459562</v>
      </c>
      <c r="H23" s="1529">
        <v>0</v>
      </c>
      <c r="I23" s="1529">
        <v>15000</v>
      </c>
      <c r="J23" s="1533">
        <v>0</v>
      </c>
    </row>
    <row r="24" spans="1:10">
      <c r="A24" s="1520" t="s">
        <v>47</v>
      </c>
      <c r="B24" s="1524" t="s">
        <v>48</v>
      </c>
      <c r="C24" s="1528">
        <v>7019131724.0299997</v>
      </c>
      <c r="D24" s="1529">
        <v>6534932080.1800003</v>
      </c>
      <c r="E24" s="1529">
        <v>4854357339.5699997</v>
      </c>
      <c r="F24" s="1529">
        <v>10888632.9</v>
      </c>
      <c r="G24" s="1529">
        <v>186484367.24000001</v>
      </c>
      <c r="H24" s="1529">
        <v>28336941.530000001</v>
      </c>
      <c r="I24" s="1529">
        <v>484199643.85000002</v>
      </c>
      <c r="J24" s="1533">
        <v>116864167.59</v>
      </c>
    </row>
    <row r="25" spans="1:10" ht="39.6">
      <c r="A25" s="1520" t="s">
        <v>49</v>
      </c>
      <c r="B25" s="1524" t="s">
        <v>50</v>
      </c>
      <c r="C25" s="1528">
        <v>16339.01</v>
      </c>
      <c r="D25" s="1529">
        <v>16339.01</v>
      </c>
      <c r="E25" s="1529">
        <v>3111.38</v>
      </c>
      <c r="F25" s="1529">
        <v>0</v>
      </c>
      <c r="G25" s="1529">
        <v>8272.23</v>
      </c>
      <c r="H25" s="1529">
        <v>0</v>
      </c>
      <c r="I25" s="1529">
        <v>0</v>
      </c>
      <c r="J25" s="1533">
        <v>0</v>
      </c>
    </row>
    <row r="26" spans="1:10">
      <c r="A26" s="1520" t="s">
        <v>51</v>
      </c>
      <c r="B26" s="1524" t="s">
        <v>52</v>
      </c>
      <c r="C26" s="1528">
        <v>1018512755.6799999</v>
      </c>
      <c r="D26" s="1529">
        <v>261710265.97999999</v>
      </c>
      <c r="E26" s="1529">
        <v>16785768.960000001</v>
      </c>
      <c r="F26" s="1529">
        <v>5814681.5999999996</v>
      </c>
      <c r="G26" s="1529">
        <v>3365387.42</v>
      </c>
      <c r="H26" s="1529">
        <v>0</v>
      </c>
      <c r="I26" s="1529">
        <v>756802489.70000005</v>
      </c>
      <c r="J26" s="1533">
        <v>0</v>
      </c>
    </row>
    <row r="27" spans="1:10" ht="26.4">
      <c r="A27" s="1520" t="s">
        <v>53</v>
      </c>
      <c r="B27" s="1524" t="s">
        <v>54</v>
      </c>
      <c r="C27" s="1528">
        <v>0</v>
      </c>
      <c r="D27" s="1529">
        <v>0</v>
      </c>
      <c r="E27" s="1529">
        <v>0</v>
      </c>
      <c r="F27" s="1529">
        <v>0</v>
      </c>
      <c r="G27" s="1529">
        <v>0</v>
      </c>
      <c r="H27" s="1529">
        <v>0</v>
      </c>
      <c r="I27" s="1529">
        <v>0</v>
      </c>
      <c r="J27" s="1533">
        <v>0</v>
      </c>
    </row>
    <row r="28" spans="1:10" ht="26.4">
      <c r="A28" s="1520" t="s">
        <v>55</v>
      </c>
      <c r="B28" s="1524" t="s">
        <v>56</v>
      </c>
      <c r="C28" s="1528">
        <v>3232955035.8000002</v>
      </c>
      <c r="D28" s="1529">
        <v>3012194818.1199999</v>
      </c>
      <c r="E28" s="1529">
        <v>2373889985.6100001</v>
      </c>
      <c r="F28" s="1529">
        <v>16300177.779999999</v>
      </c>
      <c r="G28" s="1529">
        <v>144561795.22999999</v>
      </c>
      <c r="H28" s="1529">
        <v>760540.26</v>
      </c>
      <c r="I28" s="1529">
        <v>220760217.68000001</v>
      </c>
      <c r="J28" s="1533">
        <v>3066648.61</v>
      </c>
    </row>
    <row r="29" spans="1:10">
      <c r="A29" s="1520" t="s">
        <v>57</v>
      </c>
      <c r="B29" s="1524" t="s">
        <v>58</v>
      </c>
      <c r="C29" s="1528">
        <v>74977535.900000006</v>
      </c>
      <c r="D29" s="1529">
        <v>74977535.900000006</v>
      </c>
      <c r="E29" s="1529">
        <v>3891851.53</v>
      </c>
      <c r="F29" s="1529">
        <v>39037946.439999998</v>
      </c>
      <c r="G29" s="1529">
        <v>0</v>
      </c>
      <c r="H29" s="1529">
        <v>0</v>
      </c>
      <c r="I29" s="1529">
        <v>0</v>
      </c>
      <c r="J29" s="1533">
        <v>0</v>
      </c>
    </row>
    <row r="30" spans="1:10" ht="66">
      <c r="A30" s="1520" t="s">
        <v>59</v>
      </c>
      <c r="B30" s="1524" t="s">
        <v>60</v>
      </c>
      <c r="C30" s="1528">
        <v>13412382.640000001</v>
      </c>
      <c r="D30" s="1529">
        <v>13412382.640000001</v>
      </c>
      <c r="E30" s="1529">
        <v>1188165.72</v>
      </c>
      <c r="F30" s="1529">
        <v>0</v>
      </c>
      <c r="G30" s="1529">
        <v>0</v>
      </c>
      <c r="H30" s="1529">
        <v>0</v>
      </c>
      <c r="I30" s="1529">
        <v>0</v>
      </c>
      <c r="J30" s="1533">
        <v>0</v>
      </c>
    </row>
    <row r="31" spans="1:10">
      <c r="A31" s="1520" t="s">
        <v>61</v>
      </c>
      <c r="B31" s="1524" t="s">
        <v>62</v>
      </c>
      <c r="C31" s="1528">
        <v>437137312.37</v>
      </c>
      <c r="D31" s="1529">
        <v>437137312.37</v>
      </c>
      <c r="E31" s="1529">
        <v>0</v>
      </c>
      <c r="F31" s="1529">
        <v>0</v>
      </c>
      <c r="G31" s="1529">
        <v>0</v>
      </c>
      <c r="H31" s="1529">
        <v>0</v>
      </c>
      <c r="I31" s="1529">
        <v>0</v>
      </c>
      <c r="J31" s="1533">
        <v>0</v>
      </c>
    </row>
    <row r="32" spans="1:10">
      <c r="A32" s="1520" t="s">
        <v>63</v>
      </c>
      <c r="B32" s="1524" t="s">
        <v>64</v>
      </c>
      <c r="C32" s="1528">
        <v>23500653.18</v>
      </c>
      <c r="D32" s="1529">
        <v>22735641.350000001</v>
      </c>
      <c r="E32" s="1529">
        <v>7051162.5999999996</v>
      </c>
      <c r="F32" s="1529">
        <v>2732127.82</v>
      </c>
      <c r="G32" s="1529">
        <v>55406.16</v>
      </c>
      <c r="H32" s="1529">
        <v>0</v>
      </c>
      <c r="I32" s="1529">
        <v>765011.83</v>
      </c>
      <c r="J32" s="1533">
        <v>0</v>
      </c>
    </row>
    <row r="33" spans="1:10">
      <c r="A33" s="1520" t="s">
        <v>65</v>
      </c>
      <c r="B33" s="1524" t="s">
        <v>66</v>
      </c>
      <c r="C33" s="1528">
        <v>18897436589.950001</v>
      </c>
      <c r="D33" s="1529">
        <v>17730363475.279999</v>
      </c>
      <c r="E33" s="1529">
        <v>13191687034.620001</v>
      </c>
      <c r="F33" s="1529">
        <v>1823055938.8399999</v>
      </c>
      <c r="G33" s="1529">
        <v>113031987.48999999</v>
      </c>
      <c r="H33" s="1529">
        <v>517828746.18000001</v>
      </c>
      <c r="I33" s="1529">
        <v>1167073114.6700001</v>
      </c>
      <c r="J33" s="1533">
        <v>385060601.97000003</v>
      </c>
    </row>
    <row r="34" spans="1:10">
      <c r="A34" s="1520" t="s">
        <v>67</v>
      </c>
      <c r="B34" s="1524" t="s">
        <v>68</v>
      </c>
      <c r="C34" s="1528">
        <v>881823365.84000003</v>
      </c>
      <c r="D34" s="1529">
        <v>100396811.06</v>
      </c>
      <c r="E34" s="1529">
        <v>875711.72</v>
      </c>
      <c r="F34" s="1529">
        <v>20742799.43</v>
      </c>
      <c r="G34" s="1529">
        <v>805968.33</v>
      </c>
      <c r="H34" s="1529">
        <v>2605436.44</v>
      </c>
      <c r="I34" s="1529">
        <v>781426554.77999997</v>
      </c>
      <c r="J34" s="1533">
        <v>13563046.26</v>
      </c>
    </row>
    <row r="35" spans="1:10">
      <c r="A35" s="1520" t="s">
        <v>69</v>
      </c>
      <c r="B35" s="1524" t="s">
        <v>70</v>
      </c>
      <c r="C35" s="1528">
        <v>6439584975.3199997</v>
      </c>
      <c r="D35" s="1529">
        <v>6123887013.7299995</v>
      </c>
      <c r="E35" s="1529">
        <v>4463129908.1000004</v>
      </c>
      <c r="F35" s="1529">
        <v>441251467.94999999</v>
      </c>
      <c r="G35" s="1529">
        <v>20551057.539999999</v>
      </c>
      <c r="H35" s="1529">
        <v>40794640.560000002</v>
      </c>
      <c r="I35" s="1529">
        <v>315697961.58999997</v>
      </c>
      <c r="J35" s="1533">
        <v>9729551.3800000008</v>
      </c>
    </row>
    <row r="36" spans="1:10" ht="26.4">
      <c r="A36" s="1520" t="s">
        <v>71</v>
      </c>
      <c r="B36" s="1524" t="s">
        <v>72</v>
      </c>
      <c r="C36" s="1528">
        <v>2108409523.8499999</v>
      </c>
      <c r="D36" s="1529">
        <v>2066502529.54</v>
      </c>
      <c r="E36" s="1529">
        <v>1534174793.6199999</v>
      </c>
      <c r="F36" s="1529">
        <v>188433011.18000001</v>
      </c>
      <c r="G36" s="1529">
        <v>26043720.510000002</v>
      </c>
      <c r="H36" s="1529">
        <v>92401931.930000007</v>
      </c>
      <c r="I36" s="1529">
        <v>41906994.310000002</v>
      </c>
      <c r="J36" s="1533">
        <v>8075951.8300000001</v>
      </c>
    </row>
    <row r="37" spans="1:10">
      <c r="A37" s="1520" t="s">
        <v>73</v>
      </c>
      <c r="B37" s="1524" t="s">
        <v>74</v>
      </c>
      <c r="C37" s="1528">
        <v>3980932244.7600002</v>
      </c>
      <c r="D37" s="1529">
        <v>3800051450.1700001</v>
      </c>
      <c r="E37" s="1529">
        <v>2392876157.3299999</v>
      </c>
      <c r="F37" s="1529">
        <v>810499625.39999998</v>
      </c>
      <c r="G37" s="1529">
        <v>46883531.149999999</v>
      </c>
      <c r="H37" s="1529">
        <v>5102518.92</v>
      </c>
      <c r="I37" s="1529">
        <v>180880794.59</v>
      </c>
      <c r="J37" s="1533">
        <v>7649946.9400000004</v>
      </c>
    </row>
    <row r="38" spans="1:10">
      <c r="A38" s="1520" t="s">
        <v>75</v>
      </c>
      <c r="B38" s="1524" t="s">
        <v>76</v>
      </c>
      <c r="C38" s="1528">
        <v>2803293617.1700001</v>
      </c>
      <c r="D38" s="1529">
        <v>2755477645.5900002</v>
      </c>
      <c r="E38" s="1529">
        <v>1122006035.0699999</v>
      </c>
      <c r="F38" s="1529">
        <v>387195812.33999997</v>
      </c>
      <c r="G38" s="1529">
        <v>797905826.58000004</v>
      </c>
      <c r="H38" s="1529">
        <v>38380265.609999999</v>
      </c>
      <c r="I38" s="1529">
        <v>47815971.579999998</v>
      </c>
      <c r="J38" s="1533">
        <v>2533258.7799999998</v>
      </c>
    </row>
    <row r="39" spans="1:10" ht="26.4">
      <c r="A39" s="1520" t="s">
        <v>77</v>
      </c>
      <c r="B39" s="1524" t="s">
        <v>78</v>
      </c>
      <c r="C39" s="1528">
        <v>158505806.68000001</v>
      </c>
      <c r="D39" s="1529">
        <v>79173276</v>
      </c>
      <c r="E39" s="1529">
        <v>676357.29</v>
      </c>
      <c r="F39" s="1529">
        <v>4345421.16</v>
      </c>
      <c r="G39" s="1529">
        <v>221307.46</v>
      </c>
      <c r="H39" s="1529">
        <v>9419814.2799999993</v>
      </c>
      <c r="I39" s="1529">
        <v>79332530.680000007</v>
      </c>
      <c r="J39" s="1533">
        <v>8017364.96</v>
      </c>
    </row>
    <row r="40" spans="1:10" ht="26.4">
      <c r="A40" s="1520" t="s">
        <v>79</v>
      </c>
      <c r="B40" s="1524" t="s">
        <v>80</v>
      </c>
      <c r="C40" s="1528">
        <v>513332990.68000001</v>
      </c>
      <c r="D40" s="1529">
        <v>251112675.22</v>
      </c>
      <c r="E40" s="1529">
        <v>4465111.29</v>
      </c>
      <c r="F40" s="1529">
        <v>206871916.72</v>
      </c>
      <c r="G40" s="1529">
        <v>1017524.87</v>
      </c>
      <c r="H40" s="1529">
        <v>1432289.45</v>
      </c>
      <c r="I40" s="1529">
        <v>262220315.46000001</v>
      </c>
      <c r="J40" s="1533">
        <v>12487908.24</v>
      </c>
    </row>
    <row r="41" spans="1:10" ht="39.6">
      <c r="A41" s="1520" t="s">
        <v>81</v>
      </c>
      <c r="B41" s="1524" t="s">
        <v>82</v>
      </c>
      <c r="C41" s="1528">
        <v>407793.04</v>
      </c>
      <c r="D41" s="1529">
        <v>156128</v>
      </c>
      <c r="E41" s="1529">
        <v>0</v>
      </c>
      <c r="F41" s="1529">
        <v>106128</v>
      </c>
      <c r="G41" s="1529">
        <v>0</v>
      </c>
      <c r="H41" s="1529">
        <v>0</v>
      </c>
      <c r="I41" s="1529">
        <v>251665.04</v>
      </c>
      <c r="J41" s="1533">
        <v>0</v>
      </c>
    </row>
    <row r="42" spans="1:10">
      <c r="A42" s="1521" t="s">
        <v>83</v>
      </c>
      <c r="B42" s="1525" t="s">
        <v>84</v>
      </c>
      <c r="C42" s="1530">
        <v>338703669.17000002</v>
      </c>
      <c r="D42" s="1531">
        <v>117679642.26000001</v>
      </c>
      <c r="E42" s="1531">
        <v>38675838.390000001</v>
      </c>
      <c r="F42" s="1531">
        <v>29026635.859999999</v>
      </c>
      <c r="G42" s="1531">
        <v>4509277.8499999996</v>
      </c>
      <c r="H42" s="1531">
        <v>200121.72</v>
      </c>
      <c r="I42" s="1531">
        <v>221024026.91</v>
      </c>
      <c r="J42" s="1534">
        <v>10200.39</v>
      </c>
    </row>
    <row r="44" spans="1:10">
      <c r="A44" s="317" t="s">
        <v>911</v>
      </c>
      <c r="B44" s="316"/>
      <c r="C44" s="316"/>
      <c r="D44" s="316"/>
      <c r="E44" s="316"/>
      <c r="F44" s="316"/>
      <c r="G44" s="316"/>
      <c r="H44" s="316"/>
      <c r="I44" s="316"/>
      <c r="J44" s="316"/>
    </row>
  </sheetData>
  <mergeCells count="13">
    <mergeCell ref="H5:H6"/>
    <mergeCell ref="J5:J6"/>
    <mergeCell ref="C7:J7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</mergeCells>
  <pageMargins left="0.70866141732283472" right="0.31496062992125984" top="0.74803149606299213" bottom="0.55118110236220474" header="0.31496062992125984" footer="0.31496062992125984"/>
  <pageSetup paperSize="9" scale="8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2512-3C31-4DFC-B610-2DA78F789712}">
  <dimension ref="A1:N144"/>
  <sheetViews>
    <sheetView view="pageBreakPreview" topLeftCell="A44" zoomScaleNormal="100" zoomScaleSheetLayoutView="100" workbookViewId="0">
      <selection activeCell="D58" sqref="D58:D60"/>
    </sheetView>
  </sheetViews>
  <sheetFormatPr defaultColWidth="9.21875" defaultRowHeight="13.8"/>
  <cols>
    <col min="1" max="1" width="30.77734375" style="483" customWidth="1"/>
    <col min="2" max="4" width="14.5546875" style="483" customWidth="1"/>
    <col min="5" max="5" width="13.77734375" style="483" customWidth="1"/>
    <col min="6" max="6" width="13" style="483" customWidth="1"/>
    <col min="7" max="8" width="12.21875" style="483" customWidth="1"/>
    <col min="9" max="10" width="8.77734375" style="483" customWidth="1"/>
    <col min="11" max="11" width="9.21875" style="483" customWidth="1"/>
    <col min="12" max="12" width="8.21875" style="483" customWidth="1"/>
    <col min="13" max="16384" width="9.21875" style="483"/>
  </cols>
  <sheetData>
    <row r="1" spans="1:12" ht="18">
      <c r="A1" s="444" t="s">
        <v>1013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</row>
    <row r="2" spans="1:12" ht="18">
      <c r="A2" s="444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</row>
    <row r="3" spans="1:12" ht="54">
      <c r="A3" s="2293" t="s">
        <v>584</v>
      </c>
      <c r="B3" s="1776" t="s">
        <v>885</v>
      </c>
      <c r="C3" s="1776" t="s">
        <v>886</v>
      </c>
      <c r="D3" s="1776" t="s">
        <v>887</v>
      </c>
      <c r="E3" s="1776" t="s">
        <v>888</v>
      </c>
      <c r="F3" s="1776" t="s">
        <v>889</v>
      </c>
      <c r="G3" s="1776" t="s">
        <v>890</v>
      </c>
      <c r="H3" s="1776" t="s">
        <v>891</v>
      </c>
      <c r="I3" s="1777" t="s">
        <v>585</v>
      </c>
      <c r="J3" s="1776" t="s">
        <v>586</v>
      </c>
      <c r="K3" s="1776" t="s">
        <v>587</v>
      </c>
      <c r="L3" s="476"/>
    </row>
    <row r="4" spans="1:12">
      <c r="A4" s="2293"/>
      <c r="B4" s="2290" t="s">
        <v>163</v>
      </c>
      <c r="C4" s="2291"/>
      <c r="D4" s="2291"/>
      <c r="E4" s="2291"/>
      <c r="F4" s="2291"/>
      <c r="G4" s="2291"/>
      <c r="H4" s="2292"/>
      <c r="I4" s="2294" t="s">
        <v>169</v>
      </c>
      <c r="J4" s="2294"/>
      <c r="K4" s="2294"/>
    </row>
    <row r="5" spans="1:12">
      <c r="A5" s="1777">
        <v>1</v>
      </c>
      <c r="B5" s="1779">
        <v>2</v>
      </c>
      <c r="C5" s="1779">
        <v>3</v>
      </c>
      <c r="D5" s="1779">
        <v>4</v>
      </c>
      <c r="E5" s="1779">
        <v>5</v>
      </c>
      <c r="F5" s="1779">
        <v>6</v>
      </c>
      <c r="G5" s="1779">
        <v>7</v>
      </c>
      <c r="H5" s="1779">
        <v>8</v>
      </c>
      <c r="I5" s="1779">
        <v>9</v>
      </c>
      <c r="J5" s="1779">
        <v>10</v>
      </c>
      <c r="K5" s="1779">
        <v>11</v>
      </c>
    </row>
    <row r="6" spans="1:12">
      <c r="A6" s="1780" t="s">
        <v>588</v>
      </c>
      <c r="B6" s="1865">
        <f>150107334075.13</f>
        <v>150107334075.13</v>
      </c>
      <c r="C6" s="1865">
        <f>148995748204.79</f>
        <v>148995748204.79001</v>
      </c>
      <c r="D6" s="1865">
        <f>735052378.67</f>
        <v>735052378.66999996</v>
      </c>
      <c r="E6" s="1865">
        <f>129270974.21</f>
        <v>129270974.20999999</v>
      </c>
      <c r="F6" s="1865">
        <f>21085919.45</f>
        <v>21085919.449999999</v>
      </c>
      <c r="G6" s="1865">
        <f>55864542.57</f>
        <v>55864542.57</v>
      </c>
      <c r="H6" s="1865">
        <f>715616.74</f>
        <v>715616.74</v>
      </c>
      <c r="I6" s="1919">
        <f t="shared" ref="I6:I70" si="0">IF($C$6=0,"",100*$C6/$C$6)</f>
        <v>100</v>
      </c>
      <c r="J6" s="1919">
        <f t="shared" ref="J6:J52" si="1">IF(B6=0,"",100*C6/B6)</f>
        <v>99.259472645231554</v>
      </c>
      <c r="K6" s="1919"/>
    </row>
    <row r="7" spans="1:12" ht="26.4">
      <c r="A7" s="1783" t="s">
        <v>589</v>
      </c>
      <c r="B7" s="1865">
        <f>B6-B26-B63</f>
        <v>119597740627.57001</v>
      </c>
      <c r="C7" s="1865">
        <f>C6-C26-C63</f>
        <v>119976933818.01001</v>
      </c>
      <c r="D7" s="1865">
        <f>D6</f>
        <v>735052378.66999996</v>
      </c>
      <c r="E7" s="1865">
        <f>E6</f>
        <v>129270974.20999999</v>
      </c>
      <c r="F7" s="1865">
        <f>F6</f>
        <v>21085919.449999999</v>
      </c>
      <c r="G7" s="1865">
        <f>G6</f>
        <v>55864542.57</v>
      </c>
      <c r="H7" s="1865">
        <f>H6</f>
        <v>715616.74</v>
      </c>
      <c r="I7" s="1919">
        <f t="shared" si="0"/>
        <v>80.523729880604009</v>
      </c>
      <c r="J7" s="1919">
        <f t="shared" si="1"/>
        <v>100.31705715212532</v>
      </c>
      <c r="K7" s="1919">
        <f t="shared" ref="K7:K25" si="2">IF($C$7=0,"",100*$C7/$C$7)</f>
        <v>99.999999999999986</v>
      </c>
    </row>
    <row r="8" spans="1:12">
      <c r="A8" s="1784" t="s">
        <v>786</v>
      </c>
      <c r="B8" s="1868">
        <f>65631664063.92</f>
        <v>65631664063.919998</v>
      </c>
      <c r="C8" s="1868">
        <f>65631664065.19</f>
        <v>65631664065.190002</v>
      </c>
      <c r="D8" s="1868">
        <f>0</f>
        <v>0</v>
      </c>
      <c r="E8" s="1868">
        <f>0</f>
        <v>0</v>
      </c>
      <c r="F8" s="1868">
        <f>0</f>
        <v>0</v>
      </c>
      <c r="G8" s="1868">
        <f>0</f>
        <v>0</v>
      </c>
      <c r="H8" s="1868">
        <f>0</f>
        <v>0</v>
      </c>
      <c r="I8" s="1920">
        <f t="shared" si="0"/>
        <v>44.049353660066409</v>
      </c>
      <c r="J8" s="1920">
        <f t="shared" si="1"/>
        <v>100.00000000193505</v>
      </c>
      <c r="K8" s="1920">
        <f t="shared" si="2"/>
        <v>54.703568408195046</v>
      </c>
    </row>
    <row r="9" spans="1:12">
      <c r="A9" s="1784" t="s">
        <v>785</v>
      </c>
      <c r="B9" s="1868">
        <f>9030041098.56</f>
        <v>9030041098.5599995</v>
      </c>
      <c r="C9" s="1868">
        <f>9030041099</f>
        <v>9030041099</v>
      </c>
      <c r="D9" s="1868">
        <f>0</f>
        <v>0</v>
      </c>
      <c r="E9" s="1868">
        <f>0</f>
        <v>0</v>
      </c>
      <c r="F9" s="1868">
        <f>0</f>
        <v>0</v>
      </c>
      <c r="G9" s="1868">
        <f>0</f>
        <v>0</v>
      </c>
      <c r="H9" s="1868">
        <f>0</f>
        <v>0</v>
      </c>
      <c r="I9" s="1920">
        <f t="shared" si="0"/>
        <v>6.0606032103603988</v>
      </c>
      <c r="J9" s="1920">
        <f t="shared" si="1"/>
        <v>100.00000000487263</v>
      </c>
      <c r="K9" s="1920">
        <f t="shared" si="2"/>
        <v>7.5264809756660744</v>
      </c>
    </row>
    <row r="10" spans="1:12">
      <c r="A10" s="1784" t="s">
        <v>847</v>
      </c>
      <c r="B10" s="1868">
        <f>13774654798.01</f>
        <v>13774654798.01</v>
      </c>
      <c r="C10" s="1868">
        <f>13969695688.72</f>
        <v>13969695688.719999</v>
      </c>
      <c r="D10" s="1868">
        <f>217071012.29</f>
        <v>217071012.28999999</v>
      </c>
      <c r="E10" s="1868">
        <f>128632665.06</f>
        <v>128632665.06</v>
      </c>
      <c r="F10" s="1868">
        <f>13777775.41</f>
        <v>13777775.41</v>
      </c>
      <c r="G10" s="1868">
        <f>39362877.93</f>
        <v>39362877.93</v>
      </c>
      <c r="H10" s="1868">
        <f>672623.99</f>
        <v>672623.99</v>
      </c>
      <c r="I10" s="1920">
        <f t="shared" si="0"/>
        <v>9.3759022368336904</v>
      </c>
      <c r="J10" s="1920">
        <f t="shared" si="1"/>
        <v>101.41594031625516</v>
      </c>
      <c r="K10" s="1920">
        <f t="shared" si="2"/>
        <v>11.643651195412511</v>
      </c>
    </row>
    <row r="11" spans="1:12">
      <c r="A11" s="1784" t="s">
        <v>848</v>
      </c>
      <c r="B11" s="1868">
        <f>32825838.01</f>
        <v>32825838.010000002</v>
      </c>
      <c r="C11" s="1870">
        <f>32431609.4</f>
        <v>32431609.399999999</v>
      </c>
      <c r="D11" s="1868">
        <f>171665.32</f>
        <v>171665.32</v>
      </c>
      <c r="E11" s="1868">
        <f>12561.68</f>
        <v>12561.68</v>
      </c>
      <c r="F11" s="1868">
        <f>37033.85</f>
        <v>37033.85</v>
      </c>
      <c r="G11" s="1868">
        <f>44151.17</f>
        <v>44151.17</v>
      </c>
      <c r="H11" s="1868">
        <f>89.29</f>
        <v>89.29</v>
      </c>
      <c r="I11" s="1920">
        <f t="shared" si="0"/>
        <v>2.1766801932779831E-2</v>
      </c>
      <c r="J11" s="1920">
        <f t="shared" si="1"/>
        <v>98.799029563601991</v>
      </c>
      <c r="K11" s="1920">
        <f t="shared" si="2"/>
        <v>2.7031537119622254E-2</v>
      </c>
    </row>
    <row r="12" spans="1:12">
      <c r="A12" s="1784" t="s">
        <v>849</v>
      </c>
      <c r="B12" s="1868">
        <f>7340986</f>
        <v>7340986</v>
      </c>
      <c r="C12" s="1870">
        <f>6601936.4</f>
        <v>6601936.4000000004</v>
      </c>
      <c r="D12" s="1868">
        <f>0</f>
        <v>0</v>
      </c>
      <c r="E12" s="1868">
        <f>36647.47</f>
        <v>36647.47</v>
      </c>
      <c r="F12" s="1868">
        <f>146.2</f>
        <v>146.19999999999999</v>
      </c>
      <c r="G12" s="1868">
        <f>1296.94</f>
        <v>1296.94</v>
      </c>
      <c r="H12" s="1868">
        <f>1.7</f>
        <v>1.7</v>
      </c>
      <c r="I12" s="1920">
        <f t="shared" si="0"/>
        <v>4.4309562383792623E-3</v>
      </c>
      <c r="J12" s="1920">
        <f t="shared" si="1"/>
        <v>89.93255674373988</v>
      </c>
      <c r="K12" s="1920">
        <f t="shared" si="2"/>
        <v>5.5026713801623831E-3</v>
      </c>
    </row>
    <row r="13" spans="1:12">
      <c r="A13" s="1784" t="s">
        <v>590</v>
      </c>
      <c r="B13" s="1868">
        <f>411609335</f>
        <v>411609335</v>
      </c>
      <c r="C13" s="1870">
        <f>398046992.62</f>
        <v>398046992.62</v>
      </c>
      <c r="D13" s="1868">
        <f>515862976.83</f>
        <v>515862976.82999998</v>
      </c>
      <c r="E13" s="1868">
        <f>589100</f>
        <v>589100</v>
      </c>
      <c r="F13" s="1868">
        <f>90105.46</f>
        <v>90105.46</v>
      </c>
      <c r="G13" s="1868">
        <f>2171920.15</f>
        <v>2171920.15</v>
      </c>
      <c r="H13" s="1868">
        <f>0</f>
        <v>0</v>
      </c>
      <c r="I13" s="1920">
        <f t="shared" si="0"/>
        <v>0.26715325599284673</v>
      </c>
      <c r="J13" s="1920">
        <f t="shared" si="1"/>
        <v>96.705044996124784</v>
      </c>
      <c r="K13" s="1920">
        <f t="shared" si="2"/>
        <v>0.33176959933297467</v>
      </c>
    </row>
    <row r="14" spans="1:12">
      <c r="A14" s="1784" t="s">
        <v>591</v>
      </c>
      <c r="B14" s="1868">
        <f>2003963522</f>
        <v>2003963522</v>
      </c>
      <c r="C14" s="1870">
        <f>2051275211.58</f>
        <v>2051275211.5799999</v>
      </c>
      <c r="D14" s="1868">
        <f>0</f>
        <v>0</v>
      </c>
      <c r="E14" s="1868">
        <f>0</f>
        <v>0</v>
      </c>
      <c r="F14" s="1868">
        <f>21309</f>
        <v>21309</v>
      </c>
      <c r="G14" s="1868">
        <f>742014.8</f>
        <v>742014.8</v>
      </c>
      <c r="H14" s="1868">
        <f>0</f>
        <v>0</v>
      </c>
      <c r="I14" s="1920">
        <f t="shared" si="0"/>
        <v>1.3767340587199752</v>
      </c>
      <c r="J14" s="1920">
        <f t="shared" si="1"/>
        <v>102.36090572810336</v>
      </c>
      <c r="K14" s="1920">
        <f t="shared" si="2"/>
        <v>1.7097246498160452</v>
      </c>
    </row>
    <row r="15" spans="1:12" ht="20.399999999999999">
      <c r="A15" s="1784" t="s">
        <v>850</v>
      </c>
      <c r="B15" s="1868">
        <f>92450458</f>
        <v>92450458</v>
      </c>
      <c r="C15" s="1870">
        <f>87573439.84</f>
        <v>87573439.840000004</v>
      </c>
      <c r="D15" s="1868">
        <f>0</f>
        <v>0</v>
      </c>
      <c r="E15" s="1868">
        <f>0</f>
        <v>0</v>
      </c>
      <c r="F15" s="1868">
        <f>4684.48</f>
        <v>4684.4799999999996</v>
      </c>
      <c r="G15" s="1868">
        <f>260292.04</f>
        <v>260292.04</v>
      </c>
      <c r="H15" s="1868">
        <f>0</f>
        <v>0</v>
      </c>
      <c r="I15" s="1920">
        <f t="shared" si="0"/>
        <v>5.877579789701988E-2</v>
      </c>
      <c r="J15" s="1920">
        <f t="shared" si="1"/>
        <v>94.724722553564845</v>
      </c>
      <c r="K15" s="1920">
        <f t="shared" si="2"/>
        <v>7.2991896903148015E-2</v>
      </c>
    </row>
    <row r="16" spans="1:12">
      <c r="A16" s="1784" t="s">
        <v>851</v>
      </c>
      <c r="B16" s="1868">
        <f>476549894</f>
        <v>476549894</v>
      </c>
      <c r="C16" s="1870">
        <f>477315923.86</f>
        <v>477315923.86000001</v>
      </c>
      <c r="D16" s="1868">
        <f>0</f>
        <v>0</v>
      </c>
      <c r="E16" s="1868">
        <f>0</f>
        <v>0</v>
      </c>
      <c r="F16" s="1868">
        <f>3412</f>
        <v>3412</v>
      </c>
      <c r="G16" s="1868">
        <f>121</f>
        <v>121</v>
      </c>
      <c r="H16" s="1868">
        <f>0</f>
        <v>0</v>
      </c>
      <c r="I16" s="1920">
        <f t="shared" si="0"/>
        <v>0.32035539913792987</v>
      </c>
      <c r="J16" s="1920">
        <f t="shared" si="1"/>
        <v>100.16074494394914</v>
      </c>
      <c r="K16" s="1920">
        <f t="shared" si="2"/>
        <v>0.397839741915749</v>
      </c>
    </row>
    <row r="17" spans="1:11">
      <c r="A17" s="1784" t="s">
        <v>592</v>
      </c>
      <c r="B17" s="1868">
        <f>32550417.6</f>
        <v>32550417.600000001</v>
      </c>
      <c r="C17" s="1870">
        <f>32753859.21</f>
        <v>32753859.210000001</v>
      </c>
      <c r="D17" s="1868">
        <f>0</f>
        <v>0</v>
      </c>
      <c r="E17" s="1868">
        <f>0</f>
        <v>0</v>
      </c>
      <c r="F17" s="1868">
        <f>0</f>
        <v>0</v>
      </c>
      <c r="G17" s="1868">
        <f>0</f>
        <v>0</v>
      </c>
      <c r="H17" s="1868">
        <f>0</f>
        <v>0</v>
      </c>
      <c r="I17" s="1920">
        <f t="shared" si="0"/>
        <v>2.1983083144749099E-2</v>
      </c>
      <c r="J17" s="1920">
        <f t="shared" si="1"/>
        <v>100.6250046082358</v>
      </c>
      <c r="K17" s="1920">
        <f t="shared" si="2"/>
        <v>2.7300130256440378E-2</v>
      </c>
    </row>
    <row r="18" spans="1:11">
      <c r="A18" s="1784" t="s">
        <v>852</v>
      </c>
      <c r="B18" s="1868">
        <f>324026156</f>
        <v>324026156</v>
      </c>
      <c r="C18" s="1870">
        <f>374439282.37</f>
        <v>374439282.37</v>
      </c>
      <c r="D18" s="1868">
        <f>0</f>
        <v>0</v>
      </c>
      <c r="E18" s="1868">
        <f>0</f>
        <v>0</v>
      </c>
      <c r="F18" s="1868">
        <f>1097070.91</f>
        <v>1097070.9099999999</v>
      </c>
      <c r="G18" s="1868">
        <f>7065747.04</f>
        <v>7065747.04</v>
      </c>
      <c r="H18" s="1868">
        <f>0</f>
        <v>0</v>
      </c>
      <c r="I18" s="1920">
        <f t="shared" si="0"/>
        <v>0.25130870302107206</v>
      </c>
      <c r="J18" s="1920">
        <f t="shared" si="1"/>
        <v>115.55835090362272</v>
      </c>
      <c r="K18" s="1920">
        <f t="shared" si="2"/>
        <v>0.31209272520497777</v>
      </c>
    </row>
    <row r="19" spans="1:11">
      <c r="A19" s="1784" t="s">
        <v>593</v>
      </c>
      <c r="B19" s="1868">
        <f>13341824</f>
        <v>13341824</v>
      </c>
      <c r="C19" s="1870">
        <f>12523828.13</f>
        <v>12523828.130000001</v>
      </c>
      <c r="D19" s="1868">
        <f>0</f>
        <v>0</v>
      </c>
      <c r="E19" s="1868">
        <f>0</f>
        <v>0</v>
      </c>
      <c r="F19" s="1868">
        <f>0</f>
        <v>0</v>
      </c>
      <c r="G19" s="1868">
        <f>2424.17</f>
        <v>2424.17</v>
      </c>
      <c r="H19" s="1868">
        <f>0</f>
        <v>0</v>
      </c>
      <c r="I19" s="1920">
        <f t="shared" si="0"/>
        <v>8.4054936338091944E-3</v>
      </c>
      <c r="J19" s="1920">
        <f>IF(B19=0,"",100*C19/B19)</f>
        <v>93.868935237041057</v>
      </c>
      <c r="K19" s="1920">
        <f t="shared" si="2"/>
        <v>1.0438529916923097E-2</v>
      </c>
    </row>
    <row r="20" spans="1:11">
      <c r="A20" s="1784" t="s">
        <v>853</v>
      </c>
      <c r="B20" s="1868">
        <f>5905000</f>
        <v>5905000</v>
      </c>
      <c r="C20" s="1870">
        <f>8985614.73</f>
        <v>8985614.7300000004</v>
      </c>
      <c r="D20" s="1868">
        <f>0</f>
        <v>0</v>
      </c>
      <c r="E20" s="1868">
        <f>0</f>
        <v>0</v>
      </c>
      <c r="F20" s="1868">
        <f>0</f>
        <v>0</v>
      </c>
      <c r="G20" s="1868">
        <f>0</f>
        <v>0</v>
      </c>
      <c r="H20" s="1868">
        <f>0</f>
        <v>0</v>
      </c>
      <c r="I20" s="1920">
        <f t="shared" si="0"/>
        <v>6.0307860044768206E-3</v>
      </c>
      <c r="J20" s="1920">
        <f>IF(B20=0,"",100*C20/B20)</f>
        <v>152.16959745977985</v>
      </c>
      <c r="K20" s="1920">
        <f t="shared" si="2"/>
        <v>7.4894518838346481E-3</v>
      </c>
    </row>
    <row r="21" spans="1:11">
      <c r="A21" s="1784" t="s">
        <v>854</v>
      </c>
      <c r="B21" s="1868">
        <f>25658800</f>
        <v>25658800</v>
      </c>
      <c r="C21" s="1870">
        <f>25455853.4</f>
        <v>25455853.399999999</v>
      </c>
      <c r="D21" s="1868">
        <f>0</f>
        <v>0</v>
      </c>
      <c r="E21" s="1868">
        <f>0</f>
        <v>0</v>
      </c>
      <c r="F21" s="1868">
        <f>0</f>
        <v>0</v>
      </c>
      <c r="G21" s="1868">
        <f>0</f>
        <v>0</v>
      </c>
      <c r="H21" s="1868">
        <f>0</f>
        <v>0</v>
      </c>
      <c r="I21" s="1920">
        <f t="shared" si="0"/>
        <v>1.7084952897455652E-2</v>
      </c>
      <c r="J21" s="1920">
        <f>IF(B21=0,"",100*C21/B21)</f>
        <v>99.209056542005086</v>
      </c>
      <c r="K21" s="1920">
        <f t="shared" si="2"/>
        <v>2.1217289515510825E-2</v>
      </c>
    </row>
    <row r="22" spans="1:11">
      <c r="A22" s="1784" t="s">
        <v>855</v>
      </c>
      <c r="B22" s="1868">
        <f>603580</f>
        <v>603580</v>
      </c>
      <c r="C22" s="1870">
        <f>583688.65</f>
        <v>583688.65</v>
      </c>
      <c r="D22" s="1868">
        <f>224611.23</f>
        <v>224611.23</v>
      </c>
      <c r="E22" s="1868">
        <f>0</f>
        <v>0</v>
      </c>
      <c r="F22" s="1868">
        <f>400</f>
        <v>400</v>
      </c>
      <c r="G22" s="1868">
        <f>0</f>
        <v>0</v>
      </c>
      <c r="H22" s="1868">
        <f>0</f>
        <v>0</v>
      </c>
      <c r="I22" s="1920">
        <f t="shared" si="0"/>
        <v>3.9174852774841477E-4</v>
      </c>
      <c r="J22" s="1920">
        <f>IF(B22=0,"",100*C22/B22)</f>
        <v>96.704438516849464</v>
      </c>
      <c r="K22" s="1920">
        <f t="shared" si="2"/>
        <v>4.8650072261838479E-4</v>
      </c>
    </row>
    <row r="23" spans="1:11">
      <c r="A23" s="1784" t="s">
        <v>856</v>
      </c>
      <c r="B23" s="1868">
        <f>650000</f>
        <v>650000</v>
      </c>
      <c r="C23" s="1870">
        <f>972987.1</f>
        <v>972987.1</v>
      </c>
      <c r="D23" s="1868">
        <f>1722113</f>
        <v>1722113</v>
      </c>
      <c r="E23" s="1868">
        <f>0</f>
        <v>0</v>
      </c>
      <c r="F23" s="1868">
        <f>983</f>
        <v>983</v>
      </c>
      <c r="G23" s="1868">
        <f>0</f>
        <v>0</v>
      </c>
      <c r="H23" s="1868">
        <f>0</f>
        <v>0</v>
      </c>
      <c r="I23" s="1920">
        <f t="shared" si="0"/>
        <v>6.5303011107582722E-4</v>
      </c>
      <c r="J23" s="1920">
        <f>IF(B23=0,"",100*C23/B23)</f>
        <v>149.69032307692308</v>
      </c>
      <c r="K23" s="1920">
        <f t="shared" si="2"/>
        <v>8.1097846814113422E-4</v>
      </c>
    </row>
    <row r="24" spans="1:11">
      <c r="A24" s="1784" t="s">
        <v>594</v>
      </c>
      <c r="B24" s="1868">
        <f>5830962804.46</f>
        <v>5830962804.46</v>
      </c>
      <c r="C24" s="1870">
        <f>5568847039.5</f>
        <v>5568847039.5</v>
      </c>
      <c r="D24" s="1868">
        <f>0</f>
        <v>0</v>
      </c>
      <c r="E24" s="1868">
        <f>0</f>
        <v>0</v>
      </c>
      <c r="F24" s="1868">
        <f>0</f>
        <v>0</v>
      </c>
      <c r="G24" s="1868">
        <f>0</f>
        <v>0</v>
      </c>
      <c r="H24" s="1868">
        <f>0</f>
        <v>0</v>
      </c>
      <c r="I24" s="1920">
        <f t="shared" si="0"/>
        <v>3.7375878886461869</v>
      </c>
      <c r="J24" s="1920">
        <f t="shared" si="1"/>
        <v>95.504760127100923</v>
      </c>
      <c r="K24" s="1920">
        <f t="shared" si="2"/>
        <v>4.6415980657975844</v>
      </c>
    </row>
    <row r="25" spans="1:11">
      <c r="A25" s="1784" t="s">
        <v>595</v>
      </c>
      <c r="B25" s="1868">
        <f t="shared" ref="B25:H25" si="3">B7-SUM(B8:B24)</f>
        <v>21902942052.01001</v>
      </c>
      <c r="C25" s="1868">
        <f t="shared" si="3"/>
        <v>22267725698.310028</v>
      </c>
      <c r="D25" s="1868">
        <f t="shared" si="3"/>
        <v>0</v>
      </c>
      <c r="E25" s="1868">
        <f t="shared" si="3"/>
        <v>0</v>
      </c>
      <c r="F25" s="1868">
        <f t="shared" si="3"/>
        <v>6052999.1399999987</v>
      </c>
      <c r="G25" s="1868">
        <f t="shared" si="3"/>
        <v>6213697.3300000057</v>
      </c>
      <c r="H25" s="1868">
        <f t="shared" si="3"/>
        <v>42901.760000000009</v>
      </c>
      <c r="I25" s="1920">
        <f t="shared" si="0"/>
        <v>14.945208817438022</v>
      </c>
      <c r="J25" s="1920">
        <f t="shared" si="1"/>
        <v>101.66545501254497</v>
      </c>
      <c r="K25" s="1920">
        <f t="shared" si="2"/>
        <v>18.560005652492656</v>
      </c>
    </row>
    <row r="26" spans="1:11" ht="26.4">
      <c r="A26" s="1783" t="s">
        <v>596</v>
      </c>
      <c r="B26" s="1865">
        <f>B27+B59+B61</f>
        <v>21770951407.490002</v>
      </c>
      <c r="C26" s="1865">
        <f>C27+C59+C61</f>
        <v>20261836642.650002</v>
      </c>
      <c r="D26" s="1921" t="s">
        <v>597</v>
      </c>
      <c r="E26" s="1921" t="s">
        <v>597</v>
      </c>
      <c r="F26" s="1921" t="s">
        <v>597</v>
      </c>
      <c r="G26" s="1921" t="s">
        <v>597</v>
      </c>
      <c r="H26" s="1921" t="s">
        <v>597</v>
      </c>
      <c r="I26" s="1919">
        <f t="shared" si="0"/>
        <v>13.598936135278667</v>
      </c>
      <c r="J26" s="1919">
        <f t="shared" si="1"/>
        <v>93.06821857899692</v>
      </c>
      <c r="K26" s="1922"/>
    </row>
    <row r="27" spans="1:11" ht="26.4">
      <c r="A27" s="1789" t="s">
        <v>598</v>
      </c>
      <c r="B27" s="1865">
        <f>B28+B35+B42</f>
        <v>18037957998.549999</v>
      </c>
      <c r="C27" s="1865">
        <f>C28+C35+C42</f>
        <v>17236231992.98</v>
      </c>
      <c r="D27" s="1921" t="s">
        <v>597</v>
      </c>
      <c r="E27" s="1921" t="s">
        <v>597</v>
      </c>
      <c r="F27" s="1921" t="s">
        <v>597</v>
      </c>
      <c r="G27" s="1921" t="s">
        <v>597</v>
      </c>
      <c r="H27" s="1921" t="s">
        <v>597</v>
      </c>
      <c r="I27" s="1919">
        <f t="shared" si="0"/>
        <v>11.568271041727538</v>
      </c>
      <c r="J27" s="1919">
        <f t="shared" si="1"/>
        <v>95.555339436789652</v>
      </c>
      <c r="K27" s="1923"/>
    </row>
    <row r="28" spans="1:11">
      <c r="A28" s="1924" t="s">
        <v>758</v>
      </c>
      <c r="B28" s="1865">
        <f>B29+B31+B33</f>
        <v>7727973593.2400007</v>
      </c>
      <c r="C28" s="1865">
        <f>C29+C31+C33</f>
        <v>7562004285.0900002</v>
      </c>
      <c r="D28" s="1921" t="s">
        <v>597</v>
      </c>
      <c r="E28" s="1921" t="s">
        <v>597</v>
      </c>
      <c r="F28" s="1921" t="s">
        <v>597</v>
      </c>
      <c r="G28" s="1921" t="s">
        <v>597</v>
      </c>
      <c r="H28" s="1921" t="s">
        <v>597</v>
      </c>
      <c r="I28" s="1919">
        <f t="shared" si="0"/>
        <v>5.0753154879938327</v>
      </c>
      <c r="J28" s="1919">
        <f t="shared" si="1"/>
        <v>97.852356686425779</v>
      </c>
      <c r="K28" s="1923"/>
    </row>
    <row r="29" spans="1:11" ht="20.399999999999999">
      <c r="A29" s="1790" t="s">
        <v>759</v>
      </c>
      <c r="B29" s="1868">
        <f>5609739645.87</f>
        <v>5609739645.8699999</v>
      </c>
      <c r="C29" s="1870">
        <f>5565282905.7</f>
        <v>5565282905.6999998</v>
      </c>
      <c r="D29" s="1921" t="s">
        <v>597</v>
      </c>
      <c r="E29" s="1921" t="s">
        <v>597</v>
      </c>
      <c r="F29" s="1921" t="s">
        <v>597</v>
      </c>
      <c r="G29" s="1921" t="s">
        <v>597</v>
      </c>
      <c r="H29" s="1921" t="s">
        <v>597</v>
      </c>
      <c r="I29" s="1920">
        <f t="shared" si="0"/>
        <v>3.7351957842788188</v>
      </c>
      <c r="J29" s="1920">
        <f t="shared" si="1"/>
        <v>99.207507959790433</v>
      </c>
      <c r="K29" s="1923"/>
    </row>
    <row r="30" spans="1:11">
      <c r="A30" s="1791" t="s">
        <v>600</v>
      </c>
      <c r="B30" s="1868">
        <f>106669542.4</f>
        <v>106669542.40000001</v>
      </c>
      <c r="C30" s="1868">
        <f>90826282.41</f>
        <v>90826282.409999996</v>
      </c>
      <c r="D30" s="1921" t="s">
        <v>597</v>
      </c>
      <c r="E30" s="1921" t="s">
        <v>597</v>
      </c>
      <c r="F30" s="1921" t="s">
        <v>597</v>
      </c>
      <c r="G30" s="1921" t="s">
        <v>597</v>
      </c>
      <c r="H30" s="1921" t="s">
        <v>597</v>
      </c>
      <c r="I30" s="1920">
        <f t="shared" si="0"/>
        <v>6.0958976013974646E-2</v>
      </c>
      <c r="J30" s="1920">
        <f t="shared" si="1"/>
        <v>85.147344186975715</v>
      </c>
      <c r="K30" s="1923"/>
    </row>
    <row r="31" spans="1:11">
      <c r="A31" s="1790" t="s">
        <v>760</v>
      </c>
      <c r="B31" s="1868">
        <f>2090033060.06</f>
        <v>2090033060.0599999</v>
      </c>
      <c r="C31" s="1870">
        <f>1970301125.25</f>
        <v>1970301125.25</v>
      </c>
      <c r="D31" s="1921" t="s">
        <v>597</v>
      </c>
      <c r="E31" s="1921" t="s">
        <v>597</v>
      </c>
      <c r="F31" s="1921" t="s">
        <v>597</v>
      </c>
      <c r="G31" s="1921" t="s">
        <v>597</v>
      </c>
      <c r="H31" s="1921" t="s">
        <v>597</v>
      </c>
      <c r="I31" s="1920">
        <f t="shared" si="0"/>
        <v>1.3223874835286458</v>
      </c>
      <c r="J31" s="1920">
        <f t="shared" si="1"/>
        <v>94.271289909329823</v>
      </c>
      <c r="K31" s="1923"/>
    </row>
    <row r="32" spans="1:11">
      <c r="A32" s="1791" t="s">
        <v>600</v>
      </c>
      <c r="B32" s="1868">
        <f>397775768.63</f>
        <v>397775768.63</v>
      </c>
      <c r="C32" s="1868">
        <f>327935138.66</f>
        <v>327935138.66000003</v>
      </c>
      <c r="D32" s="1921" t="s">
        <v>597</v>
      </c>
      <c r="E32" s="1921" t="s">
        <v>597</v>
      </c>
      <c r="F32" s="1921" t="s">
        <v>597</v>
      </c>
      <c r="G32" s="1921" t="s">
        <v>597</v>
      </c>
      <c r="H32" s="1921" t="s">
        <v>597</v>
      </c>
      <c r="I32" s="1920">
        <f t="shared" si="0"/>
        <v>0.2200969776729893</v>
      </c>
      <c r="J32" s="1920">
        <f t="shared" si="1"/>
        <v>82.442211045046392</v>
      </c>
      <c r="K32" s="1923"/>
    </row>
    <row r="33" spans="1:11" ht="20.399999999999999">
      <c r="A33" s="1790" t="s">
        <v>602</v>
      </c>
      <c r="B33" s="1868">
        <f>28200887.31</f>
        <v>28200887.309999999</v>
      </c>
      <c r="C33" s="1870">
        <f>26420254.14</f>
        <v>26420254.140000001</v>
      </c>
      <c r="D33" s="1921" t="s">
        <v>597</v>
      </c>
      <c r="E33" s="1921" t="s">
        <v>597</v>
      </c>
      <c r="F33" s="1921" t="s">
        <v>597</v>
      </c>
      <c r="G33" s="1921" t="s">
        <v>597</v>
      </c>
      <c r="H33" s="1921" t="s">
        <v>597</v>
      </c>
      <c r="I33" s="1920">
        <f t="shared" si="0"/>
        <v>1.7732220186368126E-2</v>
      </c>
      <c r="J33" s="1920">
        <f t="shared" si="1"/>
        <v>93.685896651313556</v>
      </c>
      <c r="K33" s="1923"/>
    </row>
    <row r="34" spans="1:11">
      <c r="A34" s="1791" t="s">
        <v>600</v>
      </c>
      <c r="B34" s="1868">
        <f>8676480.84</f>
        <v>8676480.8399999999</v>
      </c>
      <c r="C34" s="1868">
        <f>8231069.9</f>
        <v>8231069.9000000004</v>
      </c>
      <c r="D34" s="1921" t="s">
        <v>597</v>
      </c>
      <c r="E34" s="1921" t="s">
        <v>597</v>
      </c>
      <c r="F34" s="1921" t="s">
        <v>597</v>
      </c>
      <c r="G34" s="1921" t="s">
        <v>597</v>
      </c>
      <c r="H34" s="1921" t="s">
        <v>597</v>
      </c>
      <c r="I34" s="1920">
        <f t="shared" si="0"/>
        <v>5.5243656273242453E-3</v>
      </c>
      <c r="J34" s="1920">
        <f t="shared" si="1"/>
        <v>94.86645624863732</v>
      </c>
      <c r="K34" s="1923"/>
    </row>
    <row r="35" spans="1:11">
      <c r="A35" s="1924" t="s">
        <v>761</v>
      </c>
      <c r="B35" s="1865">
        <f>B36+B38+B40</f>
        <v>3961173396.0099998</v>
      </c>
      <c r="C35" s="1865">
        <f>C36+C38+C40</f>
        <v>3815686425.6800003</v>
      </c>
      <c r="D35" s="1921" t="s">
        <v>597</v>
      </c>
      <c r="E35" s="1921" t="s">
        <v>597</v>
      </c>
      <c r="F35" s="1921" t="s">
        <v>597</v>
      </c>
      <c r="G35" s="1921" t="s">
        <v>597</v>
      </c>
      <c r="H35" s="1921" t="s">
        <v>597</v>
      </c>
      <c r="I35" s="1919">
        <f t="shared" si="0"/>
        <v>2.5609364506398249</v>
      </c>
      <c r="J35" s="1919">
        <f t="shared" si="1"/>
        <v>96.327174910430699</v>
      </c>
      <c r="K35" s="1923"/>
    </row>
    <row r="36" spans="1:11" ht="20.399999999999999">
      <c r="A36" s="1790" t="s">
        <v>759</v>
      </c>
      <c r="B36" s="1868">
        <f>3108759140.1</f>
        <v>3108759140.0999999</v>
      </c>
      <c r="C36" s="1868">
        <f>3075498807.6</f>
        <v>3075498807.5999999</v>
      </c>
      <c r="D36" s="1921" t="s">
        <v>597</v>
      </c>
      <c r="E36" s="1921" t="s">
        <v>597</v>
      </c>
      <c r="F36" s="1921" t="s">
        <v>597</v>
      </c>
      <c r="G36" s="1921" t="s">
        <v>597</v>
      </c>
      <c r="H36" s="1921" t="s">
        <v>597</v>
      </c>
      <c r="I36" s="1920">
        <f t="shared" si="0"/>
        <v>2.0641520611533308</v>
      </c>
      <c r="J36" s="1920">
        <f t="shared" si="1"/>
        <v>98.930109056344264</v>
      </c>
      <c r="K36" s="1923"/>
    </row>
    <row r="37" spans="1:11">
      <c r="A37" s="1791" t="s">
        <v>600</v>
      </c>
      <c r="B37" s="1868">
        <f>319740056.72</f>
        <v>319740056.72000003</v>
      </c>
      <c r="C37" s="1870">
        <f>303038424.84</f>
        <v>303038424.83999997</v>
      </c>
      <c r="D37" s="1921" t="s">
        <v>597</v>
      </c>
      <c r="E37" s="1921" t="s">
        <v>597</v>
      </c>
      <c r="F37" s="1921" t="s">
        <v>597</v>
      </c>
      <c r="G37" s="1921" t="s">
        <v>597</v>
      </c>
      <c r="H37" s="1921" t="s">
        <v>597</v>
      </c>
      <c r="I37" s="1920">
        <f t="shared" si="0"/>
        <v>0.2033872969472143</v>
      </c>
      <c r="J37" s="1920">
        <f t="shared" si="1"/>
        <v>94.776496867070406</v>
      </c>
      <c r="K37" s="1923"/>
    </row>
    <row r="38" spans="1:11">
      <c r="A38" s="1790" t="s">
        <v>760</v>
      </c>
      <c r="B38" s="1868">
        <f>763810603.51</f>
        <v>763810603.50999999</v>
      </c>
      <c r="C38" s="1868">
        <f>660130093.53</f>
        <v>660130093.52999997</v>
      </c>
      <c r="D38" s="1921" t="s">
        <v>597</v>
      </c>
      <c r="E38" s="1921" t="s">
        <v>597</v>
      </c>
      <c r="F38" s="1921" t="s">
        <v>597</v>
      </c>
      <c r="G38" s="1921" t="s">
        <v>597</v>
      </c>
      <c r="H38" s="1921" t="s">
        <v>597</v>
      </c>
      <c r="I38" s="1920">
        <f t="shared" si="0"/>
        <v>0.44305297398330573</v>
      </c>
      <c r="J38" s="1920">
        <f t="shared" si="1"/>
        <v>86.42588758213769</v>
      </c>
      <c r="K38" s="1923"/>
    </row>
    <row r="39" spans="1:11">
      <c r="A39" s="1791" t="s">
        <v>600</v>
      </c>
      <c r="B39" s="1868">
        <f>233031385.01</f>
        <v>233031385.00999999</v>
      </c>
      <c r="C39" s="1870">
        <f>159292544.11</f>
        <v>159292544.11000001</v>
      </c>
      <c r="D39" s="1921" t="s">
        <v>597</v>
      </c>
      <c r="E39" s="1921" t="s">
        <v>597</v>
      </c>
      <c r="F39" s="1921" t="s">
        <v>597</v>
      </c>
      <c r="G39" s="1921" t="s">
        <v>597</v>
      </c>
      <c r="H39" s="1921" t="s">
        <v>597</v>
      </c>
      <c r="I39" s="1920">
        <f t="shared" si="0"/>
        <v>0.10691079848201936</v>
      </c>
      <c r="J39" s="1920">
        <f t="shared" si="1"/>
        <v>68.35669113976401</v>
      </c>
      <c r="K39" s="1923"/>
    </row>
    <row r="40" spans="1:11" ht="20.399999999999999">
      <c r="A40" s="1790" t="s">
        <v>602</v>
      </c>
      <c r="B40" s="1868">
        <f>88603652.4</f>
        <v>88603652.400000006</v>
      </c>
      <c r="C40" s="1868">
        <f>80057524.55</f>
        <v>80057524.549999997</v>
      </c>
      <c r="D40" s="1921" t="s">
        <v>597</v>
      </c>
      <c r="E40" s="1921" t="s">
        <v>597</v>
      </c>
      <c r="F40" s="1921" t="s">
        <v>597</v>
      </c>
      <c r="G40" s="1921" t="s">
        <v>597</v>
      </c>
      <c r="H40" s="1921" t="s">
        <v>597</v>
      </c>
      <c r="I40" s="1920">
        <f t="shared" si="0"/>
        <v>5.3731415503188336E-2</v>
      </c>
      <c r="J40" s="1920">
        <f t="shared" si="1"/>
        <v>90.354655120289365</v>
      </c>
      <c r="K40" s="1923"/>
    </row>
    <row r="41" spans="1:11">
      <c r="A41" s="1791" t="s">
        <v>600</v>
      </c>
      <c r="B41" s="1868">
        <f>2418377</f>
        <v>2418377</v>
      </c>
      <c r="C41" s="1870">
        <f>2417654.62</f>
        <v>2417654.62</v>
      </c>
      <c r="D41" s="1921" t="s">
        <v>597</v>
      </c>
      <c r="E41" s="1921" t="s">
        <v>597</v>
      </c>
      <c r="F41" s="1921" t="s">
        <v>597</v>
      </c>
      <c r="G41" s="1921" t="s">
        <v>597</v>
      </c>
      <c r="H41" s="1921" t="s">
        <v>597</v>
      </c>
      <c r="I41" s="1920">
        <f t="shared" si="0"/>
        <v>1.6226332960031914E-3</v>
      </c>
      <c r="J41" s="1920">
        <f t="shared" si="1"/>
        <v>99.970129553828869</v>
      </c>
      <c r="K41" s="1923"/>
    </row>
    <row r="42" spans="1:11">
      <c r="A42" s="1924" t="s">
        <v>762</v>
      </c>
      <c r="B42" s="1865">
        <f>B43+B45+B47+B51+B53+B49+B55+B57</f>
        <v>6348811009.2999992</v>
      </c>
      <c r="C42" s="1865">
        <f>C43+C45+C47+C51+C53+C49+C55+C57</f>
        <v>5858541282.21</v>
      </c>
      <c r="D42" s="1921" t="s">
        <v>597</v>
      </c>
      <c r="E42" s="1921" t="s">
        <v>597</v>
      </c>
      <c r="F42" s="1921" t="s">
        <v>597</v>
      </c>
      <c r="G42" s="1921" t="s">
        <v>597</v>
      </c>
      <c r="H42" s="1921" t="s">
        <v>597</v>
      </c>
      <c r="I42" s="1919">
        <f t="shared" si="0"/>
        <v>3.93201910309388</v>
      </c>
      <c r="J42" s="1919">
        <f t="shared" si="1"/>
        <v>92.277770965747251</v>
      </c>
      <c r="K42" s="1923"/>
    </row>
    <row r="43" spans="1:11" ht="20.399999999999999">
      <c r="A43" s="1790" t="s">
        <v>763</v>
      </c>
      <c r="B43" s="1868">
        <f>0</f>
        <v>0</v>
      </c>
      <c r="C43" s="1870">
        <f>0</f>
        <v>0</v>
      </c>
      <c r="D43" s="1921" t="s">
        <v>597</v>
      </c>
      <c r="E43" s="1921" t="s">
        <v>597</v>
      </c>
      <c r="F43" s="1921" t="s">
        <v>597</v>
      </c>
      <c r="G43" s="1921" t="s">
        <v>597</v>
      </c>
      <c r="H43" s="1921" t="s">
        <v>597</v>
      </c>
      <c r="I43" s="1920">
        <f t="shared" si="0"/>
        <v>0</v>
      </c>
      <c r="J43" s="1920" t="str">
        <f t="shared" si="1"/>
        <v/>
      </c>
      <c r="K43" s="1923"/>
    </row>
    <row r="44" spans="1:11">
      <c r="A44" s="1791" t="s">
        <v>600</v>
      </c>
      <c r="B44" s="1868">
        <f>0</f>
        <v>0</v>
      </c>
      <c r="C44" s="1870">
        <f>0</f>
        <v>0</v>
      </c>
      <c r="D44" s="1921" t="s">
        <v>597</v>
      </c>
      <c r="E44" s="1921" t="s">
        <v>597</v>
      </c>
      <c r="F44" s="1921" t="s">
        <v>597</v>
      </c>
      <c r="G44" s="1921" t="s">
        <v>597</v>
      </c>
      <c r="H44" s="1921" t="s">
        <v>597</v>
      </c>
      <c r="I44" s="1920">
        <f t="shared" si="0"/>
        <v>0</v>
      </c>
      <c r="J44" s="1920" t="str">
        <f t="shared" si="1"/>
        <v/>
      </c>
      <c r="K44" s="1923"/>
    </row>
    <row r="45" spans="1:11" ht="20.399999999999999">
      <c r="A45" s="1790" t="s">
        <v>764</v>
      </c>
      <c r="B45" s="1868">
        <f>0</f>
        <v>0</v>
      </c>
      <c r="C45" s="1870">
        <f>0</f>
        <v>0</v>
      </c>
      <c r="D45" s="1921" t="s">
        <v>597</v>
      </c>
      <c r="E45" s="1921" t="s">
        <v>597</v>
      </c>
      <c r="F45" s="1921" t="s">
        <v>597</v>
      </c>
      <c r="G45" s="1921" t="s">
        <v>597</v>
      </c>
      <c r="H45" s="1921" t="s">
        <v>597</v>
      </c>
      <c r="I45" s="1920">
        <f t="shared" si="0"/>
        <v>0</v>
      </c>
      <c r="J45" s="1920" t="str">
        <f t="shared" si="1"/>
        <v/>
      </c>
      <c r="K45" s="1923"/>
    </row>
    <row r="46" spans="1:11">
      <c r="A46" s="1791" t="s">
        <v>600</v>
      </c>
      <c r="B46" s="1868">
        <f>0</f>
        <v>0</v>
      </c>
      <c r="C46" s="1870">
        <f>0</f>
        <v>0</v>
      </c>
      <c r="D46" s="1921" t="s">
        <v>597</v>
      </c>
      <c r="E46" s="1921" t="s">
        <v>597</v>
      </c>
      <c r="F46" s="1921" t="s">
        <v>597</v>
      </c>
      <c r="G46" s="1921" t="s">
        <v>597</v>
      </c>
      <c r="H46" s="1921" t="s">
        <v>597</v>
      </c>
      <c r="I46" s="1920">
        <f t="shared" si="0"/>
        <v>0</v>
      </c>
      <c r="J46" s="1920" t="str">
        <f t="shared" si="1"/>
        <v/>
      </c>
      <c r="K46" s="1923"/>
    </row>
    <row r="47" spans="1:11" ht="20.399999999999999">
      <c r="A47" s="1790" t="s">
        <v>603</v>
      </c>
      <c r="B47" s="1868">
        <f>897766832.62</f>
        <v>897766832.62</v>
      </c>
      <c r="C47" s="1870">
        <f>903297029.46</f>
        <v>903297029.46000004</v>
      </c>
      <c r="D47" s="1921" t="s">
        <v>597</v>
      </c>
      <c r="E47" s="1921" t="s">
        <v>597</v>
      </c>
      <c r="F47" s="1921" t="s">
        <v>597</v>
      </c>
      <c r="G47" s="1921" t="s">
        <v>597</v>
      </c>
      <c r="H47" s="1921" t="s">
        <v>597</v>
      </c>
      <c r="I47" s="1920">
        <f t="shared" si="0"/>
        <v>0.60625691695473516</v>
      </c>
      <c r="J47" s="1920">
        <f t="shared" si="1"/>
        <v>100.61599478161395</v>
      </c>
      <c r="K47" s="1923"/>
    </row>
    <row r="48" spans="1:11">
      <c r="A48" s="1791" t="s">
        <v>600</v>
      </c>
      <c r="B48" s="1868">
        <f>903536.68</f>
        <v>903536.68</v>
      </c>
      <c r="C48" s="1868">
        <f>1121501.57</f>
        <v>1121501.57</v>
      </c>
      <c r="D48" s="1921" t="s">
        <v>597</v>
      </c>
      <c r="E48" s="1921" t="s">
        <v>597</v>
      </c>
      <c r="F48" s="1921" t="s">
        <v>597</v>
      </c>
      <c r="G48" s="1921" t="s">
        <v>597</v>
      </c>
      <c r="H48" s="1921" t="s">
        <v>597</v>
      </c>
      <c r="I48" s="1920">
        <f t="shared" si="0"/>
        <v>7.5270709635185773E-4</v>
      </c>
      <c r="J48" s="1920">
        <f t="shared" si="1"/>
        <v>124.1235242381084</v>
      </c>
      <c r="K48" s="1923"/>
    </row>
    <row r="49" spans="1:11" ht="30.6">
      <c r="A49" s="1790" t="s">
        <v>604</v>
      </c>
      <c r="B49" s="1868">
        <f>411501742.13</f>
        <v>411501742.13</v>
      </c>
      <c r="C49" s="1868">
        <f>370313235.66</f>
        <v>370313235.66000003</v>
      </c>
      <c r="D49" s="1921" t="s">
        <v>597</v>
      </c>
      <c r="E49" s="1921" t="s">
        <v>597</v>
      </c>
      <c r="F49" s="1921" t="s">
        <v>597</v>
      </c>
      <c r="G49" s="1921" t="s">
        <v>597</v>
      </c>
      <c r="H49" s="1921" t="s">
        <v>597</v>
      </c>
      <c r="I49" s="1920">
        <f>IF($C$6=0,"",100*$C49/$C$6)</f>
        <v>0.24853946513360636</v>
      </c>
      <c r="J49" s="1920">
        <f>IF(B49=0,"",100*C49/B49)</f>
        <v>89.990684788647172</v>
      </c>
      <c r="K49" s="1923"/>
    </row>
    <row r="50" spans="1:11">
      <c r="A50" s="1791" t="s">
        <v>600</v>
      </c>
      <c r="B50" s="1868">
        <f>311277972.2</f>
        <v>311277972.19999999</v>
      </c>
      <c r="C50" s="1868">
        <f>271929100.1</f>
        <v>271929100.10000002</v>
      </c>
      <c r="D50" s="1921" t="s">
        <v>597</v>
      </c>
      <c r="E50" s="1921" t="s">
        <v>597</v>
      </c>
      <c r="F50" s="1921" t="s">
        <v>597</v>
      </c>
      <c r="G50" s="1921" t="s">
        <v>597</v>
      </c>
      <c r="H50" s="1921" t="s">
        <v>597</v>
      </c>
      <c r="I50" s="1920">
        <f>IF($C$6=0,"",100*$C50/$C$6)</f>
        <v>0.18250795970784481</v>
      </c>
      <c r="J50" s="1920">
        <f>IF(B50=0,"",100*C50/B50)</f>
        <v>87.358928156111929</v>
      </c>
      <c r="K50" s="1923"/>
    </row>
    <row r="51" spans="1:11">
      <c r="A51" s="1790" t="s">
        <v>605</v>
      </c>
      <c r="B51" s="1868">
        <f>303952767.1</f>
        <v>303952767.10000002</v>
      </c>
      <c r="C51" s="1870">
        <f>263170212.82</f>
        <v>263170212.81999999</v>
      </c>
      <c r="D51" s="1921" t="s">
        <v>597</v>
      </c>
      <c r="E51" s="1921" t="s">
        <v>597</v>
      </c>
      <c r="F51" s="1921" t="s">
        <v>597</v>
      </c>
      <c r="G51" s="1921" t="s">
        <v>597</v>
      </c>
      <c r="H51" s="1921" t="s">
        <v>597</v>
      </c>
      <c r="I51" s="1920">
        <f t="shared" si="0"/>
        <v>0.17662934411945819</v>
      </c>
      <c r="J51" s="1920">
        <f t="shared" si="1"/>
        <v>86.582601412349504</v>
      </c>
      <c r="K51" s="1923"/>
    </row>
    <row r="52" spans="1:11">
      <c r="A52" s="1791" t="s">
        <v>600</v>
      </c>
      <c r="B52" s="1868">
        <f>278915681.67</f>
        <v>278915681.67000002</v>
      </c>
      <c r="C52" s="1868">
        <f>239037675.32</f>
        <v>239037675.31999999</v>
      </c>
      <c r="D52" s="1921" t="s">
        <v>597</v>
      </c>
      <c r="E52" s="1921" t="s">
        <v>597</v>
      </c>
      <c r="F52" s="1921" t="s">
        <v>597</v>
      </c>
      <c r="G52" s="1921" t="s">
        <v>597</v>
      </c>
      <c r="H52" s="1921" t="s">
        <v>597</v>
      </c>
      <c r="I52" s="1920">
        <f t="shared" si="0"/>
        <v>0.16043254804254559</v>
      </c>
      <c r="J52" s="1920">
        <f t="shared" si="1"/>
        <v>85.702486819230984</v>
      </c>
      <c r="K52" s="1923"/>
    </row>
    <row r="53" spans="1:11" ht="40.799999999999997">
      <c r="A53" s="1790" t="s">
        <v>606</v>
      </c>
      <c r="B53" s="1868">
        <f>2948085</f>
        <v>2948085</v>
      </c>
      <c r="C53" s="1868">
        <f>4192254.69</f>
        <v>4192254.69</v>
      </c>
      <c r="D53" s="1921" t="s">
        <v>597</v>
      </c>
      <c r="E53" s="1921" t="s">
        <v>597</v>
      </c>
      <c r="F53" s="1921" t="s">
        <v>597</v>
      </c>
      <c r="G53" s="1921" t="s">
        <v>597</v>
      </c>
      <c r="H53" s="1921" t="s">
        <v>597</v>
      </c>
      <c r="I53" s="1920">
        <f t="shared" si="0"/>
        <v>2.8136740413812859E-3</v>
      </c>
      <c r="J53" s="1920">
        <f>IF(B53=0,"",100*C53/B53)</f>
        <v>142.20263967965644</v>
      </c>
      <c r="K53" s="1923"/>
    </row>
    <row r="54" spans="1:11">
      <c r="A54" s="1791" t="s">
        <v>607</v>
      </c>
      <c r="B54" s="1868">
        <f>2794085</f>
        <v>2794085</v>
      </c>
      <c r="C54" s="1868">
        <f>4038254.69</f>
        <v>4038254.69</v>
      </c>
      <c r="D54" s="1921" t="s">
        <v>597</v>
      </c>
      <c r="E54" s="1921" t="s">
        <v>597</v>
      </c>
      <c r="F54" s="1921" t="s">
        <v>597</v>
      </c>
      <c r="G54" s="1921" t="s">
        <v>597</v>
      </c>
      <c r="H54" s="1921" t="s">
        <v>597</v>
      </c>
      <c r="I54" s="1920">
        <f t="shared" si="0"/>
        <v>2.7103153872884648E-3</v>
      </c>
      <c r="J54" s="1920">
        <f>IF(B54=0,"",100*C54/B54)</f>
        <v>144.52869866163698</v>
      </c>
      <c r="K54" s="1923"/>
    </row>
    <row r="55" spans="1:11" ht="20.399999999999999">
      <c r="A55" s="1790" t="s">
        <v>1050</v>
      </c>
      <c r="B55" s="1868">
        <f>2568546530.54</f>
        <v>2568546530.54</v>
      </c>
      <c r="C55" s="1868">
        <f>2169897842.23</f>
        <v>2169897842.23</v>
      </c>
      <c r="D55" s="1921" t="s">
        <v>597</v>
      </c>
      <c r="E55" s="1921" t="s">
        <v>597</v>
      </c>
      <c r="F55" s="1921" t="s">
        <v>597</v>
      </c>
      <c r="G55" s="1921" t="s">
        <v>597</v>
      </c>
      <c r="H55" s="1921" t="s">
        <v>597</v>
      </c>
      <c r="I55" s="1920">
        <f>IF($C$6=0,"",100*$C55/$C$6)</f>
        <v>1.4563488343624027</v>
      </c>
      <c r="J55" s="1920">
        <f>IF(B55=0,"",100*C55/B55)</f>
        <v>84.479600288720889</v>
      </c>
      <c r="K55" s="1923"/>
    </row>
    <row r="56" spans="1:11">
      <c r="A56" s="1791" t="s">
        <v>607</v>
      </c>
      <c r="B56" s="1868">
        <f>2537926916.24</f>
        <v>2537926916.2399998</v>
      </c>
      <c r="C56" s="1868">
        <f>2147270915.71</f>
        <v>2147270915.71</v>
      </c>
      <c r="D56" s="1921" t="s">
        <v>597</v>
      </c>
      <c r="E56" s="1921" t="s">
        <v>597</v>
      </c>
      <c r="F56" s="1921" t="s">
        <v>597</v>
      </c>
      <c r="G56" s="1921" t="s">
        <v>597</v>
      </c>
      <c r="H56" s="1921" t="s">
        <v>597</v>
      </c>
      <c r="I56" s="1920">
        <f t="shared" si="0"/>
        <v>1.4411625442886082</v>
      </c>
      <c r="J56" s="1920">
        <f t="shared" ref="J56:J64" si="4">IF(B56=0,"",100*C56/B56)</f>
        <v>84.607279349526493</v>
      </c>
      <c r="K56" s="1923"/>
    </row>
    <row r="57" spans="1:11" ht="20.399999999999999">
      <c r="A57" s="1790" t="s">
        <v>765</v>
      </c>
      <c r="B57" s="1868">
        <f>2164095051.91</f>
        <v>2164095051.9099998</v>
      </c>
      <c r="C57" s="1868">
        <f>2147670707.35</f>
        <v>2147670707.3499999</v>
      </c>
      <c r="D57" s="1921" t="s">
        <v>597</v>
      </c>
      <c r="E57" s="1921" t="s">
        <v>597</v>
      </c>
      <c r="F57" s="1921" t="s">
        <v>597</v>
      </c>
      <c r="G57" s="1921" t="s">
        <v>597</v>
      </c>
      <c r="H57" s="1921" t="s">
        <v>597</v>
      </c>
      <c r="I57" s="1920">
        <f t="shared" si="0"/>
        <v>1.4414308684822963</v>
      </c>
      <c r="J57" s="1920">
        <f t="shared" si="4"/>
        <v>99.241052533921561</v>
      </c>
      <c r="K57" s="1923"/>
    </row>
    <row r="58" spans="1:11">
      <c r="A58" s="1791" t="s">
        <v>600</v>
      </c>
      <c r="B58" s="1868">
        <f>0</f>
        <v>0</v>
      </c>
      <c r="C58" s="1868">
        <f>0</f>
        <v>0</v>
      </c>
      <c r="D58" s="1921" t="s">
        <v>597</v>
      </c>
      <c r="E58" s="1921" t="s">
        <v>597</v>
      </c>
      <c r="F58" s="1921" t="s">
        <v>597</v>
      </c>
      <c r="G58" s="1921" t="s">
        <v>597</v>
      </c>
      <c r="H58" s="1921" t="s">
        <v>597</v>
      </c>
      <c r="I58" s="1920">
        <f t="shared" si="0"/>
        <v>0</v>
      </c>
      <c r="J58" s="1920" t="str">
        <f t="shared" si="4"/>
        <v/>
      </c>
      <c r="K58" s="1923"/>
    </row>
    <row r="59" spans="1:11">
      <c r="A59" s="1789" t="s">
        <v>731</v>
      </c>
      <c r="B59" s="1865">
        <f>91869322.72</f>
        <v>91869322.719999999</v>
      </c>
      <c r="C59" s="1865">
        <f>73299909.86</f>
        <v>73299909.859999999</v>
      </c>
      <c r="D59" s="1921" t="s">
        <v>597</v>
      </c>
      <c r="E59" s="1921" t="s">
        <v>597</v>
      </c>
      <c r="F59" s="1921" t="s">
        <v>597</v>
      </c>
      <c r="G59" s="1921" t="s">
        <v>597</v>
      </c>
      <c r="H59" s="1921" t="s">
        <v>597</v>
      </c>
      <c r="I59" s="1919">
        <f t="shared" si="0"/>
        <v>4.9195974209446269E-2</v>
      </c>
      <c r="J59" s="1919">
        <f t="shared" si="4"/>
        <v>79.787145142458499</v>
      </c>
      <c r="K59" s="1923"/>
    </row>
    <row r="60" spans="1:11">
      <c r="A60" s="1790" t="s">
        <v>732</v>
      </c>
      <c r="B60" s="1868">
        <f>33463321.13</f>
        <v>33463321.129999999</v>
      </c>
      <c r="C60" s="1868">
        <f>18873062.56</f>
        <v>18873062.559999999</v>
      </c>
      <c r="D60" s="1921" t="s">
        <v>597</v>
      </c>
      <c r="E60" s="1921" t="s">
        <v>597</v>
      </c>
      <c r="F60" s="1921" t="s">
        <v>597</v>
      </c>
      <c r="G60" s="1921" t="s">
        <v>597</v>
      </c>
      <c r="H60" s="1921" t="s">
        <v>597</v>
      </c>
      <c r="I60" s="1920">
        <f t="shared" si="0"/>
        <v>1.2666846394878035E-2</v>
      </c>
      <c r="J60" s="1920">
        <f t="shared" si="4"/>
        <v>56.399251247899073</v>
      </c>
      <c r="K60" s="1923"/>
    </row>
    <row r="61" spans="1:11">
      <c r="A61" s="1789" t="s">
        <v>733</v>
      </c>
      <c r="B61" s="1868">
        <f>3641124086.22</f>
        <v>3641124086.2199998</v>
      </c>
      <c r="C61" s="1868">
        <f>2952304739.81</f>
        <v>2952304739.8099999</v>
      </c>
      <c r="D61" s="1921" t="s">
        <v>597</v>
      </c>
      <c r="E61" s="1921" t="s">
        <v>597</v>
      </c>
      <c r="F61" s="1921" t="s">
        <v>597</v>
      </c>
      <c r="G61" s="1921" t="s">
        <v>597</v>
      </c>
      <c r="H61" s="1921" t="s">
        <v>597</v>
      </c>
      <c r="I61" s="1920">
        <f t="shared" si="0"/>
        <v>1.9814691193416802</v>
      </c>
      <c r="J61" s="1920">
        <f t="shared" si="4"/>
        <v>81.082233670177075</v>
      </c>
      <c r="K61" s="1923"/>
    </row>
    <row r="62" spans="1:11">
      <c r="A62" s="1790" t="s">
        <v>734</v>
      </c>
      <c r="B62" s="1868">
        <f>2710318729.27</f>
        <v>2710318729.27</v>
      </c>
      <c r="C62" s="1868">
        <f>2220873068.5</f>
        <v>2220873068.5</v>
      </c>
      <c r="D62" s="1921" t="s">
        <v>597</v>
      </c>
      <c r="E62" s="1921" t="s">
        <v>597</v>
      </c>
      <c r="F62" s="1921" t="s">
        <v>597</v>
      </c>
      <c r="G62" s="1921" t="s">
        <v>597</v>
      </c>
      <c r="H62" s="1921" t="s">
        <v>597</v>
      </c>
      <c r="I62" s="1920">
        <f t="shared" si="0"/>
        <v>1.4905613718906121</v>
      </c>
      <c r="J62" s="1920">
        <f t="shared" si="4"/>
        <v>81.941398423578477</v>
      </c>
      <c r="K62" s="1923"/>
    </row>
    <row r="63" spans="1:11">
      <c r="A63" s="1783" t="s">
        <v>857</v>
      </c>
      <c r="B63" s="1865">
        <f>8738642040.07</f>
        <v>8738642040.0699997</v>
      </c>
      <c r="C63" s="1865">
        <f>8756977744.13</f>
        <v>8756977744.1299992</v>
      </c>
      <c r="D63" s="1921" t="s">
        <v>597</v>
      </c>
      <c r="E63" s="1921" t="s">
        <v>597</v>
      </c>
      <c r="F63" s="1921" t="s">
        <v>597</v>
      </c>
      <c r="G63" s="1921" t="s">
        <v>597</v>
      </c>
      <c r="H63" s="1921" t="s">
        <v>597</v>
      </c>
      <c r="I63" s="1919">
        <f t="shared" si="0"/>
        <v>5.8773339841173229</v>
      </c>
      <c r="J63" s="1919">
        <f t="shared" si="4"/>
        <v>100.20982326517007</v>
      </c>
      <c r="K63" s="1923"/>
    </row>
    <row r="64" spans="1:11">
      <c r="A64" s="1784" t="s">
        <v>609</v>
      </c>
      <c r="B64" s="1868">
        <f>7491993</f>
        <v>7491993</v>
      </c>
      <c r="C64" s="1868">
        <f>7491993</f>
        <v>7491993</v>
      </c>
      <c r="D64" s="1921" t="s">
        <v>597</v>
      </c>
      <c r="E64" s="1921" t="s">
        <v>597</v>
      </c>
      <c r="F64" s="1921" t="s">
        <v>597</v>
      </c>
      <c r="G64" s="1921" t="s">
        <v>597</v>
      </c>
      <c r="H64" s="1921" t="s">
        <v>597</v>
      </c>
      <c r="I64" s="1920">
        <f t="shared" si="0"/>
        <v>5.0283267074859679E-3</v>
      </c>
      <c r="J64" s="1920">
        <f t="shared" si="4"/>
        <v>100</v>
      </c>
      <c r="K64" s="1923"/>
    </row>
    <row r="65" spans="1:13" ht="20.399999999999999">
      <c r="A65" s="1784" t="s">
        <v>858</v>
      </c>
      <c r="B65" s="1868">
        <f>827755144.44</f>
        <v>827755144.44000006</v>
      </c>
      <c r="C65" s="1868">
        <f>846090850.42</f>
        <v>846090850.41999996</v>
      </c>
      <c r="D65" s="1921" t="s">
        <v>597</v>
      </c>
      <c r="E65" s="1921" t="s">
        <v>597</v>
      </c>
      <c r="F65" s="1921" t="s">
        <v>597</v>
      </c>
      <c r="G65" s="1921" t="s">
        <v>597</v>
      </c>
      <c r="H65" s="1921" t="s">
        <v>597</v>
      </c>
      <c r="I65" s="1920">
        <f t="shared" si="0"/>
        <v>0.56786241259520676</v>
      </c>
      <c r="J65" s="1920">
        <f>IF(B65=0,"",100*C65/B65)</f>
        <v>102.21511229536418</v>
      </c>
      <c r="K65" s="1923"/>
    </row>
    <row r="66" spans="1:13">
      <c r="A66" s="1790" t="s">
        <v>600</v>
      </c>
      <c r="B66" s="1868">
        <f>169300693</f>
        <v>169300693</v>
      </c>
      <c r="C66" s="1868">
        <f>172372739</f>
        <v>172372739</v>
      </c>
      <c r="D66" s="1921" t="s">
        <v>597</v>
      </c>
      <c r="E66" s="1921" t="s">
        <v>597</v>
      </c>
      <c r="F66" s="1921" t="s">
        <v>597</v>
      </c>
      <c r="G66" s="1921" t="s">
        <v>597</v>
      </c>
      <c r="H66" s="1921" t="s">
        <v>597</v>
      </c>
      <c r="I66" s="1920">
        <f t="shared" si="0"/>
        <v>0.11568970328138428</v>
      </c>
      <c r="J66" s="1920">
        <f>IF(B66=0,"",100*C66/B66)</f>
        <v>101.81455016253241</v>
      </c>
      <c r="K66" s="1923"/>
    </row>
    <row r="67" spans="1:13">
      <c r="A67" s="1925"/>
      <c r="B67" s="1926"/>
      <c r="C67" s="1926"/>
      <c r="D67" s="1926"/>
      <c r="E67" s="1926"/>
      <c r="F67" s="1926"/>
      <c r="G67" s="1926"/>
      <c r="H67" s="1926"/>
      <c r="I67" s="1922"/>
      <c r="J67" s="1922"/>
      <c r="K67" s="1923"/>
    </row>
    <row r="68" spans="1:13">
      <c r="A68" s="1780" t="s">
        <v>588</v>
      </c>
      <c r="B68" s="1921">
        <f t="shared" ref="B68:H68" si="5">+B6</f>
        <v>150107334075.13</v>
      </c>
      <c r="C68" s="1921">
        <f t="shared" si="5"/>
        <v>148995748204.79001</v>
      </c>
      <c r="D68" s="1921">
        <f t="shared" si="5"/>
        <v>735052378.66999996</v>
      </c>
      <c r="E68" s="1921">
        <f t="shared" si="5"/>
        <v>129270974.20999999</v>
      </c>
      <c r="F68" s="1921">
        <f t="shared" si="5"/>
        <v>21085919.449999999</v>
      </c>
      <c r="G68" s="1921">
        <f t="shared" si="5"/>
        <v>55864542.57</v>
      </c>
      <c r="H68" s="1921">
        <f t="shared" si="5"/>
        <v>715616.74</v>
      </c>
      <c r="I68" s="1919">
        <f t="shared" si="0"/>
        <v>100</v>
      </c>
      <c r="J68" s="1919">
        <f>IF(B68=0,"",100*C68/B68)</f>
        <v>99.259472645231554</v>
      </c>
      <c r="K68" s="1923"/>
    </row>
    <row r="69" spans="1:13">
      <c r="A69" s="1836" t="s">
        <v>137</v>
      </c>
      <c r="B69" s="1921">
        <f>11290081647.08</f>
        <v>11290081647.08</v>
      </c>
      <c r="C69" s="1921">
        <f>10017333002.69</f>
        <v>10017333002.690001</v>
      </c>
      <c r="D69" s="1921">
        <f>0</f>
        <v>0</v>
      </c>
      <c r="E69" s="1921">
        <f>0</f>
        <v>0</v>
      </c>
      <c r="F69" s="1921">
        <f>0</f>
        <v>0</v>
      </c>
      <c r="G69" s="1921">
        <f>0</f>
        <v>0</v>
      </c>
      <c r="H69" s="1921">
        <f>0</f>
        <v>0</v>
      </c>
      <c r="I69" s="1920">
        <f t="shared" si="0"/>
        <v>6.7232341347898652</v>
      </c>
      <c r="J69" s="1920">
        <f>IF(B69=0,"",100*C69/B69)</f>
        <v>88.726842868145454</v>
      </c>
      <c r="K69" s="1923"/>
    </row>
    <row r="70" spans="1:13">
      <c r="A70" s="1836" t="s">
        <v>136</v>
      </c>
      <c r="B70" s="1921">
        <f>B68-B69</f>
        <v>138817252428.05002</v>
      </c>
      <c r="C70" s="1921">
        <f t="shared" ref="C70:H70" si="6">C68-C69</f>
        <v>138978415202.10001</v>
      </c>
      <c r="D70" s="1921">
        <f t="shared" si="6"/>
        <v>735052378.66999996</v>
      </c>
      <c r="E70" s="1921">
        <f t="shared" si="6"/>
        <v>129270974.20999999</v>
      </c>
      <c r="F70" s="1921">
        <f t="shared" si="6"/>
        <v>21085919.449999999</v>
      </c>
      <c r="G70" s="1921">
        <f t="shared" si="6"/>
        <v>55864542.57</v>
      </c>
      <c r="H70" s="1921">
        <f t="shared" si="6"/>
        <v>715616.74</v>
      </c>
      <c r="I70" s="1920">
        <f t="shared" si="0"/>
        <v>93.276765865210123</v>
      </c>
      <c r="J70" s="1920">
        <f>IF(B70=0,"",100*C70/B70)</f>
        <v>100.1160970781593</v>
      </c>
      <c r="K70" s="1927"/>
    </row>
    <row r="71" spans="1:13">
      <c r="A71" s="1874" t="s">
        <v>766</v>
      </c>
      <c r="B71" s="1926"/>
      <c r="C71" s="1926"/>
      <c r="D71" s="1926"/>
      <c r="E71" s="1926"/>
      <c r="F71" s="1926"/>
      <c r="G71" s="1926"/>
      <c r="H71" s="1926"/>
      <c r="I71" s="1922"/>
      <c r="J71" s="1922"/>
      <c r="K71" s="1927"/>
    </row>
    <row r="72" spans="1:13">
      <c r="A72" s="1874" t="s">
        <v>767</v>
      </c>
      <c r="B72" s="1926"/>
      <c r="C72" s="1926"/>
      <c r="D72" s="1926"/>
      <c r="E72" s="1926"/>
      <c r="F72" s="1926"/>
      <c r="G72" s="1926"/>
      <c r="H72" s="1926"/>
      <c r="I72" s="1922"/>
      <c r="J72" s="1922"/>
      <c r="K72" s="1927"/>
    </row>
    <row r="73" spans="1:13">
      <c r="A73" s="1928"/>
      <c r="B73" s="1929"/>
      <c r="C73" s="1929"/>
      <c r="D73" s="1929"/>
      <c r="E73" s="1930"/>
      <c r="F73" s="1930"/>
      <c r="G73" s="1930"/>
      <c r="H73" s="1930"/>
      <c r="I73" s="1930"/>
      <c r="J73" s="1796"/>
      <c r="K73" s="1796"/>
    </row>
    <row r="74" spans="1:13" ht="27" customHeight="1">
      <c r="A74" s="2437" t="s">
        <v>584</v>
      </c>
      <c r="B74" s="2295" t="s">
        <v>892</v>
      </c>
      <c r="C74" s="2295" t="s">
        <v>893</v>
      </c>
      <c r="D74" s="2295" t="s">
        <v>894</v>
      </c>
      <c r="E74" s="2295" t="s">
        <v>611</v>
      </c>
      <c r="F74" s="2295"/>
      <c r="G74" s="2295"/>
      <c r="H74" s="2296" t="s">
        <v>895</v>
      </c>
      <c r="I74" s="2295" t="s">
        <v>585</v>
      </c>
      <c r="J74" s="2299" t="s">
        <v>586</v>
      </c>
      <c r="K74" s="1931"/>
    </row>
    <row r="75" spans="1:13" ht="12.75" customHeight="1">
      <c r="A75" s="2437"/>
      <c r="B75" s="2295"/>
      <c r="C75" s="2295"/>
      <c r="D75" s="2289"/>
      <c r="E75" s="2283" t="s">
        <v>896</v>
      </c>
      <c r="F75" s="2288" t="s">
        <v>612</v>
      </c>
      <c r="G75" s="2289"/>
      <c r="H75" s="2297"/>
      <c r="I75" s="2295"/>
      <c r="J75" s="2299"/>
      <c r="K75" s="1808"/>
    </row>
    <row r="76" spans="1:13" ht="62.25" customHeight="1">
      <c r="A76" s="2437"/>
      <c r="B76" s="2295"/>
      <c r="C76" s="2295"/>
      <c r="D76" s="2289"/>
      <c r="E76" s="2289"/>
      <c r="F76" s="1809" t="s">
        <v>897</v>
      </c>
      <c r="G76" s="1809" t="s">
        <v>898</v>
      </c>
      <c r="H76" s="2298"/>
      <c r="I76" s="2295"/>
      <c r="J76" s="2299"/>
      <c r="K76" s="1808"/>
    </row>
    <row r="77" spans="1:13">
      <c r="A77" s="2437"/>
      <c r="B77" s="2290" t="s">
        <v>163</v>
      </c>
      <c r="C77" s="2291"/>
      <c r="D77" s="2291"/>
      <c r="E77" s="2291"/>
      <c r="F77" s="2291"/>
      <c r="G77" s="2291"/>
      <c r="H77" s="2292"/>
      <c r="I77" s="2294" t="s">
        <v>169</v>
      </c>
      <c r="J77" s="2294"/>
      <c r="K77" s="1931"/>
    </row>
    <row r="78" spans="1:13">
      <c r="A78" s="1777">
        <v>1</v>
      </c>
      <c r="B78" s="1779">
        <v>2</v>
      </c>
      <c r="C78" s="1779">
        <v>3</v>
      </c>
      <c r="D78" s="1779">
        <v>4</v>
      </c>
      <c r="E78" s="1777">
        <v>5</v>
      </c>
      <c r="F78" s="1777">
        <v>6</v>
      </c>
      <c r="G78" s="1779">
        <v>7</v>
      </c>
      <c r="H78" s="1779">
        <v>8</v>
      </c>
      <c r="I78" s="1777">
        <v>9</v>
      </c>
      <c r="J78" s="1779">
        <v>10</v>
      </c>
      <c r="K78" s="1931"/>
      <c r="L78" s="486"/>
    </row>
    <row r="79" spans="1:13" ht="21" customHeight="1">
      <c r="A79" s="1780" t="s">
        <v>613</v>
      </c>
      <c r="B79" s="1878">
        <f>161582000580.73</f>
        <v>161582000580.73001</v>
      </c>
      <c r="C79" s="1878">
        <f>152198102694.42</f>
        <v>152198102694.42001</v>
      </c>
      <c r="D79" s="1878">
        <f>152252517481.2</f>
        <v>152252517481.20001</v>
      </c>
      <c r="E79" s="1878">
        <f>8176998791.76</f>
        <v>8176998791.7600002</v>
      </c>
      <c r="F79" s="1878">
        <f>1149021.65</f>
        <v>1149021.6499999999</v>
      </c>
      <c r="G79" s="1878">
        <f>714578.77</f>
        <v>714578.77</v>
      </c>
      <c r="H79" s="1878">
        <f>302197059.95</f>
        <v>302197059.94999999</v>
      </c>
      <c r="I79" s="1932">
        <f>IF($C$79=0,"",100*$C79/$C$79)</f>
        <v>100</v>
      </c>
      <c r="J79" s="1932">
        <f>IF(B79=0,"",100*C79/B79)</f>
        <v>94.192485640365874</v>
      </c>
      <c r="K79" s="1931"/>
      <c r="M79" s="408"/>
    </row>
    <row r="80" spans="1:13">
      <c r="A80" s="1783" t="s">
        <v>614</v>
      </c>
      <c r="B80" s="1881">
        <f>22954732450.14</f>
        <v>22954732450.139999</v>
      </c>
      <c r="C80" s="1881">
        <f>19075085481.59</f>
        <v>19075085481.59</v>
      </c>
      <c r="D80" s="1881">
        <f>19113551602.85</f>
        <v>19113551602.849998</v>
      </c>
      <c r="E80" s="1881">
        <f>459784508.53</f>
        <v>459784508.52999997</v>
      </c>
      <c r="F80" s="1881">
        <f>603927.26</f>
        <v>603927.26</v>
      </c>
      <c r="G80" s="1881">
        <f>0</f>
        <v>0</v>
      </c>
      <c r="H80" s="1881">
        <f>265117374.45</f>
        <v>265117374.44999999</v>
      </c>
      <c r="I80" s="1932">
        <f t="shared" ref="I80:I88" si="7">IF($C$79=0,"",100*$C80/$C$79)</f>
        <v>12.533063910716768</v>
      </c>
      <c r="J80" s="1932">
        <f t="shared" ref="J80:J88" si="8">IF(B80=0,"",100*C80/B80)</f>
        <v>83.098705345501259</v>
      </c>
      <c r="K80" s="1931"/>
      <c r="L80" s="407"/>
      <c r="M80" s="408"/>
    </row>
    <row r="81" spans="1:14">
      <c r="A81" s="1784" t="s">
        <v>615</v>
      </c>
      <c r="B81" s="1868">
        <f>20424607865.71</f>
        <v>20424607865.709999</v>
      </c>
      <c r="C81" s="1868">
        <f>16652393782.42</f>
        <v>16652393782.42</v>
      </c>
      <c r="D81" s="1868">
        <f>16690859903.68</f>
        <v>16690859903.68</v>
      </c>
      <c r="E81" s="1868">
        <f>440715252.19</f>
        <v>440715252.19</v>
      </c>
      <c r="F81" s="1868">
        <f>603927.26</f>
        <v>603927.26</v>
      </c>
      <c r="G81" s="1868">
        <f>0</f>
        <v>0</v>
      </c>
      <c r="H81" s="1868">
        <f>265117374.45</f>
        <v>265117374.44999999</v>
      </c>
      <c r="I81" s="1932">
        <f t="shared" si="7"/>
        <v>10.941262399212892</v>
      </c>
      <c r="J81" s="1932">
        <f t="shared" si="8"/>
        <v>81.531033016193135</v>
      </c>
      <c r="K81" s="1931"/>
      <c r="M81" s="408"/>
    </row>
    <row r="82" spans="1:14" ht="26.4">
      <c r="A82" s="1783" t="s">
        <v>616</v>
      </c>
      <c r="B82" s="1881">
        <f t="shared" ref="B82:H82" si="9">B79-B80</f>
        <v>138627268130.59003</v>
      </c>
      <c r="C82" s="1881">
        <f t="shared" si="9"/>
        <v>133123017212.83002</v>
      </c>
      <c r="D82" s="1881">
        <f>D79-D80</f>
        <v>133138965878.35001</v>
      </c>
      <c r="E82" s="1881">
        <f t="shared" si="9"/>
        <v>7717214283.2300005</v>
      </c>
      <c r="F82" s="1881">
        <f t="shared" si="9"/>
        <v>545094.3899999999</v>
      </c>
      <c r="G82" s="1881">
        <f t="shared" si="9"/>
        <v>714578.77</v>
      </c>
      <c r="H82" s="1881">
        <f t="shared" si="9"/>
        <v>37079685.5</v>
      </c>
      <c r="I82" s="1932">
        <f t="shared" si="7"/>
        <v>87.466936089283237</v>
      </c>
      <c r="J82" s="1932">
        <f t="shared" si="8"/>
        <v>96.029460154567232</v>
      </c>
      <c r="K82" s="1931"/>
    </row>
    <row r="83" spans="1:14" ht="20.399999999999999">
      <c r="A83" s="1784" t="s">
        <v>617</v>
      </c>
      <c r="B83" s="1868">
        <f>59628606238.4701</f>
        <v>59628606238.4701</v>
      </c>
      <c r="C83" s="1868">
        <f>58525618887.36</f>
        <v>58525618887.360001</v>
      </c>
      <c r="D83" s="1868">
        <f>58533031551.42</f>
        <v>58533031551.419998</v>
      </c>
      <c r="E83" s="1868">
        <f>5372805999.55999</f>
        <v>5372805999.5599899</v>
      </c>
      <c r="F83" s="1868">
        <f>12211.88</f>
        <v>12211.88</v>
      </c>
      <c r="G83" s="1868">
        <f>13882.24</f>
        <v>13882.24</v>
      </c>
      <c r="H83" s="1868">
        <f>23875</f>
        <v>23875</v>
      </c>
      <c r="I83" s="1932">
        <f t="shared" si="7"/>
        <v>38.453579808985161</v>
      </c>
      <c r="J83" s="1932">
        <f t="shared" si="8"/>
        <v>98.150237913160382</v>
      </c>
      <c r="K83" s="1931"/>
    </row>
    <row r="84" spans="1:14">
      <c r="A84" s="1784" t="s">
        <v>571</v>
      </c>
      <c r="B84" s="1885">
        <f>21031242008.85</f>
        <v>21031242008.849998</v>
      </c>
      <c r="C84" s="1885">
        <f>20664609896.32</f>
        <v>20664609896.32</v>
      </c>
      <c r="D84" s="1885">
        <f>20666930724.07</f>
        <v>20666930724.07</v>
      </c>
      <c r="E84" s="1885">
        <f>61097912.34</f>
        <v>61097912.340000004</v>
      </c>
      <c r="F84" s="1885">
        <f>0</f>
        <v>0</v>
      </c>
      <c r="G84" s="1885">
        <f>0</f>
        <v>0</v>
      </c>
      <c r="H84" s="1885">
        <f>0</f>
        <v>0</v>
      </c>
      <c r="I84" s="1932">
        <f t="shared" si="7"/>
        <v>13.57744251110012</v>
      </c>
      <c r="J84" s="1932">
        <f t="shared" si="8"/>
        <v>98.256726291411042</v>
      </c>
      <c r="K84" s="1931"/>
      <c r="M84" s="487"/>
    </row>
    <row r="85" spans="1:14">
      <c r="A85" s="1784" t="s">
        <v>618</v>
      </c>
      <c r="B85" s="1868">
        <f>3466190399.05</f>
        <v>3466190399.0500002</v>
      </c>
      <c r="C85" s="1868">
        <f>3166314342.61</f>
        <v>3166314342.6100001</v>
      </c>
      <c r="D85" s="1868">
        <f>3166314342.61</f>
        <v>3166314342.6100001</v>
      </c>
      <c r="E85" s="1868">
        <f>81048801.89</f>
        <v>81048801.890000001</v>
      </c>
      <c r="F85" s="1868">
        <f>0</f>
        <v>0</v>
      </c>
      <c r="G85" s="1868">
        <f>0</f>
        <v>0</v>
      </c>
      <c r="H85" s="1868">
        <f>0</f>
        <v>0</v>
      </c>
      <c r="I85" s="1932">
        <f t="shared" si="7"/>
        <v>2.0803901537243576</v>
      </c>
      <c r="J85" s="1932">
        <f t="shared" si="8"/>
        <v>91.34854056135552</v>
      </c>
      <c r="K85" s="1931"/>
      <c r="M85" s="488"/>
    </row>
    <row r="86" spans="1:14" ht="20.399999999999999">
      <c r="A86" s="1784" t="s">
        <v>619</v>
      </c>
      <c r="B86" s="1885">
        <f>115939267.02</f>
        <v>115939267.02</v>
      </c>
      <c r="C86" s="1885">
        <f>15018190.58</f>
        <v>15018190.58</v>
      </c>
      <c r="D86" s="1885">
        <f>15018190.58</f>
        <v>15018190.58</v>
      </c>
      <c r="E86" s="1885">
        <f>0</f>
        <v>0</v>
      </c>
      <c r="F86" s="1885">
        <f>0</f>
        <v>0</v>
      </c>
      <c r="G86" s="1885">
        <f>0</f>
        <v>0</v>
      </c>
      <c r="H86" s="1885">
        <f>0</f>
        <v>0</v>
      </c>
      <c r="I86" s="1932">
        <f t="shared" si="7"/>
        <v>9.8675281190286519E-3</v>
      </c>
      <c r="J86" s="1932">
        <f t="shared" si="8"/>
        <v>12.953497952862943</v>
      </c>
      <c r="K86" s="1931"/>
      <c r="M86" s="485"/>
    </row>
    <row r="87" spans="1:14">
      <c r="A87" s="1784" t="s">
        <v>620</v>
      </c>
      <c r="B87" s="1885">
        <f>7171361490.87</f>
        <v>7171361490.8699999</v>
      </c>
      <c r="C87" s="1885">
        <f>7061471511.51999</f>
        <v>7061471511.51999</v>
      </c>
      <c r="D87" s="1885">
        <f>7062082767.15999</f>
        <v>7062082767.1599903</v>
      </c>
      <c r="E87" s="1885">
        <f>97376827.69</f>
        <v>97376827.689999998</v>
      </c>
      <c r="F87" s="1885">
        <f>215.84</f>
        <v>215.84</v>
      </c>
      <c r="G87" s="1885">
        <f>441303.05</f>
        <v>441303.05</v>
      </c>
      <c r="H87" s="1933">
        <f>0</f>
        <v>0</v>
      </c>
      <c r="I87" s="1932">
        <f t="shared" si="7"/>
        <v>4.6396580420571052</v>
      </c>
      <c r="J87" s="1932">
        <f t="shared" si="8"/>
        <v>98.467655277315018</v>
      </c>
      <c r="K87" s="1931"/>
      <c r="M87" s="488"/>
    </row>
    <row r="88" spans="1:14">
      <c r="A88" s="1784" t="s">
        <v>621</v>
      </c>
      <c r="B88" s="1868">
        <f t="shared" ref="B88:H88" si="10">B82-B83-B84-B85-B86-B87</f>
        <v>47213928726.329933</v>
      </c>
      <c r="C88" s="1868">
        <f t="shared" si="10"/>
        <v>43689984384.440025</v>
      </c>
      <c r="D88" s="1868">
        <f>D82-D83-D84-D85-D86-D87</f>
        <v>43695588302.510017</v>
      </c>
      <c r="E88" s="1868">
        <f t="shared" si="10"/>
        <v>2104884741.7500105</v>
      </c>
      <c r="F88" s="1868">
        <f t="shared" si="10"/>
        <v>532666.66999999993</v>
      </c>
      <c r="G88" s="1868">
        <f t="shared" si="10"/>
        <v>259393.48000000004</v>
      </c>
      <c r="H88" s="1933">
        <f t="shared" si="10"/>
        <v>37055810.5</v>
      </c>
      <c r="I88" s="1932">
        <f t="shared" si="7"/>
        <v>28.705998045297456</v>
      </c>
      <c r="J88" s="1932">
        <f t="shared" si="8"/>
        <v>92.536218787646234</v>
      </c>
      <c r="K88" s="1931"/>
      <c r="M88" s="485"/>
    </row>
    <row r="89" spans="1:14">
      <c r="A89" s="1780" t="s">
        <v>622</v>
      </c>
      <c r="B89" s="1881">
        <f>B6-B79</f>
        <v>-11474666505.600006</v>
      </c>
      <c r="C89" s="1881">
        <f>C6-C79</f>
        <v>-3202354489.6300049</v>
      </c>
      <c r="D89" s="1934"/>
      <c r="E89" s="1935"/>
      <c r="F89" s="1935"/>
      <c r="G89" s="1935"/>
      <c r="H89" s="2438"/>
      <c r="I89" s="2438"/>
      <c r="J89" s="1936"/>
      <c r="K89" s="1936"/>
      <c r="M89" s="489"/>
    </row>
    <row r="90" spans="1:14" ht="26.4">
      <c r="A90" s="1824" t="s">
        <v>859</v>
      </c>
      <c r="B90" s="1881">
        <f>+B70-B82</f>
        <v>189984297.45999146</v>
      </c>
      <c r="C90" s="1881">
        <f>+C70-C82</f>
        <v>5855397989.269989</v>
      </c>
      <c r="D90" s="1934"/>
      <c r="E90" s="1935"/>
      <c r="F90" s="1935"/>
      <c r="G90" s="1935"/>
      <c r="H90" s="1935"/>
      <c r="I90" s="1935"/>
      <c r="J90" s="1936"/>
      <c r="K90" s="1936"/>
      <c r="M90" s="485"/>
    </row>
    <row r="91" spans="1:14">
      <c r="A91" s="1825"/>
      <c r="B91" s="1937"/>
      <c r="C91" s="1937"/>
      <c r="D91" s="1935"/>
      <c r="E91" s="1935"/>
      <c r="F91" s="1935"/>
      <c r="G91" s="1935"/>
      <c r="H91" s="1935"/>
      <c r="I91" s="1935"/>
      <c r="J91" s="1936"/>
      <c r="K91" s="1936"/>
      <c r="M91" s="489"/>
    </row>
    <row r="92" spans="1:14">
      <c r="A92" s="1825"/>
      <c r="B92" s="1937"/>
      <c r="C92" s="1937"/>
      <c r="D92" s="1935"/>
      <c r="E92" s="1935"/>
      <c r="F92" s="1935"/>
      <c r="G92" s="1935"/>
      <c r="H92" s="1935"/>
      <c r="I92" s="1935"/>
      <c r="J92" s="1936"/>
      <c r="K92" s="1936"/>
      <c r="M92" s="489"/>
    </row>
    <row r="93" spans="1:14">
      <c r="A93" s="2286" t="s">
        <v>860</v>
      </c>
      <c r="B93" s="2287" t="s">
        <v>861</v>
      </c>
      <c r="C93" s="2287"/>
      <c r="D93" s="2287" t="s">
        <v>862</v>
      </c>
      <c r="E93" s="2287"/>
      <c r="F93" s="1827" t="s">
        <v>863</v>
      </c>
      <c r="G93" s="1935"/>
      <c r="H93" s="1935"/>
      <c r="I93" s="1935"/>
      <c r="J93" s="1936"/>
      <c r="K93" s="1936"/>
      <c r="M93" s="485"/>
    </row>
    <row r="94" spans="1:14" ht="12.75" customHeight="1">
      <c r="A94" s="2286"/>
      <c r="B94" s="1828" t="s">
        <v>864</v>
      </c>
      <c r="C94" s="1828" t="s">
        <v>865</v>
      </c>
      <c r="D94" s="1828" t="s">
        <v>864</v>
      </c>
      <c r="E94" s="1828" t="s">
        <v>865</v>
      </c>
      <c r="F94" s="1828" t="s">
        <v>864</v>
      </c>
      <c r="G94" s="1935"/>
      <c r="H94" s="1935"/>
      <c r="I94" s="1935"/>
      <c r="J94" s="1936"/>
      <c r="K94" s="1936"/>
      <c r="L94" s="416"/>
      <c r="N94" s="488"/>
    </row>
    <row r="95" spans="1:14">
      <c r="A95" s="1829" t="s">
        <v>866</v>
      </c>
      <c r="B95" s="1830">
        <f>2</f>
        <v>2</v>
      </c>
      <c r="C95" s="1831">
        <f>41301231.33</f>
        <v>41301231.329999998</v>
      </c>
      <c r="D95" s="1830">
        <f>64</f>
        <v>64</v>
      </c>
      <c r="E95" s="1831">
        <f>+-11515967736.93</f>
        <v>-11515967736.93</v>
      </c>
      <c r="F95" s="1830">
        <f>0</f>
        <v>0</v>
      </c>
      <c r="G95" s="1935"/>
      <c r="H95" s="1935"/>
      <c r="I95" s="1935"/>
      <c r="J95" s="1936"/>
      <c r="K95" s="1936"/>
      <c r="L95" s="416"/>
      <c r="N95" s="488"/>
    </row>
    <row r="96" spans="1:14">
      <c r="A96" s="1829" t="s">
        <v>867</v>
      </c>
      <c r="B96" s="1830">
        <f>30</f>
        <v>30</v>
      </c>
      <c r="C96" s="1831">
        <f>1002065642.43</f>
        <v>1002065642.4299999</v>
      </c>
      <c r="D96" s="1830">
        <f>36</f>
        <v>36</v>
      </c>
      <c r="E96" s="1831">
        <f>+-4204420132.06</f>
        <v>-4204420132.0599999</v>
      </c>
      <c r="F96" s="1830">
        <f>0</f>
        <v>0</v>
      </c>
      <c r="G96" s="1935"/>
      <c r="H96" s="1935"/>
      <c r="I96" s="1935"/>
      <c r="J96" s="1936"/>
      <c r="K96" s="1936"/>
    </row>
    <row r="97" spans="1:11">
      <c r="A97" s="1832"/>
      <c r="B97" s="1832"/>
      <c r="C97" s="1832"/>
      <c r="D97" s="1832"/>
      <c r="E97" s="1832"/>
      <c r="F97" s="1832"/>
      <c r="G97" s="1935"/>
      <c r="H97" s="1935"/>
      <c r="I97" s="1935"/>
      <c r="J97" s="1936"/>
      <c r="K97" s="1936"/>
    </row>
    <row r="98" spans="1:11">
      <c r="A98" s="2286" t="s">
        <v>868</v>
      </c>
      <c r="B98" s="2287" t="s">
        <v>861</v>
      </c>
      <c r="C98" s="2287"/>
      <c r="D98" s="2287" t="s">
        <v>862</v>
      </c>
      <c r="E98" s="2287"/>
      <c r="F98" s="1827" t="s">
        <v>863</v>
      </c>
      <c r="G98" s="1935"/>
      <c r="H98" s="1935"/>
      <c r="I98" s="1935"/>
      <c r="J98" s="1936"/>
      <c r="K98" s="1936"/>
    </row>
    <row r="99" spans="1:11" ht="12.75" customHeight="1">
      <c r="A99" s="2286"/>
      <c r="B99" s="1828" t="s">
        <v>864</v>
      </c>
      <c r="C99" s="1828" t="s">
        <v>865</v>
      </c>
      <c r="D99" s="1828" t="s">
        <v>864</v>
      </c>
      <c r="E99" s="1828" t="s">
        <v>865</v>
      </c>
      <c r="F99" s="1828" t="s">
        <v>864</v>
      </c>
      <c r="G99" s="1935"/>
      <c r="H99" s="1935"/>
      <c r="I99" s="1935"/>
      <c r="J99" s="1936"/>
      <c r="K99" s="1936"/>
    </row>
    <row r="100" spans="1:11">
      <c r="A100" s="1829" t="s">
        <v>866</v>
      </c>
      <c r="B100" s="1830">
        <f>30</f>
        <v>30</v>
      </c>
      <c r="C100" s="1831">
        <f>1796137230.35</f>
        <v>1796137230.3499999</v>
      </c>
      <c r="D100" s="1830">
        <f>36</f>
        <v>36</v>
      </c>
      <c r="E100" s="1831">
        <f>+-1606152932.89</f>
        <v>-1606152932.8900001</v>
      </c>
      <c r="F100" s="1830">
        <f>0</f>
        <v>0</v>
      </c>
      <c r="G100" s="1935"/>
      <c r="H100" s="1935"/>
      <c r="I100" s="1935"/>
      <c r="J100" s="1936"/>
      <c r="K100" s="1936"/>
    </row>
    <row r="101" spans="1:11">
      <c r="A101" s="1829" t="s">
        <v>867</v>
      </c>
      <c r="B101" s="1830">
        <f>56</f>
        <v>56</v>
      </c>
      <c r="C101" s="1831">
        <f>6140313881</f>
        <v>6140313881</v>
      </c>
      <c r="D101" s="1830">
        <f>10</f>
        <v>10</v>
      </c>
      <c r="E101" s="1831">
        <f>+-284915891.73</f>
        <v>-284915891.73000002</v>
      </c>
      <c r="F101" s="1830">
        <f>0</f>
        <v>0</v>
      </c>
      <c r="G101" s="1935"/>
      <c r="H101" s="1935"/>
      <c r="I101" s="1935"/>
      <c r="J101" s="1936"/>
      <c r="K101" s="1936"/>
    </row>
    <row r="102" spans="1:11" ht="14.4">
      <c r="A102" s="1938"/>
      <c r="B102" s="1938"/>
      <c r="C102" s="1938"/>
      <c r="D102" s="1938"/>
      <c r="E102" s="1938"/>
      <c r="F102" s="1935"/>
      <c r="G102" s="1935"/>
      <c r="H102" s="1935"/>
      <c r="I102" s="1935"/>
      <c r="J102" s="1936"/>
      <c r="K102" s="1936"/>
    </row>
    <row r="103" spans="1:11">
      <c r="A103" s="1939"/>
      <c r="B103" s="1940"/>
      <c r="C103" s="1940"/>
      <c r="D103" s="1940"/>
      <c r="E103" s="1927"/>
      <c r="F103" s="1927"/>
      <c r="G103" s="1927"/>
      <c r="H103" s="1927"/>
      <c r="I103" s="1941"/>
      <c r="J103" s="1941"/>
      <c r="K103" s="1941"/>
    </row>
    <row r="104" spans="1:11">
      <c r="A104" s="1942" t="s">
        <v>623</v>
      </c>
      <c r="B104" s="1943"/>
      <c r="C104" s="1943"/>
      <c r="D104" s="1943"/>
      <c r="E104" s="1944"/>
      <c r="F104" s="1944"/>
      <c r="G104" s="1944"/>
      <c r="H104" s="1944"/>
      <c r="I104" s="1945"/>
      <c r="J104" s="1945"/>
      <c r="K104" s="1941"/>
    </row>
    <row r="105" spans="1:11" ht="26.4">
      <c r="A105" s="1780" t="s">
        <v>768</v>
      </c>
      <c r="B105" s="1946">
        <f>5133274499.95999</f>
        <v>5133274499.9599895</v>
      </c>
      <c r="C105" s="1947">
        <f>3679367758.73</f>
        <v>3679367758.73</v>
      </c>
      <c r="D105" s="1947">
        <f>3679524939.89</f>
        <v>3679524939.8899999</v>
      </c>
      <c r="E105" s="1947">
        <f>134977252.28</f>
        <v>134977252.28</v>
      </c>
      <c r="F105" s="1947">
        <f>0</f>
        <v>0</v>
      </c>
      <c r="G105" s="1947">
        <f>142.44</f>
        <v>142.44</v>
      </c>
      <c r="H105" s="1947">
        <f>42787124.32</f>
        <v>42787124.32</v>
      </c>
      <c r="I105" s="1948">
        <f>IF($C$105=0,"",100*$C105/$C$105)</f>
        <v>100</v>
      </c>
      <c r="J105" s="1932">
        <f>IF(B105=0,"",100*C105/B105)</f>
        <v>71.676816791283585</v>
      </c>
      <c r="K105" s="1931"/>
    </row>
    <row r="106" spans="1:11">
      <c r="A106" s="1837" t="s">
        <v>625</v>
      </c>
      <c r="B106" s="1903">
        <f>3901712576.08</f>
        <v>3901712576.0799999</v>
      </c>
      <c r="C106" s="1885">
        <f>2915529450.96</f>
        <v>2915529450.96</v>
      </c>
      <c r="D106" s="1885">
        <f>2915629450.96</f>
        <v>2915629450.96</v>
      </c>
      <c r="E106" s="1885">
        <f>123718476.85</f>
        <v>123718476.84999999</v>
      </c>
      <c r="F106" s="1885">
        <f>0</f>
        <v>0</v>
      </c>
      <c r="G106" s="1885">
        <f>0</f>
        <v>0</v>
      </c>
      <c r="H106" s="1885">
        <f>41869290.32</f>
        <v>41869290.32</v>
      </c>
      <c r="I106" s="1948">
        <f>IF($C$105=0,"",100*$C106/$C$105)</f>
        <v>79.239957572665887</v>
      </c>
      <c r="J106" s="1948">
        <f>IF(B106=0,"",100*C106/B106)</f>
        <v>74.724352296836656</v>
      </c>
      <c r="K106" s="1931"/>
    </row>
    <row r="107" spans="1:11">
      <c r="A107" s="1905" t="s">
        <v>626</v>
      </c>
      <c r="B107" s="1903">
        <f>B105-B106</f>
        <v>1231561923.8799896</v>
      </c>
      <c r="C107" s="1885">
        <f t="shared" ref="C107:H107" si="11">C105-C106</f>
        <v>763838307.76999998</v>
      </c>
      <c r="D107" s="1885">
        <f t="shared" si="11"/>
        <v>763895488.92999983</v>
      </c>
      <c r="E107" s="1885">
        <f t="shared" si="11"/>
        <v>11258775.430000007</v>
      </c>
      <c r="F107" s="1885">
        <f t="shared" si="11"/>
        <v>0</v>
      </c>
      <c r="G107" s="1885">
        <f t="shared" si="11"/>
        <v>142.44</v>
      </c>
      <c r="H107" s="1885">
        <f t="shared" si="11"/>
        <v>917834</v>
      </c>
      <c r="I107" s="1948">
        <f>IF($C$105=0,"",100*$C107/$C$105)</f>
        <v>20.760042427334106</v>
      </c>
      <c r="J107" s="1948">
        <f>IF(B107=0,"",100*C107/B107)</f>
        <v>62.021916475263872</v>
      </c>
      <c r="K107" s="1931"/>
    </row>
    <row r="108" spans="1:11">
      <c r="A108" s="1931"/>
      <c r="B108" s="1931"/>
      <c r="C108" s="1931"/>
      <c r="D108" s="1931"/>
      <c r="E108" s="1931"/>
      <c r="F108" s="1931"/>
      <c r="G108" s="1931"/>
      <c r="H108" s="1931"/>
      <c r="I108" s="1931"/>
      <c r="J108" s="1931"/>
      <c r="K108" s="1931"/>
    </row>
    <row r="109" spans="1:11">
      <c r="A109" s="1931"/>
      <c r="B109" s="1931"/>
      <c r="C109" s="1931"/>
      <c r="D109" s="1931"/>
      <c r="E109" s="1931"/>
      <c r="F109" s="1931"/>
      <c r="G109" s="1931"/>
      <c r="H109" s="1931"/>
      <c r="I109" s="1931"/>
      <c r="J109" s="1931"/>
      <c r="K109" s="1931"/>
    </row>
    <row r="110" spans="1:11">
      <c r="A110" s="1838" t="s">
        <v>1</v>
      </c>
      <c r="B110" s="1839" t="s">
        <v>627</v>
      </c>
      <c r="C110" s="1779" t="s">
        <v>628</v>
      </c>
      <c r="D110" s="1779" t="s">
        <v>5</v>
      </c>
      <c r="E110" s="1779" t="s">
        <v>4</v>
      </c>
      <c r="F110" s="1931"/>
      <c r="G110" s="1931"/>
      <c r="H110" s="1931"/>
      <c r="I110" s="1931"/>
      <c r="J110" s="1931"/>
      <c r="K110" s="1931"/>
    </row>
    <row r="111" spans="1:11" ht="14.4">
      <c r="A111" s="1838"/>
      <c r="B111" s="2283" t="s">
        <v>163</v>
      </c>
      <c r="C111" s="2284"/>
      <c r="D111" s="2401" t="s">
        <v>169</v>
      </c>
      <c r="E111" s="2402"/>
      <c r="F111" s="1931"/>
      <c r="G111" s="1931"/>
      <c r="H111" s="1931"/>
      <c r="I111" s="1931"/>
      <c r="J111" s="1931"/>
      <c r="K111" s="1931"/>
    </row>
    <row r="112" spans="1:11">
      <c r="A112" s="1809">
        <v>1</v>
      </c>
      <c r="B112" s="1840">
        <v>2</v>
      </c>
      <c r="C112" s="1841">
        <v>3</v>
      </c>
      <c r="D112" s="1841">
        <v>4</v>
      </c>
      <c r="E112" s="1841">
        <v>5</v>
      </c>
      <c r="F112" s="1931"/>
      <c r="G112" s="1931"/>
      <c r="H112" s="1931"/>
      <c r="I112" s="1931"/>
      <c r="J112" s="1931"/>
      <c r="K112" s="1931"/>
    </row>
    <row r="113" spans="1:11" ht="26.4">
      <c r="A113" s="1949" t="s">
        <v>629</v>
      </c>
      <c r="B113" s="1907">
        <f>18840903376.38</f>
        <v>18840903376.380001</v>
      </c>
      <c r="C113" s="1878">
        <f>19962265832.27</f>
        <v>19962265832.27</v>
      </c>
      <c r="D113" s="1918">
        <f>IF($C$113=0,"",100*$C113/$C$113)</f>
        <v>100</v>
      </c>
      <c r="E113" s="1932">
        <f t="shared" ref="E113:E129" si="12">IF(B113=0,"",100*C113/B113)</f>
        <v>105.95174463500408</v>
      </c>
      <c r="F113" s="1931"/>
      <c r="G113" s="1931"/>
      <c r="H113" s="1931"/>
      <c r="I113" s="1931"/>
      <c r="J113" s="1931"/>
      <c r="K113" s="1931"/>
    </row>
    <row r="114" spans="1:11" ht="20.399999999999999">
      <c r="A114" s="1950" t="s">
        <v>753</v>
      </c>
      <c r="B114" s="1909">
        <f>12008564474.17</f>
        <v>12008564474.17</v>
      </c>
      <c r="C114" s="1870">
        <f>10441097486</f>
        <v>10441097486</v>
      </c>
      <c r="D114" s="1918">
        <f t="shared" ref="D114:D123" si="13">IF($C$113=0,"",100*$C114/$C$113)</f>
        <v>52.304170146464259</v>
      </c>
      <c r="E114" s="1932">
        <f t="shared" si="12"/>
        <v>86.947091040385658</v>
      </c>
      <c r="F114" s="1931"/>
      <c r="G114" s="1931"/>
      <c r="H114" s="1931"/>
      <c r="I114" s="1931"/>
      <c r="J114" s="1931"/>
      <c r="K114" s="1931"/>
    </row>
    <row r="115" spans="1:11">
      <c r="A115" s="1951" t="s">
        <v>631</v>
      </c>
      <c r="B115" s="1909">
        <f>523544000</f>
        <v>523544000</v>
      </c>
      <c r="C115" s="1870">
        <f>444544000</f>
        <v>444544000</v>
      </c>
      <c r="D115" s="1918">
        <f t="shared" si="13"/>
        <v>2.2269215515674197</v>
      </c>
      <c r="E115" s="1932">
        <f t="shared" si="12"/>
        <v>84.910532830096415</v>
      </c>
      <c r="F115" s="1931"/>
      <c r="G115" s="1931"/>
      <c r="H115" s="1931"/>
      <c r="I115" s="1931"/>
      <c r="J115" s="1931"/>
      <c r="K115" s="1931"/>
    </row>
    <row r="116" spans="1:11">
      <c r="A116" s="1950" t="s">
        <v>632</v>
      </c>
      <c r="B116" s="1909">
        <f>32766290.02</f>
        <v>32766290.02</v>
      </c>
      <c r="C116" s="1870">
        <f>22246383.37</f>
        <v>22246383.370000001</v>
      </c>
      <c r="D116" s="1918">
        <f t="shared" si="13"/>
        <v>0.11144217573757388</v>
      </c>
      <c r="E116" s="1932">
        <f t="shared" si="12"/>
        <v>67.894117266316016</v>
      </c>
      <c r="F116" s="1931"/>
      <c r="G116" s="1931"/>
      <c r="H116" s="1931"/>
      <c r="I116" s="1931"/>
      <c r="J116" s="1931"/>
      <c r="K116" s="1931"/>
    </row>
    <row r="117" spans="1:11" ht="40.799999999999997">
      <c r="A117" s="1950" t="s">
        <v>633</v>
      </c>
      <c r="B117" s="1909">
        <f>63925503.85</f>
        <v>63925503.850000001</v>
      </c>
      <c r="C117" s="1870">
        <f>156397366.15</f>
        <v>156397366.15000001</v>
      </c>
      <c r="D117" s="1918">
        <f t="shared" si="13"/>
        <v>0.78346500073742054</v>
      </c>
      <c r="E117" s="1932">
        <f t="shared" si="12"/>
        <v>244.65566437612051</v>
      </c>
      <c r="F117" s="1931"/>
      <c r="G117" s="1931"/>
      <c r="H117" s="1931"/>
      <c r="I117" s="1931"/>
      <c r="J117" s="1931"/>
      <c r="K117" s="1931"/>
    </row>
    <row r="118" spans="1:11" ht="30.6">
      <c r="A118" s="1950" t="s">
        <v>769</v>
      </c>
      <c r="B118" s="1909">
        <f>984864549.37</f>
        <v>984864549.37</v>
      </c>
      <c r="C118" s="1870">
        <f>1507589689.3</f>
        <v>1507589689.3</v>
      </c>
      <c r="D118" s="1918">
        <f t="shared" si="13"/>
        <v>7.5521972403699076</v>
      </c>
      <c r="E118" s="1932">
        <f t="shared" si="12"/>
        <v>153.07584076047593</v>
      </c>
      <c r="F118" s="1931"/>
      <c r="G118" s="1931"/>
      <c r="H118" s="1931"/>
      <c r="I118" s="1931"/>
      <c r="J118" s="1931"/>
      <c r="K118" s="1931"/>
    </row>
    <row r="119" spans="1:11">
      <c r="A119" s="1950" t="s">
        <v>635</v>
      </c>
      <c r="B119" s="1909">
        <f>0</f>
        <v>0</v>
      </c>
      <c r="C119" s="1870">
        <f>1703.92</f>
        <v>1703.92</v>
      </c>
      <c r="D119" s="1918">
        <f t="shared" si="13"/>
        <v>8.5357043850479552E-6</v>
      </c>
      <c r="E119" s="1932" t="str">
        <f t="shared" si="12"/>
        <v/>
      </c>
      <c r="F119" s="1931"/>
      <c r="G119" s="1931"/>
      <c r="H119" s="1931"/>
      <c r="I119" s="1931"/>
      <c r="J119" s="1931"/>
      <c r="K119" s="1931"/>
    </row>
    <row r="120" spans="1:11" ht="30.6">
      <c r="A120" s="1950" t="s">
        <v>746</v>
      </c>
      <c r="B120" s="1909">
        <f>5011768744.03</f>
        <v>5011768744.0299997</v>
      </c>
      <c r="C120" s="1870">
        <f>6002021530.07</f>
        <v>6002021530.0699997</v>
      </c>
      <c r="D120" s="1918">
        <f t="shared" si="13"/>
        <v>30.066835000100202</v>
      </c>
      <c r="E120" s="1932">
        <f t="shared" si="12"/>
        <v>119.75854905954282</v>
      </c>
      <c r="F120" s="1931"/>
      <c r="G120" s="1931"/>
      <c r="H120" s="1931"/>
      <c r="I120" s="1931"/>
      <c r="J120" s="1931"/>
      <c r="K120" s="1931"/>
    </row>
    <row r="121" spans="1:11" ht="51">
      <c r="A121" s="1844" t="s">
        <v>754</v>
      </c>
      <c r="B121" s="1909">
        <f>0</f>
        <v>0</v>
      </c>
      <c r="C121" s="1870">
        <f>0</f>
        <v>0</v>
      </c>
      <c r="D121" s="1918">
        <f t="shared" si="13"/>
        <v>0</v>
      </c>
      <c r="E121" s="1932" t="str">
        <f t="shared" si="12"/>
        <v/>
      </c>
      <c r="F121" s="1931"/>
      <c r="G121" s="1931"/>
      <c r="H121" s="1931"/>
      <c r="I121" s="1931"/>
      <c r="J121" s="1931"/>
      <c r="K121" s="1931"/>
    </row>
    <row r="122" spans="1:11">
      <c r="A122" s="1844" t="s">
        <v>638</v>
      </c>
      <c r="B122" s="1909">
        <f>739013814.94</f>
        <v>739013814.94000006</v>
      </c>
      <c r="C122" s="1870">
        <f>1832911673.46</f>
        <v>1832911673.46</v>
      </c>
      <c r="D122" s="1918">
        <f t="shared" si="13"/>
        <v>9.1818819008862551</v>
      </c>
      <c r="E122" s="1932">
        <f t="shared" si="12"/>
        <v>248.02130033371739</v>
      </c>
      <c r="F122" s="1931"/>
      <c r="G122" s="1931"/>
      <c r="H122" s="1931"/>
      <c r="I122" s="1931"/>
      <c r="J122" s="1931"/>
      <c r="K122" s="1931"/>
    </row>
    <row r="123" spans="1:11" ht="20.399999999999999">
      <c r="A123" s="1846" t="s">
        <v>639</v>
      </c>
      <c r="B123" s="1909">
        <f>725377857.75</f>
        <v>725377857.75</v>
      </c>
      <c r="C123" s="1870">
        <f>725377857.18</f>
        <v>725377857.17999995</v>
      </c>
      <c r="D123" s="1918">
        <f t="shared" si="13"/>
        <v>3.6337451032607251</v>
      </c>
      <c r="E123" s="1932">
        <f t="shared" si="12"/>
        <v>99.999999921420269</v>
      </c>
      <c r="F123" s="1931"/>
      <c r="G123" s="1931"/>
      <c r="H123" s="1931"/>
      <c r="I123" s="1931"/>
      <c r="J123" s="1931"/>
      <c r="K123" s="1931"/>
    </row>
    <row r="124" spans="1:11" ht="26.4">
      <c r="A124" s="1949" t="s">
        <v>640</v>
      </c>
      <c r="B124" s="1907">
        <f>7360284586.45</f>
        <v>7360284586.4499998</v>
      </c>
      <c r="C124" s="1878">
        <f>8397218749.41</f>
        <v>8397218749.4099998</v>
      </c>
      <c r="D124" s="1918">
        <f t="shared" ref="D124:D129" si="14">IF($C$124=0,"",100*$C124/$C$124)</f>
        <v>100</v>
      </c>
      <c r="E124" s="1932">
        <f t="shared" si="12"/>
        <v>114.08823464338533</v>
      </c>
      <c r="F124" s="1931"/>
      <c r="G124" s="1931"/>
      <c r="H124" s="1931"/>
      <c r="I124" s="1931"/>
      <c r="J124" s="1931"/>
      <c r="K124" s="1931"/>
    </row>
    <row r="125" spans="1:11" ht="20.399999999999999">
      <c r="A125" s="1950" t="s">
        <v>641</v>
      </c>
      <c r="B125" s="1909">
        <f>6609640309.08</f>
        <v>6609640309.0799999</v>
      </c>
      <c r="C125" s="1870">
        <f>6512767277.65</f>
        <v>6512767277.6499996</v>
      </c>
      <c r="D125" s="1918">
        <f t="shared" si="14"/>
        <v>77.558623539580836</v>
      </c>
      <c r="E125" s="1932">
        <f t="shared" si="12"/>
        <v>98.53436757675118</v>
      </c>
      <c r="F125" s="1931"/>
      <c r="G125" s="1931"/>
      <c r="H125" s="1931"/>
      <c r="I125" s="1931"/>
      <c r="J125" s="1931"/>
      <c r="K125" s="1931"/>
    </row>
    <row r="126" spans="1:11">
      <c r="A126" s="1951" t="s">
        <v>642</v>
      </c>
      <c r="B126" s="1909">
        <f>622404000</f>
        <v>622404000</v>
      </c>
      <c r="C126" s="1870">
        <f>622404000</f>
        <v>622404000</v>
      </c>
      <c r="D126" s="1918">
        <f t="shared" si="14"/>
        <v>7.4120255595786517</v>
      </c>
      <c r="E126" s="1932">
        <f t="shared" si="12"/>
        <v>100</v>
      </c>
      <c r="F126" s="1931"/>
      <c r="G126" s="1931"/>
      <c r="H126" s="1931"/>
      <c r="I126" s="1931"/>
      <c r="J126" s="1931"/>
      <c r="K126" s="1931"/>
    </row>
    <row r="127" spans="1:11">
      <c r="A127" s="1950" t="s">
        <v>643</v>
      </c>
      <c r="B127" s="1909">
        <f>75142369</f>
        <v>75142369</v>
      </c>
      <c r="C127" s="1870">
        <f>67859301.6</f>
        <v>67859301.599999994</v>
      </c>
      <c r="D127" s="1918">
        <f t="shared" si="14"/>
        <v>0.80811639692925563</v>
      </c>
      <c r="E127" s="1932">
        <f t="shared" si="12"/>
        <v>90.307642017514766</v>
      </c>
      <c r="F127" s="1931"/>
      <c r="G127" s="1931"/>
      <c r="H127" s="1931"/>
      <c r="I127" s="1931"/>
      <c r="J127" s="1931"/>
      <c r="K127" s="1931"/>
    </row>
    <row r="128" spans="1:11">
      <c r="A128" s="1950" t="s">
        <v>644</v>
      </c>
      <c r="B128" s="1909">
        <f>675501908.37</f>
        <v>675501908.37</v>
      </c>
      <c r="C128" s="1870">
        <f>1816592170.16</f>
        <v>1816592170.1600001</v>
      </c>
      <c r="D128" s="1918">
        <f t="shared" si="14"/>
        <v>21.633260063489907</v>
      </c>
      <c r="E128" s="1932">
        <f t="shared" si="12"/>
        <v>268.92480208434557</v>
      </c>
      <c r="F128" s="1931"/>
      <c r="G128" s="1931"/>
      <c r="H128" s="1931"/>
      <c r="I128" s="1931"/>
      <c r="J128" s="1931"/>
      <c r="K128" s="1931"/>
    </row>
    <row r="129" spans="1:11" ht="20.399999999999999">
      <c r="A129" s="1846" t="s">
        <v>645</v>
      </c>
      <c r="B129" s="1909">
        <f>661401908.37</f>
        <v>661401908.37</v>
      </c>
      <c r="C129" s="1870">
        <f>723000707.61</f>
        <v>723000707.61000001</v>
      </c>
      <c r="D129" s="1918">
        <f t="shared" si="14"/>
        <v>8.6100020636094428</v>
      </c>
      <c r="E129" s="1932">
        <f t="shared" si="12"/>
        <v>109.31336883980391</v>
      </c>
      <c r="F129" s="1931"/>
      <c r="G129" s="1931"/>
      <c r="H129" s="1931"/>
      <c r="I129" s="1931"/>
      <c r="J129" s="1931"/>
      <c r="K129" s="1931"/>
    </row>
    <row r="130" spans="1:11">
      <c r="A130" s="1931"/>
      <c r="B130" s="1931"/>
      <c r="C130" s="1931"/>
      <c r="D130" s="1931"/>
      <c r="E130" s="1931"/>
      <c r="F130" s="1931"/>
      <c r="G130" s="1931"/>
      <c r="H130" s="1931"/>
      <c r="I130" s="1931"/>
      <c r="J130" s="1931"/>
      <c r="K130" s="1931"/>
    </row>
    <row r="131" spans="1:11">
      <c r="A131" s="1838" t="s">
        <v>1</v>
      </c>
      <c r="B131" s="1809" t="s">
        <v>627</v>
      </c>
      <c r="C131" s="1809" t="s">
        <v>628</v>
      </c>
      <c r="D131" s="1952"/>
      <c r="E131" s="1931"/>
      <c r="F131" s="1931"/>
      <c r="G131" s="1931"/>
      <c r="H131" s="1931"/>
      <c r="I131" s="1931"/>
      <c r="J131" s="1931"/>
      <c r="K131" s="1931"/>
    </row>
    <row r="132" spans="1:11">
      <c r="A132" s="1838"/>
      <c r="B132" s="2283" t="s">
        <v>163</v>
      </c>
      <c r="C132" s="2284"/>
      <c r="D132" s="1952"/>
      <c r="E132" s="1931"/>
      <c r="F132" s="1931"/>
      <c r="G132" s="1931"/>
      <c r="H132" s="1931"/>
      <c r="I132" s="1931"/>
      <c r="J132" s="1931"/>
      <c r="K132" s="1931"/>
    </row>
    <row r="133" spans="1:11">
      <c r="A133" s="1809">
        <v>1</v>
      </c>
      <c r="B133" s="1809">
        <v>2</v>
      </c>
      <c r="C133" s="1809">
        <v>3</v>
      </c>
      <c r="D133" s="1952"/>
      <c r="E133" s="1931"/>
      <c r="F133" s="1931"/>
      <c r="G133" s="1931"/>
      <c r="H133" s="1931"/>
      <c r="I133" s="1931"/>
      <c r="J133" s="1931"/>
      <c r="K133" s="1931"/>
    </row>
    <row r="134" spans="1:11" ht="30.6">
      <c r="A134" s="1847" t="s">
        <v>756</v>
      </c>
      <c r="B134" s="1909">
        <f>11521920021.26</f>
        <v>11521920021.26</v>
      </c>
      <c r="C134" s="1870">
        <f>4191220979.3</f>
        <v>4191220979.3000002</v>
      </c>
      <c r="D134" s="1952"/>
      <c r="E134" s="1931"/>
      <c r="F134" s="1931"/>
      <c r="G134" s="1931"/>
      <c r="H134" s="1931"/>
      <c r="I134" s="1931"/>
      <c r="J134" s="1931"/>
      <c r="K134" s="1931"/>
    </row>
    <row r="135" spans="1:11" ht="30.6">
      <c r="A135" s="1848" t="s">
        <v>647</v>
      </c>
      <c r="B135" s="1909">
        <f>206198159.88</f>
        <v>206198159.88</v>
      </c>
      <c r="C135" s="1870">
        <f>68147692.24</f>
        <v>68147692.239999995</v>
      </c>
      <c r="D135" s="1952"/>
      <c r="E135" s="1931"/>
      <c r="F135" s="1931"/>
      <c r="G135" s="1931"/>
      <c r="H135" s="1931"/>
      <c r="I135" s="1931"/>
      <c r="J135" s="1931"/>
      <c r="K135" s="1931"/>
    </row>
    <row r="136" spans="1:11">
      <c r="A136" s="1848" t="s">
        <v>648</v>
      </c>
      <c r="B136" s="1909">
        <f>6603997010.18</f>
        <v>6603997010.1800003</v>
      </c>
      <c r="C136" s="1870">
        <f>3028439325.84</f>
        <v>3028439325.8400002</v>
      </c>
      <c r="D136" s="1952"/>
      <c r="E136" s="1931"/>
      <c r="F136" s="1931"/>
      <c r="G136" s="1931"/>
      <c r="H136" s="1931"/>
      <c r="I136" s="1931"/>
      <c r="J136" s="1931"/>
      <c r="K136" s="1931"/>
    </row>
    <row r="137" spans="1:11" ht="20.399999999999999">
      <c r="A137" s="1848" t="s">
        <v>649</v>
      </c>
      <c r="B137" s="1909">
        <f>0</f>
        <v>0</v>
      </c>
      <c r="C137" s="1870">
        <f>0</f>
        <v>0</v>
      </c>
      <c r="D137" s="1952"/>
      <c r="E137" s="1931"/>
      <c r="F137" s="1931"/>
      <c r="G137" s="1931"/>
      <c r="H137" s="1931"/>
      <c r="I137" s="1931"/>
      <c r="J137" s="1931"/>
      <c r="K137" s="1931"/>
    </row>
    <row r="138" spans="1:11" ht="51">
      <c r="A138" s="1848" t="s">
        <v>650</v>
      </c>
      <c r="B138" s="1909">
        <f>10269265.06</f>
        <v>10269265.060000001</v>
      </c>
      <c r="C138" s="1870">
        <f>0</f>
        <v>0</v>
      </c>
      <c r="D138" s="1952"/>
      <c r="E138" s="1931"/>
      <c r="F138" s="1931"/>
      <c r="G138" s="1931"/>
      <c r="H138" s="1931"/>
      <c r="I138" s="1931"/>
      <c r="J138" s="1931"/>
      <c r="K138" s="1931"/>
    </row>
    <row r="139" spans="1:11" ht="61.2">
      <c r="A139" s="1848" t="s">
        <v>651</v>
      </c>
      <c r="B139" s="1909">
        <f>3024146534.69</f>
        <v>3024146534.6900001</v>
      </c>
      <c r="C139" s="1870">
        <f>582166270.23</f>
        <v>582166270.23000002</v>
      </c>
      <c r="D139" s="1952"/>
      <c r="E139" s="1931"/>
      <c r="F139" s="1931"/>
      <c r="G139" s="1931"/>
      <c r="H139" s="1931"/>
      <c r="I139" s="1931"/>
      <c r="J139" s="1931"/>
      <c r="K139" s="1931"/>
    </row>
    <row r="140" spans="1:11" ht="112.2">
      <c r="A140" s="1848" t="s">
        <v>652</v>
      </c>
      <c r="B140" s="1909">
        <f>975379201.54</f>
        <v>975379201.53999996</v>
      </c>
      <c r="C140" s="1870">
        <f>507119156.51</f>
        <v>507119156.50999999</v>
      </c>
      <c r="D140" s="1931"/>
      <c r="E140" s="1931"/>
      <c r="F140" s="1931"/>
      <c r="G140" s="1931"/>
      <c r="H140" s="1931"/>
      <c r="I140" s="1931"/>
      <c r="J140" s="1931"/>
      <c r="K140" s="1931"/>
    </row>
    <row r="141" spans="1:11" ht="20.399999999999999">
      <c r="A141" s="1848" t="s">
        <v>653</v>
      </c>
      <c r="B141" s="1909">
        <f>5912348.51</f>
        <v>5912348.5099999998</v>
      </c>
      <c r="C141" s="1870">
        <f>2295907.48</f>
        <v>2295907.48</v>
      </c>
      <c r="D141" s="1931"/>
      <c r="E141" s="1931"/>
      <c r="F141" s="1931"/>
      <c r="G141" s="1931"/>
      <c r="H141" s="1931"/>
      <c r="I141" s="1931"/>
      <c r="J141" s="1931"/>
      <c r="K141" s="1931"/>
    </row>
    <row r="142" spans="1:11" ht="20.399999999999999">
      <c r="A142" s="1848" t="s">
        <v>639</v>
      </c>
      <c r="B142" s="1909">
        <f>696017501.4</f>
        <v>696017501.39999998</v>
      </c>
      <c r="C142" s="1870">
        <f>3052627</f>
        <v>3052627</v>
      </c>
      <c r="D142" s="1931"/>
      <c r="E142" s="1931"/>
      <c r="F142" s="1931"/>
      <c r="G142" s="1931"/>
      <c r="H142" s="1931"/>
      <c r="I142" s="1931"/>
      <c r="J142" s="1931"/>
      <c r="K142" s="1931"/>
    </row>
    <row r="144" spans="1:11">
      <c r="A144" s="2255" t="s">
        <v>884</v>
      </c>
      <c r="B144" s="2255"/>
      <c r="C144" s="2255"/>
      <c r="D144" s="2255"/>
    </row>
  </sheetData>
  <mergeCells count="26">
    <mergeCell ref="I77:J77"/>
    <mergeCell ref="A98:A99"/>
    <mergeCell ref="B98:C98"/>
    <mergeCell ref="D98:E98"/>
    <mergeCell ref="B111:C111"/>
    <mergeCell ref="D111:E111"/>
    <mergeCell ref="H89:I89"/>
    <mergeCell ref="A93:A94"/>
    <mergeCell ref="B93:C93"/>
    <mergeCell ref="D93:E93"/>
    <mergeCell ref="B132:C132"/>
    <mergeCell ref="A144:D144"/>
    <mergeCell ref="A3:A4"/>
    <mergeCell ref="B4:H4"/>
    <mergeCell ref="I4:K4"/>
    <mergeCell ref="A74:A77"/>
    <mergeCell ref="B74:B76"/>
    <mergeCell ref="C74:C76"/>
    <mergeCell ref="D74:D76"/>
    <mergeCell ref="E74:G74"/>
    <mergeCell ref="H74:H76"/>
    <mergeCell ref="I74:I76"/>
    <mergeCell ref="J74:J76"/>
    <mergeCell ref="E75:E76"/>
    <mergeCell ref="F75:G75"/>
    <mergeCell ref="B77:H7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646C-29C0-471A-83CA-710018B8FCF0}">
  <dimension ref="A1:Q66"/>
  <sheetViews>
    <sheetView view="pageBreakPreview" topLeftCell="A22" zoomScaleNormal="100" zoomScaleSheetLayoutView="100" workbookViewId="0">
      <selection activeCell="A43" sqref="A43"/>
    </sheetView>
  </sheetViews>
  <sheetFormatPr defaultColWidth="9.21875" defaultRowHeight="13.8"/>
  <cols>
    <col min="1" max="1" width="22.5546875" style="431" customWidth="1"/>
    <col min="2" max="2" width="12.44140625" style="431" customWidth="1"/>
    <col min="3" max="3" width="12.77734375" style="431" customWidth="1"/>
    <col min="4" max="4" width="11.21875" style="431" customWidth="1"/>
    <col min="5" max="5" width="10.21875" style="431" bestFit="1" customWidth="1"/>
    <col min="6" max="6" width="11.21875" style="431" bestFit="1" customWidth="1"/>
    <col min="7" max="7" width="10.21875" style="431" bestFit="1" customWidth="1"/>
    <col min="8" max="8" width="9.44140625" style="431" bestFit="1" customWidth="1"/>
    <col min="9" max="9" width="9.21875" style="431" bestFit="1" customWidth="1"/>
    <col min="10" max="10" width="12" style="431" bestFit="1" customWidth="1"/>
    <col min="11" max="13" width="11.21875" style="431" bestFit="1" customWidth="1"/>
    <col min="14" max="14" width="11.77734375" style="431" customWidth="1"/>
    <col min="15" max="16" width="12" style="431" bestFit="1" customWidth="1"/>
    <col min="17" max="17" width="9.44140625" style="431" bestFit="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432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432"/>
      <c r="O2" s="432"/>
      <c r="P2" s="432"/>
      <c r="Q2" s="432"/>
    </row>
    <row r="3" spans="1:17">
      <c r="A3" s="2332" t="s">
        <v>1</v>
      </c>
      <c r="B3" s="2339" t="s">
        <v>655</v>
      </c>
      <c r="C3" s="2344" t="s">
        <v>656</v>
      </c>
      <c r="D3" s="2345"/>
      <c r="E3" s="2345"/>
      <c r="F3" s="2345"/>
      <c r="G3" s="2345"/>
      <c r="H3" s="2345"/>
      <c r="I3" s="2345"/>
      <c r="J3" s="2345"/>
      <c r="K3" s="2345"/>
      <c r="L3" s="2345"/>
      <c r="M3" s="2345"/>
      <c r="N3" s="2346"/>
      <c r="O3" s="2344" t="s">
        <v>657</v>
      </c>
      <c r="P3" s="2345"/>
      <c r="Q3" s="2346"/>
    </row>
    <row r="4" spans="1:17">
      <c r="A4" s="2333"/>
      <c r="B4" s="2340"/>
      <c r="C4" s="2341" t="s">
        <v>658</v>
      </c>
      <c r="D4" s="2341" t="s">
        <v>770</v>
      </c>
      <c r="E4" s="2341" t="s">
        <v>660</v>
      </c>
      <c r="F4" s="2341" t="s">
        <v>661</v>
      </c>
      <c r="G4" s="2341" t="s">
        <v>662</v>
      </c>
      <c r="H4" s="2341" t="s">
        <v>663</v>
      </c>
      <c r="I4" s="2410" t="s">
        <v>664</v>
      </c>
      <c r="J4" s="2341" t="s">
        <v>665</v>
      </c>
      <c r="K4" s="2341" t="s">
        <v>666</v>
      </c>
      <c r="L4" s="2341" t="s">
        <v>667</v>
      </c>
      <c r="M4" s="2341" t="s">
        <v>668</v>
      </c>
      <c r="N4" s="234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33"/>
      <c r="B5" s="2340"/>
      <c r="C5" s="2338"/>
      <c r="D5" s="2338"/>
      <c r="E5" s="2338"/>
      <c r="F5" s="2338"/>
      <c r="G5" s="2338"/>
      <c r="H5" s="2338"/>
      <c r="I5" s="2410"/>
      <c r="J5" s="2338"/>
      <c r="K5" s="2338"/>
      <c r="L5" s="2338"/>
      <c r="M5" s="2338"/>
      <c r="N5" s="2340"/>
      <c r="O5" s="2338"/>
      <c r="P5" s="2338"/>
      <c r="Q5" s="2338"/>
    </row>
    <row r="6" spans="1:17">
      <c r="A6" s="2333"/>
      <c r="B6" s="2340"/>
      <c r="C6" s="2338"/>
      <c r="D6" s="2338"/>
      <c r="E6" s="2338"/>
      <c r="F6" s="2338"/>
      <c r="G6" s="2338"/>
      <c r="H6" s="2338"/>
      <c r="I6" s="2410"/>
      <c r="J6" s="2338"/>
      <c r="K6" s="2338"/>
      <c r="L6" s="2338"/>
      <c r="M6" s="2338"/>
      <c r="N6" s="2340"/>
      <c r="O6" s="2338"/>
      <c r="P6" s="2338"/>
      <c r="Q6" s="2338"/>
    </row>
    <row r="7" spans="1:17" ht="27.6" customHeight="1">
      <c r="A7" s="2334"/>
      <c r="B7" s="2341"/>
      <c r="C7" s="2338"/>
      <c r="D7" s="2338"/>
      <c r="E7" s="2338"/>
      <c r="F7" s="2338"/>
      <c r="G7" s="2338"/>
      <c r="H7" s="2338"/>
      <c r="I7" s="2411"/>
      <c r="J7" s="2338"/>
      <c r="K7" s="2338"/>
      <c r="L7" s="2338"/>
      <c r="M7" s="2338"/>
      <c r="N7" s="234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>
      <c r="A9" s="2072"/>
      <c r="B9" s="2322" t="s">
        <v>163</v>
      </c>
      <c r="C9" s="2323"/>
      <c r="D9" s="2323"/>
      <c r="E9" s="2323"/>
      <c r="F9" s="2323"/>
      <c r="G9" s="2323"/>
      <c r="H9" s="2323"/>
      <c r="I9" s="2323"/>
      <c r="J9" s="2323"/>
      <c r="K9" s="2323"/>
      <c r="L9" s="2323"/>
      <c r="M9" s="2323"/>
      <c r="N9" s="2323"/>
      <c r="O9" s="2323"/>
      <c r="P9" s="2323"/>
      <c r="Q9" s="2324"/>
    </row>
    <row r="10" spans="1:17" ht="30.6">
      <c r="A10" s="1914" t="s">
        <v>673</v>
      </c>
      <c r="B10" s="1851">
        <f>60168245695.18</f>
        <v>60168245695.18</v>
      </c>
      <c r="C10" s="1851">
        <f>37564349502.31</f>
        <v>37564349502.309998</v>
      </c>
      <c r="D10" s="1851">
        <f>643968231</f>
        <v>643968231</v>
      </c>
      <c r="E10" s="1851">
        <f>353785250.66</f>
        <v>353785250.66000003</v>
      </c>
      <c r="F10" s="1851">
        <f>173466177.16</f>
        <v>173466177.16</v>
      </c>
      <c r="G10" s="1851">
        <f>116715982.05</f>
        <v>116715982.05</v>
      </c>
      <c r="H10" s="1851">
        <f>821.13</f>
        <v>821.13</v>
      </c>
      <c r="I10" s="1851">
        <f>0</f>
        <v>0</v>
      </c>
      <c r="J10" s="1851">
        <f>35166233080.96</f>
        <v>35166233080.959999</v>
      </c>
      <c r="K10" s="1851">
        <f>1059644745.98</f>
        <v>1059644745.98</v>
      </c>
      <c r="L10" s="1851">
        <f>688883159.79</f>
        <v>688883159.78999996</v>
      </c>
      <c r="M10" s="1851">
        <f>4116701.73</f>
        <v>4116701.73</v>
      </c>
      <c r="N10" s="1851">
        <f>1503582.85</f>
        <v>1503582.85</v>
      </c>
      <c r="O10" s="1851">
        <f>22603896192.87</f>
        <v>22603896192.869999</v>
      </c>
      <c r="P10" s="1851">
        <f>22603896192.87</f>
        <v>22603896192.869999</v>
      </c>
      <c r="Q10" s="1851">
        <f>0</f>
        <v>0</v>
      </c>
    </row>
    <row r="11" spans="1:17" ht="20.399999999999999">
      <c r="A11" s="1914" t="s">
        <v>749</v>
      </c>
      <c r="B11" s="1851">
        <f>7445054000</f>
        <v>7445054000</v>
      </c>
      <c r="C11" s="1851">
        <f>7445054000</f>
        <v>7445054000</v>
      </c>
      <c r="D11" s="1851">
        <f>0</f>
        <v>0</v>
      </c>
      <c r="E11" s="1851">
        <f>0</f>
        <v>0</v>
      </c>
      <c r="F11" s="1851">
        <f>0</f>
        <v>0</v>
      </c>
      <c r="G11" s="1851">
        <f>0</f>
        <v>0</v>
      </c>
      <c r="H11" s="1851">
        <f>0</f>
        <v>0</v>
      </c>
      <c r="I11" s="1851">
        <f>0</f>
        <v>0</v>
      </c>
      <c r="J11" s="1851">
        <f>7287554000</f>
        <v>7287554000</v>
      </c>
      <c r="K11" s="1851">
        <f>157500000</f>
        <v>157500000</v>
      </c>
      <c r="L11" s="1851">
        <f>0</f>
        <v>0</v>
      </c>
      <c r="M11" s="1851">
        <f>0</f>
        <v>0</v>
      </c>
      <c r="N11" s="1851">
        <f>0</f>
        <v>0</v>
      </c>
      <c r="O11" s="1851">
        <f>0</f>
        <v>0</v>
      </c>
      <c r="P11" s="1851">
        <f>0</f>
        <v>0</v>
      </c>
      <c r="Q11" s="1851">
        <f>0</f>
        <v>0</v>
      </c>
    </row>
    <row r="12" spans="1:17">
      <c r="A12" s="1915" t="s">
        <v>675</v>
      </c>
      <c r="B12" s="1851">
        <f>0</f>
        <v>0</v>
      </c>
      <c r="C12" s="1851">
        <f>0</f>
        <v>0</v>
      </c>
      <c r="D12" s="1851">
        <f>0</f>
        <v>0</v>
      </c>
      <c r="E12" s="1851">
        <f>0</f>
        <v>0</v>
      </c>
      <c r="F12" s="1851">
        <f>0</f>
        <v>0</v>
      </c>
      <c r="G12" s="1851">
        <f>0</f>
        <v>0</v>
      </c>
      <c r="H12" s="1851">
        <f>0</f>
        <v>0</v>
      </c>
      <c r="I12" s="1851">
        <f>0</f>
        <v>0</v>
      </c>
      <c r="J12" s="1851">
        <f>0</f>
        <v>0</v>
      </c>
      <c r="K12" s="1851">
        <f>0</f>
        <v>0</v>
      </c>
      <c r="L12" s="1851">
        <f>0</f>
        <v>0</v>
      </c>
      <c r="M12" s="1851">
        <f>0</f>
        <v>0</v>
      </c>
      <c r="N12" s="1851">
        <f>0</f>
        <v>0</v>
      </c>
      <c r="O12" s="1851">
        <f>0</f>
        <v>0</v>
      </c>
      <c r="P12" s="1851">
        <f>0</f>
        <v>0</v>
      </c>
      <c r="Q12" s="1851">
        <f>0</f>
        <v>0</v>
      </c>
    </row>
    <row r="13" spans="1:17">
      <c r="A13" s="1915" t="s">
        <v>676</v>
      </c>
      <c r="B13" s="1851">
        <f>7445054000</f>
        <v>7445054000</v>
      </c>
      <c r="C13" s="1851">
        <f>7445054000</f>
        <v>7445054000</v>
      </c>
      <c r="D13" s="1851">
        <f>0</f>
        <v>0</v>
      </c>
      <c r="E13" s="1851">
        <f>0</f>
        <v>0</v>
      </c>
      <c r="F13" s="1851">
        <f>0</f>
        <v>0</v>
      </c>
      <c r="G13" s="1851">
        <f>0</f>
        <v>0</v>
      </c>
      <c r="H13" s="1851">
        <f>0</f>
        <v>0</v>
      </c>
      <c r="I13" s="1851">
        <f>0</f>
        <v>0</v>
      </c>
      <c r="J13" s="1851">
        <f>7287554000</f>
        <v>7287554000</v>
      </c>
      <c r="K13" s="1851">
        <f>157500000</f>
        <v>157500000</v>
      </c>
      <c r="L13" s="1851">
        <f>0</f>
        <v>0</v>
      </c>
      <c r="M13" s="1851">
        <f>0</f>
        <v>0</v>
      </c>
      <c r="N13" s="1851">
        <f>0</f>
        <v>0</v>
      </c>
      <c r="O13" s="1851">
        <f>0</f>
        <v>0</v>
      </c>
      <c r="P13" s="1851">
        <f>0</f>
        <v>0</v>
      </c>
      <c r="Q13" s="1851">
        <f>0</f>
        <v>0</v>
      </c>
    </row>
    <row r="14" spans="1:17" ht="20.399999999999999">
      <c r="A14" s="1914" t="s">
        <v>750</v>
      </c>
      <c r="B14" s="1851">
        <f>52718241131.28</f>
        <v>52718241131.279999</v>
      </c>
      <c r="C14" s="1851">
        <f>30114344938.41</f>
        <v>30114344938.41</v>
      </c>
      <c r="D14" s="1851">
        <f>642380933.77</f>
        <v>642380933.76999998</v>
      </c>
      <c r="E14" s="1851">
        <f>353775049</f>
        <v>353775049</v>
      </c>
      <c r="F14" s="1851">
        <f>173459185.72</f>
        <v>173459185.72</v>
      </c>
      <c r="G14" s="1851">
        <f>115146699.05</f>
        <v>115146699.05</v>
      </c>
      <c r="H14" s="1851">
        <f>0</f>
        <v>0</v>
      </c>
      <c r="I14" s="1851">
        <f>0</f>
        <v>0</v>
      </c>
      <c r="J14" s="1851">
        <f>27878679080.96</f>
        <v>27878679080.959999</v>
      </c>
      <c r="K14" s="1851">
        <f>902141805.95</f>
        <v>902141805.95000005</v>
      </c>
      <c r="L14" s="1851">
        <f>687213117.73</f>
        <v>687213117.73000002</v>
      </c>
      <c r="M14" s="1851">
        <f>2430000</f>
        <v>2430000</v>
      </c>
      <c r="N14" s="1851">
        <f>1500000</f>
        <v>1500000</v>
      </c>
      <c r="O14" s="1851">
        <f>22603896192.87</f>
        <v>22603896192.869999</v>
      </c>
      <c r="P14" s="1851">
        <f>22603896192.87</f>
        <v>22603896192.869999</v>
      </c>
      <c r="Q14" s="1851">
        <f>0</f>
        <v>0</v>
      </c>
    </row>
    <row r="15" spans="1:17">
      <c r="A15" s="1915" t="s">
        <v>678</v>
      </c>
      <c r="B15" s="1851">
        <f>27982165.76</f>
        <v>27982165.760000002</v>
      </c>
      <c r="C15" s="1851">
        <f>27982165.76</f>
        <v>27982165.760000002</v>
      </c>
      <c r="D15" s="1851">
        <f>125311.76</f>
        <v>125311.76</v>
      </c>
      <c r="E15" s="1851">
        <f>0</f>
        <v>0</v>
      </c>
      <c r="F15" s="1851">
        <f>0</f>
        <v>0</v>
      </c>
      <c r="G15" s="1851">
        <f>125311.76</f>
        <v>125311.76</v>
      </c>
      <c r="H15" s="1851">
        <f>0</f>
        <v>0</v>
      </c>
      <c r="I15" s="1851">
        <f>0</f>
        <v>0</v>
      </c>
      <c r="J15" s="1851">
        <f>10700000</f>
        <v>10700000</v>
      </c>
      <c r="K15" s="1851">
        <f>0</f>
        <v>0</v>
      </c>
      <c r="L15" s="1851">
        <f>17156854</f>
        <v>17156854</v>
      </c>
      <c r="M15" s="1851">
        <f>0</f>
        <v>0</v>
      </c>
      <c r="N15" s="1851">
        <f>0</f>
        <v>0</v>
      </c>
      <c r="O15" s="1851">
        <f>0</f>
        <v>0</v>
      </c>
      <c r="P15" s="1851">
        <f>0</f>
        <v>0</v>
      </c>
      <c r="Q15" s="1851">
        <f>0</f>
        <v>0</v>
      </c>
    </row>
    <row r="16" spans="1:17">
      <c r="A16" s="1915" t="s">
        <v>679</v>
      </c>
      <c r="B16" s="1851">
        <f>52690258965.52</f>
        <v>52690258965.519997</v>
      </c>
      <c r="C16" s="1851">
        <f>30086362772.65</f>
        <v>30086362772.650002</v>
      </c>
      <c r="D16" s="1851">
        <f>642255622.01</f>
        <v>642255622.00999999</v>
      </c>
      <c r="E16" s="1851">
        <f>353775049</f>
        <v>353775049</v>
      </c>
      <c r="F16" s="1851">
        <f>173459185.72</f>
        <v>173459185.72</v>
      </c>
      <c r="G16" s="1851">
        <f>115021387.29</f>
        <v>115021387.29000001</v>
      </c>
      <c r="H16" s="1851">
        <f>0</f>
        <v>0</v>
      </c>
      <c r="I16" s="1851">
        <f>0</f>
        <v>0</v>
      </c>
      <c r="J16" s="1851">
        <f>27867979080.96</f>
        <v>27867979080.959999</v>
      </c>
      <c r="K16" s="1851">
        <f>902141805.95</f>
        <v>902141805.95000005</v>
      </c>
      <c r="L16" s="1851">
        <f>670056263.73</f>
        <v>670056263.73000002</v>
      </c>
      <c r="M16" s="1851">
        <f>2430000</f>
        <v>2430000</v>
      </c>
      <c r="N16" s="1851">
        <f>1500000</f>
        <v>1500000</v>
      </c>
      <c r="O16" s="1851">
        <f>22603896192.87</f>
        <v>22603896192.869999</v>
      </c>
      <c r="P16" s="1851">
        <f>22603896192.87</f>
        <v>22603896192.869999</v>
      </c>
      <c r="Q16" s="1851">
        <f>0</f>
        <v>0</v>
      </c>
    </row>
    <row r="17" spans="1:17">
      <c r="A17" s="1914" t="s">
        <v>680</v>
      </c>
      <c r="B17" s="1851">
        <f>0</f>
        <v>0</v>
      </c>
      <c r="C17" s="1851">
        <f>0</f>
        <v>0</v>
      </c>
      <c r="D17" s="1851">
        <f>0</f>
        <v>0</v>
      </c>
      <c r="E17" s="1851">
        <f>0</f>
        <v>0</v>
      </c>
      <c r="F17" s="1851">
        <f>0</f>
        <v>0</v>
      </c>
      <c r="G17" s="1851">
        <f>0</f>
        <v>0</v>
      </c>
      <c r="H17" s="1851">
        <f>0</f>
        <v>0</v>
      </c>
      <c r="I17" s="1851">
        <f>0</f>
        <v>0</v>
      </c>
      <c r="J17" s="1851">
        <f>0</f>
        <v>0</v>
      </c>
      <c r="K17" s="1851">
        <f>0</f>
        <v>0</v>
      </c>
      <c r="L17" s="1851">
        <f>0</f>
        <v>0</v>
      </c>
      <c r="M17" s="1851">
        <f>0</f>
        <v>0</v>
      </c>
      <c r="N17" s="1851">
        <f>0</f>
        <v>0</v>
      </c>
      <c r="O17" s="1851">
        <f>0</f>
        <v>0</v>
      </c>
      <c r="P17" s="1851">
        <f>0</f>
        <v>0</v>
      </c>
      <c r="Q17" s="1851">
        <f>0</f>
        <v>0</v>
      </c>
    </row>
    <row r="18" spans="1:17" ht="20.399999999999999">
      <c r="A18" s="1914" t="s">
        <v>681</v>
      </c>
      <c r="B18" s="1851">
        <f>4950563.9</f>
        <v>4950563.9000000004</v>
      </c>
      <c r="C18" s="1851">
        <f>4950563.9</f>
        <v>4950563.9000000004</v>
      </c>
      <c r="D18" s="1851">
        <f>1587297.23</f>
        <v>1587297.23</v>
      </c>
      <c r="E18" s="1851">
        <f>10201.66</f>
        <v>10201.66</v>
      </c>
      <c r="F18" s="1851">
        <f>6991.44</f>
        <v>6991.44</v>
      </c>
      <c r="G18" s="1851">
        <f>1569283</f>
        <v>1569283</v>
      </c>
      <c r="H18" s="1851">
        <f>821.13</f>
        <v>821.13</v>
      </c>
      <c r="I18" s="1851">
        <f>0</f>
        <v>0</v>
      </c>
      <c r="J18" s="1851">
        <f>0</f>
        <v>0</v>
      </c>
      <c r="K18" s="1851">
        <f>2940.03</f>
        <v>2940.03</v>
      </c>
      <c r="L18" s="1851">
        <f>1670042.06</f>
        <v>1670042.06</v>
      </c>
      <c r="M18" s="1851">
        <f>1686701.73</f>
        <v>1686701.73</v>
      </c>
      <c r="N18" s="1851">
        <f>3582.85</f>
        <v>3582.85</v>
      </c>
      <c r="O18" s="1851">
        <f>0</f>
        <v>0</v>
      </c>
      <c r="P18" s="1851">
        <f>0</f>
        <v>0</v>
      </c>
      <c r="Q18" s="1851">
        <f>0</f>
        <v>0</v>
      </c>
    </row>
    <row r="19" spans="1:17" ht="20.399999999999999">
      <c r="A19" s="1915" t="s">
        <v>682</v>
      </c>
      <c r="B19" s="1851">
        <f>1325825.41</f>
        <v>1325825.4099999999</v>
      </c>
      <c r="C19" s="1851">
        <f>1325825.41</f>
        <v>1325825.4099999999</v>
      </c>
      <c r="D19" s="1851">
        <f>660</f>
        <v>660</v>
      </c>
      <c r="E19" s="1851">
        <f>0</f>
        <v>0</v>
      </c>
      <c r="F19" s="1851">
        <f>0</f>
        <v>0</v>
      </c>
      <c r="G19" s="1851">
        <f>660</f>
        <v>660</v>
      </c>
      <c r="H19" s="1851">
        <f>0</f>
        <v>0</v>
      </c>
      <c r="I19" s="1851">
        <f>0</f>
        <v>0</v>
      </c>
      <c r="J19" s="1851">
        <f>0</f>
        <v>0</v>
      </c>
      <c r="K19" s="1851">
        <f>0</f>
        <v>0</v>
      </c>
      <c r="L19" s="1851">
        <f>686747.99</f>
        <v>686747.99</v>
      </c>
      <c r="M19" s="1851">
        <f>636034.57</f>
        <v>636034.56999999995</v>
      </c>
      <c r="N19" s="1851">
        <f>2382.85</f>
        <v>2382.85</v>
      </c>
      <c r="O19" s="1851">
        <f>0</f>
        <v>0</v>
      </c>
      <c r="P19" s="1851">
        <f>0</f>
        <v>0</v>
      </c>
      <c r="Q19" s="1851">
        <f>0</f>
        <v>0</v>
      </c>
    </row>
    <row r="20" spans="1:17">
      <c r="A20" s="1915" t="s">
        <v>683</v>
      </c>
      <c r="B20" s="1851">
        <f>3624738.49</f>
        <v>3624738.49</v>
      </c>
      <c r="C20" s="1851">
        <f>3624738.49</f>
        <v>3624738.49</v>
      </c>
      <c r="D20" s="1851">
        <f>1586637.23</f>
        <v>1586637.23</v>
      </c>
      <c r="E20" s="1851">
        <f>10201.66</f>
        <v>10201.66</v>
      </c>
      <c r="F20" s="1851">
        <f>6991.44</f>
        <v>6991.44</v>
      </c>
      <c r="G20" s="1851">
        <f>1568623</f>
        <v>1568623</v>
      </c>
      <c r="H20" s="1851">
        <f>821.13</f>
        <v>821.13</v>
      </c>
      <c r="I20" s="1851">
        <f>0</f>
        <v>0</v>
      </c>
      <c r="J20" s="1851">
        <f>0</f>
        <v>0</v>
      </c>
      <c r="K20" s="1851">
        <f>2940.03</f>
        <v>2940.03</v>
      </c>
      <c r="L20" s="1851">
        <f>983294.07</f>
        <v>983294.07</v>
      </c>
      <c r="M20" s="1851">
        <f>1050667.16</f>
        <v>1050667.1599999999</v>
      </c>
      <c r="N20" s="1851">
        <f>1200</f>
        <v>1200</v>
      </c>
      <c r="O20" s="1851">
        <f>0</f>
        <v>0</v>
      </c>
      <c r="P20" s="1851">
        <f>0</f>
        <v>0</v>
      </c>
      <c r="Q20" s="1851">
        <f>0</f>
        <v>0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>
      <c r="A22" s="1855"/>
      <c r="B22" s="1855"/>
      <c r="C22" s="1855"/>
      <c r="D22" s="1855"/>
      <c r="E22" s="1855"/>
      <c r="F22" s="1855"/>
      <c r="G22" s="1855"/>
      <c r="H22" s="1855"/>
      <c r="I22" s="1855"/>
      <c r="J22" s="1855"/>
      <c r="K22" s="1855"/>
      <c r="L22" s="1855"/>
      <c r="M22" s="1855"/>
      <c r="N22" s="1855"/>
      <c r="O22" s="1855"/>
      <c r="P22" s="1855"/>
      <c r="Q22" s="1855"/>
    </row>
    <row r="23" spans="1:17" ht="14.25" customHeight="1">
      <c r="A23" s="2105" t="s">
        <v>684</v>
      </c>
      <c r="B23" s="2105"/>
      <c r="C23" s="2105"/>
      <c r="D23" s="2105"/>
      <c r="E23" s="2105"/>
      <c r="F23" s="2105"/>
      <c r="G23" s="2105"/>
      <c r="H23" s="2105"/>
      <c r="I23" s="2105"/>
      <c r="J23" s="2105"/>
      <c r="K23" s="2105"/>
      <c r="L23" s="2105"/>
      <c r="M23" s="2105"/>
      <c r="N23" s="1855"/>
      <c r="O23" s="1855"/>
      <c r="P23" s="1855"/>
      <c r="Q23" s="1855"/>
    </row>
    <row r="24" spans="1:17">
      <c r="A24" s="1855"/>
      <c r="B24" s="1855"/>
      <c r="C24" s="1855"/>
      <c r="D24" s="1855"/>
      <c r="E24" s="1855"/>
      <c r="F24" s="1855"/>
      <c r="G24" s="1855"/>
      <c r="H24" s="1855"/>
      <c r="I24" s="1855"/>
      <c r="J24" s="1855"/>
      <c r="K24" s="1855"/>
      <c r="L24" s="1855"/>
      <c r="M24" s="1855"/>
      <c r="N24" s="1855"/>
      <c r="O24" s="1855"/>
      <c r="P24" s="1855"/>
      <c r="Q24" s="1855"/>
    </row>
    <row r="25" spans="1:17">
      <c r="A25" s="2332" t="s">
        <v>1</v>
      </c>
      <c r="B25" s="2339" t="s">
        <v>685</v>
      </c>
      <c r="C25" s="2335" t="s">
        <v>686</v>
      </c>
      <c r="D25" s="2336"/>
      <c r="E25" s="2336"/>
      <c r="F25" s="2336"/>
      <c r="G25" s="2336"/>
      <c r="H25" s="2336"/>
      <c r="I25" s="2336"/>
      <c r="J25" s="2336"/>
      <c r="K25" s="2336"/>
      <c r="L25" s="2336"/>
      <c r="M25" s="2336"/>
      <c r="N25" s="2337"/>
      <c r="O25" s="2335" t="s">
        <v>687</v>
      </c>
      <c r="P25" s="2336"/>
      <c r="Q25" s="2337"/>
    </row>
    <row r="26" spans="1:17">
      <c r="A26" s="2333"/>
      <c r="B26" s="2340"/>
      <c r="C26" s="2340" t="s">
        <v>688</v>
      </c>
      <c r="D26" s="2338" t="s">
        <v>689</v>
      </c>
      <c r="E26" s="2338" t="s">
        <v>690</v>
      </c>
      <c r="F26" s="2338" t="s">
        <v>691</v>
      </c>
      <c r="G26" s="2338" t="s">
        <v>692</v>
      </c>
      <c r="H26" s="2338" t="s">
        <v>663</v>
      </c>
      <c r="I26" s="2338" t="s">
        <v>693</v>
      </c>
      <c r="J26" s="2338" t="s">
        <v>665</v>
      </c>
      <c r="K26" s="2338" t="s">
        <v>666</v>
      </c>
      <c r="L26" s="2338" t="s">
        <v>667</v>
      </c>
      <c r="M26" s="2338" t="s">
        <v>668</v>
      </c>
      <c r="N26" s="2320" t="s">
        <v>669</v>
      </c>
      <c r="O26" s="2338" t="s">
        <v>670</v>
      </c>
      <c r="P26" s="2338" t="s">
        <v>671</v>
      </c>
      <c r="Q26" s="2339" t="s">
        <v>672</v>
      </c>
    </row>
    <row r="27" spans="1:17">
      <c r="A27" s="2333"/>
      <c r="B27" s="2340"/>
      <c r="C27" s="2340"/>
      <c r="D27" s="2338"/>
      <c r="E27" s="2338"/>
      <c r="F27" s="2338"/>
      <c r="G27" s="2338"/>
      <c r="H27" s="2338"/>
      <c r="I27" s="2338"/>
      <c r="J27" s="2338"/>
      <c r="K27" s="2338"/>
      <c r="L27" s="2338"/>
      <c r="M27" s="2338"/>
      <c r="N27" s="2320"/>
      <c r="O27" s="2338"/>
      <c r="P27" s="2338"/>
      <c r="Q27" s="2340"/>
    </row>
    <row r="28" spans="1:17" ht="50.25" customHeight="1">
      <c r="A28" s="2334"/>
      <c r="B28" s="2341"/>
      <c r="C28" s="2341"/>
      <c r="D28" s="2338"/>
      <c r="E28" s="2338"/>
      <c r="F28" s="2338"/>
      <c r="G28" s="2338"/>
      <c r="H28" s="2338"/>
      <c r="I28" s="2338"/>
      <c r="J28" s="2338"/>
      <c r="K28" s="2338"/>
      <c r="L28" s="2338"/>
      <c r="M28" s="2338"/>
      <c r="N28" s="2320"/>
      <c r="O28" s="2338"/>
      <c r="P28" s="2338"/>
      <c r="Q28" s="2341"/>
    </row>
    <row r="29" spans="1:17">
      <c r="A29" s="1849">
        <v>1</v>
      </c>
      <c r="B29" s="1849">
        <v>2</v>
      </c>
      <c r="C29" s="1849">
        <v>3</v>
      </c>
      <c r="D29" s="1849">
        <v>4</v>
      </c>
      <c r="E29" s="1849">
        <v>5</v>
      </c>
      <c r="F29" s="1849">
        <v>6</v>
      </c>
      <c r="G29" s="1849">
        <v>7</v>
      </c>
      <c r="H29" s="1849">
        <v>8</v>
      </c>
      <c r="I29" s="1849">
        <v>9</v>
      </c>
      <c r="J29" s="1849">
        <v>10</v>
      </c>
      <c r="K29" s="1849">
        <v>11</v>
      </c>
      <c r="L29" s="1849">
        <v>12</v>
      </c>
      <c r="M29" s="1849">
        <v>13</v>
      </c>
      <c r="N29" s="1849">
        <v>14</v>
      </c>
      <c r="O29" s="1849">
        <v>15</v>
      </c>
      <c r="P29" s="1849">
        <v>16</v>
      </c>
      <c r="Q29" s="1849">
        <v>17</v>
      </c>
    </row>
    <row r="30" spans="1:17">
      <c r="A30" s="1862"/>
      <c r="B30" s="2304" t="s">
        <v>163</v>
      </c>
      <c r="C30" s="2318"/>
      <c r="D30" s="2318"/>
      <c r="E30" s="2318"/>
      <c r="F30" s="2318"/>
      <c r="G30" s="2318"/>
      <c r="H30" s="2318"/>
      <c r="I30" s="2318"/>
      <c r="J30" s="2318"/>
      <c r="K30" s="2318"/>
      <c r="L30" s="2318"/>
      <c r="M30" s="2318"/>
      <c r="N30" s="2318"/>
      <c r="O30" s="2318"/>
      <c r="P30" s="2318"/>
      <c r="Q30" s="2319"/>
    </row>
    <row r="31" spans="1:17" ht="20.399999999999999">
      <c r="A31" s="1916" t="s">
        <v>694</v>
      </c>
      <c r="B31" s="1857">
        <f>156266.23</f>
        <v>156266.23000000001</v>
      </c>
      <c r="C31" s="1857">
        <f>156266.23</f>
        <v>156266.23000000001</v>
      </c>
      <c r="D31" s="1857">
        <f>0</f>
        <v>0</v>
      </c>
      <c r="E31" s="1857">
        <f>0</f>
        <v>0</v>
      </c>
      <c r="F31" s="1857">
        <f>0</f>
        <v>0</v>
      </c>
      <c r="G31" s="1857">
        <f>0</f>
        <v>0</v>
      </c>
      <c r="H31" s="1857">
        <f>0</f>
        <v>0</v>
      </c>
      <c r="I31" s="1857">
        <f>0</f>
        <v>0</v>
      </c>
      <c r="J31" s="1857">
        <f>0</f>
        <v>0</v>
      </c>
      <c r="K31" s="1857">
        <f>0</f>
        <v>0</v>
      </c>
      <c r="L31" s="1857">
        <f>156266.23</f>
        <v>156266.23000000001</v>
      </c>
      <c r="M31" s="1857">
        <f>0</f>
        <v>0</v>
      </c>
      <c r="N31" s="1857">
        <f>0</f>
        <v>0</v>
      </c>
      <c r="O31" s="1857">
        <f>0</f>
        <v>0</v>
      </c>
      <c r="P31" s="1857">
        <f>0</f>
        <v>0</v>
      </c>
      <c r="Q31" s="1857">
        <f>0</f>
        <v>0</v>
      </c>
    </row>
    <row r="32" spans="1:17">
      <c r="A32" s="1953" t="s">
        <v>695</v>
      </c>
      <c r="B32" s="1857">
        <f>0</f>
        <v>0</v>
      </c>
      <c r="C32" s="1857">
        <f>0</f>
        <v>0</v>
      </c>
      <c r="D32" s="1857">
        <f>0</f>
        <v>0</v>
      </c>
      <c r="E32" s="1857">
        <f>0</f>
        <v>0</v>
      </c>
      <c r="F32" s="1857">
        <f>0</f>
        <v>0</v>
      </c>
      <c r="G32" s="1857">
        <f>0</f>
        <v>0</v>
      </c>
      <c r="H32" s="1857">
        <f>0</f>
        <v>0</v>
      </c>
      <c r="I32" s="1857">
        <f>0</f>
        <v>0</v>
      </c>
      <c r="J32" s="1857">
        <f>0</f>
        <v>0</v>
      </c>
      <c r="K32" s="1857">
        <f>0</f>
        <v>0</v>
      </c>
      <c r="L32" s="1857">
        <f>0</f>
        <v>0</v>
      </c>
      <c r="M32" s="1857">
        <f>0</f>
        <v>0</v>
      </c>
      <c r="N32" s="1857">
        <f>0</f>
        <v>0</v>
      </c>
      <c r="O32" s="1857">
        <f>0</f>
        <v>0</v>
      </c>
      <c r="P32" s="1857">
        <f>0</f>
        <v>0</v>
      </c>
      <c r="Q32" s="1857">
        <f>0</f>
        <v>0</v>
      </c>
    </row>
    <row r="33" spans="1:17">
      <c r="A33" s="1953" t="s">
        <v>696</v>
      </c>
      <c r="B33" s="1857">
        <f>156266.23</f>
        <v>156266.23000000001</v>
      </c>
      <c r="C33" s="1857">
        <f>156266.23</f>
        <v>156266.23000000001</v>
      </c>
      <c r="D33" s="1857">
        <f>0</f>
        <v>0</v>
      </c>
      <c r="E33" s="1857">
        <f>0</f>
        <v>0</v>
      </c>
      <c r="F33" s="1857">
        <f>0</f>
        <v>0</v>
      </c>
      <c r="G33" s="1857">
        <f>0</f>
        <v>0</v>
      </c>
      <c r="H33" s="1857">
        <f>0</f>
        <v>0</v>
      </c>
      <c r="I33" s="1857">
        <f>0</f>
        <v>0</v>
      </c>
      <c r="J33" s="1857">
        <f>0</f>
        <v>0</v>
      </c>
      <c r="K33" s="1857">
        <f>0</f>
        <v>0</v>
      </c>
      <c r="L33" s="1857">
        <f>156266.23</f>
        <v>156266.23000000001</v>
      </c>
      <c r="M33" s="1857">
        <f>0</f>
        <v>0</v>
      </c>
      <c r="N33" s="1857">
        <f>0</f>
        <v>0</v>
      </c>
      <c r="O33" s="1857">
        <f>0</f>
        <v>0</v>
      </c>
      <c r="P33" s="1857">
        <f>0</f>
        <v>0</v>
      </c>
      <c r="Q33" s="1857">
        <f>0</f>
        <v>0</v>
      </c>
    </row>
    <row r="34" spans="1:17">
      <c r="A34" s="1916" t="s">
        <v>697</v>
      </c>
      <c r="B34" s="1857">
        <f>362238127.27</f>
        <v>362238127.26999998</v>
      </c>
      <c r="C34" s="1857">
        <f>362237064.74</f>
        <v>362237064.74000001</v>
      </c>
      <c r="D34" s="1857">
        <f>161118160.22</f>
        <v>161118160.22</v>
      </c>
      <c r="E34" s="1857">
        <f>3497011.1</f>
        <v>3497011.1</v>
      </c>
      <c r="F34" s="1857">
        <f>0</f>
        <v>0</v>
      </c>
      <c r="G34" s="1857">
        <f>157621149.12</f>
        <v>157621149.12</v>
      </c>
      <c r="H34" s="1857">
        <f>0</f>
        <v>0</v>
      </c>
      <c r="I34" s="1857">
        <f>0</f>
        <v>0</v>
      </c>
      <c r="J34" s="1857">
        <f>27112.5</f>
        <v>27112.5</v>
      </c>
      <c r="K34" s="1857">
        <f>0</f>
        <v>0</v>
      </c>
      <c r="L34" s="1857">
        <f>117488215.12</f>
        <v>117488215.12</v>
      </c>
      <c r="M34" s="1857">
        <f>70225215.04</f>
        <v>70225215.040000007</v>
      </c>
      <c r="N34" s="1857">
        <f>13378361.86</f>
        <v>13378361.859999999</v>
      </c>
      <c r="O34" s="1857">
        <f>1062.53</f>
        <v>1062.53</v>
      </c>
      <c r="P34" s="1857">
        <f>1062.53</f>
        <v>1062.53</v>
      </c>
      <c r="Q34" s="1857">
        <f>0</f>
        <v>0</v>
      </c>
    </row>
    <row r="35" spans="1:17">
      <c r="A35" s="1953" t="s">
        <v>698</v>
      </c>
      <c r="B35" s="1857">
        <f>37354526.02</f>
        <v>37354526.020000003</v>
      </c>
      <c r="C35" s="1857">
        <f>37353463.49</f>
        <v>37353463.490000002</v>
      </c>
      <c r="D35" s="1857">
        <f>6334625.03</f>
        <v>6334625.0300000003</v>
      </c>
      <c r="E35" s="1857">
        <f>91822</f>
        <v>91822</v>
      </c>
      <c r="F35" s="1857">
        <f>0</f>
        <v>0</v>
      </c>
      <c r="G35" s="1857">
        <f>6242803.03</f>
        <v>6242803.0300000003</v>
      </c>
      <c r="H35" s="1857">
        <f>0</f>
        <v>0</v>
      </c>
      <c r="I35" s="1857">
        <f>0</f>
        <v>0</v>
      </c>
      <c r="J35" s="1857">
        <f>0</f>
        <v>0</v>
      </c>
      <c r="K35" s="1857">
        <f>0</f>
        <v>0</v>
      </c>
      <c r="L35" s="1857">
        <f>12916711.52</f>
        <v>12916711.52</v>
      </c>
      <c r="M35" s="1857">
        <f>17588753.58</f>
        <v>17588753.579999998</v>
      </c>
      <c r="N35" s="1857">
        <f>513373.36</f>
        <v>513373.36</v>
      </c>
      <c r="O35" s="1857">
        <f>1062.53</f>
        <v>1062.53</v>
      </c>
      <c r="P35" s="1857">
        <f>1062.53</f>
        <v>1062.53</v>
      </c>
      <c r="Q35" s="1857">
        <f>0</f>
        <v>0</v>
      </c>
    </row>
    <row r="36" spans="1:17">
      <c r="A36" s="1953" t="s">
        <v>699</v>
      </c>
      <c r="B36" s="1857">
        <f>324883601.25</f>
        <v>324883601.25</v>
      </c>
      <c r="C36" s="1857">
        <f>324883601.25</f>
        <v>324883601.25</v>
      </c>
      <c r="D36" s="1857">
        <f>154783535.19</f>
        <v>154783535.19</v>
      </c>
      <c r="E36" s="1857">
        <f>3405189.1</f>
        <v>3405189.1</v>
      </c>
      <c r="F36" s="1857">
        <f>0</f>
        <v>0</v>
      </c>
      <c r="G36" s="1857">
        <f>151378346.09</f>
        <v>151378346.09</v>
      </c>
      <c r="H36" s="1857">
        <f>0</f>
        <v>0</v>
      </c>
      <c r="I36" s="1857">
        <f>0</f>
        <v>0</v>
      </c>
      <c r="J36" s="1857">
        <f>27112.5</f>
        <v>27112.5</v>
      </c>
      <c r="K36" s="1857">
        <f>0</f>
        <v>0</v>
      </c>
      <c r="L36" s="1857">
        <f>104571503.6</f>
        <v>104571503.59999999</v>
      </c>
      <c r="M36" s="1857">
        <f>52636461.46</f>
        <v>52636461.460000001</v>
      </c>
      <c r="N36" s="1857">
        <f>12864988.5</f>
        <v>12864988.5</v>
      </c>
      <c r="O36" s="1857">
        <f>0</f>
        <v>0</v>
      </c>
      <c r="P36" s="1857">
        <f>0</f>
        <v>0</v>
      </c>
      <c r="Q36" s="1857">
        <f>0</f>
        <v>0</v>
      </c>
    </row>
    <row r="37" spans="1:17" ht="20.399999999999999">
      <c r="A37" s="1916" t="s">
        <v>700</v>
      </c>
      <c r="B37" s="1857">
        <f>10416332043.18</f>
        <v>10416332043.18</v>
      </c>
      <c r="C37" s="1857">
        <f>10416332043.18</f>
        <v>10416332043.18</v>
      </c>
      <c r="D37" s="1857">
        <f>26491160.72</f>
        <v>26491160.719999999</v>
      </c>
      <c r="E37" s="1857">
        <f>22504725.08</f>
        <v>22504725.079999998</v>
      </c>
      <c r="F37" s="1857">
        <f>25779.68</f>
        <v>25779.68</v>
      </c>
      <c r="G37" s="1857">
        <f>3960655.96</f>
        <v>3960655.96</v>
      </c>
      <c r="H37" s="1857">
        <f>0</f>
        <v>0</v>
      </c>
      <c r="I37" s="1857">
        <f>3825610.86</f>
        <v>3825610.86</v>
      </c>
      <c r="J37" s="1857">
        <f>10383652530.63</f>
        <v>10383652530.629999</v>
      </c>
      <c r="K37" s="1857">
        <f>30051.27</f>
        <v>30051.27</v>
      </c>
      <c r="L37" s="1857">
        <f>2290285.13</f>
        <v>2290285.13</v>
      </c>
      <c r="M37" s="1857">
        <f>41755.66</f>
        <v>41755.660000000003</v>
      </c>
      <c r="N37" s="1857">
        <f>648.91</f>
        <v>648.91</v>
      </c>
      <c r="O37" s="1857">
        <f>0</f>
        <v>0</v>
      </c>
      <c r="P37" s="1857">
        <f>0</f>
        <v>0</v>
      </c>
      <c r="Q37" s="1857">
        <f>0</f>
        <v>0</v>
      </c>
    </row>
    <row r="38" spans="1:17">
      <c r="A38" s="1953" t="s">
        <v>701</v>
      </c>
      <c r="B38" s="1857">
        <f>3811931</f>
        <v>3811931</v>
      </c>
      <c r="C38" s="1857">
        <f>3811931</f>
        <v>3811931</v>
      </c>
      <c r="D38" s="1857">
        <f>3811931</f>
        <v>3811931</v>
      </c>
      <c r="E38" s="1857">
        <f>0</f>
        <v>0</v>
      </c>
      <c r="F38" s="1857">
        <f>0</f>
        <v>0</v>
      </c>
      <c r="G38" s="1857">
        <f>3811931</f>
        <v>3811931</v>
      </c>
      <c r="H38" s="1857">
        <f>0</f>
        <v>0</v>
      </c>
      <c r="I38" s="1857">
        <f>0</f>
        <v>0</v>
      </c>
      <c r="J38" s="1857">
        <f>0</f>
        <v>0</v>
      </c>
      <c r="K38" s="1857">
        <f>0</f>
        <v>0</v>
      </c>
      <c r="L38" s="1857">
        <f>0</f>
        <v>0</v>
      </c>
      <c r="M38" s="1857">
        <f>0</f>
        <v>0</v>
      </c>
      <c r="N38" s="1857">
        <f>0</f>
        <v>0</v>
      </c>
      <c r="O38" s="1857">
        <f>0</f>
        <v>0</v>
      </c>
      <c r="P38" s="1857">
        <f>0</f>
        <v>0</v>
      </c>
      <c r="Q38" s="1857">
        <f>0</f>
        <v>0</v>
      </c>
    </row>
    <row r="39" spans="1:17">
      <c r="A39" s="1953" t="s">
        <v>702</v>
      </c>
      <c r="B39" s="1857">
        <f>8984401294.95</f>
        <v>8984401294.9500008</v>
      </c>
      <c r="C39" s="1857">
        <f>8984401294.95</f>
        <v>8984401294.9500008</v>
      </c>
      <c r="D39" s="1857">
        <f>22422085.24</f>
        <v>22422085.239999998</v>
      </c>
      <c r="E39" s="1857">
        <f>22416153</f>
        <v>22416153</v>
      </c>
      <c r="F39" s="1857">
        <f>0</f>
        <v>0</v>
      </c>
      <c r="G39" s="1857">
        <f>5932.24</f>
        <v>5932.24</v>
      </c>
      <c r="H39" s="1857">
        <f>0</f>
        <v>0</v>
      </c>
      <c r="I39" s="1857">
        <f>3741826.33</f>
        <v>3741826.33</v>
      </c>
      <c r="J39" s="1857">
        <f>8957377134.47</f>
        <v>8957377134.4699993</v>
      </c>
      <c r="K39" s="1857">
        <f>30051.27</f>
        <v>30051.27</v>
      </c>
      <c r="L39" s="1857">
        <f>830197.64</f>
        <v>830197.64</v>
      </c>
      <c r="M39" s="1857">
        <f>0</f>
        <v>0</v>
      </c>
      <c r="N39" s="1857">
        <f>0</f>
        <v>0</v>
      </c>
      <c r="O39" s="1857">
        <f>0</f>
        <v>0</v>
      </c>
      <c r="P39" s="1857">
        <f>0</f>
        <v>0</v>
      </c>
      <c r="Q39" s="1857">
        <f>0</f>
        <v>0</v>
      </c>
    </row>
    <row r="40" spans="1:17">
      <c r="A40" s="1953" t="s">
        <v>703</v>
      </c>
      <c r="B40" s="1857">
        <f>1428118817.23</f>
        <v>1428118817.23</v>
      </c>
      <c r="C40" s="1857">
        <f>1428118817.23</f>
        <v>1428118817.23</v>
      </c>
      <c r="D40" s="1857">
        <f>257144.48</f>
        <v>257144.48</v>
      </c>
      <c r="E40" s="1857">
        <f>88572.08</f>
        <v>88572.08</v>
      </c>
      <c r="F40" s="1857">
        <f>25779.68</f>
        <v>25779.68</v>
      </c>
      <c r="G40" s="1857">
        <f>142792.72</f>
        <v>142792.72</v>
      </c>
      <c r="H40" s="1857">
        <f>0</f>
        <v>0</v>
      </c>
      <c r="I40" s="1857">
        <f>83784.53</f>
        <v>83784.53</v>
      </c>
      <c r="J40" s="1857">
        <f>1426275396.16</f>
        <v>1426275396.1600001</v>
      </c>
      <c r="K40" s="1857">
        <f>0</f>
        <v>0</v>
      </c>
      <c r="L40" s="1857">
        <f>1460087.49</f>
        <v>1460087.49</v>
      </c>
      <c r="M40" s="1857">
        <f>41755.66</f>
        <v>41755.660000000003</v>
      </c>
      <c r="N40" s="1857">
        <f>648.91</f>
        <v>648.91</v>
      </c>
      <c r="O40" s="1857">
        <f>0</f>
        <v>0</v>
      </c>
      <c r="P40" s="1857">
        <f>0</f>
        <v>0</v>
      </c>
      <c r="Q40" s="1857">
        <f>0</f>
        <v>0</v>
      </c>
    </row>
    <row r="41" spans="1:17" ht="20.399999999999999">
      <c r="A41" s="1916" t="s">
        <v>704</v>
      </c>
      <c r="B41" s="1857">
        <f>13294727881.83</f>
        <v>13294727881.83</v>
      </c>
      <c r="C41" s="1857">
        <f>13236324703.53</f>
        <v>13236324703.530001</v>
      </c>
      <c r="D41" s="1857">
        <f>309100065.43</f>
        <v>309100065.43000001</v>
      </c>
      <c r="E41" s="1857">
        <f>62017985.45</f>
        <v>62017985.450000003</v>
      </c>
      <c r="F41" s="1857">
        <f>6933925.94</f>
        <v>6933925.9400000004</v>
      </c>
      <c r="G41" s="1857">
        <f>239580614.88</f>
        <v>239580614.88</v>
      </c>
      <c r="H41" s="1857">
        <f>567539.16</f>
        <v>567539.16</v>
      </c>
      <c r="I41" s="1857">
        <f>0</f>
        <v>0</v>
      </c>
      <c r="J41" s="1857">
        <f>32373860.44</f>
        <v>32373860.440000001</v>
      </c>
      <c r="K41" s="1857">
        <f>19164800.51</f>
        <v>19164800.510000002</v>
      </c>
      <c r="L41" s="1857">
        <f>2822486777.79</f>
        <v>2822486777.79</v>
      </c>
      <c r="M41" s="1857">
        <f>9959930145.23</f>
        <v>9959930145.2299995</v>
      </c>
      <c r="N41" s="1857">
        <f>93269054.13</f>
        <v>93269054.129999995</v>
      </c>
      <c r="O41" s="1857">
        <f>58403178.3</f>
        <v>58403178.299999997</v>
      </c>
      <c r="P41" s="1857">
        <f>13055991.29</f>
        <v>13055991.289999999</v>
      </c>
      <c r="Q41" s="1857">
        <f>45347187.01</f>
        <v>45347187.009999998</v>
      </c>
    </row>
    <row r="42" spans="1:17" ht="20.399999999999999">
      <c r="A42" s="1953" t="s">
        <v>705</v>
      </c>
      <c r="B42" s="1857">
        <f>5373310437.67</f>
        <v>5373310437.6700001</v>
      </c>
      <c r="C42" s="1857">
        <f>5338302370.49</f>
        <v>5338302370.4899998</v>
      </c>
      <c r="D42" s="1857">
        <f>68607804</f>
        <v>68607804</v>
      </c>
      <c r="E42" s="1857">
        <f>2716984.23</f>
        <v>2716984.23</v>
      </c>
      <c r="F42" s="1857">
        <f>4324793.74</f>
        <v>4324793.74</v>
      </c>
      <c r="G42" s="1857">
        <f>61439781.02</f>
        <v>61439781.020000003</v>
      </c>
      <c r="H42" s="1857">
        <f>126245.01</f>
        <v>126245.01</v>
      </c>
      <c r="I42" s="1857">
        <f>0</f>
        <v>0</v>
      </c>
      <c r="J42" s="1857">
        <f>96203.5</f>
        <v>96203.5</v>
      </c>
      <c r="K42" s="1857">
        <f>552552.16</f>
        <v>552552.16</v>
      </c>
      <c r="L42" s="1857">
        <f>768378001.73</f>
        <v>768378001.73000002</v>
      </c>
      <c r="M42" s="1857">
        <f>4452446866.44</f>
        <v>4452446866.4399996</v>
      </c>
      <c r="N42" s="1857">
        <f>48220942.66</f>
        <v>48220942.659999996</v>
      </c>
      <c r="O42" s="1857">
        <f>35008067.18</f>
        <v>35008067.18</v>
      </c>
      <c r="P42" s="1857">
        <f>2742869.44</f>
        <v>2742869.44</v>
      </c>
      <c r="Q42" s="1857">
        <f>32265197.74</f>
        <v>32265197.739999998</v>
      </c>
    </row>
    <row r="43" spans="1:17">
      <c r="A43" s="2503" t="s">
        <v>706</v>
      </c>
      <c r="B43" s="1857">
        <f>7921417444.16</f>
        <v>7921417444.1599998</v>
      </c>
      <c r="C43" s="1857">
        <f>7898022333.04</f>
        <v>7898022333.04</v>
      </c>
      <c r="D43" s="1857">
        <f>240492261.43</f>
        <v>240492261.43000001</v>
      </c>
      <c r="E43" s="1857">
        <f>59301001.22</f>
        <v>59301001.219999999</v>
      </c>
      <c r="F43" s="1857">
        <f>2609132.2</f>
        <v>2609132.2000000002</v>
      </c>
      <c r="G43" s="1857">
        <f>178140833.86</f>
        <v>178140833.86000001</v>
      </c>
      <c r="H43" s="1857">
        <f>441294.15</f>
        <v>441294.15</v>
      </c>
      <c r="I43" s="1857">
        <f>0</f>
        <v>0</v>
      </c>
      <c r="J43" s="1857">
        <f>32277656.94</f>
        <v>32277656.940000001</v>
      </c>
      <c r="K43" s="1857">
        <f>18612248.35</f>
        <v>18612248.350000001</v>
      </c>
      <c r="L43" s="1857">
        <f>2054108776.06</f>
        <v>2054108776.0599999</v>
      </c>
      <c r="M43" s="1857">
        <f>5507483278.79</f>
        <v>5507483278.79</v>
      </c>
      <c r="N43" s="1857">
        <f>45048111.47</f>
        <v>45048111.469999999</v>
      </c>
      <c r="O43" s="1857">
        <f>23395111.12</f>
        <v>23395111.120000001</v>
      </c>
      <c r="P43" s="1857">
        <f>10313121.85</f>
        <v>10313121.85</v>
      </c>
      <c r="Q43" s="1857">
        <f>13081989.27</f>
        <v>13081989.27</v>
      </c>
    </row>
    <row r="44" spans="1:17" ht="20.399999999999999">
      <c r="A44" s="1916" t="s">
        <v>707</v>
      </c>
      <c r="B44" s="1857">
        <f>3980375205.38</f>
        <v>3980375205.3800001</v>
      </c>
      <c r="C44" s="1857">
        <f>3977968508.64</f>
        <v>3977968508.6399999</v>
      </c>
      <c r="D44" s="1857">
        <f>553012874.13</f>
        <v>553012874.13</v>
      </c>
      <c r="E44" s="1857">
        <f>317635371.25</f>
        <v>317635371.25</v>
      </c>
      <c r="F44" s="1857">
        <f>20405861.42</f>
        <v>20405861.420000002</v>
      </c>
      <c r="G44" s="1857">
        <f>184208202.24</f>
        <v>184208202.24000001</v>
      </c>
      <c r="H44" s="1857">
        <f>30763439.22</f>
        <v>30763439.219999999</v>
      </c>
      <c r="I44" s="1857">
        <f>27600</f>
        <v>27600</v>
      </c>
      <c r="J44" s="1857">
        <f>55879546.47</f>
        <v>55879546.469999999</v>
      </c>
      <c r="K44" s="1857">
        <f>3269961.03</f>
        <v>3269961.03</v>
      </c>
      <c r="L44" s="1857">
        <f>1818928658.19</f>
        <v>1818928658.1900001</v>
      </c>
      <c r="M44" s="1857">
        <f>1256983293.1</f>
        <v>1256983293.0999999</v>
      </c>
      <c r="N44" s="1857">
        <f>289866575.72</f>
        <v>289866575.72000003</v>
      </c>
      <c r="O44" s="1857">
        <f>2406696.74</f>
        <v>2406696.7400000002</v>
      </c>
      <c r="P44" s="1857">
        <f>2328143.26</f>
        <v>2328143.2599999998</v>
      </c>
      <c r="Q44" s="1857">
        <f>78553.48</f>
        <v>78553.48</v>
      </c>
    </row>
    <row r="45" spans="1:17" ht="20.399999999999999">
      <c r="A45" s="1953" t="s">
        <v>708</v>
      </c>
      <c r="B45" s="1857">
        <f>777341525.3</f>
        <v>777341525.29999995</v>
      </c>
      <c r="C45" s="1857">
        <f>777146785.49</f>
        <v>777146785.49000001</v>
      </c>
      <c r="D45" s="1857">
        <f>47036106.83</f>
        <v>47036106.829999998</v>
      </c>
      <c r="E45" s="1857">
        <f>1072771.19</f>
        <v>1072771.19</v>
      </c>
      <c r="F45" s="1857">
        <f>12831139.19</f>
        <v>12831139.189999999</v>
      </c>
      <c r="G45" s="1857">
        <f>25944347.27</f>
        <v>25944347.27</v>
      </c>
      <c r="H45" s="1857">
        <f>7187849.18</f>
        <v>7187849.1799999997</v>
      </c>
      <c r="I45" s="1857">
        <f>0</f>
        <v>0</v>
      </c>
      <c r="J45" s="1857">
        <f>2806606.64</f>
        <v>2806606.64</v>
      </c>
      <c r="K45" s="1857">
        <f>584204.57</f>
        <v>584204.56999999995</v>
      </c>
      <c r="L45" s="1857">
        <f>343188421.02</f>
        <v>343188421.01999998</v>
      </c>
      <c r="M45" s="1857">
        <f>374001752.18</f>
        <v>374001752.18000001</v>
      </c>
      <c r="N45" s="1857">
        <f>9529694.25</f>
        <v>9529694.25</v>
      </c>
      <c r="O45" s="1857">
        <f>194739.81</f>
        <v>194739.81</v>
      </c>
      <c r="P45" s="1857">
        <f>172654.83</f>
        <v>172654.83</v>
      </c>
      <c r="Q45" s="1857">
        <f>22084.98</f>
        <v>22084.98</v>
      </c>
    </row>
    <row r="46" spans="1:17" ht="30.6">
      <c r="A46" s="1953" t="s">
        <v>752</v>
      </c>
      <c r="B46" s="1857">
        <f>214864237.79</f>
        <v>214864237.78999999</v>
      </c>
      <c r="C46" s="1857">
        <f>214852284.42</f>
        <v>214852284.41999999</v>
      </c>
      <c r="D46" s="1857">
        <f>43289658.72</f>
        <v>43289658.719999999</v>
      </c>
      <c r="E46" s="1857">
        <f>35447134.23</f>
        <v>35447134.229999997</v>
      </c>
      <c r="F46" s="1857">
        <f>3382116.21</f>
        <v>3382116.21</v>
      </c>
      <c r="G46" s="1857">
        <f>4226688.41</f>
        <v>4226688.41</v>
      </c>
      <c r="H46" s="1857">
        <f>233719.87</f>
        <v>233719.87</v>
      </c>
      <c r="I46" s="1857">
        <f>0</f>
        <v>0</v>
      </c>
      <c r="J46" s="1857">
        <f>20</f>
        <v>20</v>
      </c>
      <c r="K46" s="1857">
        <f>759.79</f>
        <v>759.79</v>
      </c>
      <c r="L46" s="1857">
        <f>103636699.99</f>
        <v>103636699.98999999</v>
      </c>
      <c r="M46" s="1857">
        <f>60060994.22</f>
        <v>60060994.219999999</v>
      </c>
      <c r="N46" s="1857">
        <f>7864151.7</f>
        <v>7864151.7000000002</v>
      </c>
      <c r="O46" s="1857">
        <f>11953.37</f>
        <v>11953.37</v>
      </c>
      <c r="P46" s="1857">
        <f>2645</f>
        <v>2645</v>
      </c>
      <c r="Q46" s="1857">
        <f>9308.37</f>
        <v>9308.3700000000008</v>
      </c>
    </row>
    <row r="47" spans="1:17" ht="20.399999999999999">
      <c r="A47" s="1953" t="s">
        <v>710</v>
      </c>
      <c r="B47" s="1857">
        <f>2988169442.29</f>
        <v>2988169442.29</v>
      </c>
      <c r="C47" s="1857">
        <f>2985969438.73</f>
        <v>2985969438.73</v>
      </c>
      <c r="D47" s="1857">
        <f>462687108.58</f>
        <v>462687108.57999998</v>
      </c>
      <c r="E47" s="1857">
        <f>281115465.83</f>
        <v>281115465.82999998</v>
      </c>
      <c r="F47" s="1857">
        <f>4192606.02</f>
        <v>4192606.02</v>
      </c>
      <c r="G47" s="1857">
        <f>154037166.56</f>
        <v>154037166.56</v>
      </c>
      <c r="H47" s="1857">
        <f>23341870.17</f>
        <v>23341870.170000002</v>
      </c>
      <c r="I47" s="1857">
        <f>27600</f>
        <v>27600</v>
      </c>
      <c r="J47" s="1857">
        <f>53072919.83</f>
        <v>53072919.829999998</v>
      </c>
      <c r="K47" s="1857">
        <f>2684996.67</f>
        <v>2684996.67</v>
      </c>
      <c r="L47" s="1857">
        <f>1372103537.18</f>
        <v>1372103537.1800001</v>
      </c>
      <c r="M47" s="1857">
        <f>822920546.7</f>
        <v>822920546.70000005</v>
      </c>
      <c r="N47" s="1857">
        <f>272472729.77</f>
        <v>272472729.76999998</v>
      </c>
      <c r="O47" s="1857">
        <f>2200003.56</f>
        <v>2200003.56</v>
      </c>
      <c r="P47" s="1857">
        <f>2152843.43</f>
        <v>2152843.4300000002</v>
      </c>
      <c r="Q47" s="1857">
        <f>47160.13</f>
        <v>47160.13</v>
      </c>
    </row>
    <row r="48" spans="1:17">
      <c r="A48" s="1855"/>
      <c r="B48" s="1855"/>
      <c r="C48" s="1855"/>
      <c r="D48" s="1855"/>
      <c r="E48" s="1855"/>
      <c r="F48" s="1855"/>
      <c r="G48" s="1855"/>
      <c r="H48" s="1855"/>
      <c r="I48" s="1855"/>
      <c r="J48" s="1855"/>
      <c r="K48" s="1855"/>
      <c r="L48" s="1855"/>
      <c r="M48" s="1855"/>
      <c r="N48" s="1855"/>
      <c r="O48" s="1855"/>
      <c r="P48" s="1855"/>
      <c r="Q48" s="1855"/>
    </row>
    <row r="49" spans="1:17" ht="14.25" customHeight="1">
      <c r="A49" s="1855"/>
      <c r="B49" s="2105" t="s">
        <v>711</v>
      </c>
      <c r="C49" s="2105"/>
      <c r="D49" s="2105"/>
      <c r="E49" s="2105"/>
      <c r="F49" s="2105"/>
      <c r="G49" s="2105"/>
      <c r="H49" s="2105"/>
      <c r="I49" s="2105"/>
      <c r="J49" s="2105"/>
      <c r="K49" s="2105"/>
      <c r="L49" s="2105"/>
      <c r="M49" s="2105"/>
      <c r="N49" s="1855"/>
      <c r="O49" s="1855"/>
      <c r="P49" s="1855"/>
      <c r="Q49" s="1855"/>
    </row>
    <row r="50" spans="1:17">
      <c r="A50" s="1855"/>
      <c r="B50" s="1855"/>
      <c r="C50" s="1855"/>
      <c r="D50" s="1855"/>
      <c r="E50" s="1855"/>
      <c r="F50" s="1855"/>
      <c r="G50" s="1855"/>
      <c r="H50" s="1855"/>
      <c r="I50" s="1855"/>
      <c r="J50" s="1855"/>
      <c r="K50" s="1855"/>
      <c r="L50" s="1855"/>
      <c r="M50" s="1855"/>
      <c r="N50" s="1855"/>
      <c r="O50" s="1855"/>
      <c r="P50" s="1855"/>
      <c r="Q50" s="1855"/>
    </row>
    <row r="51" spans="1:17">
      <c r="A51" s="1855"/>
      <c r="B51" s="2306" t="s">
        <v>1</v>
      </c>
      <c r="C51" s="2307"/>
      <c r="D51" s="2307"/>
      <c r="E51" s="2308"/>
      <c r="F51" s="2315" t="s">
        <v>712</v>
      </c>
      <c r="G51" s="2304" t="s">
        <v>771</v>
      </c>
      <c r="H51" s="2318"/>
      <c r="I51" s="2318"/>
      <c r="J51" s="2318"/>
      <c r="K51" s="2318"/>
      <c r="L51" s="2319"/>
      <c r="M51" s="1855"/>
      <c r="N51" s="1855"/>
      <c r="O51" s="1855"/>
      <c r="P51" s="1855"/>
      <c r="Q51" s="1855"/>
    </row>
    <row r="52" spans="1:17">
      <c r="A52" s="1855"/>
      <c r="B52" s="2309"/>
      <c r="C52" s="2310"/>
      <c r="D52" s="2310"/>
      <c r="E52" s="2311"/>
      <c r="F52" s="2316"/>
      <c r="G52" s="2320" t="s">
        <v>714</v>
      </c>
      <c r="H52" s="2303" t="s">
        <v>660</v>
      </c>
      <c r="I52" s="2303" t="s">
        <v>661</v>
      </c>
      <c r="J52" s="2303" t="s">
        <v>692</v>
      </c>
      <c r="K52" s="2303" t="s">
        <v>715</v>
      </c>
      <c r="L52" s="2321" t="s">
        <v>716</v>
      </c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/>
      <c r="H53" s="2303"/>
      <c r="I53" s="2303"/>
      <c r="J53" s="2303"/>
      <c r="K53" s="2303"/>
      <c r="L53" s="2321"/>
      <c r="M53" s="1855"/>
      <c r="N53" s="1855"/>
      <c r="O53" s="1855"/>
      <c r="P53" s="1855"/>
      <c r="Q53" s="1855"/>
    </row>
    <row r="54" spans="1:17">
      <c r="A54" s="1855"/>
      <c r="B54" s="2309"/>
      <c r="C54" s="2310"/>
      <c r="D54" s="2310"/>
      <c r="E54" s="2311"/>
      <c r="F54" s="2316"/>
      <c r="G54" s="2320"/>
      <c r="H54" s="2303"/>
      <c r="I54" s="2303"/>
      <c r="J54" s="2303"/>
      <c r="K54" s="2303"/>
      <c r="L54" s="2321"/>
      <c r="M54" s="1855"/>
      <c r="N54" s="1855"/>
      <c r="O54" s="1855"/>
      <c r="P54" s="1855"/>
      <c r="Q54" s="1855"/>
    </row>
    <row r="55" spans="1:17">
      <c r="A55" s="1855"/>
      <c r="B55" s="2312"/>
      <c r="C55" s="2313"/>
      <c r="D55" s="2313"/>
      <c r="E55" s="2314"/>
      <c r="F55" s="2317"/>
      <c r="G55" s="2320"/>
      <c r="H55" s="2303"/>
      <c r="I55" s="2303"/>
      <c r="J55" s="2303"/>
      <c r="K55" s="2303"/>
      <c r="L55" s="2321"/>
      <c r="M55" s="1855"/>
      <c r="N55" s="1855"/>
      <c r="O55" s="1855"/>
      <c r="P55" s="1855"/>
      <c r="Q55" s="1855"/>
    </row>
    <row r="56" spans="1:17">
      <c r="A56" s="1855"/>
      <c r="B56" s="2303">
        <v>1</v>
      </c>
      <c r="C56" s="2303"/>
      <c r="D56" s="2303"/>
      <c r="E56" s="2303"/>
      <c r="F56" s="1861">
        <v>2</v>
      </c>
      <c r="G56" s="1861">
        <v>3</v>
      </c>
      <c r="H56" s="1861">
        <v>4</v>
      </c>
      <c r="I56" s="1861">
        <v>5</v>
      </c>
      <c r="J56" s="1861">
        <v>6</v>
      </c>
      <c r="K56" s="1861">
        <v>7</v>
      </c>
      <c r="L56" s="1862">
        <v>8</v>
      </c>
      <c r="M56" s="1855"/>
      <c r="N56" s="1855"/>
      <c r="O56" s="1855"/>
      <c r="P56" s="1855"/>
      <c r="Q56" s="1855"/>
    </row>
    <row r="57" spans="1:17">
      <c r="A57" s="1855"/>
      <c r="B57" s="2439"/>
      <c r="C57" s="2439"/>
      <c r="D57" s="2439"/>
      <c r="E57" s="2439"/>
      <c r="F57" s="2303" t="s">
        <v>163</v>
      </c>
      <c r="G57" s="2303"/>
      <c r="H57" s="2303"/>
      <c r="I57" s="2303"/>
      <c r="J57" s="2303"/>
      <c r="K57" s="2303"/>
      <c r="L57" s="2303"/>
      <c r="M57" s="1855"/>
      <c r="N57" s="1855"/>
      <c r="O57" s="1855"/>
      <c r="P57" s="1855"/>
      <c r="Q57" s="1855"/>
    </row>
    <row r="58" spans="1:17" ht="43.5" customHeight="1">
      <c r="A58" s="1855"/>
      <c r="B58" s="2300" t="s">
        <v>717</v>
      </c>
      <c r="C58" s="2301"/>
      <c r="D58" s="2301"/>
      <c r="E58" s="2302"/>
      <c r="F58" s="1851">
        <f>1500569338.94</f>
        <v>1500569338.9400001</v>
      </c>
      <c r="G58" s="1851">
        <f>271612927.24</f>
        <v>271612927.24000001</v>
      </c>
      <c r="H58" s="1851">
        <f>17590873</f>
        <v>17590873</v>
      </c>
      <c r="I58" s="1851">
        <f>47268159.25</f>
        <v>47268159.25</v>
      </c>
      <c r="J58" s="1851">
        <f>94549694.99</f>
        <v>94549694.989999995</v>
      </c>
      <c r="K58" s="1851">
        <f>112204200</f>
        <v>112204200</v>
      </c>
      <c r="L58" s="1851">
        <f>1228956411.7</f>
        <v>1228956411.7</v>
      </c>
      <c r="M58" s="1855"/>
      <c r="N58" s="1855"/>
      <c r="O58" s="1855"/>
      <c r="P58" s="1855"/>
      <c r="Q58" s="1855"/>
    </row>
    <row r="59" spans="1:17" ht="39" customHeight="1">
      <c r="A59" s="1855"/>
      <c r="B59" s="2300" t="s">
        <v>718</v>
      </c>
      <c r="C59" s="2301"/>
      <c r="D59" s="2301"/>
      <c r="E59" s="2302"/>
      <c r="F59" s="1851">
        <f>0</f>
        <v>0</v>
      </c>
      <c r="G59" s="1851">
        <f>0</f>
        <v>0</v>
      </c>
      <c r="H59" s="1851">
        <f>0</f>
        <v>0</v>
      </c>
      <c r="I59" s="1851">
        <f>0</f>
        <v>0</v>
      </c>
      <c r="J59" s="1851">
        <f>0</f>
        <v>0</v>
      </c>
      <c r="K59" s="1851">
        <f>0</f>
        <v>0</v>
      </c>
      <c r="L59" s="1851">
        <f>0</f>
        <v>0</v>
      </c>
      <c r="M59" s="1855"/>
      <c r="N59" s="1855"/>
      <c r="O59" s="1855"/>
      <c r="P59" s="1855"/>
      <c r="Q59" s="1855"/>
    </row>
    <row r="60" spans="1:17" ht="27" customHeight="1">
      <c r="A60" s="1855"/>
      <c r="B60" s="2300" t="s">
        <v>719</v>
      </c>
      <c r="C60" s="2301"/>
      <c r="D60" s="2301"/>
      <c r="E60" s="2302"/>
      <c r="F60" s="1851">
        <f>140593200.03</f>
        <v>140593200.03</v>
      </c>
      <c r="G60" s="1851">
        <f>11000000</f>
        <v>11000000</v>
      </c>
      <c r="H60" s="1851">
        <f>0</f>
        <v>0</v>
      </c>
      <c r="I60" s="1851">
        <f>0</f>
        <v>0</v>
      </c>
      <c r="J60" s="1851">
        <f>11000000</f>
        <v>11000000</v>
      </c>
      <c r="K60" s="1851">
        <f>0</f>
        <v>0</v>
      </c>
      <c r="L60" s="1851">
        <f>129593200.03</f>
        <v>129593200.03</v>
      </c>
      <c r="M60" s="1855"/>
      <c r="N60" s="1855"/>
      <c r="O60" s="1855"/>
      <c r="P60" s="1855"/>
      <c r="Q60" s="1855"/>
    </row>
    <row r="61" spans="1:17" ht="15.75" customHeight="1">
      <c r="A61" s="1855"/>
      <c r="B61" s="2300" t="s">
        <v>720</v>
      </c>
      <c r="C61" s="2301"/>
      <c r="D61" s="2301"/>
      <c r="E61" s="2302"/>
      <c r="F61" s="1851">
        <f>43865089.88</f>
        <v>43865089.880000003</v>
      </c>
      <c r="G61" s="1851">
        <f>41865089.88</f>
        <v>41865089.880000003</v>
      </c>
      <c r="H61" s="1851">
        <f>0</f>
        <v>0</v>
      </c>
      <c r="I61" s="1851">
        <f>0</f>
        <v>0</v>
      </c>
      <c r="J61" s="1851">
        <f>41865089.88</f>
        <v>41865089.880000003</v>
      </c>
      <c r="K61" s="1851">
        <f>0</f>
        <v>0</v>
      </c>
      <c r="L61" s="1851">
        <f>2000000</f>
        <v>2000000</v>
      </c>
      <c r="M61" s="1855"/>
      <c r="N61" s="1855"/>
      <c r="O61" s="1855"/>
      <c r="P61" s="1855"/>
      <c r="Q61" s="1855"/>
    </row>
    <row r="62" spans="1:17" ht="35.25" customHeight="1">
      <c r="A62" s="1855"/>
      <c r="B62" s="2300" t="s">
        <v>721</v>
      </c>
      <c r="C62" s="2301"/>
      <c r="D62" s="2301"/>
      <c r="E62" s="2302"/>
      <c r="F62" s="1851">
        <f>8379720.12</f>
        <v>8379720.1200000001</v>
      </c>
      <c r="G62" s="1851">
        <f>8379720.12</f>
        <v>8379720.1200000001</v>
      </c>
      <c r="H62" s="1851">
        <f>0</f>
        <v>0</v>
      </c>
      <c r="I62" s="1851">
        <f>0</f>
        <v>0</v>
      </c>
      <c r="J62" s="1851">
        <f>8379720.12</f>
        <v>8379720.1200000001</v>
      </c>
      <c r="K62" s="1851">
        <f>0</f>
        <v>0</v>
      </c>
      <c r="L62" s="1851">
        <f>0</f>
        <v>0</v>
      </c>
      <c r="M62" s="1855"/>
      <c r="N62" s="1855"/>
      <c r="O62" s="1855"/>
      <c r="P62" s="1855"/>
      <c r="Q62" s="1855"/>
    </row>
    <row r="63" spans="1:17" ht="28.5" customHeight="1">
      <c r="A63" s="1855"/>
      <c r="B63" s="2300" t="s">
        <v>722</v>
      </c>
      <c r="C63" s="2301"/>
      <c r="D63" s="2301"/>
      <c r="E63" s="2302"/>
      <c r="F63" s="1851">
        <f>15018190.58</f>
        <v>15018190.58</v>
      </c>
      <c r="G63" s="1851">
        <f>14518190.58</f>
        <v>14518190.58</v>
      </c>
      <c r="H63" s="1851">
        <f>0</f>
        <v>0</v>
      </c>
      <c r="I63" s="1851">
        <f>0</f>
        <v>0</v>
      </c>
      <c r="J63" s="1851">
        <f>14518190.58</f>
        <v>14518190.58</v>
      </c>
      <c r="K63" s="1851">
        <f>0</f>
        <v>0</v>
      </c>
      <c r="L63" s="1851">
        <f>500000</f>
        <v>500000</v>
      </c>
      <c r="M63" s="1855"/>
      <c r="N63" s="1855"/>
      <c r="O63" s="1855"/>
      <c r="P63" s="1855"/>
      <c r="Q63" s="1855"/>
    </row>
    <row r="64" spans="1:17" ht="38.25" customHeight="1">
      <c r="A64" s="1855"/>
      <c r="B64" s="2300" t="s">
        <v>723</v>
      </c>
      <c r="C64" s="2301"/>
      <c r="D64" s="2301"/>
      <c r="E64" s="2302"/>
      <c r="F64" s="1851">
        <f>0</f>
        <v>0</v>
      </c>
      <c r="G64" s="1851">
        <f>0</f>
        <v>0</v>
      </c>
      <c r="H64" s="1851">
        <f>0</f>
        <v>0</v>
      </c>
      <c r="I64" s="1851">
        <f>0</f>
        <v>0</v>
      </c>
      <c r="J64" s="1851">
        <f>0</f>
        <v>0</v>
      </c>
      <c r="K64" s="1851">
        <f>0</f>
        <v>0</v>
      </c>
      <c r="L64" s="1851">
        <f>0</f>
        <v>0</v>
      </c>
      <c r="M64" s="1855"/>
      <c r="N64" s="1855"/>
      <c r="O64" s="1855"/>
      <c r="P64" s="1855"/>
      <c r="Q64" s="1855"/>
    </row>
    <row r="66" spans="1:4">
      <c r="A66" s="2255" t="s">
        <v>884</v>
      </c>
      <c r="B66" s="2255"/>
      <c r="C66" s="2255"/>
      <c r="D66" s="2255"/>
    </row>
  </sheetData>
  <mergeCells count="64">
    <mergeCell ref="A1:M1"/>
    <mergeCell ref="C2:M2"/>
    <mergeCell ref="B9:Q9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A23:M23"/>
    <mergeCell ref="A25:A28"/>
    <mergeCell ref="B25:B28"/>
    <mergeCell ref="C25:N25"/>
    <mergeCell ref="O25:Q25"/>
    <mergeCell ref="C26:C28"/>
    <mergeCell ref="D26:D28"/>
    <mergeCell ref="O26:O28"/>
    <mergeCell ref="P26:P28"/>
    <mergeCell ref="Q26:Q28"/>
    <mergeCell ref="A3:A7"/>
    <mergeCell ref="B3:B7"/>
    <mergeCell ref="C3:N3"/>
    <mergeCell ref="L4:L7"/>
    <mergeCell ref="M4:M7"/>
    <mergeCell ref="N4:N7"/>
    <mergeCell ref="B30:Q30"/>
    <mergeCell ref="J26:J28"/>
    <mergeCell ref="K26:K28"/>
    <mergeCell ref="L26:L28"/>
    <mergeCell ref="M26:M28"/>
    <mergeCell ref="N26:N28"/>
    <mergeCell ref="E26:E28"/>
    <mergeCell ref="F26:F28"/>
    <mergeCell ref="G26:G28"/>
    <mergeCell ref="H26:H28"/>
    <mergeCell ref="I26:I28"/>
    <mergeCell ref="B49:M49"/>
    <mergeCell ref="B51:E55"/>
    <mergeCell ref="F51:F55"/>
    <mergeCell ref="G51:L51"/>
    <mergeCell ref="G52:G55"/>
    <mergeCell ref="H52:H55"/>
    <mergeCell ref="I52:I55"/>
    <mergeCell ref="J52:J55"/>
    <mergeCell ref="K52:K55"/>
    <mergeCell ref="L52:L55"/>
    <mergeCell ref="B56:E56"/>
    <mergeCell ref="B57:E57"/>
    <mergeCell ref="F57:L57"/>
    <mergeCell ref="B58:E58"/>
    <mergeCell ref="B59:E59"/>
    <mergeCell ref="A66:D66"/>
    <mergeCell ref="B60:E60"/>
    <mergeCell ref="B61:E61"/>
    <mergeCell ref="B62:E62"/>
    <mergeCell ref="B63:E63"/>
    <mergeCell ref="B64:E64"/>
  </mergeCells>
  <pageMargins left="0.51181102362204722" right="0.31496062992125984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070D-99D2-446D-973B-63C4E06DCAA8}">
  <sheetPr>
    <pageSetUpPr fitToPage="1"/>
  </sheetPr>
  <dimension ref="A1:IM38"/>
  <sheetViews>
    <sheetView view="pageBreakPreview" zoomScaleNormal="100" zoomScaleSheetLayoutView="100" workbookViewId="0">
      <selection activeCell="F8" sqref="F8"/>
    </sheetView>
  </sheetViews>
  <sheetFormatPr defaultColWidth="9.21875" defaultRowHeight="64.5" customHeight="1"/>
  <cols>
    <col min="1" max="1" width="5.5546875" style="1998" customWidth="1"/>
    <col min="2" max="2" width="101.77734375" style="1998" customWidth="1"/>
    <col min="3" max="6" width="13.44140625" style="1998" customWidth="1"/>
    <col min="7" max="7" width="15" style="1998" customWidth="1"/>
    <col min="8" max="8" width="13.77734375" style="1998" customWidth="1"/>
    <col min="9" max="9" width="9.21875" style="1998"/>
    <col min="10" max="10" width="10.21875" style="1998" bestFit="1" customWidth="1"/>
    <col min="11" max="16384" width="9.21875" style="1998"/>
  </cols>
  <sheetData>
    <row r="1" spans="1:247" ht="29.25" customHeight="1">
      <c r="A1" s="2184" t="s">
        <v>968</v>
      </c>
      <c r="B1" s="2184"/>
      <c r="C1" s="2184"/>
      <c r="D1" s="2184"/>
      <c r="E1" s="2184"/>
      <c r="F1" s="2184"/>
      <c r="G1" s="2184"/>
      <c r="H1" s="2184"/>
    </row>
    <row r="2" spans="1:247" ht="13.2">
      <c r="A2" s="2185" t="s">
        <v>930</v>
      </c>
      <c r="B2" s="2186"/>
      <c r="C2" s="2186"/>
      <c r="D2" s="2186"/>
      <c r="E2" s="2186"/>
      <c r="F2" s="2186"/>
      <c r="G2" s="2186"/>
      <c r="H2" s="2187"/>
    </row>
    <row r="3" spans="1:247" ht="15" customHeight="1">
      <c r="A3" s="2188" t="s">
        <v>820</v>
      </c>
      <c r="B3" s="2191" t="s">
        <v>931</v>
      </c>
      <c r="C3" s="2194" t="s">
        <v>821</v>
      </c>
      <c r="D3" s="2196" t="s">
        <v>833</v>
      </c>
      <c r="E3" s="2196" t="s">
        <v>834</v>
      </c>
      <c r="F3" s="2198" t="s">
        <v>835</v>
      </c>
      <c r="G3" s="2194" t="s">
        <v>932</v>
      </c>
      <c r="H3" s="2201" t="s">
        <v>933</v>
      </c>
      <c r="I3" s="1999"/>
      <c r="J3" s="1999"/>
      <c r="K3" s="1999"/>
      <c r="L3" s="1999"/>
      <c r="M3" s="1999"/>
      <c r="N3" s="1999"/>
      <c r="O3" s="1999"/>
      <c r="P3" s="1999"/>
      <c r="Q3" s="1999"/>
      <c r="R3" s="1999"/>
      <c r="S3" s="1999"/>
      <c r="T3" s="1999"/>
      <c r="U3" s="1999"/>
      <c r="V3" s="1999"/>
      <c r="W3" s="1999"/>
      <c r="X3" s="1999"/>
      <c r="Y3" s="1999"/>
      <c r="Z3" s="1999"/>
      <c r="AA3" s="1999"/>
      <c r="AB3" s="1999"/>
      <c r="AC3" s="1999"/>
      <c r="AD3" s="1999"/>
      <c r="AE3" s="1999"/>
      <c r="AF3" s="1999"/>
      <c r="AG3" s="1999"/>
      <c r="AH3" s="1999"/>
      <c r="AI3" s="1999"/>
      <c r="AJ3" s="1999"/>
      <c r="AK3" s="1999"/>
      <c r="AL3" s="1999"/>
      <c r="AM3" s="1999"/>
      <c r="AN3" s="1999"/>
      <c r="AO3" s="1999"/>
      <c r="AP3" s="1999"/>
      <c r="AQ3" s="1999"/>
      <c r="AR3" s="1999"/>
      <c r="AS3" s="1999"/>
      <c r="AT3" s="1999"/>
      <c r="AU3" s="1999"/>
      <c r="AV3" s="1999"/>
      <c r="AW3" s="1999"/>
      <c r="AX3" s="1999"/>
      <c r="AY3" s="1999"/>
      <c r="AZ3" s="1999"/>
      <c r="BA3" s="1999"/>
      <c r="BB3" s="1999"/>
      <c r="BC3" s="1999"/>
      <c r="BD3" s="1999"/>
      <c r="BE3" s="1999"/>
      <c r="BF3" s="1999"/>
      <c r="BG3" s="1999"/>
      <c r="BH3" s="1999"/>
      <c r="BI3" s="1999"/>
      <c r="BJ3" s="1999"/>
      <c r="BK3" s="1999"/>
      <c r="BL3" s="1999"/>
      <c r="BM3" s="1999"/>
      <c r="BN3" s="1999"/>
      <c r="BO3" s="1999"/>
      <c r="BP3" s="1999"/>
      <c r="BQ3" s="1999"/>
      <c r="BR3" s="1999"/>
      <c r="BS3" s="1999"/>
      <c r="BT3" s="1999"/>
      <c r="BU3" s="1999"/>
      <c r="BV3" s="1999"/>
      <c r="BW3" s="1999"/>
      <c r="BX3" s="1999"/>
      <c r="BY3" s="1999"/>
      <c r="BZ3" s="1999"/>
      <c r="CA3" s="1999"/>
      <c r="CB3" s="1999"/>
      <c r="CC3" s="1999"/>
      <c r="CD3" s="1999"/>
      <c r="CE3" s="1999"/>
      <c r="CF3" s="1999"/>
      <c r="CG3" s="1999"/>
      <c r="CH3" s="1999"/>
      <c r="CI3" s="1999"/>
      <c r="CJ3" s="1999"/>
      <c r="CK3" s="1999"/>
      <c r="CL3" s="1999"/>
      <c r="CM3" s="1999"/>
      <c r="CN3" s="1999"/>
      <c r="CO3" s="1999"/>
      <c r="CP3" s="1999"/>
      <c r="CQ3" s="1999"/>
      <c r="CR3" s="1999"/>
      <c r="CS3" s="1999"/>
      <c r="CT3" s="1999"/>
      <c r="CU3" s="1999"/>
      <c r="CV3" s="1999"/>
      <c r="CW3" s="1999"/>
      <c r="CX3" s="1999"/>
      <c r="CY3" s="1999"/>
      <c r="CZ3" s="1999"/>
      <c r="DA3" s="1999"/>
      <c r="DB3" s="1999"/>
      <c r="DC3" s="1999"/>
      <c r="DD3" s="1999"/>
      <c r="DE3" s="1999"/>
      <c r="DF3" s="1999"/>
      <c r="DG3" s="1999"/>
      <c r="DH3" s="1999"/>
      <c r="DI3" s="1999"/>
      <c r="DJ3" s="1999"/>
      <c r="DK3" s="1999"/>
      <c r="DL3" s="1999"/>
      <c r="DM3" s="1999"/>
      <c r="DN3" s="1999"/>
      <c r="DO3" s="1999"/>
      <c r="DP3" s="1999"/>
      <c r="DQ3" s="1999"/>
      <c r="DR3" s="1999"/>
      <c r="DS3" s="1999"/>
      <c r="DT3" s="1999"/>
      <c r="DU3" s="1999"/>
      <c r="DV3" s="1999"/>
      <c r="DW3" s="1999"/>
      <c r="DX3" s="1999"/>
      <c r="DY3" s="1999"/>
      <c r="DZ3" s="1999"/>
      <c r="EA3" s="1999"/>
      <c r="EB3" s="1999"/>
      <c r="EC3" s="1999"/>
      <c r="ED3" s="1999"/>
      <c r="EE3" s="1999"/>
      <c r="EF3" s="1999"/>
      <c r="EG3" s="1999"/>
      <c r="EH3" s="1999"/>
      <c r="EI3" s="1999"/>
      <c r="EJ3" s="1999"/>
      <c r="EK3" s="1999"/>
      <c r="EL3" s="1999"/>
      <c r="EM3" s="1999"/>
      <c r="EN3" s="1999"/>
      <c r="EO3" s="1999"/>
      <c r="EP3" s="1999"/>
      <c r="EQ3" s="1999"/>
      <c r="ER3" s="1999"/>
      <c r="ES3" s="1999"/>
      <c r="ET3" s="1999"/>
      <c r="EU3" s="1999"/>
      <c r="EV3" s="1999"/>
      <c r="EW3" s="1999"/>
      <c r="EX3" s="1999"/>
      <c r="EY3" s="1999"/>
      <c r="EZ3" s="1999"/>
      <c r="FA3" s="1999"/>
      <c r="FB3" s="1999"/>
      <c r="FC3" s="1999"/>
      <c r="FD3" s="1999"/>
      <c r="FE3" s="1999"/>
      <c r="FF3" s="1999"/>
      <c r="FG3" s="1999"/>
      <c r="FH3" s="1999"/>
      <c r="FI3" s="1999"/>
      <c r="FJ3" s="1999"/>
      <c r="FK3" s="1999"/>
      <c r="FL3" s="1999"/>
      <c r="FM3" s="1999"/>
      <c r="FN3" s="1999"/>
      <c r="FO3" s="1999"/>
      <c r="FP3" s="1999"/>
      <c r="FQ3" s="1999"/>
      <c r="FR3" s="1999"/>
      <c r="FS3" s="1999"/>
      <c r="FT3" s="1999"/>
      <c r="FU3" s="1999"/>
      <c r="FV3" s="1999"/>
      <c r="FW3" s="1999"/>
      <c r="FX3" s="1999"/>
      <c r="FY3" s="1999"/>
      <c r="FZ3" s="1999"/>
      <c r="GA3" s="1999"/>
      <c r="GB3" s="1999"/>
      <c r="GC3" s="1999"/>
      <c r="GD3" s="1999"/>
      <c r="GE3" s="1999"/>
      <c r="GF3" s="1999"/>
      <c r="GG3" s="1999"/>
      <c r="GH3" s="1999"/>
      <c r="GI3" s="1999"/>
      <c r="GJ3" s="1999"/>
      <c r="GK3" s="1999"/>
      <c r="GL3" s="1999"/>
      <c r="GM3" s="1999"/>
      <c r="GN3" s="1999"/>
      <c r="GO3" s="1999"/>
      <c r="GP3" s="1999"/>
      <c r="GQ3" s="1999"/>
      <c r="GR3" s="1999"/>
      <c r="GS3" s="1999"/>
      <c r="GT3" s="1999"/>
      <c r="GU3" s="1999"/>
      <c r="GV3" s="1999"/>
      <c r="GW3" s="1999"/>
      <c r="GX3" s="1999"/>
      <c r="GY3" s="1999"/>
      <c r="GZ3" s="1999"/>
      <c r="HA3" s="1999"/>
      <c r="HB3" s="1999"/>
      <c r="HC3" s="1999"/>
      <c r="HD3" s="1999"/>
      <c r="HE3" s="1999"/>
      <c r="HF3" s="1999"/>
      <c r="HG3" s="1999"/>
      <c r="HH3" s="1999"/>
      <c r="HI3" s="1999"/>
      <c r="HJ3" s="1999"/>
      <c r="HK3" s="1999"/>
      <c r="HL3" s="1999"/>
      <c r="HM3" s="1999"/>
      <c r="HN3" s="1999"/>
      <c r="HO3" s="1999"/>
      <c r="HP3" s="1999"/>
      <c r="HQ3" s="1999"/>
      <c r="HR3" s="1999"/>
      <c r="HS3" s="1999"/>
      <c r="HT3" s="1999"/>
      <c r="HU3" s="1999"/>
      <c r="HV3" s="1999"/>
      <c r="HW3" s="1999"/>
      <c r="HX3" s="1999"/>
      <c r="HY3" s="1999"/>
      <c r="HZ3" s="1999"/>
      <c r="IA3" s="1999"/>
      <c r="IB3" s="1999"/>
      <c r="IC3" s="1999"/>
      <c r="ID3" s="1999"/>
      <c r="IE3" s="1999"/>
      <c r="IF3" s="1999"/>
      <c r="IG3" s="1999"/>
      <c r="IH3" s="1999"/>
      <c r="II3" s="1999"/>
      <c r="IJ3" s="1999"/>
      <c r="IK3" s="1999"/>
      <c r="IL3" s="1999"/>
      <c r="IM3" s="1999"/>
    </row>
    <row r="4" spans="1:247" ht="54.6" customHeight="1">
      <c r="A4" s="2189"/>
      <c r="B4" s="2192"/>
      <c r="C4" s="2195"/>
      <c r="D4" s="2197"/>
      <c r="E4" s="2197"/>
      <c r="F4" s="2199"/>
      <c r="G4" s="2200"/>
      <c r="H4" s="2202"/>
      <c r="I4" s="1999"/>
      <c r="J4" s="1999"/>
      <c r="K4" s="1999"/>
      <c r="L4" s="1999"/>
      <c r="M4" s="1999"/>
      <c r="N4" s="1999"/>
      <c r="O4" s="1999"/>
      <c r="P4" s="1999"/>
      <c r="Q4" s="1999"/>
      <c r="R4" s="1999"/>
      <c r="S4" s="1999"/>
      <c r="T4" s="1999"/>
      <c r="U4" s="1999"/>
      <c r="V4" s="1999"/>
      <c r="W4" s="1999"/>
      <c r="X4" s="1999"/>
      <c r="Y4" s="1999"/>
      <c r="Z4" s="1999"/>
      <c r="AA4" s="1999"/>
      <c r="AB4" s="1999"/>
      <c r="AC4" s="1999"/>
      <c r="AD4" s="1999"/>
      <c r="AE4" s="1999"/>
      <c r="AF4" s="1999"/>
      <c r="AG4" s="1999"/>
      <c r="AH4" s="1999"/>
      <c r="AI4" s="1999"/>
      <c r="AJ4" s="1999"/>
      <c r="AK4" s="1999"/>
      <c r="AL4" s="1999"/>
      <c r="AM4" s="1999"/>
      <c r="AN4" s="1999"/>
      <c r="AO4" s="1999"/>
      <c r="AP4" s="1999"/>
      <c r="AQ4" s="1999"/>
      <c r="AR4" s="1999"/>
      <c r="AS4" s="1999"/>
      <c r="AT4" s="1999"/>
      <c r="AU4" s="1999"/>
      <c r="AV4" s="1999"/>
      <c r="AW4" s="1999"/>
      <c r="AX4" s="1999"/>
      <c r="AY4" s="1999"/>
      <c r="AZ4" s="1999"/>
      <c r="BA4" s="1999"/>
      <c r="BB4" s="1999"/>
      <c r="BC4" s="1999"/>
      <c r="BD4" s="1999"/>
      <c r="BE4" s="1999"/>
      <c r="BF4" s="1999"/>
      <c r="BG4" s="1999"/>
      <c r="BH4" s="1999"/>
      <c r="BI4" s="1999"/>
      <c r="BJ4" s="1999"/>
      <c r="BK4" s="1999"/>
      <c r="BL4" s="1999"/>
      <c r="BM4" s="1999"/>
      <c r="BN4" s="1999"/>
      <c r="BO4" s="1999"/>
      <c r="BP4" s="1999"/>
      <c r="BQ4" s="1999"/>
      <c r="BR4" s="1999"/>
      <c r="BS4" s="1999"/>
      <c r="BT4" s="1999"/>
      <c r="BU4" s="1999"/>
      <c r="BV4" s="1999"/>
      <c r="BW4" s="1999"/>
      <c r="BX4" s="1999"/>
      <c r="BY4" s="1999"/>
      <c r="BZ4" s="1999"/>
      <c r="CA4" s="1999"/>
      <c r="CB4" s="1999"/>
      <c r="CC4" s="1999"/>
      <c r="CD4" s="1999"/>
      <c r="CE4" s="1999"/>
      <c r="CF4" s="1999"/>
      <c r="CG4" s="1999"/>
      <c r="CH4" s="1999"/>
      <c r="CI4" s="1999"/>
      <c r="CJ4" s="1999"/>
      <c r="CK4" s="1999"/>
      <c r="CL4" s="1999"/>
      <c r="CM4" s="1999"/>
      <c r="CN4" s="1999"/>
      <c r="CO4" s="1999"/>
      <c r="CP4" s="1999"/>
      <c r="CQ4" s="1999"/>
      <c r="CR4" s="1999"/>
      <c r="CS4" s="1999"/>
      <c r="CT4" s="1999"/>
      <c r="CU4" s="1999"/>
      <c r="CV4" s="1999"/>
      <c r="CW4" s="1999"/>
      <c r="CX4" s="1999"/>
      <c r="CY4" s="1999"/>
      <c r="CZ4" s="1999"/>
      <c r="DA4" s="1999"/>
      <c r="DB4" s="1999"/>
      <c r="DC4" s="1999"/>
      <c r="DD4" s="1999"/>
      <c r="DE4" s="1999"/>
      <c r="DF4" s="1999"/>
      <c r="DG4" s="1999"/>
      <c r="DH4" s="1999"/>
      <c r="DI4" s="1999"/>
      <c r="DJ4" s="1999"/>
      <c r="DK4" s="1999"/>
      <c r="DL4" s="1999"/>
      <c r="DM4" s="1999"/>
      <c r="DN4" s="1999"/>
      <c r="DO4" s="1999"/>
      <c r="DP4" s="1999"/>
      <c r="DQ4" s="1999"/>
      <c r="DR4" s="1999"/>
      <c r="DS4" s="1999"/>
      <c r="DT4" s="1999"/>
      <c r="DU4" s="1999"/>
      <c r="DV4" s="1999"/>
      <c r="DW4" s="1999"/>
      <c r="DX4" s="1999"/>
      <c r="DY4" s="1999"/>
      <c r="DZ4" s="1999"/>
      <c r="EA4" s="1999"/>
      <c r="EB4" s="1999"/>
      <c r="EC4" s="1999"/>
      <c r="ED4" s="1999"/>
      <c r="EE4" s="1999"/>
      <c r="EF4" s="1999"/>
      <c r="EG4" s="1999"/>
      <c r="EH4" s="1999"/>
      <c r="EI4" s="1999"/>
      <c r="EJ4" s="1999"/>
      <c r="EK4" s="1999"/>
      <c r="EL4" s="1999"/>
      <c r="EM4" s="1999"/>
      <c r="EN4" s="1999"/>
      <c r="EO4" s="1999"/>
      <c r="EP4" s="1999"/>
      <c r="EQ4" s="1999"/>
      <c r="ER4" s="1999"/>
      <c r="ES4" s="1999"/>
      <c r="ET4" s="1999"/>
      <c r="EU4" s="1999"/>
      <c r="EV4" s="1999"/>
      <c r="EW4" s="1999"/>
      <c r="EX4" s="1999"/>
      <c r="EY4" s="1999"/>
      <c r="EZ4" s="1999"/>
      <c r="FA4" s="1999"/>
      <c r="FB4" s="1999"/>
      <c r="FC4" s="1999"/>
      <c r="FD4" s="1999"/>
      <c r="FE4" s="1999"/>
      <c r="FF4" s="1999"/>
      <c r="FG4" s="1999"/>
      <c r="FH4" s="1999"/>
      <c r="FI4" s="1999"/>
      <c r="FJ4" s="1999"/>
      <c r="FK4" s="1999"/>
      <c r="FL4" s="1999"/>
      <c r="FM4" s="1999"/>
      <c r="FN4" s="1999"/>
      <c r="FO4" s="1999"/>
      <c r="FP4" s="1999"/>
      <c r="FQ4" s="1999"/>
      <c r="FR4" s="1999"/>
      <c r="FS4" s="1999"/>
      <c r="FT4" s="1999"/>
      <c r="FU4" s="1999"/>
      <c r="FV4" s="1999"/>
      <c r="FW4" s="1999"/>
      <c r="FX4" s="1999"/>
      <c r="FY4" s="1999"/>
      <c r="FZ4" s="1999"/>
      <c r="GA4" s="1999"/>
      <c r="GB4" s="1999"/>
      <c r="GC4" s="1999"/>
      <c r="GD4" s="1999"/>
      <c r="GE4" s="1999"/>
      <c r="GF4" s="1999"/>
      <c r="GG4" s="1999"/>
      <c r="GH4" s="1999"/>
      <c r="GI4" s="1999"/>
      <c r="GJ4" s="1999"/>
      <c r="GK4" s="1999"/>
      <c r="GL4" s="1999"/>
      <c r="GM4" s="1999"/>
      <c r="GN4" s="1999"/>
      <c r="GO4" s="1999"/>
      <c r="GP4" s="1999"/>
      <c r="GQ4" s="1999"/>
      <c r="GR4" s="1999"/>
      <c r="GS4" s="1999"/>
      <c r="GT4" s="1999"/>
      <c r="GU4" s="1999"/>
      <c r="GV4" s="1999"/>
      <c r="GW4" s="1999"/>
      <c r="GX4" s="1999"/>
      <c r="GY4" s="1999"/>
      <c r="GZ4" s="1999"/>
      <c r="HA4" s="1999"/>
      <c r="HB4" s="1999"/>
      <c r="HC4" s="1999"/>
      <c r="HD4" s="1999"/>
      <c r="HE4" s="1999"/>
      <c r="HF4" s="1999"/>
      <c r="HG4" s="1999"/>
      <c r="HH4" s="1999"/>
      <c r="HI4" s="1999"/>
      <c r="HJ4" s="1999"/>
      <c r="HK4" s="1999"/>
      <c r="HL4" s="1999"/>
      <c r="HM4" s="1999"/>
      <c r="HN4" s="1999"/>
      <c r="HO4" s="1999"/>
      <c r="HP4" s="1999"/>
      <c r="HQ4" s="1999"/>
      <c r="HR4" s="1999"/>
      <c r="HS4" s="1999"/>
      <c r="HT4" s="1999"/>
      <c r="HU4" s="1999"/>
      <c r="HV4" s="1999"/>
      <c r="HW4" s="1999"/>
      <c r="HX4" s="1999"/>
      <c r="HY4" s="1999"/>
      <c r="HZ4" s="1999"/>
      <c r="IA4" s="1999"/>
      <c r="IB4" s="1999"/>
      <c r="IC4" s="1999"/>
      <c r="ID4" s="1999"/>
      <c r="IE4" s="1999"/>
      <c r="IF4" s="1999"/>
      <c r="IG4" s="1999"/>
      <c r="IH4" s="1999"/>
      <c r="II4" s="1999"/>
      <c r="IJ4" s="1999"/>
      <c r="IK4" s="1999"/>
      <c r="IL4" s="1999"/>
      <c r="IM4" s="1999"/>
    </row>
    <row r="5" spans="1:247" ht="15" customHeight="1">
      <c r="A5" s="2190"/>
      <c r="B5" s="2193"/>
      <c r="C5" s="2179" t="s">
        <v>822</v>
      </c>
      <c r="D5" s="2180"/>
      <c r="E5" s="2180"/>
      <c r="F5" s="2180"/>
      <c r="G5" s="2181"/>
      <c r="H5" s="2000" t="s">
        <v>134</v>
      </c>
      <c r="I5" s="1999"/>
      <c r="J5" s="1999"/>
      <c r="K5" s="1999"/>
      <c r="L5" s="1999"/>
      <c r="M5" s="1999"/>
      <c r="N5" s="1999"/>
      <c r="O5" s="1999"/>
      <c r="P5" s="1999"/>
      <c r="Q5" s="1999"/>
      <c r="R5" s="1999"/>
      <c r="S5" s="1999"/>
      <c r="T5" s="1999"/>
      <c r="U5" s="1999"/>
      <c r="V5" s="1999"/>
      <c r="W5" s="1999"/>
      <c r="X5" s="1999"/>
      <c r="Y5" s="1999"/>
      <c r="Z5" s="1999"/>
      <c r="AA5" s="1999"/>
      <c r="AB5" s="1999"/>
      <c r="AC5" s="1999"/>
      <c r="AD5" s="1999"/>
      <c r="AE5" s="1999"/>
      <c r="AF5" s="1999"/>
      <c r="AG5" s="1999"/>
      <c r="AH5" s="1999"/>
      <c r="AI5" s="1999"/>
      <c r="AJ5" s="1999"/>
      <c r="AK5" s="1999"/>
      <c r="AL5" s="1999"/>
      <c r="AM5" s="1999"/>
      <c r="AN5" s="1999"/>
      <c r="AO5" s="1999"/>
      <c r="AP5" s="1999"/>
      <c r="AQ5" s="1999"/>
      <c r="AR5" s="1999"/>
      <c r="AS5" s="1999"/>
      <c r="AT5" s="1999"/>
      <c r="AU5" s="1999"/>
      <c r="AV5" s="1999"/>
      <c r="AW5" s="1999"/>
      <c r="AX5" s="1999"/>
      <c r="AY5" s="1999"/>
      <c r="AZ5" s="1999"/>
      <c r="BA5" s="1999"/>
      <c r="BB5" s="1999"/>
      <c r="BC5" s="1999"/>
      <c r="BD5" s="1999"/>
      <c r="BE5" s="1999"/>
      <c r="BF5" s="1999"/>
      <c r="BG5" s="1999"/>
      <c r="BH5" s="1999"/>
      <c r="BI5" s="1999"/>
      <c r="BJ5" s="1999"/>
      <c r="BK5" s="1999"/>
      <c r="BL5" s="1999"/>
      <c r="BM5" s="1999"/>
      <c r="BN5" s="1999"/>
      <c r="BO5" s="1999"/>
      <c r="BP5" s="1999"/>
      <c r="BQ5" s="1999"/>
      <c r="BR5" s="1999"/>
      <c r="BS5" s="1999"/>
      <c r="BT5" s="1999"/>
      <c r="BU5" s="1999"/>
      <c r="BV5" s="1999"/>
      <c r="BW5" s="1999"/>
      <c r="BX5" s="1999"/>
      <c r="BY5" s="1999"/>
      <c r="BZ5" s="1999"/>
      <c r="CA5" s="1999"/>
      <c r="CB5" s="1999"/>
      <c r="CC5" s="1999"/>
      <c r="CD5" s="1999"/>
      <c r="CE5" s="1999"/>
      <c r="CF5" s="1999"/>
      <c r="CG5" s="1999"/>
      <c r="CH5" s="1999"/>
      <c r="CI5" s="1999"/>
      <c r="CJ5" s="1999"/>
      <c r="CK5" s="1999"/>
      <c r="CL5" s="1999"/>
      <c r="CM5" s="1999"/>
      <c r="CN5" s="1999"/>
      <c r="CO5" s="1999"/>
      <c r="CP5" s="1999"/>
      <c r="CQ5" s="1999"/>
      <c r="CR5" s="1999"/>
      <c r="CS5" s="1999"/>
      <c r="CT5" s="1999"/>
      <c r="CU5" s="1999"/>
      <c r="CV5" s="1999"/>
      <c r="CW5" s="1999"/>
      <c r="CX5" s="1999"/>
      <c r="CY5" s="1999"/>
      <c r="CZ5" s="1999"/>
      <c r="DA5" s="1999"/>
      <c r="DB5" s="1999"/>
      <c r="DC5" s="1999"/>
      <c r="DD5" s="1999"/>
      <c r="DE5" s="1999"/>
      <c r="DF5" s="1999"/>
      <c r="DG5" s="1999"/>
      <c r="DH5" s="1999"/>
      <c r="DI5" s="1999"/>
      <c r="DJ5" s="1999"/>
      <c r="DK5" s="1999"/>
      <c r="DL5" s="1999"/>
      <c r="DM5" s="1999"/>
      <c r="DN5" s="1999"/>
      <c r="DO5" s="1999"/>
      <c r="DP5" s="1999"/>
      <c r="DQ5" s="1999"/>
      <c r="DR5" s="1999"/>
      <c r="DS5" s="1999"/>
      <c r="DT5" s="1999"/>
      <c r="DU5" s="1999"/>
      <c r="DV5" s="1999"/>
      <c r="DW5" s="1999"/>
      <c r="DX5" s="1999"/>
      <c r="DY5" s="1999"/>
      <c r="DZ5" s="1999"/>
      <c r="EA5" s="1999"/>
      <c r="EB5" s="1999"/>
      <c r="EC5" s="1999"/>
      <c r="ED5" s="1999"/>
      <c r="EE5" s="1999"/>
      <c r="EF5" s="1999"/>
      <c r="EG5" s="1999"/>
      <c r="EH5" s="1999"/>
      <c r="EI5" s="1999"/>
      <c r="EJ5" s="1999"/>
      <c r="EK5" s="1999"/>
      <c r="EL5" s="1999"/>
      <c r="EM5" s="1999"/>
      <c r="EN5" s="1999"/>
      <c r="EO5" s="1999"/>
      <c r="EP5" s="1999"/>
      <c r="EQ5" s="1999"/>
      <c r="ER5" s="1999"/>
      <c r="ES5" s="1999"/>
      <c r="ET5" s="1999"/>
      <c r="EU5" s="1999"/>
      <c r="EV5" s="1999"/>
      <c r="EW5" s="1999"/>
      <c r="EX5" s="1999"/>
      <c r="EY5" s="1999"/>
      <c r="EZ5" s="1999"/>
      <c r="FA5" s="1999"/>
      <c r="FB5" s="1999"/>
      <c r="FC5" s="1999"/>
      <c r="FD5" s="1999"/>
      <c r="FE5" s="1999"/>
      <c r="FF5" s="1999"/>
      <c r="FG5" s="1999"/>
      <c r="FH5" s="1999"/>
      <c r="FI5" s="1999"/>
      <c r="FJ5" s="1999"/>
      <c r="FK5" s="1999"/>
      <c r="FL5" s="1999"/>
      <c r="FM5" s="1999"/>
      <c r="FN5" s="1999"/>
      <c r="FO5" s="1999"/>
      <c r="FP5" s="1999"/>
      <c r="FQ5" s="1999"/>
      <c r="FR5" s="1999"/>
      <c r="FS5" s="1999"/>
      <c r="FT5" s="1999"/>
      <c r="FU5" s="1999"/>
      <c r="FV5" s="1999"/>
      <c r="FW5" s="1999"/>
      <c r="FX5" s="1999"/>
      <c r="FY5" s="1999"/>
      <c r="FZ5" s="1999"/>
      <c r="GA5" s="1999"/>
      <c r="GB5" s="1999"/>
      <c r="GC5" s="1999"/>
      <c r="GD5" s="1999"/>
      <c r="GE5" s="1999"/>
      <c r="GF5" s="1999"/>
      <c r="GG5" s="1999"/>
      <c r="GH5" s="1999"/>
      <c r="GI5" s="1999"/>
      <c r="GJ5" s="1999"/>
      <c r="GK5" s="1999"/>
      <c r="GL5" s="1999"/>
      <c r="GM5" s="1999"/>
      <c r="GN5" s="1999"/>
      <c r="GO5" s="1999"/>
      <c r="GP5" s="1999"/>
      <c r="GQ5" s="1999"/>
      <c r="GR5" s="1999"/>
      <c r="GS5" s="1999"/>
      <c r="GT5" s="1999"/>
      <c r="GU5" s="1999"/>
      <c r="GV5" s="1999"/>
      <c r="GW5" s="1999"/>
      <c r="GX5" s="1999"/>
      <c r="GY5" s="1999"/>
      <c r="GZ5" s="1999"/>
      <c r="HA5" s="1999"/>
      <c r="HB5" s="1999"/>
      <c r="HC5" s="1999"/>
      <c r="HD5" s="1999"/>
      <c r="HE5" s="1999"/>
      <c r="HF5" s="1999"/>
      <c r="HG5" s="1999"/>
      <c r="HH5" s="1999"/>
      <c r="HI5" s="1999"/>
      <c r="HJ5" s="1999"/>
      <c r="HK5" s="1999"/>
      <c r="HL5" s="1999"/>
      <c r="HM5" s="1999"/>
      <c r="HN5" s="1999"/>
      <c r="HO5" s="1999"/>
      <c r="HP5" s="1999"/>
      <c r="HQ5" s="1999"/>
      <c r="HR5" s="1999"/>
      <c r="HS5" s="1999"/>
      <c r="HT5" s="1999"/>
      <c r="HU5" s="1999"/>
      <c r="HV5" s="1999"/>
      <c r="HW5" s="1999"/>
      <c r="HX5" s="1999"/>
      <c r="HY5" s="1999"/>
      <c r="HZ5" s="1999"/>
      <c r="IA5" s="1999"/>
      <c r="IB5" s="1999"/>
      <c r="IC5" s="1999"/>
      <c r="ID5" s="1999"/>
      <c r="IE5" s="1999"/>
      <c r="IF5" s="1999"/>
      <c r="IG5" s="1999"/>
      <c r="IH5" s="1999"/>
      <c r="II5" s="1999"/>
      <c r="IJ5" s="1999"/>
      <c r="IK5" s="1999"/>
      <c r="IL5" s="1999"/>
      <c r="IM5" s="1999"/>
    </row>
    <row r="6" spans="1:247" ht="30.75" customHeight="1">
      <c r="A6" s="2010" t="s">
        <v>823</v>
      </c>
      <c r="B6" s="2011" t="s">
        <v>934</v>
      </c>
      <c r="C6" s="2012">
        <v>1341534253.3699999</v>
      </c>
      <c r="D6" s="2013">
        <v>294952674.82999998</v>
      </c>
      <c r="E6" s="2013">
        <v>1400011</v>
      </c>
      <c r="F6" s="2014">
        <v>8789926.0299999993</v>
      </c>
      <c r="G6" s="2012">
        <f>SUM(C6:F6)</f>
        <v>1646676865.2299998</v>
      </c>
      <c r="H6" s="2015">
        <f>G6/$G$25</f>
        <v>0.35123480218228809</v>
      </c>
      <c r="I6" s="1999"/>
      <c r="J6" s="1999"/>
      <c r="K6" s="1999"/>
      <c r="L6" s="1999"/>
      <c r="M6" s="1999"/>
      <c r="N6" s="1999"/>
      <c r="O6" s="1999"/>
      <c r="P6" s="1999"/>
      <c r="Q6" s="1999"/>
      <c r="R6" s="1999"/>
      <c r="S6" s="1999"/>
      <c r="T6" s="1999"/>
      <c r="U6" s="1999"/>
      <c r="V6" s="1999"/>
      <c r="W6" s="1999"/>
      <c r="X6" s="1999"/>
      <c r="Y6" s="1999"/>
      <c r="Z6" s="1999"/>
      <c r="AA6" s="1999"/>
      <c r="AB6" s="1999"/>
      <c r="AC6" s="1999"/>
      <c r="AD6" s="1999"/>
      <c r="AE6" s="1999"/>
      <c r="AF6" s="1999"/>
      <c r="AG6" s="1999"/>
      <c r="AH6" s="1999"/>
      <c r="AI6" s="1999"/>
      <c r="AJ6" s="1999"/>
      <c r="AK6" s="1999"/>
      <c r="AL6" s="1999"/>
      <c r="AM6" s="1999"/>
      <c r="AN6" s="1999"/>
      <c r="AO6" s="1999"/>
      <c r="AP6" s="1999"/>
      <c r="AQ6" s="1999"/>
      <c r="AR6" s="1999"/>
      <c r="AS6" s="1999"/>
      <c r="AT6" s="1999"/>
      <c r="AU6" s="1999"/>
      <c r="AV6" s="1999"/>
      <c r="AW6" s="1999"/>
      <c r="AX6" s="1999"/>
      <c r="AY6" s="1999"/>
      <c r="AZ6" s="1999"/>
      <c r="BA6" s="1999"/>
      <c r="BB6" s="1999"/>
      <c r="BC6" s="1999"/>
      <c r="BD6" s="1999"/>
      <c r="BE6" s="1999"/>
      <c r="BF6" s="1999"/>
      <c r="BG6" s="1999"/>
      <c r="BH6" s="1999"/>
      <c r="BI6" s="1999"/>
      <c r="BJ6" s="1999"/>
      <c r="BK6" s="1999"/>
      <c r="BL6" s="1999"/>
      <c r="BM6" s="1999"/>
      <c r="BN6" s="1999"/>
      <c r="BO6" s="1999"/>
      <c r="BP6" s="1999"/>
      <c r="BQ6" s="1999"/>
      <c r="BR6" s="1999"/>
      <c r="BS6" s="1999"/>
      <c r="BT6" s="1999"/>
      <c r="BU6" s="1999"/>
      <c r="BV6" s="1999"/>
      <c r="BW6" s="1999"/>
      <c r="BX6" s="1999"/>
      <c r="BY6" s="1999"/>
      <c r="BZ6" s="1999"/>
      <c r="CA6" s="1999"/>
      <c r="CB6" s="1999"/>
      <c r="CC6" s="1999"/>
      <c r="CD6" s="1999"/>
      <c r="CE6" s="1999"/>
      <c r="CF6" s="1999"/>
      <c r="CG6" s="1999"/>
      <c r="CH6" s="1999"/>
      <c r="CI6" s="1999"/>
      <c r="CJ6" s="1999"/>
      <c r="CK6" s="1999"/>
      <c r="CL6" s="1999"/>
      <c r="CM6" s="1999"/>
      <c r="CN6" s="1999"/>
      <c r="CO6" s="1999"/>
      <c r="CP6" s="1999"/>
      <c r="CQ6" s="1999"/>
      <c r="CR6" s="1999"/>
      <c r="CS6" s="1999"/>
      <c r="CT6" s="1999"/>
      <c r="CU6" s="1999"/>
      <c r="CV6" s="1999"/>
      <c r="CW6" s="1999"/>
      <c r="CX6" s="1999"/>
      <c r="CY6" s="1999"/>
      <c r="CZ6" s="1999"/>
      <c r="DA6" s="1999"/>
      <c r="DB6" s="1999"/>
      <c r="DC6" s="1999"/>
      <c r="DD6" s="1999"/>
      <c r="DE6" s="1999"/>
      <c r="DF6" s="1999"/>
      <c r="DG6" s="1999"/>
      <c r="DH6" s="1999"/>
      <c r="DI6" s="1999"/>
      <c r="DJ6" s="1999"/>
      <c r="DK6" s="1999"/>
      <c r="DL6" s="1999"/>
      <c r="DM6" s="1999"/>
      <c r="DN6" s="1999"/>
      <c r="DO6" s="1999"/>
      <c r="DP6" s="1999"/>
      <c r="DQ6" s="1999"/>
      <c r="DR6" s="1999"/>
      <c r="DS6" s="1999"/>
      <c r="DT6" s="1999"/>
      <c r="DU6" s="1999"/>
      <c r="DV6" s="1999"/>
      <c r="DW6" s="1999"/>
      <c r="DX6" s="1999"/>
      <c r="DY6" s="1999"/>
      <c r="DZ6" s="1999"/>
      <c r="EA6" s="1999"/>
      <c r="EB6" s="1999"/>
      <c r="EC6" s="1999"/>
      <c r="ED6" s="1999"/>
      <c r="EE6" s="1999"/>
      <c r="EF6" s="1999"/>
      <c r="EG6" s="1999"/>
      <c r="EH6" s="1999"/>
      <c r="EI6" s="1999"/>
      <c r="EJ6" s="1999"/>
      <c r="EK6" s="1999"/>
      <c r="EL6" s="1999"/>
      <c r="EM6" s="1999"/>
      <c r="EN6" s="1999"/>
      <c r="EO6" s="1999"/>
      <c r="EP6" s="1999"/>
      <c r="EQ6" s="1999"/>
      <c r="ER6" s="1999"/>
      <c r="ES6" s="1999"/>
      <c r="ET6" s="1999"/>
      <c r="EU6" s="1999"/>
      <c r="EV6" s="1999"/>
      <c r="EW6" s="1999"/>
      <c r="EX6" s="1999"/>
      <c r="EY6" s="1999"/>
      <c r="EZ6" s="1999"/>
      <c r="FA6" s="1999"/>
      <c r="FB6" s="1999"/>
      <c r="FC6" s="1999"/>
      <c r="FD6" s="1999"/>
      <c r="FE6" s="1999"/>
      <c r="FF6" s="1999"/>
      <c r="FG6" s="1999"/>
      <c r="FH6" s="1999"/>
      <c r="FI6" s="1999"/>
      <c r="FJ6" s="1999"/>
      <c r="FK6" s="1999"/>
      <c r="FL6" s="1999"/>
      <c r="FM6" s="1999"/>
      <c r="FN6" s="1999"/>
      <c r="FO6" s="1999"/>
      <c r="FP6" s="1999"/>
      <c r="FQ6" s="1999"/>
      <c r="FR6" s="1999"/>
      <c r="FS6" s="1999"/>
      <c r="FT6" s="1999"/>
      <c r="FU6" s="1999"/>
      <c r="FV6" s="1999"/>
      <c r="FW6" s="1999"/>
      <c r="FX6" s="1999"/>
      <c r="FY6" s="1999"/>
      <c r="FZ6" s="1999"/>
      <c r="GA6" s="1999"/>
      <c r="GB6" s="1999"/>
      <c r="GC6" s="1999"/>
      <c r="GD6" s="1999"/>
      <c r="GE6" s="1999"/>
      <c r="GF6" s="1999"/>
      <c r="GG6" s="1999"/>
      <c r="GH6" s="1999"/>
      <c r="GI6" s="1999"/>
      <c r="GJ6" s="1999"/>
      <c r="GK6" s="1999"/>
      <c r="GL6" s="1999"/>
      <c r="GM6" s="1999"/>
      <c r="GN6" s="1999"/>
      <c r="GO6" s="1999"/>
      <c r="GP6" s="1999"/>
      <c r="GQ6" s="1999"/>
      <c r="GR6" s="1999"/>
      <c r="GS6" s="1999"/>
      <c r="GT6" s="1999"/>
      <c r="GU6" s="1999"/>
      <c r="GV6" s="1999"/>
      <c r="GW6" s="1999"/>
      <c r="GX6" s="1999"/>
      <c r="GY6" s="1999"/>
      <c r="GZ6" s="1999"/>
      <c r="HA6" s="1999"/>
      <c r="HB6" s="1999"/>
      <c r="HC6" s="1999"/>
      <c r="HD6" s="1999"/>
      <c r="HE6" s="1999"/>
      <c r="HF6" s="1999"/>
      <c r="HG6" s="1999"/>
      <c r="HH6" s="1999"/>
      <c r="HI6" s="1999"/>
      <c r="HJ6" s="1999"/>
      <c r="HK6" s="1999"/>
      <c r="HL6" s="1999"/>
      <c r="HM6" s="1999"/>
      <c r="HN6" s="1999"/>
      <c r="HO6" s="1999"/>
      <c r="HP6" s="1999"/>
      <c r="HQ6" s="1999"/>
      <c r="HR6" s="1999"/>
      <c r="HS6" s="1999"/>
      <c r="HT6" s="1999"/>
      <c r="HU6" s="1999"/>
      <c r="HV6" s="1999"/>
      <c r="HW6" s="1999"/>
      <c r="HX6" s="1999"/>
      <c r="HY6" s="1999"/>
      <c r="HZ6" s="1999"/>
      <c r="IA6" s="1999"/>
      <c r="IB6" s="1999"/>
      <c r="IC6" s="1999"/>
      <c r="ID6" s="1999"/>
      <c r="IE6" s="1999"/>
      <c r="IF6" s="1999"/>
      <c r="IG6" s="1999"/>
      <c r="IH6" s="1999"/>
      <c r="II6" s="1999"/>
      <c r="IJ6" s="1999"/>
      <c r="IK6" s="1999"/>
      <c r="IL6" s="1999"/>
      <c r="IM6" s="1999"/>
    </row>
    <row r="7" spans="1:247" ht="48" customHeight="1">
      <c r="A7" s="2016" t="s">
        <v>824</v>
      </c>
      <c r="B7" s="2017" t="s">
        <v>935</v>
      </c>
      <c r="C7" s="2018" t="s">
        <v>936</v>
      </c>
      <c r="D7" s="2019">
        <v>157027697</v>
      </c>
      <c r="E7" s="2019" t="s">
        <v>937</v>
      </c>
      <c r="F7" s="2020">
        <v>90504930</v>
      </c>
      <c r="G7" s="2021">
        <v>330000000</v>
      </c>
      <c r="H7" s="2015">
        <f t="shared" ref="H7:H25" si="0">G7/$G$25</f>
        <v>7.03887248115104E-2</v>
      </c>
      <c r="I7" s="1999"/>
      <c r="J7" s="1999"/>
      <c r="K7" s="1999"/>
      <c r="L7" s="1999"/>
      <c r="M7" s="1999"/>
      <c r="N7" s="1999"/>
      <c r="O7" s="1999"/>
      <c r="P7" s="1999"/>
      <c r="Q7" s="1999"/>
      <c r="R7" s="1999"/>
      <c r="S7" s="1999"/>
      <c r="T7" s="1999"/>
      <c r="U7" s="1999"/>
      <c r="V7" s="1999"/>
      <c r="W7" s="1999"/>
      <c r="X7" s="1999"/>
      <c r="Y7" s="1999"/>
      <c r="Z7" s="1999"/>
      <c r="AA7" s="1999"/>
      <c r="AB7" s="1999"/>
      <c r="AC7" s="1999"/>
      <c r="AD7" s="1999"/>
      <c r="AE7" s="1999"/>
      <c r="AF7" s="1999"/>
      <c r="AG7" s="1999"/>
      <c r="AH7" s="1999"/>
      <c r="AI7" s="1999"/>
      <c r="AJ7" s="1999"/>
      <c r="AK7" s="1999"/>
      <c r="AL7" s="1999"/>
      <c r="AM7" s="1999"/>
      <c r="AN7" s="1999"/>
      <c r="AO7" s="1999"/>
      <c r="AP7" s="1999"/>
      <c r="AQ7" s="1999"/>
      <c r="AR7" s="1999"/>
      <c r="AS7" s="1999"/>
      <c r="AT7" s="1999"/>
      <c r="AU7" s="1999"/>
      <c r="AV7" s="1999"/>
      <c r="AW7" s="1999"/>
      <c r="AX7" s="1999"/>
      <c r="AY7" s="1999"/>
      <c r="AZ7" s="1999"/>
      <c r="BA7" s="1999"/>
      <c r="BB7" s="1999"/>
      <c r="BC7" s="1999"/>
      <c r="BD7" s="1999"/>
      <c r="BE7" s="1999"/>
      <c r="BF7" s="1999"/>
      <c r="BG7" s="1999"/>
      <c r="BH7" s="1999"/>
      <c r="BI7" s="1999"/>
      <c r="BJ7" s="1999"/>
      <c r="BK7" s="1999"/>
      <c r="BL7" s="1999"/>
      <c r="BM7" s="1999"/>
      <c r="BN7" s="1999"/>
      <c r="BO7" s="1999"/>
      <c r="BP7" s="1999"/>
      <c r="BQ7" s="1999"/>
      <c r="BR7" s="1999"/>
      <c r="BS7" s="1999"/>
      <c r="BT7" s="1999"/>
      <c r="BU7" s="1999"/>
      <c r="BV7" s="1999"/>
      <c r="BW7" s="1999"/>
      <c r="BX7" s="1999"/>
      <c r="BY7" s="1999"/>
      <c r="BZ7" s="1999"/>
      <c r="CA7" s="1999"/>
      <c r="CB7" s="1999"/>
      <c r="CC7" s="1999"/>
      <c r="CD7" s="1999"/>
      <c r="CE7" s="1999"/>
      <c r="CF7" s="1999"/>
      <c r="CG7" s="1999"/>
      <c r="CH7" s="1999"/>
      <c r="CI7" s="1999"/>
      <c r="CJ7" s="1999"/>
      <c r="CK7" s="1999"/>
      <c r="CL7" s="1999"/>
      <c r="CM7" s="1999"/>
      <c r="CN7" s="1999"/>
      <c r="CO7" s="1999"/>
      <c r="CP7" s="1999"/>
      <c r="CQ7" s="1999"/>
      <c r="CR7" s="1999"/>
      <c r="CS7" s="1999"/>
      <c r="CT7" s="1999"/>
      <c r="CU7" s="1999"/>
      <c r="CV7" s="1999"/>
      <c r="CW7" s="1999"/>
      <c r="CX7" s="1999"/>
      <c r="CY7" s="1999"/>
      <c r="CZ7" s="1999"/>
      <c r="DA7" s="1999"/>
      <c r="DB7" s="1999"/>
      <c r="DC7" s="1999"/>
      <c r="DD7" s="1999"/>
      <c r="DE7" s="1999"/>
      <c r="DF7" s="1999"/>
      <c r="DG7" s="1999"/>
      <c r="DH7" s="1999"/>
      <c r="DI7" s="1999"/>
      <c r="DJ7" s="1999"/>
      <c r="DK7" s="1999"/>
      <c r="DL7" s="1999"/>
      <c r="DM7" s="1999"/>
      <c r="DN7" s="1999"/>
      <c r="DO7" s="1999"/>
      <c r="DP7" s="1999"/>
      <c r="DQ7" s="1999"/>
      <c r="DR7" s="1999"/>
      <c r="DS7" s="1999"/>
      <c r="DT7" s="1999"/>
      <c r="DU7" s="1999"/>
      <c r="DV7" s="1999"/>
      <c r="DW7" s="1999"/>
      <c r="DX7" s="1999"/>
      <c r="DY7" s="1999"/>
      <c r="DZ7" s="1999"/>
      <c r="EA7" s="1999"/>
      <c r="EB7" s="1999"/>
      <c r="EC7" s="1999"/>
      <c r="ED7" s="1999"/>
      <c r="EE7" s="1999"/>
      <c r="EF7" s="1999"/>
      <c r="EG7" s="1999"/>
      <c r="EH7" s="1999"/>
      <c r="EI7" s="1999"/>
      <c r="EJ7" s="1999"/>
      <c r="EK7" s="1999"/>
      <c r="EL7" s="1999"/>
      <c r="EM7" s="1999"/>
      <c r="EN7" s="1999"/>
      <c r="EO7" s="1999"/>
      <c r="EP7" s="1999"/>
      <c r="EQ7" s="1999"/>
      <c r="ER7" s="1999"/>
      <c r="ES7" s="1999"/>
      <c r="ET7" s="1999"/>
      <c r="EU7" s="1999"/>
      <c r="EV7" s="1999"/>
      <c r="EW7" s="1999"/>
      <c r="EX7" s="1999"/>
      <c r="EY7" s="1999"/>
      <c r="EZ7" s="1999"/>
      <c r="FA7" s="1999"/>
      <c r="FB7" s="1999"/>
      <c r="FC7" s="1999"/>
      <c r="FD7" s="1999"/>
      <c r="FE7" s="1999"/>
      <c r="FF7" s="1999"/>
      <c r="FG7" s="1999"/>
      <c r="FH7" s="1999"/>
      <c r="FI7" s="1999"/>
      <c r="FJ7" s="1999"/>
      <c r="FK7" s="1999"/>
      <c r="FL7" s="1999"/>
      <c r="FM7" s="1999"/>
      <c r="FN7" s="1999"/>
      <c r="FO7" s="1999"/>
      <c r="FP7" s="1999"/>
      <c r="FQ7" s="1999"/>
      <c r="FR7" s="1999"/>
      <c r="FS7" s="1999"/>
      <c r="FT7" s="1999"/>
      <c r="FU7" s="1999"/>
      <c r="FV7" s="1999"/>
      <c r="FW7" s="1999"/>
      <c r="FX7" s="1999"/>
      <c r="FY7" s="1999"/>
      <c r="FZ7" s="1999"/>
      <c r="GA7" s="1999"/>
      <c r="GB7" s="1999"/>
      <c r="GC7" s="1999"/>
      <c r="GD7" s="1999"/>
      <c r="GE7" s="1999"/>
      <c r="GF7" s="1999"/>
      <c r="GG7" s="1999"/>
      <c r="GH7" s="1999"/>
      <c r="GI7" s="1999"/>
      <c r="GJ7" s="1999"/>
      <c r="GK7" s="1999"/>
      <c r="GL7" s="1999"/>
      <c r="GM7" s="1999"/>
      <c r="GN7" s="1999"/>
      <c r="GO7" s="1999"/>
      <c r="GP7" s="1999"/>
      <c r="GQ7" s="1999"/>
      <c r="GR7" s="1999"/>
      <c r="GS7" s="1999"/>
      <c r="GT7" s="1999"/>
      <c r="GU7" s="1999"/>
      <c r="GV7" s="1999"/>
      <c r="GW7" s="1999"/>
      <c r="GX7" s="1999"/>
      <c r="GY7" s="1999"/>
      <c r="GZ7" s="1999"/>
      <c r="HA7" s="1999"/>
      <c r="HB7" s="1999"/>
      <c r="HC7" s="1999"/>
      <c r="HD7" s="1999"/>
      <c r="HE7" s="1999"/>
      <c r="HF7" s="1999"/>
      <c r="HG7" s="1999"/>
      <c r="HH7" s="1999"/>
      <c r="HI7" s="1999"/>
      <c r="HJ7" s="1999"/>
      <c r="HK7" s="1999"/>
      <c r="HL7" s="1999"/>
      <c r="HM7" s="1999"/>
      <c r="HN7" s="1999"/>
      <c r="HO7" s="1999"/>
      <c r="HP7" s="1999"/>
      <c r="HQ7" s="1999"/>
      <c r="HR7" s="1999"/>
      <c r="HS7" s="1999"/>
      <c r="HT7" s="1999"/>
      <c r="HU7" s="1999"/>
      <c r="HV7" s="1999"/>
      <c r="HW7" s="1999"/>
      <c r="HX7" s="1999"/>
      <c r="HY7" s="1999"/>
      <c r="HZ7" s="1999"/>
      <c r="IA7" s="1999"/>
      <c r="IB7" s="1999"/>
      <c r="IC7" s="1999"/>
      <c r="ID7" s="1999"/>
      <c r="IE7" s="1999"/>
      <c r="IF7" s="1999"/>
      <c r="IG7" s="1999"/>
      <c r="IH7" s="1999"/>
      <c r="II7" s="1999"/>
      <c r="IJ7" s="1999"/>
      <c r="IK7" s="1999"/>
      <c r="IL7" s="1999"/>
      <c r="IM7" s="1999"/>
    </row>
    <row r="8" spans="1:247" ht="40.5" customHeight="1">
      <c r="A8" s="2016" t="s">
        <v>825</v>
      </c>
      <c r="B8" s="2017" t="s">
        <v>938</v>
      </c>
      <c r="C8" s="2022">
        <v>40000000</v>
      </c>
      <c r="D8" s="2023" t="s">
        <v>936</v>
      </c>
      <c r="E8" s="2023" t="s">
        <v>936</v>
      </c>
      <c r="F8" s="2024" t="s">
        <v>936</v>
      </c>
      <c r="G8" s="2025">
        <f t="shared" ref="G8:G22" si="1">SUM(C8:F8)</f>
        <v>40000000</v>
      </c>
      <c r="H8" s="2015">
        <f t="shared" si="0"/>
        <v>8.5319666438194424E-3</v>
      </c>
      <c r="I8" s="1999"/>
      <c r="J8" s="1999"/>
      <c r="K8" s="1999"/>
      <c r="L8" s="1999"/>
      <c r="M8" s="1999"/>
      <c r="N8" s="1999"/>
      <c r="O8" s="1999"/>
      <c r="P8" s="1999"/>
      <c r="Q8" s="1999"/>
      <c r="R8" s="1999"/>
      <c r="S8" s="1999"/>
      <c r="T8" s="1999"/>
      <c r="U8" s="1999"/>
      <c r="V8" s="1999"/>
      <c r="W8" s="1999"/>
      <c r="X8" s="1999"/>
      <c r="Y8" s="1999"/>
      <c r="Z8" s="1999"/>
      <c r="AA8" s="1999"/>
      <c r="AB8" s="1999"/>
      <c r="AC8" s="1999"/>
      <c r="AD8" s="1999"/>
      <c r="AE8" s="1999"/>
      <c r="AF8" s="1999"/>
      <c r="AG8" s="1999"/>
      <c r="AH8" s="1999"/>
      <c r="AI8" s="1999"/>
      <c r="AJ8" s="1999"/>
      <c r="AK8" s="1999"/>
      <c r="AL8" s="1999"/>
      <c r="AM8" s="1999"/>
      <c r="AN8" s="1999"/>
      <c r="AO8" s="1999"/>
      <c r="AP8" s="1999"/>
      <c r="AQ8" s="1999"/>
      <c r="AR8" s="1999"/>
      <c r="AS8" s="1999"/>
      <c r="AT8" s="1999"/>
      <c r="AU8" s="1999"/>
      <c r="AV8" s="1999"/>
      <c r="AW8" s="1999"/>
      <c r="AX8" s="1999"/>
      <c r="AY8" s="1999"/>
      <c r="AZ8" s="1999"/>
      <c r="BA8" s="1999"/>
      <c r="BB8" s="1999"/>
      <c r="BC8" s="1999"/>
      <c r="BD8" s="1999"/>
      <c r="BE8" s="1999"/>
      <c r="BF8" s="1999"/>
      <c r="BG8" s="1999"/>
      <c r="BH8" s="1999"/>
      <c r="BI8" s="1999"/>
      <c r="BJ8" s="1999"/>
      <c r="BK8" s="1999"/>
      <c r="BL8" s="1999"/>
      <c r="BM8" s="1999"/>
      <c r="BN8" s="1999"/>
      <c r="BO8" s="1999"/>
      <c r="BP8" s="1999"/>
      <c r="BQ8" s="1999"/>
      <c r="BR8" s="1999"/>
      <c r="BS8" s="1999"/>
      <c r="BT8" s="1999"/>
      <c r="BU8" s="1999"/>
      <c r="BV8" s="1999"/>
      <c r="BW8" s="1999"/>
      <c r="BX8" s="1999"/>
      <c r="BY8" s="1999"/>
      <c r="BZ8" s="1999"/>
      <c r="CA8" s="1999"/>
      <c r="CB8" s="1999"/>
      <c r="CC8" s="1999"/>
      <c r="CD8" s="1999"/>
      <c r="CE8" s="1999"/>
      <c r="CF8" s="1999"/>
      <c r="CG8" s="1999"/>
      <c r="CH8" s="1999"/>
      <c r="CI8" s="1999"/>
      <c r="CJ8" s="1999"/>
      <c r="CK8" s="1999"/>
      <c r="CL8" s="1999"/>
      <c r="CM8" s="1999"/>
      <c r="CN8" s="1999"/>
      <c r="CO8" s="1999"/>
      <c r="CP8" s="1999"/>
      <c r="CQ8" s="1999"/>
      <c r="CR8" s="1999"/>
      <c r="CS8" s="1999"/>
      <c r="CT8" s="1999"/>
      <c r="CU8" s="1999"/>
      <c r="CV8" s="1999"/>
      <c r="CW8" s="1999"/>
      <c r="CX8" s="1999"/>
      <c r="CY8" s="1999"/>
      <c r="CZ8" s="1999"/>
      <c r="DA8" s="1999"/>
      <c r="DB8" s="1999"/>
      <c r="DC8" s="1999"/>
      <c r="DD8" s="1999"/>
      <c r="DE8" s="1999"/>
      <c r="DF8" s="1999"/>
      <c r="DG8" s="1999"/>
      <c r="DH8" s="1999"/>
      <c r="DI8" s="1999"/>
      <c r="DJ8" s="1999"/>
      <c r="DK8" s="1999"/>
      <c r="DL8" s="1999"/>
      <c r="DM8" s="1999"/>
      <c r="DN8" s="1999"/>
      <c r="DO8" s="1999"/>
      <c r="DP8" s="1999"/>
      <c r="DQ8" s="1999"/>
      <c r="DR8" s="1999"/>
      <c r="DS8" s="1999"/>
      <c r="DT8" s="1999"/>
      <c r="DU8" s="1999"/>
      <c r="DV8" s="1999"/>
      <c r="DW8" s="1999"/>
      <c r="DX8" s="1999"/>
      <c r="DY8" s="1999"/>
      <c r="DZ8" s="1999"/>
      <c r="EA8" s="1999"/>
      <c r="EB8" s="1999"/>
      <c r="EC8" s="1999"/>
      <c r="ED8" s="1999"/>
      <c r="EE8" s="1999"/>
      <c r="EF8" s="1999"/>
      <c r="EG8" s="1999"/>
      <c r="EH8" s="1999"/>
      <c r="EI8" s="1999"/>
      <c r="EJ8" s="1999"/>
      <c r="EK8" s="1999"/>
      <c r="EL8" s="1999"/>
      <c r="EM8" s="1999"/>
      <c r="EN8" s="1999"/>
      <c r="EO8" s="1999"/>
      <c r="EP8" s="1999"/>
      <c r="EQ8" s="1999"/>
      <c r="ER8" s="1999"/>
      <c r="ES8" s="1999"/>
      <c r="ET8" s="1999"/>
      <c r="EU8" s="1999"/>
      <c r="EV8" s="1999"/>
      <c r="EW8" s="1999"/>
      <c r="EX8" s="1999"/>
      <c r="EY8" s="1999"/>
      <c r="EZ8" s="1999"/>
      <c r="FA8" s="1999"/>
      <c r="FB8" s="1999"/>
      <c r="FC8" s="1999"/>
      <c r="FD8" s="1999"/>
      <c r="FE8" s="1999"/>
      <c r="FF8" s="1999"/>
      <c r="FG8" s="1999"/>
      <c r="FH8" s="1999"/>
      <c r="FI8" s="1999"/>
      <c r="FJ8" s="1999"/>
      <c r="FK8" s="1999"/>
      <c r="FL8" s="1999"/>
      <c r="FM8" s="1999"/>
      <c r="FN8" s="1999"/>
      <c r="FO8" s="1999"/>
      <c r="FP8" s="1999"/>
      <c r="FQ8" s="1999"/>
      <c r="FR8" s="1999"/>
      <c r="FS8" s="1999"/>
      <c r="FT8" s="1999"/>
      <c r="FU8" s="1999"/>
      <c r="FV8" s="1999"/>
      <c r="FW8" s="1999"/>
      <c r="FX8" s="1999"/>
      <c r="FY8" s="1999"/>
      <c r="FZ8" s="1999"/>
      <c r="GA8" s="1999"/>
      <c r="GB8" s="1999"/>
      <c r="GC8" s="1999"/>
      <c r="GD8" s="1999"/>
      <c r="GE8" s="1999"/>
      <c r="GF8" s="1999"/>
      <c r="GG8" s="1999"/>
      <c r="GH8" s="1999"/>
      <c r="GI8" s="1999"/>
      <c r="GJ8" s="1999"/>
      <c r="GK8" s="1999"/>
      <c r="GL8" s="1999"/>
      <c r="GM8" s="1999"/>
      <c r="GN8" s="1999"/>
      <c r="GO8" s="1999"/>
      <c r="GP8" s="1999"/>
      <c r="GQ8" s="1999"/>
      <c r="GR8" s="1999"/>
      <c r="GS8" s="1999"/>
      <c r="GT8" s="1999"/>
      <c r="GU8" s="1999"/>
      <c r="GV8" s="1999"/>
      <c r="GW8" s="1999"/>
      <c r="GX8" s="1999"/>
      <c r="GY8" s="1999"/>
      <c r="GZ8" s="1999"/>
      <c r="HA8" s="1999"/>
      <c r="HB8" s="1999"/>
      <c r="HC8" s="1999"/>
      <c r="HD8" s="1999"/>
      <c r="HE8" s="1999"/>
      <c r="HF8" s="1999"/>
      <c r="HG8" s="1999"/>
      <c r="HH8" s="1999"/>
      <c r="HI8" s="1999"/>
      <c r="HJ8" s="1999"/>
      <c r="HK8" s="1999"/>
      <c r="HL8" s="1999"/>
      <c r="HM8" s="1999"/>
      <c r="HN8" s="1999"/>
      <c r="HO8" s="1999"/>
      <c r="HP8" s="1999"/>
      <c r="HQ8" s="1999"/>
      <c r="HR8" s="1999"/>
      <c r="HS8" s="1999"/>
      <c r="HT8" s="1999"/>
      <c r="HU8" s="1999"/>
      <c r="HV8" s="1999"/>
      <c r="HW8" s="1999"/>
      <c r="HX8" s="1999"/>
      <c r="HY8" s="1999"/>
      <c r="HZ8" s="1999"/>
      <c r="IA8" s="1999"/>
      <c r="IB8" s="1999"/>
      <c r="IC8" s="1999"/>
      <c r="ID8" s="1999"/>
      <c r="IE8" s="1999"/>
      <c r="IF8" s="1999"/>
      <c r="IG8" s="1999"/>
      <c r="IH8" s="1999"/>
      <c r="II8" s="1999"/>
      <c r="IJ8" s="1999"/>
      <c r="IK8" s="1999"/>
      <c r="IL8" s="1999"/>
      <c r="IM8" s="1999"/>
    </row>
    <row r="9" spans="1:247" ht="16.5" customHeight="1">
      <c r="A9" s="2016" t="s">
        <v>826</v>
      </c>
      <c r="B9" s="2017" t="s">
        <v>939</v>
      </c>
      <c r="C9" s="2025">
        <v>28182057</v>
      </c>
      <c r="D9" s="2023" t="s">
        <v>936</v>
      </c>
      <c r="E9" s="2019">
        <v>1817943</v>
      </c>
      <c r="F9" s="2024" t="s">
        <v>936</v>
      </c>
      <c r="G9" s="2021">
        <f t="shared" si="1"/>
        <v>30000000</v>
      </c>
      <c r="H9" s="2015">
        <f t="shared" si="0"/>
        <v>6.3989749828645822E-3</v>
      </c>
      <c r="I9" s="1999"/>
      <c r="J9" s="1999"/>
      <c r="K9" s="1999"/>
      <c r="L9" s="1999"/>
      <c r="M9" s="1999"/>
      <c r="N9" s="1999"/>
      <c r="O9" s="1999"/>
      <c r="P9" s="1999"/>
      <c r="Q9" s="1999"/>
      <c r="R9" s="1999"/>
      <c r="S9" s="1999"/>
      <c r="T9" s="1999"/>
      <c r="U9" s="1999"/>
      <c r="V9" s="1999"/>
      <c r="W9" s="1999"/>
      <c r="X9" s="1999"/>
      <c r="Y9" s="1999"/>
      <c r="Z9" s="1999"/>
      <c r="AA9" s="1999"/>
      <c r="AB9" s="1999"/>
      <c r="AC9" s="1999"/>
      <c r="AD9" s="1999"/>
      <c r="AE9" s="1999"/>
      <c r="AF9" s="1999"/>
      <c r="AG9" s="1999"/>
      <c r="AH9" s="1999"/>
      <c r="AI9" s="1999"/>
      <c r="AJ9" s="1999"/>
      <c r="AK9" s="1999"/>
      <c r="AL9" s="1999"/>
      <c r="AM9" s="1999"/>
      <c r="AN9" s="1999"/>
      <c r="AO9" s="1999"/>
      <c r="AP9" s="1999"/>
      <c r="AQ9" s="1999"/>
      <c r="AR9" s="1999"/>
      <c r="AS9" s="1999"/>
      <c r="AT9" s="1999"/>
      <c r="AU9" s="1999"/>
      <c r="AV9" s="1999"/>
      <c r="AW9" s="1999"/>
      <c r="AX9" s="1999"/>
      <c r="AY9" s="1999"/>
      <c r="AZ9" s="1999"/>
      <c r="BA9" s="1999"/>
      <c r="BB9" s="1999"/>
      <c r="BC9" s="1999"/>
      <c r="BD9" s="1999"/>
      <c r="BE9" s="1999"/>
      <c r="BF9" s="1999"/>
      <c r="BG9" s="1999"/>
      <c r="BH9" s="1999"/>
      <c r="BI9" s="1999"/>
      <c r="BJ9" s="1999"/>
      <c r="BK9" s="1999"/>
      <c r="BL9" s="1999"/>
      <c r="BM9" s="1999"/>
      <c r="BN9" s="1999"/>
      <c r="BO9" s="1999"/>
      <c r="BP9" s="1999"/>
      <c r="BQ9" s="1999"/>
      <c r="BR9" s="1999"/>
      <c r="BS9" s="1999"/>
      <c r="BT9" s="1999"/>
      <c r="BU9" s="1999"/>
      <c r="BV9" s="1999"/>
      <c r="BW9" s="1999"/>
      <c r="BX9" s="1999"/>
      <c r="BY9" s="1999"/>
      <c r="BZ9" s="1999"/>
      <c r="CA9" s="1999"/>
      <c r="CB9" s="1999"/>
      <c r="CC9" s="1999"/>
      <c r="CD9" s="1999"/>
      <c r="CE9" s="1999"/>
      <c r="CF9" s="1999"/>
      <c r="CG9" s="1999"/>
      <c r="CH9" s="1999"/>
      <c r="CI9" s="1999"/>
      <c r="CJ9" s="1999"/>
      <c r="CK9" s="1999"/>
      <c r="CL9" s="1999"/>
      <c r="CM9" s="1999"/>
      <c r="CN9" s="1999"/>
      <c r="CO9" s="1999"/>
      <c r="CP9" s="1999"/>
      <c r="CQ9" s="1999"/>
      <c r="CR9" s="1999"/>
      <c r="CS9" s="1999"/>
      <c r="CT9" s="1999"/>
      <c r="CU9" s="1999"/>
      <c r="CV9" s="1999"/>
      <c r="CW9" s="1999"/>
      <c r="CX9" s="1999"/>
      <c r="CY9" s="1999"/>
      <c r="CZ9" s="1999"/>
      <c r="DA9" s="1999"/>
      <c r="DB9" s="1999"/>
      <c r="DC9" s="1999"/>
      <c r="DD9" s="1999"/>
      <c r="DE9" s="1999"/>
      <c r="DF9" s="1999"/>
      <c r="DG9" s="1999"/>
      <c r="DH9" s="1999"/>
      <c r="DI9" s="1999"/>
      <c r="DJ9" s="1999"/>
      <c r="DK9" s="1999"/>
      <c r="DL9" s="1999"/>
      <c r="DM9" s="1999"/>
      <c r="DN9" s="1999"/>
      <c r="DO9" s="1999"/>
      <c r="DP9" s="1999"/>
      <c r="DQ9" s="1999"/>
      <c r="DR9" s="1999"/>
      <c r="DS9" s="1999"/>
      <c r="DT9" s="1999"/>
      <c r="DU9" s="1999"/>
      <c r="DV9" s="1999"/>
      <c r="DW9" s="1999"/>
      <c r="DX9" s="1999"/>
      <c r="DY9" s="1999"/>
      <c r="DZ9" s="1999"/>
      <c r="EA9" s="1999"/>
      <c r="EB9" s="1999"/>
      <c r="EC9" s="1999"/>
      <c r="ED9" s="1999"/>
      <c r="EE9" s="1999"/>
      <c r="EF9" s="1999"/>
      <c r="EG9" s="1999"/>
      <c r="EH9" s="1999"/>
      <c r="EI9" s="1999"/>
      <c r="EJ9" s="1999"/>
      <c r="EK9" s="1999"/>
      <c r="EL9" s="1999"/>
      <c r="EM9" s="1999"/>
      <c r="EN9" s="1999"/>
      <c r="EO9" s="1999"/>
      <c r="EP9" s="1999"/>
      <c r="EQ9" s="1999"/>
      <c r="ER9" s="1999"/>
      <c r="ES9" s="1999"/>
      <c r="ET9" s="1999"/>
      <c r="EU9" s="1999"/>
      <c r="EV9" s="1999"/>
      <c r="EW9" s="1999"/>
      <c r="EX9" s="1999"/>
      <c r="EY9" s="1999"/>
      <c r="EZ9" s="1999"/>
      <c r="FA9" s="1999"/>
      <c r="FB9" s="1999"/>
      <c r="FC9" s="1999"/>
      <c r="FD9" s="1999"/>
      <c r="FE9" s="1999"/>
      <c r="FF9" s="1999"/>
      <c r="FG9" s="1999"/>
      <c r="FH9" s="1999"/>
      <c r="FI9" s="1999"/>
      <c r="FJ9" s="1999"/>
      <c r="FK9" s="1999"/>
      <c r="FL9" s="1999"/>
      <c r="FM9" s="1999"/>
      <c r="FN9" s="1999"/>
      <c r="FO9" s="1999"/>
      <c r="FP9" s="1999"/>
      <c r="FQ9" s="1999"/>
      <c r="FR9" s="1999"/>
      <c r="FS9" s="1999"/>
      <c r="FT9" s="1999"/>
      <c r="FU9" s="1999"/>
      <c r="FV9" s="1999"/>
      <c r="FW9" s="1999"/>
      <c r="FX9" s="1999"/>
      <c r="FY9" s="1999"/>
      <c r="FZ9" s="1999"/>
      <c r="GA9" s="1999"/>
      <c r="GB9" s="1999"/>
      <c r="GC9" s="1999"/>
      <c r="GD9" s="1999"/>
      <c r="GE9" s="1999"/>
      <c r="GF9" s="1999"/>
      <c r="GG9" s="1999"/>
      <c r="GH9" s="1999"/>
      <c r="GI9" s="1999"/>
      <c r="GJ9" s="1999"/>
      <c r="GK9" s="1999"/>
      <c r="GL9" s="1999"/>
      <c r="GM9" s="1999"/>
      <c r="GN9" s="1999"/>
      <c r="GO9" s="1999"/>
      <c r="GP9" s="1999"/>
      <c r="GQ9" s="1999"/>
      <c r="GR9" s="1999"/>
      <c r="GS9" s="1999"/>
      <c r="GT9" s="1999"/>
      <c r="GU9" s="1999"/>
      <c r="GV9" s="1999"/>
      <c r="GW9" s="1999"/>
      <c r="GX9" s="1999"/>
      <c r="GY9" s="1999"/>
      <c r="GZ9" s="1999"/>
      <c r="HA9" s="1999"/>
      <c r="HB9" s="1999"/>
      <c r="HC9" s="1999"/>
      <c r="HD9" s="1999"/>
      <c r="HE9" s="1999"/>
      <c r="HF9" s="1999"/>
      <c r="HG9" s="1999"/>
      <c r="HH9" s="1999"/>
      <c r="HI9" s="1999"/>
      <c r="HJ9" s="1999"/>
      <c r="HK9" s="1999"/>
      <c r="HL9" s="1999"/>
      <c r="HM9" s="1999"/>
      <c r="HN9" s="1999"/>
      <c r="HO9" s="1999"/>
      <c r="HP9" s="1999"/>
      <c r="HQ9" s="1999"/>
      <c r="HR9" s="1999"/>
      <c r="HS9" s="1999"/>
      <c r="HT9" s="1999"/>
      <c r="HU9" s="1999"/>
      <c r="HV9" s="1999"/>
      <c r="HW9" s="1999"/>
      <c r="HX9" s="1999"/>
      <c r="HY9" s="1999"/>
      <c r="HZ9" s="1999"/>
      <c r="IA9" s="1999"/>
      <c r="IB9" s="1999"/>
      <c r="IC9" s="1999"/>
      <c r="ID9" s="1999"/>
      <c r="IE9" s="1999"/>
      <c r="IF9" s="1999"/>
      <c r="IG9" s="1999"/>
      <c r="IH9" s="1999"/>
      <c r="II9" s="1999"/>
      <c r="IJ9" s="1999"/>
      <c r="IK9" s="1999"/>
      <c r="IL9" s="1999"/>
      <c r="IM9" s="1999"/>
    </row>
    <row r="10" spans="1:247" ht="20.25" customHeight="1">
      <c r="A10" s="2016" t="s">
        <v>827</v>
      </c>
      <c r="B10" s="2017" t="s">
        <v>940</v>
      </c>
      <c r="C10" s="2025">
        <f>C12</f>
        <v>218412169.58000001</v>
      </c>
      <c r="D10" s="2019">
        <f>D11</f>
        <v>74123174</v>
      </c>
      <c r="E10" s="2019">
        <f>E11</f>
        <v>133223989</v>
      </c>
      <c r="F10" s="2020">
        <f>+F11</f>
        <v>12652837</v>
      </c>
      <c r="G10" s="2021">
        <f t="shared" si="1"/>
        <v>438412169.58000004</v>
      </c>
      <c r="H10" s="2015">
        <f t="shared" si="0"/>
        <v>9.3512950177526838E-2</v>
      </c>
      <c r="I10" s="1999"/>
      <c r="J10" s="1999"/>
      <c r="K10" s="1999"/>
      <c r="L10" s="1999"/>
      <c r="M10" s="1999"/>
      <c r="N10" s="1999"/>
      <c r="O10" s="1999"/>
      <c r="P10" s="1999"/>
      <c r="Q10" s="1999"/>
      <c r="R10" s="1999"/>
      <c r="S10" s="1999"/>
      <c r="T10" s="1999"/>
      <c r="U10" s="1999"/>
      <c r="V10" s="1999"/>
      <c r="W10" s="1999"/>
      <c r="X10" s="1999"/>
      <c r="Y10" s="1999"/>
      <c r="Z10" s="1999"/>
      <c r="AA10" s="1999"/>
      <c r="AB10" s="1999"/>
      <c r="AC10" s="1999"/>
      <c r="AD10" s="1999"/>
      <c r="AE10" s="1999"/>
      <c r="AF10" s="1999"/>
      <c r="AG10" s="1999"/>
      <c r="AH10" s="1999"/>
      <c r="AI10" s="1999"/>
      <c r="AJ10" s="1999"/>
      <c r="AK10" s="1999"/>
      <c r="AL10" s="1999"/>
      <c r="AM10" s="1999"/>
      <c r="AN10" s="1999"/>
      <c r="AO10" s="1999"/>
      <c r="AP10" s="1999"/>
      <c r="AQ10" s="1999"/>
      <c r="AR10" s="1999"/>
      <c r="AS10" s="1999"/>
      <c r="AT10" s="1999"/>
      <c r="AU10" s="1999"/>
      <c r="AV10" s="1999"/>
      <c r="AW10" s="1999"/>
      <c r="AX10" s="1999"/>
      <c r="AY10" s="1999"/>
      <c r="AZ10" s="1999"/>
      <c r="BA10" s="1999"/>
      <c r="BB10" s="1999"/>
      <c r="BC10" s="1999"/>
      <c r="BD10" s="1999"/>
      <c r="BE10" s="1999"/>
      <c r="BF10" s="1999"/>
      <c r="BG10" s="1999"/>
      <c r="BH10" s="1999"/>
      <c r="BI10" s="1999"/>
      <c r="BJ10" s="1999"/>
      <c r="BK10" s="1999"/>
      <c r="BL10" s="1999"/>
      <c r="BM10" s="1999"/>
      <c r="BN10" s="1999"/>
      <c r="BO10" s="1999"/>
      <c r="BP10" s="1999"/>
      <c r="BQ10" s="1999"/>
      <c r="BR10" s="1999"/>
      <c r="BS10" s="1999"/>
      <c r="BT10" s="1999"/>
      <c r="BU10" s="1999"/>
      <c r="BV10" s="1999"/>
      <c r="BW10" s="1999"/>
      <c r="BX10" s="1999"/>
      <c r="BY10" s="1999"/>
      <c r="BZ10" s="1999"/>
      <c r="CA10" s="1999"/>
      <c r="CB10" s="1999"/>
      <c r="CC10" s="1999"/>
      <c r="CD10" s="1999"/>
      <c r="CE10" s="1999"/>
      <c r="CF10" s="1999"/>
      <c r="CG10" s="1999"/>
      <c r="CH10" s="1999"/>
      <c r="CI10" s="1999"/>
      <c r="CJ10" s="1999"/>
      <c r="CK10" s="1999"/>
      <c r="CL10" s="1999"/>
      <c r="CM10" s="1999"/>
      <c r="CN10" s="1999"/>
      <c r="CO10" s="1999"/>
      <c r="CP10" s="1999"/>
      <c r="CQ10" s="1999"/>
      <c r="CR10" s="1999"/>
      <c r="CS10" s="1999"/>
      <c r="CT10" s="1999"/>
      <c r="CU10" s="1999"/>
      <c r="CV10" s="1999"/>
      <c r="CW10" s="1999"/>
      <c r="CX10" s="1999"/>
      <c r="CY10" s="1999"/>
      <c r="CZ10" s="1999"/>
      <c r="DA10" s="1999"/>
      <c r="DB10" s="1999"/>
      <c r="DC10" s="1999"/>
      <c r="DD10" s="1999"/>
      <c r="DE10" s="1999"/>
      <c r="DF10" s="1999"/>
      <c r="DG10" s="1999"/>
      <c r="DH10" s="1999"/>
      <c r="DI10" s="1999"/>
      <c r="DJ10" s="1999"/>
      <c r="DK10" s="1999"/>
      <c r="DL10" s="1999"/>
      <c r="DM10" s="1999"/>
      <c r="DN10" s="1999"/>
      <c r="DO10" s="1999"/>
      <c r="DP10" s="1999"/>
      <c r="DQ10" s="1999"/>
      <c r="DR10" s="1999"/>
      <c r="DS10" s="1999"/>
      <c r="DT10" s="1999"/>
      <c r="DU10" s="1999"/>
      <c r="DV10" s="1999"/>
      <c r="DW10" s="1999"/>
      <c r="DX10" s="1999"/>
      <c r="DY10" s="1999"/>
      <c r="DZ10" s="1999"/>
      <c r="EA10" s="1999"/>
      <c r="EB10" s="1999"/>
      <c r="EC10" s="1999"/>
      <c r="ED10" s="1999"/>
      <c r="EE10" s="1999"/>
      <c r="EF10" s="1999"/>
      <c r="EG10" s="1999"/>
      <c r="EH10" s="1999"/>
      <c r="EI10" s="1999"/>
      <c r="EJ10" s="1999"/>
      <c r="EK10" s="1999"/>
      <c r="EL10" s="1999"/>
      <c r="EM10" s="1999"/>
      <c r="EN10" s="1999"/>
      <c r="EO10" s="1999"/>
      <c r="EP10" s="1999"/>
      <c r="EQ10" s="1999"/>
      <c r="ER10" s="1999"/>
      <c r="ES10" s="1999"/>
      <c r="ET10" s="1999"/>
      <c r="EU10" s="1999"/>
      <c r="EV10" s="1999"/>
      <c r="EW10" s="1999"/>
      <c r="EX10" s="1999"/>
      <c r="EY10" s="1999"/>
      <c r="EZ10" s="1999"/>
      <c r="FA10" s="1999"/>
      <c r="FB10" s="1999"/>
      <c r="FC10" s="1999"/>
      <c r="FD10" s="1999"/>
      <c r="FE10" s="1999"/>
      <c r="FF10" s="1999"/>
      <c r="FG10" s="1999"/>
      <c r="FH10" s="1999"/>
      <c r="FI10" s="1999"/>
      <c r="FJ10" s="1999"/>
      <c r="FK10" s="1999"/>
      <c r="FL10" s="1999"/>
      <c r="FM10" s="1999"/>
      <c r="FN10" s="1999"/>
      <c r="FO10" s="1999"/>
      <c r="FP10" s="1999"/>
      <c r="FQ10" s="1999"/>
      <c r="FR10" s="1999"/>
      <c r="FS10" s="1999"/>
      <c r="FT10" s="1999"/>
      <c r="FU10" s="1999"/>
      <c r="FV10" s="1999"/>
      <c r="FW10" s="1999"/>
      <c r="FX10" s="1999"/>
      <c r="FY10" s="1999"/>
      <c r="FZ10" s="1999"/>
      <c r="GA10" s="1999"/>
      <c r="GB10" s="1999"/>
      <c r="GC10" s="1999"/>
      <c r="GD10" s="1999"/>
      <c r="GE10" s="1999"/>
      <c r="GF10" s="1999"/>
      <c r="GG10" s="1999"/>
      <c r="GH10" s="1999"/>
      <c r="GI10" s="1999"/>
      <c r="GJ10" s="1999"/>
      <c r="GK10" s="1999"/>
      <c r="GL10" s="1999"/>
      <c r="GM10" s="1999"/>
      <c r="GN10" s="1999"/>
      <c r="GO10" s="1999"/>
      <c r="GP10" s="1999"/>
      <c r="GQ10" s="1999"/>
      <c r="GR10" s="1999"/>
      <c r="GS10" s="1999"/>
      <c r="GT10" s="1999"/>
      <c r="GU10" s="1999"/>
      <c r="GV10" s="1999"/>
      <c r="GW10" s="1999"/>
      <c r="GX10" s="1999"/>
      <c r="GY10" s="1999"/>
      <c r="GZ10" s="1999"/>
      <c r="HA10" s="1999"/>
      <c r="HB10" s="1999"/>
      <c r="HC10" s="1999"/>
      <c r="HD10" s="1999"/>
      <c r="HE10" s="1999"/>
      <c r="HF10" s="1999"/>
      <c r="HG10" s="1999"/>
      <c r="HH10" s="1999"/>
      <c r="HI10" s="1999"/>
      <c r="HJ10" s="1999"/>
      <c r="HK10" s="1999"/>
      <c r="HL10" s="1999"/>
      <c r="HM10" s="1999"/>
      <c r="HN10" s="1999"/>
      <c r="HO10" s="1999"/>
      <c r="HP10" s="1999"/>
      <c r="HQ10" s="1999"/>
      <c r="HR10" s="1999"/>
      <c r="HS10" s="1999"/>
      <c r="HT10" s="1999"/>
      <c r="HU10" s="1999"/>
      <c r="HV10" s="1999"/>
      <c r="HW10" s="1999"/>
      <c r="HX10" s="1999"/>
      <c r="HY10" s="1999"/>
      <c r="HZ10" s="1999"/>
      <c r="IA10" s="1999"/>
      <c r="IB10" s="1999"/>
      <c r="IC10" s="1999"/>
      <c r="ID10" s="1999"/>
      <c r="IE10" s="1999"/>
      <c r="IF10" s="1999"/>
      <c r="IG10" s="1999"/>
      <c r="IH10" s="1999"/>
      <c r="II10" s="1999"/>
      <c r="IJ10" s="1999"/>
      <c r="IK10" s="1999"/>
      <c r="IL10" s="1999"/>
      <c r="IM10" s="1999"/>
    </row>
    <row r="11" spans="1:247" ht="13.2">
      <c r="A11" s="2026" t="s">
        <v>941</v>
      </c>
      <c r="B11" s="2027" t="s">
        <v>942</v>
      </c>
      <c r="C11" s="2028" t="s">
        <v>936</v>
      </c>
      <c r="D11" s="2029">
        <v>74123174</v>
      </c>
      <c r="E11" s="2030">
        <v>133223989</v>
      </c>
      <c r="F11" s="2031">
        <v>12652837</v>
      </c>
      <c r="G11" s="2032">
        <f t="shared" si="1"/>
        <v>220000000</v>
      </c>
      <c r="H11" s="2033">
        <f t="shared" si="0"/>
        <v>4.6925816541006936E-2</v>
      </c>
      <c r="I11" s="1999"/>
      <c r="J11" s="1999"/>
      <c r="K11" s="1999"/>
      <c r="L11" s="1999"/>
      <c r="M11" s="1999"/>
      <c r="N11" s="1999"/>
      <c r="O11" s="1999"/>
      <c r="P11" s="1999"/>
      <c r="Q11" s="1999"/>
      <c r="R11" s="1999"/>
      <c r="S11" s="1999"/>
      <c r="T11" s="1999"/>
      <c r="U11" s="1999"/>
      <c r="V11" s="1999"/>
      <c r="W11" s="1999"/>
      <c r="X11" s="1999"/>
      <c r="Y11" s="1999"/>
      <c r="Z11" s="1999"/>
      <c r="AA11" s="1999"/>
      <c r="AB11" s="1999"/>
      <c r="AC11" s="1999"/>
      <c r="AD11" s="1999"/>
      <c r="AE11" s="1999"/>
      <c r="AF11" s="1999"/>
      <c r="AG11" s="1999"/>
      <c r="AH11" s="1999"/>
      <c r="AI11" s="1999"/>
      <c r="AJ11" s="1999"/>
      <c r="AK11" s="1999"/>
      <c r="AL11" s="1999"/>
      <c r="AM11" s="1999"/>
      <c r="AN11" s="1999"/>
      <c r="AO11" s="1999"/>
      <c r="AP11" s="1999"/>
      <c r="AQ11" s="1999"/>
      <c r="AR11" s="1999"/>
      <c r="AS11" s="1999"/>
      <c r="AT11" s="1999"/>
      <c r="AU11" s="1999"/>
      <c r="AV11" s="1999"/>
      <c r="AW11" s="1999"/>
      <c r="AX11" s="1999"/>
      <c r="AY11" s="1999"/>
      <c r="AZ11" s="1999"/>
      <c r="BA11" s="1999"/>
      <c r="BB11" s="1999"/>
      <c r="BC11" s="1999"/>
      <c r="BD11" s="1999"/>
      <c r="BE11" s="1999"/>
      <c r="BF11" s="1999"/>
      <c r="BG11" s="1999"/>
      <c r="BH11" s="1999"/>
      <c r="BI11" s="1999"/>
      <c r="BJ11" s="1999"/>
      <c r="BK11" s="1999"/>
      <c r="BL11" s="1999"/>
      <c r="BM11" s="1999"/>
      <c r="BN11" s="1999"/>
      <c r="BO11" s="1999"/>
      <c r="BP11" s="1999"/>
      <c r="BQ11" s="1999"/>
      <c r="BR11" s="1999"/>
      <c r="BS11" s="1999"/>
      <c r="BT11" s="1999"/>
      <c r="BU11" s="1999"/>
      <c r="BV11" s="1999"/>
      <c r="BW11" s="1999"/>
      <c r="BX11" s="1999"/>
      <c r="BY11" s="1999"/>
      <c r="BZ11" s="1999"/>
      <c r="CA11" s="1999"/>
      <c r="CB11" s="1999"/>
      <c r="CC11" s="1999"/>
      <c r="CD11" s="1999"/>
      <c r="CE11" s="1999"/>
      <c r="CF11" s="1999"/>
      <c r="CG11" s="1999"/>
      <c r="CH11" s="1999"/>
      <c r="CI11" s="1999"/>
      <c r="CJ11" s="1999"/>
      <c r="CK11" s="1999"/>
      <c r="CL11" s="1999"/>
      <c r="CM11" s="1999"/>
      <c r="CN11" s="1999"/>
      <c r="CO11" s="1999"/>
      <c r="CP11" s="1999"/>
      <c r="CQ11" s="1999"/>
      <c r="CR11" s="1999"/>
      <c r="CS11" s="1999"/>
      <c r="CT11" s="1999"/>
      <c r="CU11" s="1999"/>
      <c r="CV11" s="1999"/>
      <c r="CW11" s="1999"/>
      <c r="CX11" s="1999"/>
      <c r="CY11" s="1999"/>
      <c r="CZ11" s="1999"/>
      <c r="DA11" s="1999"/>
      <c r="DB11" s="1999"/>
      <c r="DC11" s="1999"/>
      <c r="DD11" s="1999"/>
      <c r="DE11" s="1999"/>
      <c r="DF11" s="1999"/>
      <c r="DG11" s="1999"/>
      <c r="DH11" s="1999"/>
      <c r="DI11" s="1999"/>
      <c r="DJ11" s="1999"/>
      <c r="DK11" s="1999"/>
      <c r="DL11" s="1999"/>
      <c r="DM11" s="1999"/>
      <c r="DN11" s="1999"/>
      <c r="DO11" s="1999"/>
      <c r="DP11" s="1999"/>
      <c r="DQ11" s="1999"/>
      <c r="DR11" s="1999"/>
      <c r="DS11" s="1999"/>
      <c r="DT11" s="1999"/>
      <c r="DU11" s="1999"/>
      <c r="DV11" s="1999"/>
      <c r="DW11" s="1999"/>
      <c r="DX11" s="1999"/>
      <c r="DY11" s="1999"/>
      <c r="DZ11" s="1999"/>
      <c r="EA11" s="1999"/>
      <c r="EB11" s="1999"/>
      <c r="EC11" s="1999"/>
      <c r="ED11" s="1999"/>
      <c r="EE11" s="1999"/>
      <c r="EF11" s="1999"/>
      <c r="EG11" s="1999"/>
      <c r="EH11" s="1999"/>
      <c r="EI11" s="1999"/>
      <c r="EJ11" s="1999"/>
      <c r="EK11" s="1999"/>
      <c r="EL11" s="1999"/>
      <c r="EM11" s="1999"/>
      <c r="EN11" s="1999"/>
      <c r="EO11" s="1999"/>
      <c r="EP11" s="1999"/>
      <c r="EQ11" s="1999"/>
      <c r="ER11" s="1999"/>
      <c r="ES11" s="1999"/>
      <c r="ET11" s="1999"/>
      <c r="EU11" s="1999"/>
      <c r="EV11" s="1999"/>
      <c r="EW11" s="1999"/>
      <c r="EX11" s="1999"/>
      <c r="EY11" s="1999"/>
      <c r="EZ11" s="1999"/>
      <c r="FA11" s="1999"/>
      <c r="FB11" s="1999"/>
      <c r="FC11" s="1999"/>
      <c r="FD11" s="1999"/>
      <c r="FE11" s="1999"/>
      <c r="FF11" s="1999"/>
      <c r="FG11" s="1999"/>
      <c r="FH11" s="1999"/>
      <c r="FI11" s="1999"/>
      <c r="FJ11" s="1999"/>
      <c r="FK11" s="1999"/>
      <c r="FL11" s="1999"/>
      <c r="FM11" s="1999"/>
      <c r="FN11" s="1999"/>
      <c r="FO11" s="1999"/>
      <c r="FP11" s="1999"/>
      <c r="FQ11" s="1999"/>
      <c r="FR11" s="1999"/>
      <c r="FS11" s="1999"/>
      <c r="FT11" s="1999"/>
      <c r="FU11" s="1999"/>
      <c r="FV11" s="1999"/>
      <c r="FW11" s="1999"/>
      <c r="FX11" s="1999"/>
      <c r="FY11" s="1999"/>
      <c r="FZ11" s="1999"/>
      <c r="GA11" s="1999"/>
      <c r="GB11" s="1999"/>
      <c r="GC11" s="1999"/>
      <c r="GD11" s="1999"/>
      <c r="GE11" s="1999"/>
      <c r="GF11" s="1999"/>
      <c r="GG11" s="1999"/>
      <c r="GH11" s="1999"/>
      <c r="GI11" s="1999"/>
      <c r="GJ11" s="1999"/>
      <c r="GK11" s="1999"/>
      <c r="GL11" s="1999"/>
      <c r="GM11" s="1999"/>
      <c r="GN11" s="1999"/>
      <c r="GO11" s="1999"/>
      <c r="GP11" s="1999"/>
      <c r="GQ11" s="1999"/>
      <c r="GR11" s="1999"/>
      <c r="GS11" s="1999"/>
      <c r="GT11" s="1999"/>
      <c r="GU11" s="1999"/>
      <c r="GV11" s="1999"/>
      <c r="GW11" s="1999"/>
      <c r="GX11" s="1999"/>
      <c r="GY11" s="1999"/>
      <c r="GZ11" s="1999"/>
      <c r="HA11" s="1999"/>
      <c r="HB11" s="1999"/>
      <c r="HC11" s="1999"/>
      <c r="HD11" s="1999"/>
      <c r="HE11" s="1999"/>
      <c r="HF11" s="1999"/>
      <c r="HG11" s="1999"/>
      <c r="HH11" s="1999"/>
      <c r="HI11" s="1999"/>
      <c r="HJ11" s="1999"/>
      <c r="HK11" s="1999"/>
      <c r="HL11" s="1999"/>
      <c r="HM11" s="1999"/>
      <c r="HN11" s="1999"/>
      <c r="HO11" s="1999"/>
      <c r="HP11" s="1999"/>
      <c r="HQ11" s="1999"/>
      <c r="HR11" s="1999"/>
      <c r="HS11" s="1999"/>
      <c r="HT11" s="1999"/>
      <c r="HU11" s="1999"/>
      <c r="HV11" s="1999"/>
      <c r="HW11" s="1999"/>
      <c r="HX11" s="1999"/>
      <c r="HY11" s="1999"/>
      <c r="HZ11" s="1999"/>
      <c r="IA11" s="1999"/>
      <c r="IB11" s="1999"/>
      <c r="IC11" s="1999"/>
      <c r="ID11" s="1999"/>
      <c r="IE11" s="1999"/>
      <c r="IF11" s="1999"/>
      <c r="IG11" s="1999"/>
      <c r="IH11" s="1999"/>
      <c r="II11" s="1999"/>
      <c r="IJ11" s="1999"/>
      <c r="IK11" s="1999"/>
      <c r="IL11" s="1999"/>
      <c r="IM11" s="1999"/>
    </row>
    <row r="12" spans="1:247" ht="13.2">
      <c r="A12" s="2026" t="s">
        <v>943</v>
      </c>
      <c r="B12" s="2027" t="s">
        <v>944</v>
      </c>
      <c r="C12" s="2034">
        <v>218412169.58000001</v>
      </c>
      <c r="D12" s="2035" t="s">
        <v>936</v>
      </c>
      <c r="E12" s="2035" t="s">
        <v>936</v>
      </c>
      <c r="F12" s="2036" t="s">
        <v>936</v>
      </c>
      <c r="G12" s="2032">
        <f t="shared" si="1"/>
        <v>218412169.58000001</v>
      </c>
      <c r="H12" s="2033">
        <f t="shared" si="0"/>
        <v>4.6587133636519895E-2</v>
      </c>
      <c r="I12" s="1999"/>
      <c r="J12" s="1999"/>
      <c r="K12" s="1999"/>
      <c r="L12" s="1999"/>
      <c r="M12" s="1999"/>
      <c r="N12" s="1999"/>
      <c r="O12" s="1999"/>
      <c r="P12" s="1999"/>
      <c r="Q12" s="1999"/>
      <c r="R12" s="1999"/>
      <c r="S12" s="1999"/>
      <c r="T12" s="1999"/>
      <c r="U12" s="1999"/>
      <c r="V12" s="1999"/>
      <c r="W12" s="1999"/>
      <c r="X12" s="1999"/>
      <c r="Y12" s="1999"/>
      <c r="Z12" s="1999"/>
      <c r="AA12" s="1999"/>
      <c r="AB12" s="1999"/>
      <c r="AC12" s="1999"/>
      <c r="AD12" s="1999"/>
      <c r="AE12" s="1999"/>
      <c r="AF12" s="1999"/>
      <c r="AG12" s="1999"/>
      <c r="AH12" s="1999"/>
      <c r="AI12" s="1999"/>
      <c r="AJ12" s="1999"/>
      <c r="AK12" s="1999"/>
      <c r="AL12" s="1999"/>
      <c r="AM12" s="1999"/>
      <c r="AN12" s="1999"/>
      <c r="AO12" s="1999"/>
      <c r="AP12" s="1999"/>
      <c r="AQ12" s="1999"/>
      <c r="AR12" s="1999"/>
      <c r="AS12" s="1999"/>
      <c r="AT12" s="1999"/>
      <c r="AU12" s="1999"/>
      <c r="AV12" s="1999"/>
      <c r="AW12" s="1999"/>
      <c r="AX12" s="1999"/>
      <c r="AY12" s="1999"/>
      <c r="AZ12" s="1999"/>
      <c r="BA12" s="1999"/>
      <c r="BB12" s="1999"/>
      <c r="BC12" s="1999"/>
      <c r="BD12" s="1999"/>
      <c r="BE12" s="1999"/>
      <c r="BF12" s="1999"/>
      <c r="BG12" s="1999"/>
      <c r="BH12" s="1999"/>
      <c r="BI12" s="1999"/>
      <c r="BJ12" s="1999"/>
      <c r="BK12" s="1999"/>
      <c r="BL12" s="1999"/>
      <c r="BM12" s="1999"/>
      <c r="BN12" s="1999"/>
      <c r="BO12" s="1999"/>
      <c r="BP12" s="1999"/>
      <c r="BQ12" s="1999"/>
      <c r="BR12" s="1999"/>
      <c r="BS12" s="1999"/>
      <c r="BT12" s="1999"/>
      <c r="BU12" s="1999"/>
      <c r="BV12" s="1999"/>
      <c r="BW12" s="1999"/>
      <c r="BX12" s="1999"/>
      <c r="BY12" s="1999"/>
      <c r="BZ12" s="1999"/>
      <c r="CA12" s="1999"/>
      <c r="CB12" s="1999"/>
      <c r="CC12" s="1999"/>
      <c r="CD12" s="1999"/>
      <c r="CE12" s="1999"/>
      <c r="CF12" s="1999"/>
      <c r="CG12" s="1999"/>
      <c r="CH12" s="1999"/>
      <c r="CI12" s="1999"/>
      <c r="CJ12" s="1999"/>
      <c r="CK12" s="1999"/>
      <c r="CL12" s="1999"/>
      <c r="CM12" s="1999"/>
      <c r="CN12" s="1999"/>
      <c r="CO12" s="1999"/>
      <c r="CP12" s="1999"/>
      <c r="CQ12" s="1999"/>
      <c r="CR12" s="1999"/>
      <c r="CS12" s="1999"/>
      <c r="CT12" s="1999"/>
      <c r="CU12" s="1999"/>
      <c r="CV12" s="1999"/>
      <c r="CW12" s="1999"/>
      <c r="CX12" s="1999"/>
      <c r="CY12" s="1999"/>
      <c r="CZ12" s="1999"/>
      <c r="DA12" s="1999"/>
      <c r="DB12" s="1999"/>
      <c r="DC12" s="1999"/>
      <c r="DD12" s="1999"/>
      <c r="DE12" s="1999"/>
      <c r="DF12" s="1999"/>
      <c r="DG12" s="1999"/>
      <c r="DH12" s="1999"/>
      <c r="DI12" s="1999"/>
      <c r="DJ12" s="1999"/>
      <c r="DK12" s="1999"/>
      <c r="DL12" s="1999"/>
      <c r="DM12" s="1999"/>
      <c r="DN12" s="1999"/>
      <c r="DO12" s="1999"/>
      <c r="DP12" s="1999"/>
      <c r="DQ12" s="1999"/>
      <c r="DR12" s="1999"/>
      <c r="DS12" s="1999"/>
      <c r="DT12" s="1999"/>
      <c r="DU12" s="1999"/>
      <c r="DV12" s="1999"/>
      <c r="DW12" s="1999"/>
      <c r="DX12" s="1999"/>
      <c r="DY12" s="1999"/>
      <c r="DZ12" s="1999"/>
      <c r="EA12" s="1999"/>
      <c r="EB12" s="1999"/>
      <c r="EC12" s="1999"/>
      <c r="ED12" s="1999"/>
      <c r="EE12" s="1999"/>
      <c r="EF12" s="1999"/>
      <c r="EG12" s="1999"/>
      <c r="EH12" s="1999"/>
      <c r="EI12" s="1999"/>
      <c r="EJ12" s="1999"/>
      <c r="EK12" s="1999"/>
      <c r="EL12" s="1999"/>
      <c r="EM12" s="1999"/>
      <c r="EN12" s="1999"/>
      <c r="EO12" s="1999"/>
      <c r="EP12" s="1999"/>
      <c r="EQ12" s="1999"/>
      <c r="ER12" s="1999"/>
      <c r="ES12" s="1999"/>
      <c r="ET12" s="1999"/>
      <c r="EU12" s="1999"/>
      <c r="EV12" s="1999"/>
      <c r="EW12" s="1999"/>
      <c r="EX12" s="1999"/>
      <c r="EY12" s="1999"/>
      <c r="EZ12" s="1999"/>
      <c r="FA12" s="1999"/>
      <c r="FB12" s="1999"/>
      <c r="FC12" s="1999"/>
      <c r="FD12" s="1999"/>
      <c r="FE12" s="1999"/>
      <c r="FF12" s="1999"/>
      <c r="FG12" s="1999"/>
      <c r="FH12" s="1999"/>
      <c r="FI12" s="1999"/>
      <c r="FJ12" s="1999"/>
      <c r="FK12" s="1999"/>
      <c r="FL12" s="1999"/>
      <c r="FM12" s="1999"/>
      <c r="FN12" s="1999"/>
      <c r="FO12" s="1999"/>
      <c r="FP12" s="1999"/>
      <c r="FQ12" s="1999"/>
      <c r="FR12" s="1999"/>
      <c r="FS12" s="1999"/>
      <c r="FT12" s="1999"/>
      <c r="FU12" s="1999"/>
      <c r="FV12" s="1999"/>
      <c r="FW12" s="1999"/>
      <c r="FX12" s="1999"/>
      <c r="FY12" s="1999"/>
      <c r="FZ12" s="1999"/>
      <c r="GA12" s="1999"/>
      <c r="GB12" s="1999"/>
      <c r="GC12" s="1999"/>
      <c r="GD12" s="1999"/>
      <c r="GE12" s="1999"/>
      <c r="GF12" s="1999"/>
      <c r="GG12" s="1999"/>
      <c r="GH12" s="1999"/>
      <c r="GI12" s="1999"/>
      <c r="GJ12" s="1999"/>
      <c r="GK12" s="1999"/>
      <c r="GL12" s="1999"/>
      <c r="GM12" s="1999"/>
      <c r="GN12" s="1999"/>
      <c r="GO12" s="1999"/>
      <c r="GP12" s="1999"/>
      <c r="GQ12" s="1999"/>
      <c r="GR12" s="1999"/>
      <c r="GS12" s="1999"/>
      <c r="GT12" s="1999"/>
      <c r="GU12" s="1999"/>
      <c r="GV12" s="1999"/>
      <c r="GW12" s="1999"/>
      <c r="GX12" s="1999"/>
      <c r="GY12" s="1999"/>
      <c r="GZ12" s="1999"/>
      <c r="HA12" s="1999"/>
      <c r="HB12" s="1999"/>
      <c r="HC12" s="1999"/>
      <c r="HD12" s="1999"/>
      <c r="HE12" s="1999"/>
      <c r="HF12" s="1999"/>
      <c r="HG12" s="1999"/>
      <c r="HH12" s="1999"/>
      <c r="HI12" s="1999"/>
      <c r="HJ12" s="1999"/>
      <c r="HK12" s="1999"/>
      <c r="HL12" s="1999"/>
      <c r="HM12" s="1999"/>
      <c r="HN12" s="1999"/>
      <c r="HO12" s="1999"/>
      <c r="HP12" s="1999"/>
      <c r="HQ12" s="1999"/>
      <c r="HR12" s="1999"/>
      <c r="HS12" s="1999"/>
      <c r="HT12" s="1999"/>
      <c r="HU12" s="1999"/>
      <c r="HV12" s="1999"/>
      <c r="HW12" s="1999"/>
      <c r="HX12" s="1999"/>
      <c r="HY12" s="1999"/>
      <c r="HZ12" s="1999"/>
      <c r="IA12" s="1999"/>
      <c r="IB12" s="1999"/>
      <c r="IC12" s="1999"/>
      <c r="ID12" s="1999"/>
      <c r="IE12" s="1999"/>
      <c r="IF12" s="1999"/>
      <c r="IG12" s="1999"/>
      <c r="IH12" s="1999"/>
      <c r="II12" s="1999"/>
      <c r="IJ12" s="1999"/>
      <c r="IK12" s="1999"/>
      <c r="IL12" s="1999"/>
      <c r="IM12" s="1999"/>
    </row>
    <row r="13" spans="1:247" ht="20.25" customHeight="1">
      <c r="A13" s="2016" t="s">
        <v>828</v>
      </c>
      <c r="B13" s="2017" t="s">
        <v>945</v>
      </c>
      <c r="C13" s="2018" t="s">
        <v>936</v>
      </c>
      <c r="D13" s="2019">
        <f>D14+D15</f>
        <v>278726584</v>
      </c>
      <c r="E13" s="2019">
        <f>E14+E15</f>
        <v>100851309</v>
      </c>
      <c r="F13" s="2020">
        <f>F14</f>
        <v>422107</v>
      </c>
      <c r="G13" s="2021">
        <f t="shared" si="1"/>
        <v>380000000</v>
      </c>
      <c r="H13" s="2037">
        <f t="shared" si="0"/>
        <v>8.1053683116284705E-2</v>
      </c>
      <c r="I13" s="1999"/>
      <c r="J13" s="1999"/>
      <c r="K13" s="1999"/>
      <c r="L13" s="1999"/>
      <c r="M13" s="1999"/>
      <c r="N13" s="1999"/>
      <c r="O13" s="1999"/>
      <c r="P13" s="1999"/>
      <c r="Q13" s="1999"/>
      <c r="R13" s="1999"/>
      <c r="S13" s="1999"/>
      <c r="T13" s="1999"/>
      <c r="U13" s="1999"/>
      <c r="V13" s="1999"/>
      <c r="W13" s="1999"/>
      <c r="X13" s="1999"/>
      <c r="Y13" s="1999"/>
      <c r="Z13" s="1999"/>
      <c r="AA13" s="1999"/>
      <c r="AB13" s="1999"/>
      <c r="AC13" s="1999"/>
      <c r="AD13" s="1999"/>
      <c r="AE13" s="1999"/>
      <c r="AF13" s="1999"/>
      <c r="AG13" s="1999"/>
      <c r="AH13" s="1999"/>
      <c r="AI13" s="1999"/>
      <c r="AJ13" s="1999"/>
      <c r="AK13" s="1999"/>
      <c r="AL13" s="1999"/>
      <c r="AM13" s="1999"/>
      <c r="AN13" s="1999"/>
      <c r="AO13" s="1999"/>
      <c r="AP13" s="1999"/>
      <c r="AQ13" s="1999"/>
      <c r="AR13" s="1999"/>
      <c r="AS13" s="1999"/>
      <c r="AT13" s="1999"/>
      <c r="AU13" s="1999"/>
      <c r="AV13" s="1999"/>
      <c r="AW13" s="1999"/>
      <c r="AX13" s="1999"/>
      <c r="AY13" s="1999"/>
      <c r="AZ13" s="1999"/>
      <c r="BA13" s="1999"/>
      <c r="BB13" s="1999"/>
      <c r="BC13" s="1999"/>
      <c r="BD13" s="1999"/>
      <c r="BE13" s="1999"/>
      <c r="BF13" s="1999"/>
      <c r="BG13" s="1999"/>
      <c r="BH13" s="1999"/>
      <c r="BI13" s="1999"/>
      <c r="BJ13" s="1999"/>
      <c r="BK13" s="1999"/>
      <c r="BL13" s="1999"/>
      <c r="BM13" s="1999"/>
      <c r="BN13" s="1999"/>
      <c r="BO13" s="1999"/>
      <c r="BP13" s="1999"/>
      <c r="BQ13" s="1999"/>
      <c r="BR13" s="1999"/>
      <c r="BS13" s="1999"/>
      <c r="BT13" s="1999"/>
      <c r="BU13" s="1999"/>
      <c r="BV13" s="1999"/>
      <c r="BW13" s="1999"/>
      <c r="BX13" s="1999"/>
      <c r="BY13" s="1999"/>
      <c r="BZ13" s="1999"/>
      <c r="CA13" s="1999"/>
      <c r="CB13" s="1999"/>
      <c r="CC13" s="1999"/>
      <c r="CD13" s="1999"/>
      <c r="CE13" s="1999"/>
      <c r="CF13" s="1999"/>
      <c r="CG13" s="1999"/>
      <c r="CH13" s="1999"/>
      <c r="CI13" s="1999"/>
      <c r="CJ13" s="1999"/>
      <c r="CK13" s="1999"/>
      <c r="CL13" s="1999"/>
      <c r="CM13" s="1999"/>
      <c r="CN13" s="1999"/>
      <c r="CO13" s="1999"/>
      <c r="CP13" s="1999"/>
      <c r="CQ13" s="1999"/>
      <c r="CR13" s="1999"/>
      <c r="CS13" s="1999"/>
      <c r="CT13" s="1999"/>
      <c r="CU13" s="1999"/>
      <c r="CV13" s="1999"/>
      <c r="CW13" s="1999"/>
      <c r="CX13" s="1999"/>
      <c r="CY13" s="1999"/>
      <c r="CZ13" s="1999"/>
      <c r="DA13" s="1999"/>
      <c r="DB13" s="1999"/>
      <c r="DC13" s="1999"/>
      <c r="DD13" s="1999"/>
      <c r="DE13" s="1999"/>
      <c r="DF13" s="1999"/>
      <c r="DG13" s="1999"/>
      <c r="DH13" s="1999"/>
      <c r="DI13" s="1999"/>
      <c r="DJ13" s="1999"/>
      <c r="DK13" s="1999"/>
      <c r="DL13" s="1999"/>
      <c r="DM13" s="1999"/>
      <c r="DN13" s="1999"/>
      <c r="DO13" s="1999"/>
      <c r="DP13" s="1999"/>
      <c r="DQ13" s="1999"/>
      <c r="DR13" s="1999"/>
      <c r="DS13" s="1999"/>
      <c r="DT13" s="1999"/>
      <c r="DU13" s="1999"/>
      <c r="DV13" s="1999"/>
      <c r="DW13" s="1999"/>
      <c r="DX13" s="1999"/>
      <c r="DY13" s="1999"/>
      <c r="DZ13" s="1999"/>
      <c r="EA13" s="1999"/>
      <c r="EB13" s="1999"/>
      <c r="EC13" s="1999"/>
      <c r="ED13" s="1999"/>
      <c r="EE13" s="1999"/>
      <c r="EF13" s="1999"/>
      <c r="EG13" s="1999"/>
      <c r="EH13" s="1999"/>
      <c r="EI13" s="1999"/>
      <c r="EJ13" s="1999"/>
      <c r="EK13" s="1999"/>
      <c r="EL13" s="1999"/>
      <c r="EM13" s="1999"/>
      <c r="EN13" s="1999"/>
      <c r="EO13" s="1999"/>
      <c r="EP13" s="1999"/>
      <c r="EQ13" s="1999"/>
      <c r="ER13" s="1999"/>
      <c r="ES13" s="1999"/>
      <c r="ET13" s="1999"/>
      <c r="EU13" s="1999"/>
      <c r="EV13" s="1999"/>
      <c r="EW13" s="1999"/>
      <c r="EX13" s="1999"/>
      <c r="EY13" s="1999"/>
      <c r="EZ13" s="1999"/>
      <c r="FA13" s="1999"/>
      <c r="FB13" s="1999"/>
      <c r="FC13" s="1999"/>
      <c r="FD13" s="1999"/>
      <c r="FE13" s="1999"/>
      <c r="FF13" s="1999"/>
      <c r="FG13" s="1999"/>
      <c r="FH13" s="1999"/>
      <c r="FI13" s="1999"/>
      <c r="FJ13" s="1999"/>
      <c r="FK13" s="1999"/>
      <c r="FL13" s="1999"/>
      <c r="FM13" s="1999"/>
      <c r="FN13" s="1999"/>
      <c r="FO13" s="1999"/>
      <c r="FP13" s="1999"/>
      <c r="FQ13" s="1999"/>
      <c r="FR13" s="1999"/>
      <c r="FS13" s="1999"/>
      <c r="FT13" s="1999"/>
      <c r="FU13" s="1999"/>
      <c r="FV13" s="1999"/>
      <c r="FW13" s="1999"/>
      <c r="FX13" s="1999"/>
      <c r="FY13" s="1999"/>
      <c r="FZ13" s="1999"/>
      <c r="GA13" s="1999"/>
      <c r="GB13" s="1999"/>
      <c r="GC13" s="1999"/>
      <c r="GD13" s="1999"/>
      <c r="GE13" s="1999"/>
      <c r="GF13" s="1999"/>
      <c r="GG13" s="1999"/>
      <c r="GH13" s="1999"/>
      <c r="GI13" s="1999"/>
      <c r="GJ13" s="1999"/>
      <c r="GK13" s="1999"/>
      <c r="GL13" s="1999"/>
      <c r="GM13" s="1999"/>
      <c r="GN13" s="1999"/>
      <c r="GO13" s="1999"/>
      <c r="GP13" s="1999"/>
      <c r="GQ13" s="1999"/>
      <c r="GR13" s="1999"/>
      <c r="GS13" s="1999"/>
      <c r="GT13" s="1999"/>
      <c r="GU13" s="1999"/>
      <c r="GV13" s="1999"/>
      <c r="GW13" s="1999"/>
      <c r="GX13" s="1999"/>
      <c r="GY13" s="1999"/>
      <c r="GZ13" s="1999"/>
      <c r="HA13" s="1999"/>
      <c r="HB13" s="1999"/>
      <c r="HC13" s="1999"/>
      <c r="HD13" s="1999"/>
      <c r="HE13" s="1999"/>
      <c r="HF13" s="1999"/>
      <c r="HG13" s="1999"/>
      <c r="HH13" s="1999"/>
      <c r="HI13" s="1999"/>
      <c r="HJ13" s="1999"/>
      <c r="HK13" s="1999"/>
      <c r="HL13" s="1999"/>
      <c r="HM13" s="1999"/>
      <c r="HN13" s="1999"/>
      <c r="HO13" s="1999"/>
      <c r="HP13" s="1999"/>
      <c r="HQ13" s="1999"/>
      <c r="HR13" s="1999"/>
      <c r="HS13" s="1999"/>
      <c r="HT13" s="1999"/>
      <c r="HU13" s="1999"/>
      <c r="HV13" s="1999"/>
      <c r="HW13" s="1999"/>
      <c r="HX13" s="1999"/>
      <c r="HY13" s="1999"/>
      <c r="HZ13" s="1999"/>
      <c r="IA13" s="1999"/>
      <c r="IB13" s="1999"/>
      <c r="IC13" s="1999"/>
      <c r="ID13" s="1999"/>
      <c r="IE13" s="1999"/>
      <c r="IF13" s="1999"/>
      <c r="IG13" s="1999"/>
      <c r="IH13" s="1999"/>
      <c r="II13" s="1999"/>
      <c r="IJ13" s="1999"/>
      <c r="IK13" s="1999"/>
      <c r="IL13" s="1999"/>
      <c r="IM13" s="1999"/>
    </row>
    <row r="14" spans="1:247" ht="24" customHeight="1">
      <c r="A14" s="2026" t="s">
        <v>946</v>
      </c>
      <c r="B14" s="2027" t="s">
        <v>947</v>
      </c>
      <c r="C14" s="2028" t="s">
        <v>936</v>
      </c>
      <c r="D14" s="2029">
        <v>98994813</v>
      </c>
      <c r="E14" s="2029">
        <v>20583080</v>
      </c>
      <c r="F14" s="2031">
        <v>422107</v>
      </c>
      <c r="G14" s="2032">
        <f t="shared" si="1"/>
        <v>120000000</v>
      </c>
      <c r="H14" s="2033">
        <f t="shared" si="0"/>
        <v>2.5595899931458329E-2</v>
      </c>
      <c r="I14" s="1999"/>
      <c r="J14" s="1999"/>
      <c r="K14" s="1999"/>
      <c r="L14" s="1999"/>
      <c r="M14" s="1999"/>
      <c r="N14" s="1999"/>
      <c r="O14" s="1999"/>
      <c r="P14" s="1999"/>
      <c r="Q14" s="1999"/>
      <c r="R14" s="1999"/>
      <c r="S14" s="1999"/>
      <c r="T14" s="1999"/>
      <c r="U14" s="1999"/>
      <c r="V14" s="1999"/>
      <c r="W14" s="1999"/>
      <c r="X14" s="1999"/>
      <c r="Y14" s="1999"/>
      <c r="Z14" s="1999"/>
      <c r="AA14" s="1999"/>
      <c r="AB14" s="1999"/>
      <c r="AC14" s="1999"/>
      <c r="AD14" s="1999"/>
      <c r="AE14" s="1999"/>
      <c r="AF14" s="1999"/>
      <c r="AG14" s="1999"/>
      <c r="AH14" s="1999"/>
      <c r="AI14" s="1999"/>
      <c r="AJ14" s="1999"/>
      <c r="AK14" s="1999"/>
      <c r="AL14" s="1999"/>
      <c r="AM14" s="1999"/>
      <c r="AN14" s="1999"/>
      <c r="AO14" s="1999"/>
      <c r="AP14" s="1999"/>
      <c r="AQ14" s="1999"/>
      <c r="AR14" s="1999"/>
      <c r="AS14" s="1999"/>
      <c r="AT14" s="1999"/>
      <c r="AU14" s="1999"/>
      <c r="AV14" s="1999"/>
      <c r="AW14" s="1999"/>
      <c r="AX14" s="1999"/>
      <c r="AY14" s="1999"/>
      <c r="AZ14" s="1999"/>
      <c r="BA14" s="1999"/>
      <c r="BB14" s="1999"/>
      <c r="BC14" s="1999"/>
      <c r="BD14" s="1999"/>
      <c r="BE14" s="1999"/>
      <c r="BF14" s="1999"/>
      <c r="BG14" s="1999"/>
      <c r="BH14" s="1999"/>
      <c r="BI14" s="1999"/>
      <c r="BJ14" s="1999"/>
      <c r="BK14" s="1999"/>
      <c r="BL14" s="1999"/>
      <c r="BM14" s="1999"/>
      <c r="BN14" s="1999"/>
      <c r="BO14" s="1999"/>
      <c r="BP14" s="1999"/>
      <c r="BQ14" s="1999"/>
      <c r="BR14" s="1999"/>
      <c r="BS14" s="1999"/>
      <c r="BT14" s="1999"/>
      <c r="BU14" s="1999"/>
      <c r="BV14" s="1999"/>
      <c r="BW14" s="1999"/>
      <c r="BX14" s="1999"/>
      <c r="BY14" s="1999"/>
      <c r="BZ14" s="1999"/>
      <c r="CA14" s="1999"/>
      <c r="CB14" s="1999"/>
      <c r="CC14" s="1999"/>
      <c r="CD14" s="1999"/>
      <c r="CE14" s="1999"/>
      <c r="CF14" s="1999"/>
      <c r="CG14" s="1999"/>
      <c r="CH14" s="1999"/>
      <c r="CI14" s="1999"/>
      <c r="CJ14" s="1999"/>
      <c r="CK14" s="1999"/>
      <c r="CL14" s="1999"/>
      <c r="CM14" s="1999"/>
      <c r="CN14" s="1999"/>
      <c r="CO14" s="1999"/>
      <c r="CP14" s="1999"/>
      <c r="CQ14" s="1999"/>
      <c r="CR14" s="1999"/>
      <c r="CS14" s="1999"/>
      <c r="CT14" s="1999"/>
      <c r="CU14" s="1999"/>
      <c r="CV14" s="1999"/>
      <c r="CW14" s="1999"/>
      <c r="CX14" s="1999"/>
      <c r="CY14" s="1999"/>
      <c r="CZ14" s="1999"/>
      <c r="DA14" s="1999"/>
      <c r="DB14" s="1999"/>
      <c r="DC14" s="1999"/>
      <c r="DD14" s="1999"/>
      <c r="DE14" s="1999"/>
      <c r="DF14" s="1999"/>
      <c r="DG14" s="1999"/>
      <c r="DH14" s="1999"/>
      <c r="DI14" s="1999"/>
      <c r="DJ14" s="1999"/>
      <c r="DK14" s="1999"/>
      <c r="DL14" s="1999"/>
      <c r="DM14" s="1999"/>
      <c r="DN14" s="1999"/>
      <c r="DO14" s="1999"/>
      <c r="DP14" s="1999"/>
      <c r="DQ14" s="1999"/>
      <c r="DR14" s="1999"/>
      <c r="DS14" s="1999"/>
      <c r="DT14" s="1999"/>
      <c r="DU14" s="1999"/>
      <c r="DV14" s="1999"/>
      <c r="DW14" s="1999"/>
      <c r="DX14" s="1999"/>
      <c r="DY14" s="1999"/>
      <c r="DZ14" s="1999"/>
      <c r="EA14" s="1999"/>
      <c r="EB14" s="1999"/>
      <c r="EC14" s="1999"/>
      <c r="ED14" s="1999"/>
      <c r="EE14" s="1999"/>
      <c r="EF14" s="1999"/>
      <c r="EG14" s="1999"/>
      <c r="EH14" s="1999"/>
      <c r="EI14" s="1999"/>
      <c r="EJ14" s="1999"/>
      <c r="EK14" s="1999"/>
      <c r="EL14" s="1999"/>
      <c r="EM14" s="1999"/>
      <c r="EN14" s="1999"/>
      <c r="EO14" s="1999"/>
      <c r="EP14" s="1999"/>
      <c r="EQ14" s="1999"/>
      <c r="ER14" s="1999"/>
      <c r="ES14" s="1999"/>
      <c r="ET14" s="1999"/>
      <c r="EU14" s="1999"/>
      <c r="EV14" s="1999"/>
      <c r="EW14" s="1999"/>
      <c r="EX14" s="1999"/>
      <c r="EY14" s="1999"/>
      <c r="EZ14" s="1999"/>
      <c r="FA14" s="1999"/>
      <c r="FB14" s="1999"/>
      <c r="FC14" s="1999"/>
      <c r="FD14" s="1999"/>
      <c r="FE14" s="1999"/>
      <c r="FF14" s="1999"/>
      <c r="FG14" s="1999"/>
      <c r="FH14" s="1999"/>
      <c r="FI14" s="1999"/>
      <c r="FJ14" s="1999"/>
      <c r="FK14" s="1999"/>
      <c r="FL14" s="1999"/>
      <c r="FM14" s="1999"/>
      <c r="FN14" s="1999"/>
      <c r="FO14" s="1999"/>
      <c r="FP14" s="1999"/>
      <c r="FQ14" s="1999"/>
      <c r="FR14" s="1999"/>
      <c r="FS14" s="1999"/>
      <c r="FT14" s="1999"/>
      <c r="FU14" s="1999"/>
      <c r="FV14" s="1999"/>
      <c r="FW14" s="1999"/>
      <c r="FX14" s="1999"/>
      <c r="FY14" s="1999"/>
      <c r="FZ14" s="1999"/>
      <c r="GA14" s="1999"/>
      <c r="GB14" s="1999"/>
      <c r="GC14" s="1999"/>
      <c r="GD14" s="1999"/>
      <c r="GE14" s="1999"/>
      <c r="GF14" s="1999"/>
      <c r="GG14" s="1999"/>
      <c r="GH14" s="1999"/>
      <c r="GI14" s="1999"/>
      <c r="GJ14" s="1999"/>
      <c r="GK14" s="1999"/>
      <c r="GL14" s="1999"/>
      <c r="GM14" s="1999"/>
      <c r="GN14" s="1999"/>
      <c r="GO14" s="1999"/>
      <c r="GP14" s="1999"/>
      <c r="GQ14" s="1999"/>
      <c r="GR14" s="1999"/>
      <c r="GS14" s="1999"/>
      <c r="GT14" s="1999"/>
      <c r="GU14" s="1999"/>
      <c r="GV14" s="1999"/>
      <c r="GW14" s="1999"/>
      <c r="GX14" s="1999"/>
      <c r="GY14" s="1999"/>
      <c r="GZ14" s="1999"/>
      <c r="HA14" s="1999"/>
      <c r="HB14" s="1999"/>
      <c r="HC14" s="1999"/>
      <c r="HD14" s="1999"/>
      <c r="HE14" s="1999"/>
      <c r="HF14" s="1999"/>
      <c r="HG14" s="1999"/>
      <c r="HH14" s="1999"/>
      <c r="HI14" s="1999"/>
      <c r="HJ14" s="1999"/>
      <c r="HK14" s="1999"/>
      <c r="HL14" s="1999"/>
      <c r="HM14" s="1999"/>
      <c r="HN14" s="1999"/>
      <c r="HO14" s="1999"/>
      <c r="HP14" s="1999"/>
      <c r="HQ14" s="1999"/>
      <c r="HR14" s="1999"/>
      <c r="HS14" s="1999"/>
      <c r="HT14" s="1999"/>
      <c r="HU14" s="1999"/>
      <c r="HV14" s="1999"/>
      <c r="HW14" s="1999"/>
      <c r="HX14" s="1999"/>
      <c r="HY14" s="1999"/>
      <c r="HZ14" s="1999"/>
      <c r="IA14" s="1999"/>
      <c r="IB14" s="1999"/>
      <c r="IC14" s="1999"/>
      <c r="ID14" s="1999"/>
      <c r="IE14" s="1999"/>
      <c r="IF14" s="1999"/>
      <c r="IG14" s="1999"/>
      <c r="IH14" s="1999"/>
      <c r="II14" s="1999"/>
      <c r="IJ14" s="1999"/>
      <c r="IK14" s="1999"/>
      <c r="IL14" s="1999"/>
      <c r="IM14" s="1999"/>
    </row>
    <row r="15" spans="1:247" ht="16.5" customHeight="1">
      <c r="A15" s="2026" t="s">
        <v>948</v>
      </c>
      <c r="B15" s="2027" t="s">
        <v>949</v>
      </c>
      <c r="C15" s="2028" t="s">
        <v>936</v>
      </c>
      <c r="D15" s="2029">
        <v>179731771</v>
      </c>
      <c r="E15" s="2029">
        <v>80268229</v>
      </c>
      <c r="F15" s="2036" t="s">
        <v>936</v>
      </c>
      <c r="G15" s="2032">
        <f t="shared" si="1"/>
        <v>260000000</v>
      </c>
      <c r="H15" s="2033">
        <f t="shared" si="0"/>
        <v>5.545778318482638E-2</v>
      </c>
      <c r="I15" s="1999"/>
      <c r="J15" s="1999"/>
      <c r="K15" s="1999"/>
      <c r="L15" s="1999"/>
      <c r="M15" s="1999"/>
      <c r="N15" s="1999"/>
      <c r="O15" s="1999"/>
      <c r="P15" s="1999"/>
      <c r="Q15" s="1999"/>
      <c r="R15" s="1999"/>
      <c r="S15" s="1999"/>
      <c r="T15" s="1999"/>
      <c r="U15" s="1999"/>
      <c r="V15" s="1999"/>
      <c r="W15" s="1999"/>
      <c r="X15" s="1999"/>
      <c r="Y15" s="1999"/>
      <c r="Z15" s="1999"/>
      <c r="AA15" s="1999"/>
      <c r="AB15" s="1999"/>
      <c r="AC15" s="1999"/>
      <c r="AD15" s="1999"/>
      <c r="AE15" s="1999"/>
      <c r="AF15" s="1999"/>
      <c r="AG15" s="1999"/>
      <c r="AH15" s="1999"/>
      <c r="AI15" s="1999"/>
      <c r="AJ15" s="1999"/>
      <c r="AK15" s="1999"/>
      <c r="AL15" s="1999"/>
      <c r="AM15" s="1999"/>
      <c r="AN15" s="1999"/>
      <c r="AO15" s="1999"/>
      <c r="AP15" s="1999"/>
      <c r="AQ15" s="1999"/>
      <c r="AR15" s="1999"/>
      <c r="AS15" s="1999"/>
      <c r="AT15" s="1999"/>
      <c r="AU15" s="1999"/>
      <c r="AV15" s="1999"/>
      <c r="AW15" s="1999"/>
      <c r="AX15" s="1999"/>
      <c r="AY15" s="1999"/>
      <c r="AZ15" s="1999"/>
      <c r="BA15" s="1999"/>
      <c r="BB15" s="1999"/>
      <c r="BC15" s="1999"/>
      <c r="BD15" s="1999"/>
      <c r="BE15" s="1999"/>
      <c r="BF15" s="1999"/>
      <c r="BG15" s="1999"/>
      <c r="BH15" s="1999"/>
      <c r="BI15" s="1999"/>
      <c r="BJ15" s="1999"/>
      <c r="BK15" s="1999"/>
      <c r="BL15" s="1999"/>
      <c r="BM15" s="1999"/>
      <c r="BN15" s="1999"/>
      <c r="BO15" s="1999"/>
      <c r="BP15" s="1999"/>
      <c r="BQ15" s="1999"/>
      <c r="BR15" s="1999"/>
      <c r="BS15" s="1999"/>
      <c r="BT15" s="1999"/>
      <c r="BU15" s="1999"/>
      <c r="BV15" s="1999"/>
      <c r="BW15" s="1999"/>
      <c r="BX15" s="1999"/>
      <c r="BY15" s="1999"/>
      <c r="BZ15" s="1999"/>
      <c r="CA15" s="1999"/>
      <c r="CB15" s="1999"/>
      <c r="CC15" s="1999"/>
      <c r="CD15" s="1999"/>
      <c r="CE15" s="1999"/>
      <c r="CF15" s="1999"/>
      <c r="CG15" s="1999"/>
      <c r="CH15" s="1999"/>
      <c r="CI15" s="1999"/>
      <c r="CJ15" s="1999"/>
      <c r="CK15" s="1999"/>
      <c r="CL15" s="1999"/>
      <c r="CM15" s="1999"/>
      <c r="CN15" s="1999"/>
      <c r="CO15" s="1999"/>
      <c r="CP15" s="1999"/>
      <c r="CQ15" s="1999"/>
      <c r="CR15" s="1999"/>
      <c r="CS15" s="1999"/>
      <c r="CT15" s="1999"/>
      <c r="CU15" s="1999"/>
      <c r="CV15" s="1999"/>
      <c r="CW15" s="1999"/>
      <c r="CX15" s="1999"/>
      <c r="CY15" s="1999"/>
      <c r="CZ15" s="1999"/>
      <c r="DA15" s="1999"/>
      <c r="DB15" s="1999"/>
      <c r="DC15" s="1999"/>
      <c r="DD15" s="1999"/>
      <c r="DE15" s="1999"/>
      <c r="DF15" s="1999"/>
      <c r="DG15" s="1999"/>
      <c r="DH15" s="1999"/>
      <c r="DI15" s="1999"/>
      <c r="DJ15" s="1999"/>
      <c r="DK15" s="1999"/>
      <c r="DL15" s="1999"/>
      <c r="DM15" s="1999"/>
      <c r="DN15" s="1999"/>
      <c r="DO15" s="1999"/>
      <c r="DP15" s="1999"/>
      <c r="DQ15" s="1999"/>
      <c r="DR15" s="1999"/>
      <c r="DS15" s="1999"/>
      <c r="DT15" s="1999"/>
      <c r="DU15" s="1999"/>
      <c r="DV15" s="1999"/>
      <c r="DW15" s="1999"/>
      <c r="DX15" s="1999"/>
      <c r="DY15" s="1999"/>
      <c r="DZ15" s="1999"/>
      <c r="EA15" s="1999"/>
      <c r="EB15" s="1999"/>
      <c r="EC15" s="1999"/>
      <c r="ED15" s="1999"/>
      <c r="EE15" s="1999"/>
      <c r="EF15" s="1999"/>
      <c r="EG15" s="1999"/>
      <c r="EH15" s="1999"/>
      <c r="EI15" s="1999"/>
      <c r="EJ15" s="1999"/>
      <c r="EK15" s="1999"/>
      <c r="EL15" s="1999"/>
      <c r="EM15" s="1999"/>
      <c r="EN15" s="1999"/>
      <c r="EO15" s="1999"/>
      <c r="EP15" s="1999"/>
      <c r="EQ15" s="1999"/>
      <c r="ER15" s="1999"/>
      <c r="ES15" s="1999"/>
      <c r="ET15" s="1999"/>
      <c r="EU15" s="1999"/>
      <c r="EV15" s="1999"/>
      <c r="EW15" s="1999"/>
      <c r="EX15" s="1999"/>
      <c r="EY15" s="1999"/>
      <c r="EZ15" s="1999"/>
      <c r="FA15" s="1999"/>
      <c r="FB15" s="1999"/>
      <c r="FC15" s="1999"/>
      <c r="FD15" s="1999"/>
      <c r="FE15" s="1999"/>
      <c r="FF15" s="1999"/>
      <c r="FG15" s="1999"/>
      <c r="FH15" s="1999"/>
      <c r="FI15" s="1999"/>
      <c r="FJ15" s="1999"/>
      <c r="FK15" s="1999"/>
      <c r="FL15" s="1999"/>
      <c r="FM15" s="1999"/>
      <c r="FN15" s="1999"/>
      <c r="FO15" s="1999"/>
      <c r="FP15" s="1999"/>
      <c r="FQ15" s="1999"/>
      <c r="FR15" s="1999"/>
      <c r="FS15" s="1999"/>
      <c r="FT15" s="1999"/>
      <c r="FU15" s="1999"/>
      <c r="FV15" s="1999"/>
      <c r="FW15" s="1999"/>
      <c r="FX15" s="1999"/>
      <c r="FY15" s="1999"/>
      <c r="FZ15" s="1999"/>
      <c r="GA15" s="1999"/>
      <c r="GB15" s="1999"/>
      <c r="GC15" s="1999"/>
      <c r="GD15" s="1999"/>
      <c r="GE15" s="1999"/>
      <c r="GF15" s="1999"/>
      <c r="GG15" s="1999"/>
      <c r="GH15" s="1999"/>
      <c r="GI15" s="1999"/>
      <c r="GJ15" s="1999"/>
      <c r="GK15" s="1999"/>
      <c r="GL15" s="1999"/>
      <c r="GM15" s="1999"/>
      <c r="GN15" s="1999"/>
      <c r="GO15" s="1999"/>
      <c r="GP15" s="1999"/>
      <c r="GQ15" s="1999"/>
      <c r="GR15" s="1999"/>
      <c r="GS15" s="1999"/>
      <c r="GT15" s="1999"/>
      <c r="GU15" s="1999"/>
      <c r="GV15" s="1999"/>
      <c r="GW15" s="1999"/>
      <c r="GX15" s="1999"/>
      <c r="GY15" s="1999"/>
      <c r="GZ15" s="1999"/>
      <c r="HA15" s="1999"/>
      <c r="HB15" s="1999"/>
      <c r="HC15" s="1999"/>
      <c r="HD15" s="1999"/>
      <c r="HE15" s="1999"/>
      <c r="HF15" s="1999"/>
      <c r="HG15" s="1999"/>
      <c r="HH15" s="1999"/>
      <c r="HI15" s="1999"/>
      <c r="HJ15" s="1999"/>
      <c r="HK15" s="1999"/>
      <c r="HL15" s="1999"/>
      <c r="HM15" s="1999"/>
      <c r="HN15" s="1999"/>
      <c r="HO15" s="1999"/>
      <c r="HP15" s="1999"/>
      <c r="HQ15" s="1999"/>
      <c r="HR15" s="1999"/>
      <c r="HS15" s="1999"/>
      <c r="HT15" s="1999"/>
      <c r="HU15" s="1999"/>
      <c r="HV15" s="1999"/>
      <c r="HW15" s="1999"/>
      <c r="HX15" s="1999"/>
      <c r="HY15" s="1999"/>
      <c r="HZ15" s="1999"/>
      <c r="IA15" s="1999"/>
      <c r="IB15" s="1999"/>
      <c r="IC15" s="1999"/>
      <c r="ID15" s="1999"/>
      <c r="IE15" s="1999"/>
      <c r="IF15" s="1999"/>
      <c r="IG15" s="1999"/>
      <c r="IH15" s="1999"/>
      <c r="II15" s="1999"/>
      <c r="IJ15" s="1999"/>
      <c r="IK15" s="1999"/>
      <c r="IL15" s="1999"/>
      <c r="IM15" s="1999"/>
    </row>
    <row r="16" spans="1:247" ht="16.5" customHeight="1">
      <c r="A16" s="2016" t="s">
        <v>829</v>
      </c>
      <c r="B16" s="2017" t="s">
        <v>950</v>
      </c>
      <c r="C16" s="2022">
        <f>SUM(C17:C22)</f>
        <v>627919286.29999995</v>
      </c>
      <c r="D16" s="2019">
        <f>D17+D18+D19+D20+D21+D22</f>
        <v>201287661</v>
      </c>
      <c r="E16" s="2019">
        <f>E17+E18+E20+E21</f>
        <v>430556592.62</v>
      </c>
      <c r="F16" s="2038">
        <f>F17+F18+F20+F21</f>
        <v>14196158</v>
      </c>
      <c r="G16" s="2021">
        <f t="shared" si="1"/>
        <v>1273959697.9200001</v>
      </c>
      <c r="H16" s="2015">
        <f t="shared" si="0"/>
        <v>0.27173454120559337</v>
      </c>
      <c r="I16" s="1999"/>
      <c r="J16" s="1999"/>
      <c r="K16" s="1999"/>
      <c r="L16" s="1999"/>
      <c r="M16" s="1999"/>
      <c r="N16" s="1999"/>
      <c r="O16" s="1999"/>
      <c r="P16" s="1999"/>
      <c r="Q16" s="1999"/>
      <c r="R16" s="1999"/>
      <c r="S16" s="1999"/>
      <c r="T16" s="1999"/>
      <c r="U16" s="1999"/>
      <c r="V16" s="1999"/>
      <c r="W16" s="1999"/>
      <c r="X16" s="1999"/>
      <c r="Y16" s="1999"/>
      <c r="Z16" s="1999"/>
      <c r="AA16" s="1999"/>
      <c r="AB16" s="1999"/>
      <c r="AC16" s="1999"/>
      <c r="AD16" s="1999"/>
      <c r="AE16" s="1999"/>
      <c r="AF16" s="1999"/>
      <c r="AG16" s="1999"/>
      <c r="AH16" s="1999"/>
      <c r="AI16" s="1999"/>
      <c r="AJ16" s="1999"/>
      <c r="AK16" s="1999"/>
      <c r="AL16" s="1999"/>
      <c r="AM16" s="1999"/>
      <c r="AN16" s="1999"/>
      <c r="AO16" s="1999"/>
      <c r="AP16" s="1999"/>
      <c r="AQ16" s="1999"/>
      <c r="AR16" s="1999"/>
      <c r="AS16" s="1999"/>
      <c r="AT16" s="1999"/>
      <c r="AU16" s="1999"/>
      <c r="AV16" s="1999"/>
      <c r="AW16" s="1999"/>
      <c r="AX16" s="1999"/>
      <c r="AY16" s="1999"/>
      <c r="AZ16" s="1999"/>
      <c r="BA16" s="1999"/>
      <c r="BB16" s="1999"/>
      <c r="BC16" s="1999"/>
      <c r="BD16" s="1999"/>
      <c r="BE16" s="1999"/>
      <c r="BF16" s="1999"/>
      <c r="BG16" s="1999"/>
      <c r="BH16" s="1999"/>
      <c r="BI16" s="1999"/>
      <c r="BJ16" s="1999"/>
      <c r="BK16" s="1999"/>
      <c r="BL16" s="1999"/>
      <c r="BM16" s="1999"/>
      <c r="BN16" s="1999"/>
      <c r="BO16" s="1999"/>
      <c r="BP16" s="1999"/>
      <c r="BQ16" s="1999"/>
      <c r="BR16" s="1999"/>
      <c r="BS16" s="1999"/>
      <c r="BT16" s="1999"/>
      <c r="BU16" s="1999"/>
      <c r="BV16" s="1999"/>
      <c r="BW16" s="1999"/>
      <c r="BX16" s="1999"/>
      <c r="BY16" s="1999"/>
      <c r="BZ16" s="1999"/>
      <c r="CA16" s="1999"/>
      <c r="CB16" s="1999"/>
      <c r="CC16" s="1999"/>
      <c r="CD16" s="1999"/>
      <c r="CE16" s="1999"/>
      <c r="CF16" s="1999"/>
      <c r="CG16" s="1999"/>
      <c r="CH16" s="1999"/>
      <c r="CI16" s="1999"/>
      <c r="CJ16" s="1999"/>
      <c r="CK16" s="1999"/>
      <c r="CL16" s="1999"/>
      <c r="CM16" s="1999"/>
      <c r="CN16" s="1999"/>
      <c r="CO16" s="1999"/>
      <c r="CP16" s="1999"/>
      <c r="CQ16" s="1999"/>
      <c r="CR16" s="1999"/>
      <c r="CS16" s="1999"/>
      <c r="CT16" s="1999"/>
      <c r="CU16" s="1999"/>
      <c r="CV16" s="1999"/>
      <c r="CW16" s="1999"/>
      <c r="CX16" s="1999"/>
      <c r="CY16" s="1999"/>
      <c r="CZ16" s="1999"/>
      <c r="DA16" s="1999"/>
      <c r="DB16" s="1999"/>
      <c r="DC16" s="1999"/>
      <c r="DD16" s="1999"/>
      <c r="DE16" s="1999"/>
      <c r="DF16" s="1999"/>
      <c r="DG16" s="1999"/>
      <c r="DH16" s="1999"/>
      <c r="DI16" s="1999"/>
      <c r="DJ16" s="1999"/>
      <c r="DK16" s="1999"/>
      <c r="DL16" s="1999"/>
      <c r="DM16" s="1999"/>
      <c r="DN16" s="1999"/>
      <c r="DO16" s="1999"/>
      <c r="DP16" s="1999"/>
      <c r="DQ16" s="1999"/>
      <c r="DR16" s="1999"/>
      <c r="DS16" s="1999"/>
      <c r="DT16" s="1999"/>
      <c r="DU16" s="1999"/>
      <c r="DV16" s="1999"/>
      <c r="DW16" s="1999"/>
      <c r="DX16" s="1999"/>
      <c r="DY16" s="1999"/>
      <c r="DZ16" s="1999"/>
      <c r="EA16" s="1999"/>
      <c r="EB16" s="1999"/>
      <c r="EC16" s="1999"/>
      <c r="ED16" s="1999"/>
      <c r="EE16" s="1999"/>
      <c r="EF16" s="1999"/>
      <c r="EG16" s="1999"/>
      <c r="EH16" s="1999"/>
      <c r="EI16" s="1999"/>
      <c r="EJ16" s="1999"/>
      <c r="EK16" s="1999"/>
      <c r="EL16" s="1999"/>
      <c r="EM16" s="1999"/>
      <c r="EN16" s="1999"/>
      <c r="EO16" s="1999"/>
      <c r="EP16" s="1999"/>
      <c r="EQ16" s="1999"/>
      <c r="ER16" s="1999"/>
      <c r="ES16" s="1999"/>
      <c r="ET16" s="1999"/>
      <c r="EU16" s="1999"/>
      <c r="EV16" s="1999"/>
      <c r="EW16" s="1999"/>
      <c r="EX16" s="1999"/>
      <c r="EY16" s="1999"/>
      <c r="EZ16" s="1999"/>
      <c r="FA16" s="1999"/>
      <c r="FB16" s="1999"/>
      <c r="FC16" s="1999"/>
      <c r="FD16" s="1999"/>
      <c r="FE16" s="1999"/>
      <c r="FF16" s="1999"/>
      <c r="FG16" s="1999"/>
      <c r="FH16" s="1999"/>
      <c r="FI16" s="1999"/>
      <c r="FJ16" s="1999"/>
      <c r="FK16" s="1999"/>
      <c r="FL16" s="1999"/>
      <c r="FM16" s="1999"/>
      <c r="FN16" s="1999"/>
      <c r="FO16" s="1999"/>
      <c r="FP16" s="1999"/>
      <c r="FQ16" s="1999"/>
      <c r="FR16" s="1999"/>
      <c r="FS16" s="1999"/>
      <c r="FT16" s="1999"/>
      <c r="FU16" s="1999"/>
      <c r="FV16" s="1999"/>
      <c r="FW16" s="1999"/>
      <c r="FX16" s="1999"/>
      <c r="FY16" s="1999"/>
      <c r="FZ16" s="1999"/>
      <c r="GA16" s="1999"/>
      <c r="GB16" s="1999"/>
      <c r="GC16" s="1999"/>
      <c r="GD16" s="1999"/>
      <c r="GE16" s="1999"/>
      <c r="GF16" s="1999"/>
      <c r="GG16" s="1999"/>
      <c r="GH16" s="1999"/>
      <c r="GI16" s="1999"/>
      <c r="GJ16" s="1999"/>
      <c r="GK16" s="1999"/>
      <c r="GL16" s="1999"/>
      <c r="GM16" s="1999"/>
      <c r="GN16" s="1999"/>
      <c r="GO16" s="1999"/>
      <c r="GP16" s="1999"/>
      <c r="GQ16" s="1999"/>
      <c r="GR16" s="1999"/>
      <c r="GS16" s="1999"/>
      <c r="GT16" s="1999"/>
      <c r="GU16" s="1999"/>
      <c r="GV16" s="1999"/>
      <c r="GW16" s="1999"/>
      <c r="GX16" s="1999"/>
      <c r="GY16" s="1999"/>
      <c r="GZ16" s="1999"/>
      <c r="HA16" s="1999"/>
      <c r="HB16" s="1999"/>
      <c r="HC16" s="1999"/>
      <c r="HD16" s="1999"/>
      <c r="HE16" s="1999"/>
      <c r="HF16" s="1999"/>
      <c r="HG16" s="1999"/>
      <c r="HH16" s="1999"/>
      <c r="HI16" s="1999"/>
      <c r="HJ16" s="1999"/>
      <c r="HK16" s="1999"/>
      <c r="HL16" s="1999"/>
      <c r="HM16" s="1999"/>
      <c r="HN16" s="1999"/>
      <c r="HO16" s="1999"/>
      <c r="HP16" s="1999"/>
      <c r="HQ16" s="1999"/>
      <c r="HR16" s="1999"/>
      <c r="HS16" s="1999"/>
      <c r="HT16" s="1999"/>
      <c r="HU16" s="1999"/>
      <c r="HV16" s="1999"/>
      <c r="HW16" s="1999"/>
      <c r="HX16" s="1999"/>
      <c r="HY16" s="1999"/>
      <c r="HZ16" s="1999"/>
      <c r="IA16" s="1999"/>
      <c r="IB16" s="1999"/>
      <c r="IC16" s="1999"/>
      <c r="ID16" s="1999"/>
      <c r="IE16" s="1999"/>
      <c r="IF16" s="1999"/>
      <c r="IG16" s="1999"/>
      <c r="IH16" s="1999"/>
      <c r="II16" s="1999"/>
      <c r="IJ16" s="1999"/>
      <c r="IK16" s="1999"/>
      <c r="IL16" s="1999"/>
      <c r="IM16" s="1999"/>
    </row>
    <row r="17" spans="1:247" s="2002" customFormat="1" ht="20.25" customHeight="1">
      <c r="A17" s="2026" t="s">
        <v>951</v>
      </c>
      <c r="B17" s="2027" t="s">
        <v>952</v>
      </c>
      <c r="C17" s="2034">
        <v>464368461</v>
      </c>
      <c r="D17" s="2029">
        <v>168249902</v>
      </c>
      <c r="E17" s="2029">
        <v>345323621.62</v>
      </c>
      <c r="F17" s="2031">
        <v>10731027</v>
      </c>
      <c r="G17" s="2032">
        <f t="shared" si="1"/>
        <v>988673011.62</v>
      </c>
      <c r="H17" s="2033">
        <f t="shared" si="0"/>
        <v>0.21088312891965882</v>
      </c>
      <c r="I17" s="2001"/>
      <c r="J17" s="2001"/>
      <c r="K17" s="2001"/>
      <c r="L17" s="2001"/>
      <c r="M17" s="2001"/>
      <c r="N17" s="2001"/>
      <c r="O17" s="2001"/>
      <c r="P17" s="2001"/>
      <c r="Q17" s="2001"/>
      <c r="R17" s="2001"/>
      <c r="S17" s="2001"/>
      <c r="T17" s="2001"/>
      <c r="U17" s="2001"/>
      <c r="V17" s="2001"/>
      <c r="W17" s="2001"/>
      <c r="X17" s="2001"/>
      <c r="Y17" s="2001"/>
      <c r="Z17" s="2001"/>
      <c r="AA17" s="2001"/>
      <c r="AB17" s="2001"/>
      <c r="AC17" s="2001"/>
      <c r="AD17" s="2001"/>
      <c r="AE17" s="2001"/>
      <c r="AF17" s="2001"/>
      <c r="AG17" s="2001"/>
      <c r="AH17" s="2001"/>
      <c r="AI17" s="2001"/>
      <c r="AJ17" s="2001"/>
      <c r="AK17" s="2001"/>
      <c r="AL17" s="2001"/>
      <c r="AM17" s="2001"/>
      <c r="AN17" s="2001"/>
      <c r="AO17" s="2001"/>
      <c r="AP17" s="2001"/>
      <c r="AQ17" s="2001"/>
      <c r="AR17" s="2001"/>
      <c r="AS17" s="2001"/>
      <c r="AT17" s="2001"/>
      <c r="AU17" s="2001"/>
      <c r="AV17" s="2001"/>
      <c r="AW17" s="2001"/>
      <c r="AX17" s="2001"/>
      <c r="AY17" s="2001"/>
      <c r="AZ17" s="2001"/>
      <c r="BA17" s="2001"/>
      <c r="BB17" s="2001"/>
      <c r="BC17" s="2001"/>
      <c r="BD17" s="2001"/>
      <c r="BE17" s="2001"/>
      <c r="BF17" s="2001"/>
      <c r="BG17" s="2001"/>
      <c r="BH17" s="2001"/>
      <c r="BI17" s="2001"/>
      <c r="BJ17" s="2001"/>
      <c r="BK17" s="2001"/>
      <c r="BL17" s="2001"/>
      <c r="BM17" s="2001"/>
      <c r="BN17" s="2001"/>
      <c r="BO17" s="2001"/>
      <c r="BP17" s="2001"/>
      <c r="BQ17" s="2001"/>
      <c r="BR17" s="2001"/>
      <c r="BS17" s="2001"/>
      <c r="BT17" s="2001"/>
      <c r="BU17" s="2001"/>
      <c r="BV17" s="2001"/>
      <c r="BW17" s="2001"/>
      <c r="BX17" s="2001"/>
      <c r="BY17" s="2001"/>
      <c r="BZ17" s="2001"/>
      <c r="CA17" s="2001"/>
      <c r="CB17" s="2001"/>
      <c r="CC17" s="2001"/>
      <c r="CD17" s="2001"/>
      <c r="CE17" s="2001"/>
      <c r="CF17" s="2001"/>
      <c r="CG17" s="2001"/>
      <c r="CH17" s="2001"/>
      <c r="CI17" s="2001"/>
      <c r="CJ17" s="2001"/>
      <c r="CK17" s="2001"/>
      <c r="CL17" s="2001"/>
      <c r="CM17" s="2001"/>
      <c r="CN17" s="2001"/>
      <c r="CO17" s="2001"/>
      <c r="CP17" s="2001"/>
      <c r="CQ17" s="2001"/>
      <c r="CR17" s="2001"/>
      <c r="CS17" s="2001"/>
      <c r="CT17" s="2001"/>
      <c r="CU17" s="2001"/>
      <c r="CV17" s="2001"/>
      <c r="CW17" s="2001"/>
      <c r="CX17" s="2001"/>
      <c r="CY17" s="2001"/>
      <c r="CZ17" s="2001"/>
      <c r="DA17" s="2001"/>
      <c r="DB17" s="2001"/>
      <c r="DC17" s="2001"/>
      <c r="DD17" s="2001"/>
      <c r="DE17" s="2001"/>
      <c r="DF17" s="2001"/>
      <c r="DG17" s="2001"/>
      <c r="DH17" s="2001"/>
      <c r="DI17" s="2001"/>
      <c r="DJ17" s="2001"/>
      <c r="DK17" s="2001"/>
      <c r="DL17" s="2001"/>
      <c r="DM17" s="2001"/>
      <c r="DN17" s="2001"/>
      <c r="DO17" s="2001"/>
      <c r="DP17" s="2001"/>
      <c r="DQ17" s="2001"/>
      <c r="DR17" s="2001"/>
      <c r="DS17" s="2001"/>
      <c r="DT17" s="2001"/>
      <c r="DU17" s="2001"/>
      <c r="DV17" s="2001"/>
      <c r="DW17" s="2001"/>
      <c r="DX17" s="2001"/>
      <c r="DY17" s="2001"/>
      <c r="DZ17" s="2001"/>
      <c r="EA17" s="2001"/>
      <c r="EB17" s="2001"/>
      <c r="EC17" s="2001"/>
      <c r="ED17" s="2001"/>
      <c r="EE17" s="2001"/>
      <c r="EF17" s="2001"/>
      <c r="EG17" s="2001"/>
      <c r="EH17" s="2001"/>
      <c r="EI17" s="2001"/>
      <c r="EJ17" s="2001"/>
      <c r="EK17" s="2001"/>
      <c r="EL17" s="2001"/>
      <c r="EM17" s="2001"/>
      <c r="EN17" s="2001"/>
      <c r="EO17" s="2001"/>
      <c r="EP17" s="2001"/>
      <c r="EQ17" s="2001"/>
      <c r="ER17" s="2001"/>
      <c r="ES17" s="2001"/>
      <c r="ET17" s="2001"/>
      <c r="EU17" s="2001"/>
      <c r="EV17" s="2001"/>
      <c r="EW17" s="2001"/>
      <c r="EX17" s="2001"/>
      <c r="EY17" s="2001"/>
      <c r="EZ17" s="2001"/>
      <c r="FA17" s="2001"/>
      <c r="FB17" s="2001"/>
      <c r="FC17" s="2001"/>
      <c r="FD17" s="2001"/>
      <c r="FE17" s="2001"/>
      <c r="FF17" s="2001"/>
      <c r="FG17" s="2001"/>
      <c r="FH17" s="2001"/>
      <c r="FI17" s="2001"/>
      <c r="FJ17" s="2001"/>
      <c r="FK17" s="2001"/>
      <c r="FL17" s="2001"/>
      <c r="FM17" s="2001"/>
      <c r="FN17" s="2001"/>
      <c r="FO17" s="2001"/>
      <c r="FP17" s="2001"/>
      <c r="FQ17" s="2001"/>
      <c r="FR17" s="2001"/>
      <c r="FS17" s="2001"/>
      <c r="FT17" s="2001"/>
      <c r="FU17" s="2001"/>
      <c r="FV17" s="2001"/>
      <c r="FW17" s="2001"/>
      <c r="FX17" s="2001"/>
      <c r="FY17" s="2001"/>
      <c r="FZ17" s="2001"/>
      <c r="GA17" s="2001"/>
      <c r="GB17" s="2001"/>
      <c r="GC17" s="2001"/>
      <c r="GD17" s="2001"/>
      <c r="GE17" s="2001"/>
      <c r="GF17" s="2001"/>
      <c r="GG17" s="2001"/>
      <c r="GH17" s="2001"/>
      <c r="GI17" s="2001"/>
      <c r="GJ17" s="2001"/>
      <c r="GK17" s="2001"/>
      <c r="GL17" s="2001"/>
      <c r="GM17" s="2001"/>
      <c r="GN17" s="2001"/>
      <c r="GO17" s="2001"/>
      <c r="GP17" s="2001"/>
      <c r="GQ17" s="2001"/>
      <c r="GR17" s="2001"/>
      <c r="GS17" s="2001"/>
      <c r="GT17" s="2001"/>
      <c r="GU17" s="2001"/>
      <c r="GV17" s="2001"/>
      <c r="GW17" s="2001"/>
      <c r="GX17" s="2001"/>
      <c r="GY17" s="2001"/>
      <c r="GZ17" s="2001"/>
      <c r="HA17" s="2001"/>
      <c r="HB17" s="2001"/>
      <c r="HC17" s="2001"/>
      <c r="HD17" s="2001"/>
      <c r="HE17" s="2001"/>
      <c r="HF17" s="2001"/>
      <c r="HG17" s="2001"/>
      <c r="HH17" s="2001"/>
      <c r="HI17" s="2001"/>
      <c r="HJ17" s="2001"/>
      <c r="HK17" s="2001"/>
      <c r="HL17" s="2001"/>
      <c r="HM17" s="2001"/>
      <c r="HN17" s="2001"/>
      <c r="HO17" s="2001"/>
      <c r="HP17" s="2001"/>
      <c r="HQ17" s="2001"/>
      <c r="HR17" s="2001"/>
      <c r="HS17" s="2001"/>
      <c r="HT17" s="2001"/>
      <c r="HU17" s="2001"/>
      <c r="HV17" s="2001"/>
      <c r="HW17" s="2001"/>
      <c r="HX17" s="2001"/>
      <c r="HY17" s="2001"/>
      <c r="HZ17" s="2001"/>
      <c r="IA17" s="2001"/>
      <c r="IB17" s="2001"/>
      <c r="IC17" s="2001"/>
      <c r="ID17" s="2001"/>
      <c r="IE17" s="2001"/>
      <c r="IF17" s="2001"/>
      <c r="IG17" s="2001"/>
      <c r="IH17" s="2001"/>
      <c r="II17" s="2001"/>
      <c r="IJ17" s="2001"/>
      <c r="IK17" s="2001"/>
      <c r="IL17" s="2001"/>
      <c r="IM17" s="2001"/>
    </row>
    <row r="18" spans="1:247" s="2002" customFormat="1" ht="20.399999999999999">
      <c r="A18" s="2026" t="s">
        <v>953</v>
      </c>
      <c r="B18" s="2027" t="s">
        <v>954</v>
      </c>
      <c r="C18" s="2034">
        <v>24456774</v>
      </c>
      <c r="D18" s="2029">
        <v>3167792</v>
      </c>
      <c r="E18" s="2029">
        <v>600</v>
      </c>
      <c r="F18" s="2031">
        <v>203969</v>
      </c>
      <c r="G18" s="2032">
        <f t="shared" si="1"/>
        <v>27829135</v>
      </c>
      <c r="H18" s="2033">
        <f t="shared" si="0"/>
        <v>5.9359312886587048E-3</v>
      </c>
      <c r="I18" s="2001"/>
      <c r="J18" s="2001"/>
      <c r="K18" s="2001"/>
      <c r="L18" s="2001"/>
      <c r="M18" s="2001"/>
      <c r="N18" s="2001"/>
      <c r="O18" s="2001"/>
      <c r="P18" s="2001"/>
      <c r="Q18" s="2001"/>
      <c r="R18" s="2001"/>
      <c r="S18" s="2001"/>
      <c r="T18" s="2001"/>
      <c r="U18" s="2001"/>
      <c r="V18" s="2001"/>
      <c r="W18" s="2001"/>
      <c r="X18" s="2001"/>
      <c r="Y18" s="2001"/>
      <c r="Z18" s="2001"/>
      <c r="AA18" s="2001"/>
      <c r="AB18" s="2001"/>
      <c r="AC18" s="2001"/>
      <c r="AD18" s="2001"/>
      <c r="AE18" s="2001"/>
      <c r="AF18" s="2001"/>
      <c r="AG18" s="2001"/>
      <c r="AH18" s="2001"/>
      <c r="AI18" s="2001"/>
      <c r="AJ18" s="2001"/>
      <c r="AK18" s="2001"/>
      <c r="AL18" s="2001"/>
      <c r="AM18" s="2001"/>
      <c r="AN18" s="2001"/>
      <c r="AO18" s="2001"/>
      <c r="AP18" s="2001"/>
      <c r="AQ18" s="2001"/>
      <c r="AR18" s="2001"/>
      <c r="AS18" s="2001"/>
      <c r="AT18" s="2001"/>
      <c r="AU18" s="2001"/>
      <c r="AV18" s="2001"/>
      <c r="AW18" s="2001"/>
      <c r="AX18" s="2001"/>
      <c r="AY18" s="2001"/>
      <c r="AZ18" s="2001"/>
      <c r="BA18" s="2001"/>
      <c r="BB18" s="2001"/>
      <c r="BC18" s="2001"/>
      <c r="BD18" s="2001"/>
      <c r="BE18" s="2001"/>
      <c r="BF18" s="2001"/>
      <c r="BG18" s="2001"/>
      <c r="BH18" s="2001"/>
      <c r="BI18" s="2001"/>
      <c r="BJ18" s="2001"/>
      <c r="BK18" s="2001"/>
      <c r="BL18" s="2001"/>
      <c r="BM18" s="2001"/>
      <c r="BN18" s="2001"/>
      <c r="BO18" s="2001"/>
      <c r="BP18" s="2001"/>
      <c r="BQ18" s="2001"/>
      <c r="BR18" s="2001"/>
      <c r="BS18" s="2001"/>
      <c r="BT18" s="2001"/>
      <c r="BU18" s="2001"/>
      <c r="BV18" s="2001"/>
      <c r="BW18" s="2001"/>
      <c r="BX18" s="2001"/>
      <c r="BY18" s="2001"/>
      <c r="BZ18" s="2001"/>
      <c r="CA18" s="2001"/>
      <c r="CB18" s="2001"/>
      <c r="CC18" s="2001"/>
      <c r="CD18" s="2001"/>
      <c r="CE18" s="2001"/>
      <c r="CF18" s="2001"/>
      <c r="CG18" s="2001"/>
      <c r="CH18" s="2001"/>
      <c r="CI18" s="2001"/>
      <c r="CJ18" s="2001"/>
      <c r="CK18" s="2001"/>
      <c r="CL18" s="2001"/>
      <c r="CM18" s="2001"/>
      <c r="CN18" s="2001"/>
      <c r="CO18" s="2001"/>
      <c r="CP18" s="2001"/>
      <c r="CQ18" s="2001"/>
      <c r="CR18" s="2001"/>
      <c r="CS18" s="2001"/>
      <c r="CT18" s="2001"/>
      <c r="CU18" s="2001"/>
      <c r="CV18" s="2001"/>
      <c r="CW18" s="2001"/>
      <c r="CX18" s="2001"/>
      <c r="CY18" s="2001"/>
      <c r="CZ18" s="2001"/>
      <c r="DA18" s="2001"/>
      <c r="DB18" s="2001"/>
      <c r="DC18" s="2001"/>
      <c r="DD18" s="2001"/>
      <c r="DE18" s="2001"/>
      <c r="DF18" s="2001"/>
      <c r="DG18" s="2001"/>
      <c r="DH18" s="2001"/>
      <c r="DI18" s="2001"/>
      <c r="DJ18" s="2001"/>
      <c r="DK18" s="2001"/>
      <c r="DL18" s="2001"/>
      <c r="DM18" s="2001"/>
      <c r="DN18" s="2001"/>
      <c r="DO18" s="2001"/>
      <c r="DP18" s="2001"/>
      <c r="DQ18" s="2001"/>
      <c r="DR18" s="2001"/>
      <c r="DS18" s="2001"/>
      <c r="DT18" s="2001"/>
      <c r="DU18" s="2001"/>
      <c r="DV18" s="2001"/>
      <c r="DW18" s="2001"/>
      <c r="DX18" s="2001"/>
      <c r="DY18" s="2001"/>
      <c r="DZ18" s="2001"/>
      <c r="EA18" s="2001"/>
      <c r="EB18" s="2001"/>
      <c r="EC18" s="2001"/>
      <c r="ED18" s="2001"/>
      <c r="EE18" s="2001"/>
      <c r="EF18" s="2001"/>
      <c r="EG18" s="2001"/>
      <c r="EH18" s="2001"/>
      <c r="EI18" s="2001"/>
      <c r="EJ18" s="2001"/>
      <c r="EK18" s="2001"/>
      <c r="EL18" s="2001"/>
      <c r="EM18" s="2001"/>
      <c r="EN18" s="2001"/>
      <c r="EO18" s="2001"/>
      <c r="EP18" s="2001"/>
      <c r="EQ18" s="2001"/>
      <c r="ER18" s="2001"/>
      <c r="ES18" s="2001"/>
      <c r="ET18" s="2001"/>
      <c r="EU18" s="2001"/>
      <c r="EV18" s="2001"/>
      <c r="EW18" s="2001"/>
      <c r="EX18" s="2001"/>
      <c r="EY18" s="2001"/>
      <c r="EZ18" s="2001"/>
      <c r="FA18" s="2001"/>
      <c r="FB18" s="2001"/>
      <c r="FC18" s="2001"/>
      <c r="FD18" s="2001"/>
      <c r="FE18" s="2001"/>
      <c r="FF18" s="2001"/>
      <c r="FG18" s="2001"/>
      <c r="FH18" s="2001"/>
      <c r="FI18" s="2001"/>
      <c r="FJ18" s="2001"/>
      <c r="FK18" s="2001"/>
      <c r="FL18" s="2001"/>
      <c r="FM18" s="2001"/>
      <c r="FN18" s="2001"/>
      <c r="FO18" s="2001"/>
      <c r="FP18" s="2001"/>
      <c r="FQ18" s="2001"/>
      <c r="FR18" s="2001"/>
      <c r="FS18" s="2001"/>
      <c r="FT18" s="2001"/>
      <c r="FU18" s="2001"/>
      <c r="FV18" s="2001"/>
      <c r="FW18" s="2001"/>
      <c r="FX18" s="2001"/>
      <c r="FY18" s="2001"/>
      <c r="FZ18" s="2001"/>
      <c r="GA18" s="2001"/>
      <c r="GB18" s="2001"/>
      <c r="GC18" s="2001"/>
      <c r="GD18" s="2001"/>
      <c r="GE18" s="2001"/>
      <c r="GF18" s="2001"/>
      <c r="GG18" s="2001"/>
      <c r="GH18" s="2001"/>
      <c r="GI18" s="2001"/>
      <c r="GJ18" s="2001"/>
      <c r="GK18" s="2001"/>
      <c r="GL18" s="2001"/>
      <c r="GM18" s="2001"/>
      <c r="GN18" s="2001"/>
      <c r="GO18" s="2001"/>
      <c r="GP18" s="2001"/>
      <c r="GQ18" s="2001"/>
      <c r="GR18" s="2001"/>
      <c r="GS18" s="2001"/>
      <c r="GT18" s="2001"/>
      <c r="GU18" s="2001"/>
      <c r="GV18" s="2001"/>
      <c r="GW18" s="2001"/>
      <c r="GX18" s="2001"/>
      <c r="GY18" s="2001"/>
      <c r="GZ18" s="2001"/>
      <c r="HA18" s="2001"/>
      <c r="HB18" s="2001"/>
      <c r="HC18" s="2001"/>
      <c r="HD18" s="2001"/>
      <c r="HE18" s="2001"/>
      <c r="HF18" s="2001"/>
      <c r="HG18" s="2001"/>
      <c r="HH18" s="2001"/>
      <c r="HI18" s="2001"/>
      <c r="HJ18" s="2001"/>
      <c r="HK18" s="2001"/>
      <c r="HL18" s="2001"/>
      <c r="HM18" s="2001"/>
      <c r="HN18" s="2001"/>
      <c r="HO18" s="2001"/>
      <c r="HP18" s="2001"/>
      <c r="HQ18" s="2001"/>
      <c r="HR18" s="2001"/>
      <c r="HS18" s="2001"/>
      <c r="HT18" s="2001"/>
      <c r="HU18" s="2001"/>
      <c r="HV18" s="2001"/>
      <c r="HW18" s="2001"/>
      <c r="HX18" s="2001"/>
      <c r="HY18" s="2001"/>
      <c r="HZ18" s="2001"/>
      <c r="IA18" s="2001"/>
      <c r="IB18" s="2001"/>
      <c r="IC18" s="2001"/>
      <c r="ID18" s="2001"/>
      <c r="IE18" s="2001"/>
      <c r="IF18" s="2001"/>
      <c r="IG18" s="2001"/>
      <c r="IH18" s="2001"/>
      <c r="II18" s="2001"/>
      <c r="IJ18" s="2001"/>
      <c r="IK18" s="2001"/>
      <c r="IL18" s="2001"/>
      <c r="IM18" s="2001"/>
    </row>
    <row r="19" spans="1:247" s="2002" customFormat="1" ht="22.5" customHeight="1">
      <c r="A19" s="2026" t="s">
        <v>955</v>
      </c>
      <c r="B19" s="2027" t="s">
        <v>956</v>
      </c>
      <c r="C19" s="2034">
        <v>9543282</v>
      </c>
      <c r="D19" s="2029">
        <v>392432</v>
      </c>
      <c r="E19" s="2035" t="s">
        <v>936</v>
      </c>
      <c r="F19" s="2036" t="s">
        <v>936</v>
      </c>
      <c r="G19" s="2032">
        <f t="shared" si="1"/>
        <v>9935714</v>
      </c>
      <c r="H19" s="2033">
        <f t="shared" si="0"/>
        <v>2.1192795107632463E-3</v>
      </c>
      <c r="I19" s="2001"/>
      <c r="J19" s="2003"/>
      <c r="K19" s="2001"/>
      <c r="L19" s="2001"/>
      <c r="M19" s="2001"/>
      <c r="N19" s="2001"/>
      <c r="O19" s="2001"/>
      <c r="P19" s="2001"/>
      <c r="Q19" s="2001"/>
      <c r="R19" s="2001"/>
      <c r="S19" s="2001"/>
      <c r="T19" s="2001"/>
      <c r="U19" s="2001"/>
      <c r="V19" s="2001"/>
      <c r="W19" s="2001"/>
      <c r="X19" s="2001"/>
      <c r="Y19" s="2001"/>
      <c r="Z19" s="2001"/>
      <c r="AA19" s="2001"/>
      <c r="AB19" s="2001"/>
      <c r="AC19" s="2001"/>
      <c r="AD19" s="2001"/>
      <c r="AE19" s="2001"/>
      <c r="AF19" s="2001"/>
      <c r="AG19" s="2001"/>
      <c r="AH19" s="2001"/>
      <c r="AI19" s="2001"/>
      <c r="AJ19" s="2001"/>
      <c r="AK19" s="2001"/>
      <c r="AL19" s="2001"/>
      <c r="AM19" s="2001"/>
      <c r="AN19" s="2001"/>
      <c r="AO19" s="2001"/>
      <c r="AP19" s="2001"/>
      <c r="AQ19" s="2001"/>
      <c r="AR19" s="2001"/>
      <c r="AS19" s="2001"/>
      <c r="AT19" s="2001"/>
      <c r="AU19" s="2001"/>
      <c r="AV19" s="2001"/>
      <c r="AW19" s="2001"/>
      <c r="AX19" s="2001"/>
      <c r="AY19" s="2001"/>
      <c r="AZ19" s="2001"/>
      <c r="BA19" s="2001"/>
      <c r="BB19" s="2001"/>
      <c r="BC19" s="2001"/>
      <c r="BD19" s="2001"/>
      <c r="BE19" s="2001"/>
      <c r="BF19" s="2001"/>
      <c r="BG19" s="2001"/>
      <c r="BH19" s="2001"/>
      <c r="BI19" s="2001"/>
      <c r="BJ19" s="2001"/>
      <c r="BK19" s="2001"/>
      <c r="BL19" s="2001"/>
      <c r="BM19" s="2001"/>
      <c r="BN19" s="2001"/>
      <c r="BO19" s="2001"/>
      <c r="BP19" s="2001"/>
      <c r="BQ19" s="2001"/>
      <c r="BR19" s="2001"/>
      <c r="BS19" s="2001"/>
      <c r="BT19" s="2001"/>
      <c r="BU19" s="2001"/>
      <c r="BV19" s="2001"/>
      <c r="BW19" s="2001"/>
      <c r="BX19" s="2001"/>
      <c r="BY19" s="2001"/>
      <c r="BZ19" s="2001"/>
      <c r="CA19" s="2001"/>
      <c r="CB19" s="2001"/>
      <c r="CC19" s="2001"/>
      <c r="CD19" s="2001"/>
      <c r="CE19" s="2001"/>
      <c r="CF19" s="2001"/>
      <c r="CG19" s="2001"/>
      <c r="CH19" s="2001"/>
      <c r="CI19" s="2001"/>
      <c r="CJ19" s="2001"/>
      <c r="CK19" s="2001"/>
      <c r="CL19" s="2001"/>
      <c r="CM19" s="2001"/>
      <c r="CN19" s="2001"/>
      <c r="CO19" s="2001"/>
      <c r="CP19" s="2001"/>
      <c r="CQ19" s="2001"/>
      <c r="CR19" s="2001"/>
      <c r="CS19" s="2001"/>
      <c r="CT19" s="2001"/>
      <c r="CU19" s="2001"/>
      <c r="CV19" s="2001"/>
      <c r="CW19" s="2001"/>
      <c r="CX19" s="2001"/>
      <c r="CY19" s="2001"/>
      <c r="CZ19" s="2001"/>
      <c r="DA19" s="2001"/>
      <c r="DB19" s="2001"/>
      <c r="DC19" s="2001"/>
      <c r="DD19" s="2001"/>
      <c r="DE19" s="2001"/>
      <c r="DF19" s="2001"/>
      <c r="DG19" s="2001"/>
      <c r="DH19" s="2001"/>
      <c r="DI19" s="2001"/>
      <c r="DJ19" s="2001"/>
      <c r="DK19" s="2001"/>
      <c r="DL19" s="2001"/>
      <c r="DM19" s="2001"/>
      <c r="DN19" s="2001"/>
      <c r="DO19" s="2001"/>
      <c r="DP19" s="2001"/>
      <c r="DQ19" s="2001"/>
      <c r="DR19" s="2001"/>
      <c r="DS19" s="2001"/>
      <c r="DT19" s="2001"/>
      <c r="DU19" s="2001"/>
      <c r="DV19" s="2001"/>
      <c r="DW19" s="2001"/>
      <c r="DX19" s="2001"/>
      <c r="DY19" s="2001"/>
      <c r="DZ19" s="2001"/>
      <c r="EA19" s="2001"/>
      <c r="EB19" s="2001"/>
      <c r="EC19" s="2001"/>
      <c r="ED19" s="2001"/>
      <c r="EE19" s="2001"/>
      <c r="EF19" s="2001"/>
      <c r="EG19" s="2001"/>
      <c r="EH19" s="2001"/>
      <c r="EI19" s="2001"/>
      <c r="EJ19" s="2001"/>
      <c r="EK19" s="2001"/>
      <c r="EL19" s="2001"/>
      <c r="EM19" s="2001"/>
      <c r="EN19" s="2001"/>
      <c r="EO19" s="2001"/>
      <c r="EP19" s="2001"/>
      <c r="EQ19" s="2001"/>
      <c r="ER19" s="2001"/>
      <c r="ES19" s="2001"/>
      <c r="ET19" s="2001"/>
      <c r="EU19" s="2001"/>
      <c r="EV19" s="2001"/>
      <c r="EW19" s="2001"/>
      <c r="EX19" s="2001"/>
      <c r="EY19" s="2001"/>
      <c r="EZ19" s="2001"/>
      <c r="FA19" s="2001"/>
      <c r="FB19" s="2001"/>
      <c r="FC19" s="2001"/>
      <c r="FD19" s="2001"/>
      <c r="FE19" s="2001"/>
      <c r="FF19" s="2001"/>
      <c r="FG19" s="2001"/>
      <c r="FH19" s="2001"/>
      <c r="FI19" s="2001"/>
      <c r="FJ19" s="2001"/>
      <c r="FK19" s="2001"/>
      <c r="FL19" s="2001"/>
      <c r="FM19" s="2001"/>
      <c r="FN19" s="2001"/>
      <c r="FO19" s="2001"/>
      <c r="FP19" s="2001"/>
      <c r="FQ19" s="2001"/>
      <c r="FR19" s="2001"/>
      <c r="FS19" s="2001"/>
      <c r="FT19" s="2001"/>
      <c r="FU19" s="2001"/>
      <c r="FV19" s="2001"/>
      <c r="FW19" s="2001"/>
      <c r="FX19" s="2001"/>
      <c r="FY19" s="2001"/>
      <c r="FZ19" s="2001"/>
      <c r="GA19" s="2001"/>
      <c r="GB19" s="2001"/>
      <c r="GC19" s="2001"/>
      <c r="GD19" s="2001"/>
      <c r="GE19" s="2001"/>
      <c r="GF19" s="2001"/>
      <c r="GG19" s="2001"/>
      <c r="GH19" s="2001"/>
      <c r="GI19" s="2001"/>
      <c r="GJ19" s="2001"/>
      <c r="GK19" s="2001"/>
      <c r="GL19" s="2001"/>
      <c r="GM19" s="2001"/>
      <c r="GN19" s="2001"/>
      <c r="GO19" s="2001"/>
      <c r="GP19" s="2001"/>
      <c r="GQ19" s="2001"/>
      <c r="GR19" s="2001"/>
      <c r="GS19" s="2001"/>
      <c r="GT19" s="2001"/>
      <c r="GU19" s="2001"/>
      <c r="GV19" s="2001"/>
      <c r="GW19" s="2001"/>
      <c r="GX19" s="2001"/>
      <c r="GY19" s="2001"/>
      <c r="GZ19" s="2001"/>
      <c r="HA19" s="2001"/>
      <c r="HB19" s="2001"/>
      <c r="HC19" s="2001"/>
      <c r="HD19" s="2001"/>
      <c r="HE19" s="2001"/>
      <c r="HF19" s="2001"/>
      <c r="HG19" s="2001"/>
      <c r="HH19" s="2001"/>
      <c r="HI19" s="2001"/>
      <c r="HJ19" s="2001"/>
      <c r="HK19" s="2001"/>
      <c r="HL19" s="2001"/>
      <c r="HM19" s="2001"/>
      <c r="HN19" s="2001"/>
      <c r="HO19" s="2001"/>
      <c r="HP19" s="2001"/>
      <c r="HQ19" s="2001"/>
      <c r="HR19" s="2001"/>
      <c r="HS19" s="2001"/>
      <c r="HT19" s="2001"/>
      <c r="HU19" s="2001"/>
      <c r="HV19" s="2001"/>
      <c r="HW19" s="2001"/>
      <c r="HX19" s="2001"/>
      <c r="HY19" s="2001"/>
      <c r="HZ19" s="2001"/>
      <c r="IA19" s="2001"/>
      <c r="IB19" s="2001"/>
      <c r="IC19" s="2001"/>
      <c r="ID19" s="2001"/>
      <c r="IE19" s="2001"/>
      <c r="IF19" s="2001"/>
      <c r="IG19" s="2001"/>
      <c r="IH19" s="2001"/>
      <c r="II19" s="2001"/>
      <c r="IJ19" s="2001"/>
      <c r="IK19" s="2001"/>
      <c r="IL19" s="2001"/>
      <c r="IM19" s="2001"/>
    </row>
    <row r="20" spans="1:247" s="2002" customFormat="1" ht="32.25" customHeight="1">
      <c r="A20" s="2026" t="s">
        <v>957</v>
      </c>
      <c r="B20" s="2027" t="s">
        <v>958</v>
      </c>
      <c r="C20" s="2034">
        <v>16629404</v>
      </c>
      <c r="D20" s="2029">
        <v>5165726</v>
      </c>
      <c r="E20" s="2029">
        <v>3276323</v>
      </c>
      <c r="F20" s="2031">
        <v>30084</v>
      </c>
      <c r="G20" s="2032">
        <f t="shared" si="1"/>
        <v>25101537</v>
      </c>
      <c r="H20" s="2033">
        <f t="shared" si="0"/>
        <v>5.3541369098149896E-3</v>
      </c>
      <c r="I20" s="2001"/>
      <c r="J20" s="2001"/>
      <c r="K20" s="2001"/>
      <c r="L20" s="2001"/>
      <c r="M20" s="2001"/>
      <c r="N20" s="2001"/>
      <c r="O20" s="2001"/>
      <c r="P20" s="2001"/>
      <c r="Q20" s="2001"/>
      <c r="R20" s="2001"/>
      <c r="S20" s="2001"/>
      <c r="T20" s="2001"/>
      <c r="U20" s="2001"/>
      <c r="V20" s="2001"/>
      <c r="W20" s="2001"/>
      <c r="X20" s="2001"/>
      <c r="Y20" s="2001"/>
      <c r="Z20" s="2001"/>
      <c r="AA20" s="2001"/>
      <c r="AB20" s="2001"/>
      <c r="AC20" s="2001"/>
      <c r="AD20" s="2001"/>
      <c r="AE20" s="2001"/>
      <c r="AF20" s="2001"/>
      <c r="AG20" s="2001"/>
      <c r="AH20" s="2001"/>
      <c r="AI20" s="2001"/>
      <c r="AJ20" s="2001"/>
      <c r="AK20" s="2001"/>
      <c r="AL20" s="2001"/>
      <c r="AM20" s="2001"/>
      <c r="AN20" s="2001"/>
      <c r="AO20" s="2001"/>
      <c r="AP20" s="2001"/>
      <c r="AQ20" s="2001"/>
      <c r="AR20" s="2001"/>
      <c r="AS20" s="2001"/>
      <c r="AT20" s="2001"/>
      <c r="AU20" s="2001"/>
      <c r="AV20" s="2001"/>
      <c r="AW20" s="2001"/>
      <c r="AX20" s="2001"/>
      <c r="AY20" s="2001"/>
      <c r="AZ20" s="2001"/>
      <c r="BA20" s="2001"/>
      <c r="BB20" s="2001"/>
      <c r="BC20" s="2001"/>
      <c r="BD20" s="2001"/>
      <c r="BE20" s="2001"/>
      <c r="BF20" s="2001"/>
      <c r="BG20" s="2001"/>
      <c r="BH20" s="2001"/>
      <c r="BI20" s="2001"/>
      <c r="BJ20" s="2001"/>
      <c r="BK20" s="2001"/>
      <c r="BL20" s="2001"/>
      <c r="BM20" s="2001"/>
      <c r="BN20" s="2001"/>
      <c r="BO20" s="2001"/>
      <c r="BP20" s="2001"/>
      <c r="BQ20" s="2001"/>
      <c r="BR20" s="2001"/>
      <c r="BS20" s="2001"/>
      <c r="BT20" s="2001"/>
      <c r="BU20" s="2001"/>
      <c r="BV20" s="2001"/>
      <c r="BW20" s="2001"/>
      <c r="BX20" s="2001"/>
      <c r="BY20" s="2001"/>
      <c r="BZ20" s="2001"/>
      <c r="CA20" s="2001"/>
      <c r="CB20" s="2001"/>
      <c r="CC20" s="2001"/>
      <c r="CD20" s="2001"/>
      <c r="CE20" s="2001"/>
      <c r="CF20" s="2001"/>
      <c r="CG20" s="2001"/>
      <c r="CH20" s="2001"/>
      <c r="CI20" s="2001"/>
      <c r="CJ20" s="2001"/>
      <c r="CK20" s="2001"/>
      <c r="CL20" s="2001"/>
      <c r="CM20" s="2001"/>
      <c r="CN20" s="2001"/>
      <c r="CO20" s="2001"/>
      <c r="CP20" s="2001"/>
      <c r="CQ20" s="2001"/>
      <c r="CR20" s="2001"/>
      <c r="CS20" s="2001"/>
      <c r="CT20" s="2001"/>
      <c r="CU20" s="2001"/>
      <c r="CV20" s="2001"/>
      <c r="CW20" s="2001"/>
      <c r="CX20" s="2001"/>
      <c r="CY20" s="2001"/>
      <c r="CZ20" s="2001"/>
      <c r="DA20" s="2001"/>
      <c r="DB20" s="2001"/>
      <c r="DC20" s="2001"/>
      <c r="DD20" s="2001"/>
      <c r="DE20" s="2001"/>
      <c r="DF20" s="2001"/>
      <c r="DG20" s="2001"/>
      <c r="DH20" s="2001"/>
      <c r="DI20" s="2001"/>
      <c r="DJ20" s="2001"/>
      <c r="DK20" s="2001"/>
      <c r="DL20" s="2001"/>
      <c r="DM20" s="2001"/>
      <c r="DN20" s="2001"/>
      <c r="DO20" s="2001"/>
      <c r="DP20" s="2001"/>
      <c r="DQ20" s="2001"/>
      <c r="DR20" s="2001"/>
      <c r="DS20" s="2001"/>
      <c r="DT20" s="2001"/>
      <c r="DU20" s="2001"/>
      <c r="DV20" s="2001"/>
      <c r="DW20" s="2001"/>
      <c r="DX20" s="2001"/>
      <c r="DY20" s="2001"/>
      <c r="DZ20" s="2001"/>
      <c r="EA20" s="2001"/>
      <c r="EB20" s="2001"/>
      <c r="EC20" s="2001"/>
      <c r="ED20" s="2001"/>
      <c r="EE20" s="2001"/>
      <c r="EF20" s="2001"/>
      <c r="EG20" s="2001"/>
      <c r="EH20" s="2001"/>
      <c r="EI20" s="2001"/>
      <c r="EJ20" s="2001"/>
      <c r="EK20" s="2001"/>
      <c r="EL20" s="2001"/>
      <c r="EM20" s="2001"/>
      <c r="EN20" s="2001"/>
      <c r="EO20" s="2001"/>
      <c r="EP20" s="2001"/>
      <c r="EQ20" s="2001"/>
      <c r="ER20" s="2001"/>
      <c r="ES20" s="2001"/>
      <c r="ET20" s="2001"/>
      <c r="EU20" s="2001"/>
      <c r="EV20" s="2001"/>
      <c r="EW20" s="2001"/>
      <c r="EX20" s="2001"/>
      <c r="EY20" s="2001"/>
      <c r="EZ20" s="2001"/>
      <c r="FA20" s="2001"/>
      <c r="FB20" s="2001"/>
      <c r="FC20" s="2001"/>
      <c r="FD20" s="2001"/>
      <c r="FE20" s="2001"/>
      <c r="FF20" s="2001"/>
      <c r="FG20" s="2001"/>
      <c r="FH20" s="2001"/>
      <c r="FI20" s="2001"/>
      <c r="FJ20" s="2001"/>
      <c r="FK20" s="2001"/>
      <c r="FL20" s="2001"/>
      <c r="FM20" s="2001"/>
      <c r="FN20" s="2001"/>
      <c r="FO20" s="2001"/>
      <c r="FP20" s="2001"/>
      <c r="FQ20" s="2001"/>
      <c r="FR20" s="2001"/>
      <c r="FS20" s="2001"/>
      <c r="FT20" s="2001"/>
      <c r="FU20" s="2001"/>
      <c r="FV20" s="2001"/>
      <c r="FW20" s="2001"/>
      <c r="FX20" s="2001"/>
      <c r="FY20" s="2001"/>
      <c r="FZ20" s="2001"/>
      <c r="GA20" s="2001"/>
      <c r="GB20" s="2001"/>
      <c r="GC20" s="2001"/>
      <c r="GD20" s="2001"/>
      <c r="GE20" s="2001"/>
      <c r="GF20" s="2001"/>
      <c r="GG20" s="2001"/>
      <c r="GH20" s="2001"/>
      <c r="GI20" s="2001"/>
      <c r="GJ20" s="2001"/>
      <c r="GK20" s="2001"/>
      <c r="GL20" s="2001"/>
      <c r="GM20" s="2001"/>
      <c r="GN20" s="2001"/>
      <c r="GO20" s="2001"/>
      <c r="GP20" s="2001"/>
      <c r="GQ20" s="2001"/>
      <c r="GR20" s="2001"/>
      <c r="GS20" s="2001"/>
      <c r="GT20" s="2001"/>
      <c r="GU20" s="2001"/>
      <c r="GV20" s="2001"/>
      <c r="GW20" s="2001"/>
      <c r="GX20" s="2001"/>
      <c r="GY20" s="2001"/>
      <c r="GZ20" s="2001"/>
      <c r="HA20" s="2001"/>
      <c r="HB20" s="2001"/>
      <c r="HC20" s="2001"/>
      <c r="HD20" s="2001"/>
      <c r="HE20" s="2001"/>
      <c r="HF20" s="2001"/>
      <c r="HG20" s="2001"/>
      <c r="HH20" s="2001"/>
      <c r="HI20" s="2001"/>
      <c r="HJ20" s="2001"/>
      <c r="HK20" s="2001"/>
      <c r="HL20" s="2001"/>
      <c r="HM20" s="2001"/>
      <c r="HN20" s="2001"/>
      <c r="HO20" s="2001"/>
      <c r="HP20" s="2001"/>
      <c r="HQ20" s="2001"/>
      <c r="HR20" s="2001"/>
      <c r="HS20" s="2001"/>
      <c r="HT20" s="2001"/>
      <c r="HU20" s="2001"/>
      <c r="HV20" s="2001"/>
      <c r="HW20" s="2001"/>
      <c r="HX20" s="2001"/>
      <c r="HY20" s="2001"/>
      <c r="HZ20" s="2001"/>
      <c r="IA20" s="2001"/>
      <c r="IB20" s="2001"/>
      <c r="IC20" s="2001"/>
      <c r="ID20" s="2001"/>
      <c r="IE20" s="2001"/>
      <c r="IF20" s="2001"/>
      <c r="IG20" s="2001"/>
      <c r="IH20" s="2001"/>
      <c r="II20" s="2001"/>
      <c r="IJ20" s="2001"/>
      <c r="IK20" s="2001"/>
      <c r="IL20" s="2001"/>
      <c r="IM20" s="2001"/>
    </row>
    <row r="21" spans="1:247" s="2002" customFormat="1" ht="18.75" customHeight="1">
      <c r="A21" s="2026" t="s">
        <v>959</v>
      </c>
      <c r="B21" s="2027" t="s">
        <v>960</v>
      </c>
      <c r="C21" s="2034">
        <v>111670870.3</v>
      </c>
      <c r="D21" s="2029">
        <v>24212544</v>
      </c>
      <c r="E21" s="2029">
        <v>81956048</v>
      </c>
      <c r="F21" s="2031">
        <v>3231078</v>
      </c>
      <c r="G21" s="2032">
        <f t="shared" si="1"/>
        <v>221070540.30000001</v>
      </c>
      <c r="H21" s="2033">
        <f t="shared" si="0"/>
        <v>4.7154161894268555E-2</v>
      </c>
      <c r="I21" s="2001"/>
      <c r="J21" s="2001"/>
      <c r="K21" s="2001"/>
      <c r="L21" s="2001"/>
      <c r="M21" s="2001"/>
      <c r="N21" s="2001"/>
      <c r="O21" s="2001"/>
      <c r="P21" s="2001"/>
      <c r="Q21" s="2001"/>
      <c r="R21" s="2001"/>
      <c r="S21" s="2001"/>
      <c r="T21" s="2001"/>
      <c r="U21" s="2001"/>
      <c r="V21" s="2001"/>
      <c r="W21" s="2001"/>
      <c r="X21" s="2001"/>
      <c r="Y21" s="2001"/>
      <c r="Z21" s="2001"/>
      <c r="AA21" s="2001"/>
      <c r="AB21" s="2001"/>
      <c r="AC21" s="2001"/>
      <c r="AD21" s="2001"/>
      <c r="AE21" s="2001"/>
      <c r="AF21" s="2001"/>
      <c r="AG21" s="2001"/>
      <c r="AH21" s="2001"/>
      <c r="AI21" s="2001"/>
      <c r="AJ21" s="2001"/>
      <c r="AK21" s="2001"/>
      <c r="AL21" s="2001"/>
      <c r="AM21" s="2001"/>
      <c r="AN21" s="2001"/>
      <c r="AO21" s="2001"/>
      <c r="AP21" s="2001"/>
      <c r="AQ21" s="2001"/>
      <c r="AR21" s="2001"/>
      <c r="AS21" s="2001"/>
      <c r="AT21" s="2001"/>
      <c r="AU21" s="2001"/>
      <c r="AV21" s="2001"/>
      <c r="AW21" s="2001"/>
      <c r="AX21" s="2001"/>
      <c r="AY21" s="2001"/>
      <c r="AZ21" s="2001"/>
      <c r="BA21" s="2001"/>
      <c r="BB21" s="2001"/>
      <c r="BC21" s="2001"/>
      <c r="BD21" s="2001"/>
      <c r="BE21" s="2001"/>
      <c r="BF21" s="2001"/>
      <c r="BG21" s="2001"/>
      <c r="BH21" s="2001"/>
      <c r="BI21" s="2001"/>
      <c r="BJ21" s="2001"/>
      <c r="BK21" s="2001"/>
      <c r="BL21" s="2001"/>
      <c r="BM21" s="2001"/>
      <c r="BN21" s="2001"/>
      <c r="BO21" s="2001"/>
      <c r="BP21" s="2001"/>
      <c r="BQ21" s="2001"/>
      <c r="BR21" s="2001"/>
      <c r="BS21" s="2001"/>
      <c r="BT21" s="2001"/>
      <c r="BU21" s="2001"/>
      <c r="BV21" s="2001"/>
      <c r="BW21" s="2001"/>
      <c r="BX21" s="2001"/>
      <c r="BY21" s="2001"/>
      <c r="BZ21" s="2001"/>
      <c r="CA21" s="2001"/>
      <c r="CB21" s="2001"/>
      <c r="CC21" s="2001"/>
      <c r="CD21" s="2001"/>
      <c r="CE21" s="2001"/>
      <c r="CF21" s="2001"/>
      <c r="CG21" s="2001"/>
      <c r="CH21" s="2001"/>
      <c r="CI21" s="2001"/>
      <c r="CJ21" s="2001"/>
      <c r="CK21" s="2001"/>
      <c r="CL21" s="2001"/>
      <c r="CM21" s="2001"/>
      <c r="CN21" s="2001"/>
      <c r="CO21" s="2001"/>
      <c r="CP21" s="2001"/>
      <c r="CQ21" s="2001"/>
      <c r="CR21" s="2001"/>
      <c r="CS21" s="2001"/>
      <c r="CT21" s="2001"/>
      <c r="CU21" s="2001"/>
      <c r="CV21" s="2001"/>
      <c r="CW21" s="2001"/>
      <c r="CX21" s="2001"/>
      <c r="CY21" s="2001"/>
      <c r="CZ21" s="2001"/>
      <c r="DA21" s="2001"/>
      <c r="DB21" s="2001"/>
      <c r="DC21" s="2001"/>
      <c r="DD21" s="2001"/>
      <c r="DE21" s="2001"/>
      <c r="DF21" s="2001"/>
      <c r="DG21" s="2001"/>
      <c r="DH21" s="2001"/>
      <c r="DI21" s="2001"/>
      <c r="DJ21" s="2001"/>
      <c r="DK21" s="2001"/>
      <c r="DL21" s="2001"/>
      <c r="DM21" s="2001"/>
      <c r="DN21" s="2001"/>
      <c r="DO21" s="2001"/>
      <c r="DP21" s="2001"/>
      <c r="DQ21" s="2001"/>
      <c r="DR21" s="2001"/>
      <c r="DS21" s="2001"/>
      <c r="DT21" s="2001"/>
      <c r="DU21" s="2001"/>
      <c r="DV21" s="2001"/>
      <c r="DW21" s="2001"/>
      <c r="DX21" s="2001"/>
      <c r="DY21" s="2001"/>
      <c r="DZ21" s="2001"/>
      <c r="EA21" s="2001"/>
      <c r="EB21" s="2001"/>
      <c r="EC21" s="2001"/>
      <c r="ED21" s="2001"/>
      <c r="EE21" s="2001"/>
      <c r="EF21" s="2001"/>
      <c r="EG21" s="2001"/>
      <c r="EH21" s="2001"/>
      <c r="EI21" s="2001"/>
      <c r="EJ21" s="2001"/>
      <c r="EK21" s="2001"/>
      <c r="EL21" s="2001"/>
      <c r="EM21" s="2001"/>
      <c r="EN21" s="2001"/>
      <c r="EO21" s="2001"/>
      <c r="EP21" s="2001"/>
      <c r="EQ21" s="2001"/>
      <c r="ER21" s="2001"/>
      <c r="ES21" s="2001"/>
      <c r="ET21" s="2001"/>
      <c r="EU21" s="2001"/>
      <c r="EV21" s="2001"/>
      <c r="EW21" s="2001"/>
      <c r="EX21" s="2001"/>
      <c r="EY21" s="2001"/>
      <c r="EZ21" s="2001"/>
      <c r="FA21" s="2001"/>
      <c r="FB21" s="2001"/>
      <c r="FC21" s="2001"/>
      <c r="FD21" s="2001"/>
      <c r="FE21" s="2001"/>
      <c r="FF21" s="2001"/>
      <c r="FG21" s="2001"/>
      <c r="FH21" s="2001"/>
      <c r="FI21" s="2001"/>
      <c r="FJ21" s="2001"/>
      <c r="FK21" s="2001"/>
      <c r="FL21" s="2001"/>
      <c r="FM21" s="2001"/>
      <c r="FN21" s="2001"/>
      <c r="FO21" s="2001"/>
      <c r="FP21" s="2001"/>
      <c r="FQ21" s="2001"/>
      <c r="FR21" s="2001"/>
      <c r="FS21" s="2001"/>
      <c r="FT21" s="2001"/>
      <c r="FU21" s="2001"/>
      <c r="FV21" s="2001"/>
      <c r="FW21" s="2001"/>
      <c r="FX21" s="2001"/>
      <c r="FY21" s="2001"/>
      <c r="FZ21" s="2001"/>
      <c r="GA21" s="2001"/>
      <c r="GB21" s="2001"/>
      <c r="GC21" s="2001"/>
      <c r="GD21" s="2001"/>
      <c r="GE21" s="2001"/>
      <c r="GF21" s="2001"/>
      <c r="GG21" s="2001"/>
      <c r="GH21" s="2001"/>
      <c r="GI21" s="2001"/>
      <c r="GJ21" s="2001"/>
      <c r="GK21" s="2001"/>
      <c r="GL21" s="2001"/>
      <c r="GM21" s="2001"/>
      <c r="GN21" s="2001"/>
      <c r="GO21" s="2001"/>
      <c r="GP21" s="2001"/>
      <c r="GQ21" s="2001"/>
      <c r="GR21" s="2001"/>
      <c r="GS21" s="2001"/>
      <c r="GT21" s="2001"/>
      <c r="GU21" s="2001"/>
      <c r="GV21" s="2001"/>
      <c r="GW21" s="2001"/>
      <c r="GX21" s="2001"/>
      <c r="GY21" s="2001"/>
      <c r="GZ21" s="2001"/>
      <c r="HA21" s="2001"/>
      <c r="HB21" s="2001"/>
      <c r="HC21" s="2001"/>
      <c r="HD21" s="2001"/>
      <c r="HE21" s="2001"/>
      <c r="HF21" s="2001"/>
      <c r="HG21" s="2001"/>
      <c r="HH21" s="2001"/>
      <c r="HI21" s="2001"/>
      <c r="HJ21" s="2001"/>
      <c r="HK21" s="2001"/>
      <c r="HL21" s="2001"/>
      <c r="HM21" s="2001"/>
      <c r="HN21" s="2001"/>
      <c r="HO21" s="2001"/>
      <c r="HP21" s="2001"/>
      <c r="HQ21" s="2001"/>
      <c r="HR21" s="2001"/>
      <c r="HS21" s="2001"/>
      <c r="HT21" s="2001"/>
      <c r="HU21" s="2001"/>
      <c r="HV21" s="2001"/>
      <c r="HW21" s="2001"/>
      <c r="HX21" s="2001"/>
      <c r="HY21" s="2001"/>
      <c r="HZ21" s="2001"/>
      <c r="IA21" s="2001"/>
      <c r="IB21" s="2001"/>
      <c r="IC21" s="2001"/>
      <c r="ID21" s="2001"/>
      <c r="IE21" s="2001"/>
      <c r="IF21" s="2001"/>
      <c r="IG21" s="2001"/>
      <c r="IH21" s="2001"/>
      <c r="II21" s="2001"/>
      <c r="IJ21" s="2001"/>
      <c r="IK21" s="2001"/>
      <c r="IL21" s="2001"/>
      <c r="IM21" s="2001"/>
    </row>
    <row r="22" spans="1:247" s="2002" customFormat="1" ht="16.5" customHeight="1">
      <c r="A22" s="2026" t="s">
        <v>961</v>
      </c>
      <c r="B22" s="2027" t="s">
        <v>962</v>
      </c>
      <c r="C22" s="2034">
        <v>1250495</v>
      </c>
      <c r="D22" s="2029">
        <v>99265</v>
      </c>
      <c r="E22" s="2035" t="s">
        <v>936</v>
      </c>
      <c r="F22" s="2036" t="s">
        <v>936</v>
      </c>
      <c r="G22" s="2032">
        <f t="shared" si="1"/>
        <v>1349760</v>
      </c>
      <c r="H22" s="2033">
        <f t="shared" si="0"/>
        <v>2.8790268242904327E-4</v>
      </c>
      <c r="I22" s="2001"/>
      <c r="J22" s="2001"/>
      <c r="K22" s="2001"/>
      <c r="L22" s="2001"/>
      <c r="M22" s="2001"/>
      <c r="N22" s="2001"/>
      <c r="O22" s="2001"/>
      <c r="P22" s="2001"/>
      <c r="Q22" s="2001"/>
      <c r="R22" s="2001"/>
      <c r="S22" s="2001"/>
      <c r="T22" s="2001"/>
      <c r="U22" s="2001"/>
      <c r="V22" s="2001"/>
      <c r="W22" s="2001"/>
      <c r="X22" s="2001"/>
      <c r="Y22" s="2001"/>
      <c r="Z22" s="2001"/>
      <c r="AA22" s="2001"/>
      <c r="AB22" s="2001"/>
      <c r="AC22" s="2001"/>
      <c r="AD22" s="2001"/>
      <c r="AE22" s="2001"/>
      <c r="AF22" s="2001"/>
      <c r="AG22" s="2001"/>
      <c r="AH22" s="2001"/>
      <c r="AI22" s="2001"/>
      <c r="AJ22" s="2001"/>
      <c r="AK22" s="2001"/>
      <c r="AL22" s="2001"/>
      <c r="AM22" s="2001"/>
      <c r="AN22" s="2001"/>
      <c r="AO22" s="2001"/>
      <c r="AP22" s="2001"/>
      <c r="AQ22" s="2001"/>
      <c r="AR22" s="2001"/>
      <c r="AS22" s="2001"/>
      <c r="AT22" s="2001"/>
      <c r="AU22" s="2001"/>
      <c r="AV22" s="2001"/>
      <c r="AW22" s="2001"/>
      <c r="AX22" s="2001"/>
      <c r="AY22" s="2001"/>
      <c r="AZ22" s="2001"/>
      <c r="BA22" s="2001"/>
      <c r="BB22" s="2001"/>
      <c r="BC22" s="2001"/>
      <c r="BD22" s="2001"/>
      <c r="BE22" s="2001"/>
      <c r="BF22" s="2001"/>
      <c r="BG22" s="2001"/>
      <c r="BH22" s="2001"/>
      <c r="BI22" s="2001"/>
      <c r="BJ22" s="2001"/>
      <c r="BK22" s="2001"/>
      <c r="BL22" s="2001"/>
      <c r="BM22" s="2001"/>
      <c r="BN22" s="2001"/>
      <c r="BO22" s="2001"/>
      <c r="BP22" s="2001"/>
      <c r="BQ22" s="2001"/>
      <c r="BR22" s="2001"/>
      <c r="BS22" s="2001"/>
      <c r="BT22" s="2001"/>
      <c r="BU22" s="2001"/>
      <c r="BV22" s="2001"/>
      <c r="BW22" s="2001"/>
      <c r="BX22" s="2001"/>
      <c r="BY22" s="2001"/>
      <c r="BZ22" s="2001"/>
      <c r="CA22" s="2001"/>
      <c r="CB22" s="2001"/>
      <c r="CC22" s="2001"/>
      <c r="CD22" s="2001"/>
      <c r="CE22" s="2001"/>
      <c r="CF22" s="2001"/>
      <c r="CG22" s="2001"/>
      <c r="CH22" s="2001"/>
      <c r="CI22" s="2001"/>
      <c r="CJ22" s="2001"/>
      <c r="CK22" s="2001"/>
      <c r="CL22" s="2001"/>
      <c r="CM22" s="2001"/>
      <c r="CN22" s="2001"/>
      <c r="CO22" s="2001"/>
      <c r="CP22" s="2001"/>
      <c r="CQ22" s="2001"/>
      <c r="CR22" s="2001"/>
      <c r="CS22" s="2001"/>
      <c r="CT22" s="2001"/>
      <c r="CU22" s="2001"/>
      <c r="CV22" s="2001"/>
      <c r="CW22" s="2001"/>
      <c r="CX22" s="2001"/>
      <c r="CY22" s="2001"/>
      <c r="CZ22" s="2001"/>
      <c r="DA22" s="2001"/>
      <c r="DB22" s="2001"/>
      <c r="DC22" s="2001"/>
      <c r="DD22" s="2001"/>
      <c r="DE22" s="2001"/>
      <c r="DF22" s="2001"/>
      <c r="DG22" s="2001"/>
      <c r="DH22" s="2001"/>
      <c r="DI22" s="2001"/>
      <c r="DJ22" s="2001"/>
      <c r="DK22" s="2001"/>
      <c r="DL22" s="2001"/>
      <c r="DM22" s="2001"/>
      <c r="DN22" s="2001"/>
      <c r="DO22" s="2001"/>
      <c r="DP22" s="2001"/>
      <c r="DQ22" s="2001"/>
      <c r="DR22" s="2001"/>
      <c r="DS22" s="2001"/>
      <c r="DT22" s="2001"/>
      <c r="DU22" s="2001"/>
      <c r="DV22" s="2001"/>
      <c r="DW22" s="2001"/>
      <c r="DX22" s="2001"/>
      <c r="DY22" s="2001"/>
      <c r="DZ22" s="2001"/>
      <c r="EA22" s="2001"/>
      <c r="EB22" s="2001"/>
      <c r="EC22" s="2001"/>
      <c r="ED22" s="2001"/>
      <c r="EE22" s="2001"/>
      <c r="EF22" s="2001"/>
      <c r="EG22" s="2001"/>
      <c r="EH22" s="2001"/>
      <c r="EI22" s="2001"/>
      <c r="EJ22" s="2001"/>
      <c r="EK22" s="2001"/>
      <c r="EL22" s="2001"/>
      <c r="EM22" s="2001"/>
      <c r="EN22" s="2001"/>
      <c r="EO22" s="2001"/>
      <c r="EP22" s="2001"/>
      <c r="EQ22" s="2001"/>
      <c r="ER22" s="2001"/>
      <c r="ES22" s="2001"/>
      <c r="ET22" s="2001"/>
      <c r="EU22" s="2001"/>
      <c r="EV22" s="2001"/>
      <c r="EW22" s="2001"/>
      <c r="EX22" s="2001"/>
      <c r="EY22" s="2001"/>
      <c r="EZ22" s="2001"/>
      <c r="FA22" s="2001"/>
      <c r="FB22" s="2001"/>
      <c r="FC22" s="2001"/>
      <c r="FD22" s="2001"/>
      <c r="FE22" s="2001"/>
      <c r="FF22" s="2001"/>
      <c r="FG22" s="2001"/>
      <c r="FH22" s="2001"/>
      <c r="FI22" s="2001"/>
      <c r="FJ22" s="2001"/>
      <c r="FK22" s="2001"/>
      <c r="FL22" s="2001"/>
      <c r="FM22" s="2001"/>
      <c r="FN22" s="2001"/>
      <c r="FO22" s="2001"/>
      <c r="FP22" s="2001"/>
      <c r="FQ22" s="2001"/>
      <c r="FR22" s="2001"/>
      <c r="FS22" s="2001"/>
      <c r="FT22" s="2001"/>
      <c r="FU22" s="2001"/>
      <c r="FV22" s="2001"/>
      <c r="FW22" s="2001"/>
      <c r="FX22" s="2001"/>
      <c r="FY22" s="2001"/>
      <c r="FZ22" s="2001"/>
      <c r="GA22" s="2001"/>
      <c r="GB22" s="2001"/>
      <c r="GC22" s="2001"/>
      <c r="GD22" s="2001"/>
      <c r="GE22" s="2001"/>
      <c r="GF22" s="2001"/>
      <c r="GG22" s="2001"/>
      <c r="GH22" s="2001"/>
      <c r="GI22" s="2001"/>
      <c r="GJ22" s="2001"/>
      <c r="GK22" s="2001"/>
      <c r="GL22" s="2001"/>
      <c r="GM22" s="2001"/>
      <c r="GN22" s="2001"/>
      <c r="GO22" s="2001"/>
      <c r="GP22" s="2001"/>
      <c r="GQ22" s="2001"/>
      <c r="GR22" s="2001"/>
      <c r="GS22" s="2001"/>
      <c r="GT22" s="2001"/>
      <c r="GU22" s="2001"/>
      <c r="GV22" s="2001"/>
      <c r="GW22" s="2001"/>
      <c r="GX22" s="2001"/>
      <c r="GY22" s="2001"/>
      <c r="GZ22" s="2001"/>
      <c r="HA22" s="2001"/>
      <c r="HB22" s="2001"/>
      <c r="HC22" s="2001"/>
      <c r="HD22" s="2001"/>
      <c r="HE22" s="2001"/>
      <c r="HF22" s="2001"/>
      <c r="HG22" s="2001"/>
      <c r="HH22" s="2001"/>
      <c r="HI22" s="2001"/>
      <c r="HJ22" s="2001"/>
      <c r="HK22" s="2001"/>
      <c r="HL22" s="2001"/>
      <c r="HM22" s="2001"/>
      <c r="HN22" s="2001"/>
      <c r="HO22" s="2001"/>
      <c r="HP22" s="2001"/>
      <c r="HQ22" s="2001"/>
      <c r="HR22" s="2001"/>
      <c r="HS22" s="2001"/>
      <c r="HT22" s="2001"/>
      <c r="HU22" s="2001"/>
      <c r="HV22" s="2001"/>
      <c r="HW22" s="2001"/>
      <c r="HX22" s="2001"/>
      <c r="HY22" s="2001"/>
      <c r="HZ22" s="2001"/>
      <c r="IA22" s="2001"/>
      <c r="IB22" s="2001"/>
      <c r="IC22" s="2001"/>
      <c r="ID22" s="2001"/>
      <c r="IE22" s="2001"/>
      <c r="IF22" s="2001"/>
      <c r="IG22" s="2001"/>
      <c r="IH22" s="2001"/>
      <c r="II22" s="2001"/>
      <c r="IJ22" s="2001"/>
      <c r="IK22" s="2001"/>
      <c r="IL22" s="2001"/>
      <c r="IM22" s="2001"/>
    </row>
    <row r="23" spans="1:247" ht="19.5" customHeight="1">
      <c r="A23" s="2016" t="s">
        <v>830</v>
      </c>
      <c r="B23" s="2017" t="s">
        <v>963</v>
      </c>
      <c r="C23" s="2018" t="s">
        <v>936</v>
      </c>
      <c r="D23" s="2019">
        <v>13479682</v>
      </c>
      <c r="E23" s="2019">
        <v>66520318</v>
      </c>
      <c r="F23" s="2024" t="s">
        <v>936</v>
      </c>
      <c r="G23" s="2025">
        <f>SUM(C23:F23)</f>
        <v>80000000</v>
      </c>
      <c r="H23" s="2015">
        <f t="shared" si="0"/>
        <v>1.7063933287638885E-2</v>
      </c>
      <c r="I23" s="1999"/>
      <c r="J23" s="2004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1999"/>
      <c r="AJ23" s="1999"/>
      <c r="AK23" s="1999"/>
      <c r="AL23" s="1999"/>
      <c r="AM23" s="1999"/>
      <c r="AN23" s="1999"/>
      <c r="AO23" s="1999"/>
      <c r="AP23" s="1999"/>
      <c r="AQ23" s="1999"/>
      <c r="AR23" s="1999"/>
      <c r="AS23" s="1999"/>
      <c r="AT23" s="1999"/>
      <c r="AU23" s="1999"/>
      <c r="AV23" s="1999"/>
      <c r="AW23" s="1999"/>
      <c r="AX23" s="1999"/>
      <c r="AY23" s="1999"/>
      <c r="AZ23" s="1999"/>
      <c r="BA23" s="1999"/>
      <c r="BB23" s="1999"/>
      <c r="BC23" s="1999"/>
      <c r="BD23" s="1999"/>
      <c r="BE23" s="1999"/>
      <c r="BF23" s="1999"/>
      <c r="BG23" s="1999"/>
      <c r="BH23" s="1999"/>
      <c r="BI23" s="1999"/>
      <c r="BJ23" s="1999"/>
      <c r="BK23" s="1999"/>
      <c r="BL23" s="1999"/>
      <c r="BM23" s="1999"/>
      <c r="BN23" s="1999"/>
      <c r="BO23" s="1999"/>
      <c r="BP23" s="1999"/>
      <c r="BQ23" s="1999"/>
      <c r="BR23" s="1999"/>
      <c r="BS23" s="1999"/>
      <c r="BT23" s="1999"/>
      <c r="BU23" s="1999"/>
      <c r="BV23" s="1999"/>
      <c r="BW23" s="1999"/>
      <c r="BX23" s="1999"/>
      <c r="BY23" s="1999"/>
      <c r="BZ23" s="1999"/>
      <c r="CA23" s="1999"/>
      <c r="CB23" s="1999"/>
      <c r="CC23" s="1999"/>
      <c r="CD23" s="1999"/>
      <c r="CE23" s="1999"/>
      <c r="CF23" s="1999"/>
      <c r="CG23" s="1999"/>
      <c r="CH23" s="1999"/>
      <c r="CI23" s="1999"/>
      <c r="CJ23" s="1999"/>
      <c r="CK23" s="1999"/>
      <c r="CL23" s="1999"/>
      <c r="CM23" s="1999"/>
      <c r="CN23" s="1999"/>
      <c r="CO23" s="1999"/>
      <c r="CP23" s="1999"/>
      <c r="CQ23" s="1999"/>
      <c r="CR23" s="1999"/>
      <c r="CS23" s="1999"/>
      <c r="CT23" s="1999"/>
      <c r="CU23" s="1999"/>
      <c r="CV23" s="1999"/>
      <c r="CW23" s="1999"/>
      <c r="CX23" s="1999"/>
      <c r="CY23" s="1999"/>
      <c r="CZ23" s="1999"/>
      <c r="DA23" s="1999"/>
      <c r="DB23" s="1999"/>
      <c r="DC23" s="1999"/>
      <c r="DD23" s="1999"/>
      <c r="DE23" s="1999"/>
      <c r="DF23" s="1999"/>
      <c r="DG23" s="1999"/>
      <c r="DH23" s="1999"/>
      <c r="DI23" s="1999"/>
      <c r="DJ23" s="1999"/>
      <c r="DK23" s="1999"/>
      <c r="DL23" s="1999"/>
      <c r="DM23" s="1999"/>
      <c r="DN23" s="1999"/>
      <c r="DO23" s="1999"/>
      <c r="DP23" s="1999"/>
      <c r="DQ23" s="1999"/>
      <c r="DR23" s="1999"/>
      <c r="DS23" s="1999"/>
      <c r="DT23" s="1999"/>
      <c r="DU23" s="1999"/>
      <c r="DV23" s="1999"/>
      <c r="DW23" s="1999"/>
      <c r="DX23" s="1999"/>
      <c r="DY23" s="1999"/>
      <c r="DZ23" s="1999"/>
      <c r="EA23" s="1999"/>
      <c r="EB23" s="1999"/>
      <c r="EC23" s="1999"/>
      <c r="ED23" s="1999"/>
      <c r="EE23" s="1999"/>
      <c r="EF23" s="1999"/>
      <c r="EG23" s="1999"/>
      <c r="EH23" s="1999"/>
      <c r="EI23" s="1999"/>
      <c r="EJ23" s="1999"/>
      <c r="EK23" s="1999"/>
      <c r="EL23" s="1999"/>
      <c r="EM23" s="1999"/>
      <c r="EN23" s="1999"/>
      <c r="EO23" s="1999"/>
      <c r="EP23" s="1999"/>
      <c r="EQ23" s="1999"/>
      <c r="ER23" s="1999"/>
      <c r="ES23" s="1999"/>
      <c r="ET23" s="1999"/>
      <c r="EU23" s="1999"/>
      <c r="EV23" s="1999"/>
      <c r="EW23" s="1999"/>
      <c r="EX23" s="1999"/>
      <c r="EY23" s="1999"/>
      <c r="EZ23" s="1999"/>
      <c r="FA23" s="1999"/>
      <c r="FB23" s="1999"/>
      <c r="FC23" s="1999"/>
      <c r="FD23" s="1999"/>
      <c r="FE23" s="1999"/>
      <c r="FF23" s="1999"/>
      <c r="FG23" s="1999"/>
      <c r="FH23" s="1999"/>
      <c r="FI23" s="1999"/>
      <c r="FJ23" s="1999"/>
      <c r="FK23" s="1999"/>
      <c r="FL23" s="1999"/>
      <c r="FM23" s="1999"/>
      <c r="FN23" s="1999"/>
      <c r="FO23" s="1999"/>
      <c r="FP23" s="1999"/>
      <c r="FQ23" s="1999"/>
      <c r="FR23" s="1999"/>
      <c r="FS23" s="1999"/>
      <c r="FT23" s="1999"/>
      <c r="FU23" s="1999"/>
      <c r="FV23" s="1999"/>
      <c r="FW23" s="1999"/>
      <c r="FX23" s="1999"/>
      <c r="FY23" s="1999"/>
      <c r="FZ23" s="1999"/>
      <c r="GA23" s="1999"/>
      <c r="GB23" s="1999"/>
      <c r="GC23" s="1999"/>
      <c r="GD23" s="1999"/>
      <c r="GE23" s="1999"/>
      <c r="GF23" s="1999"/>
      <c r="GG23" s="1999"/>
      <c r="GH23" s="1999"/>
      <c r="GI23" s="1999"/>
      <c r="GJ23" s="1999"/>
      <c r="GK23" s="1999"/>
      <c r="GL23" s="1999"/>
      <c r="GM23" s="1999"/>
      <c r="GN23" s="1999"/>
      <c r="GO23" s="1999"/>
      <c r="GP23" s="1999"/>
      <c r="GQ23" s="1999"/>
      <c r="GR23" s="1999"/>
      <c r="GS23" s="1999"/>
      <c r="GT23" s="1999"/>
      <c r="GU23" s="1999"/>
      <c r="GV23" s="1999"/>
      <c r="GW23" s="1999"/>
      <c r="GX23" s="1999"/>
      <c r="GY23" s="1999"/>
      <c r="GZ23" s="1999"/>
      <c r="HA23" s="1999"/>
      <c r="HB23" s="1999"/>
      <c r="HC23" s="1999"/>
      <c r="HD23" s="1999"/>
      <c r="HE23" s="1999"/>
      <c r="HF23" s="1999"/>
      <c r="HG23" s="1999"/>
      <c r="HH23" s="1999"/>
      <c r="HI23" s="1999"/>
      <c r="HJ23" s="1999"/>
      <c r="HK23" s="1999"/>
      <c r="HL23" s="1999"/>
      <c r="HM23" s="1999"/>
      <c r="HN23" s="1999"/>
      <c r="HO23" s="1999"/>
      <c r="HP23" s="1999"/>
      <c r="HQ23" s="1999"/>
      <c r="HR23" s="1999"/>
      <c r="HS23" s="1999"/>
      <c r="HT23" s="1999"/>
      <c r="HU23" s="1999"/>
      <c r="HV23" s="1999"/>
      <c r="HW23" s="1999"/>
      <c r="HX23" s="1999"/>
      <c r="HY23" s="1999"/>
      <c r="HZ23" s="1999"/>
      <c r="IA23" s="1999"/>
      <c r="IB23" s="1999"/>
      <c r="IC23" s="1999"/>
      <c r="ID23" s="1999"/>
      <c r="IE23" s="1999"/>
      <c r="IF23" s="1999"/>
      <c r="IG23" s="1999"/>
      <c r="IH23" s="1999"/>
      <c r="II23" s="1999"/>
      <c r="IJ23" s="1999"/>
      <c r="IK23" s="1999"/>
      <c r="IL23" s="1999"/>
      <c r="IM23" s="1999"/>
    </row>
    <row r="24" spans="1:247" ht="42" customHeight="1">
      <c r="A24" s="2016" t="s">
        <v>831</v>
      </c>
      <c r="B24" s="2017" t="s">
        <v>964</v>
      </c>
      <c r="C24" s="2018" t="s">
        <v>936</v>
      </c>
      <c r="D24" s="2019">
        <v>439673119.69</v>
      </c>
      <c r="E24" s="2019">
        <v>29529012.809999999</v>
      </c>
      <c r="F24" s="2024" t="s">
        <v>936</v>
      </c>
      <c r="G24" s="2039">
        <f>SUM(C24:F24)</f>
        <v>469202132.5</v>
      </c>
      <c r="H24" s="2040">
        <f t="shared" si="0"/>
        <v>0.10008042359247377</v>
      </c>
      <c r="I24" s="1999"/>
      <c r="J24" s="1999"/>
      <c r="K24" s="1999"/>
      <c r="L24" s="1999"/>
      <c r="M24" s="1999"/>
      <c r="N24" s="1999"/>
      <c r="O24" s="1999"/>
      <c r="P24" s="1999"/>
      <c r="Q24" s="1999"/>
      <c r="R24" s="1999"/>
      <c r="S24" s="1999"/>
      <c r="T24" s="1999"/>
      <c r="U24" s="1999"/>
      <c r="V24" s="1999"/>
      <c r="W24" s="1999"/>
      <c r="X24" s="1999"/>
      <c r="Y24" s="1999"/>
      <c r="Z24" s="1999"/>
      <c r="AA24" s="1999"/>
      <c r="AB24" s="1999"/>
      <c r="AC24" s="1999"/>
      <c r="AD24" s="1999"/>
      <c r="AE24" s="1999"/>
      <c r="AF24" s="1999"/>
      <c r="AG24" s="1999"/>
      <c r="AH24" s="1999"/>
      <c r="AI24" s="1999"/>
      <c r="AJ24" s="1999"/>
      <c r="AK24" s="1999"/>
      <c r="AL24" s="1999"/>
      <c r="AM24" s="1999"/>
      <c r="AN24" s="1999"/>
      <c r="AO24" s="1999"/>
      <c r="AP24" s="1999"/>
      <c r="AQ24" s="1999"/>
      <c r="AR24" s="1999"/>
      <c r="AS24" s="1999"/>
      <c r="AT24" s="1999"/>
      <c r="AU24" s="1999"/>
      <c r="AV24" s="1999"/>
      <c r="AW24" s="1999"/>
      <c r="AX24" s="1999"/>
      <c r="AY24" s="1999"/>
      <c r="AZ24" s="1999"/>
      <c r="BA24" s="1999"/>
      <c r="BB24" s="1999"/>
      <c r="BC24" s="1999"/>
      <c r="BD24" s="1999"/>
      <c r="BE24" s="1999"/>
      <c r="BF24" s="1999"/>
      <c r="BG24" s="1999"/>
      <c r="BH24" s="1999"/>
      <c r="BI24" s="1999"/>
      <c r="BJ24" s="1999"/>
      <c r="BK24" s="1999"/>
      <c r="BL24" s="1999"/>
      <c r="BM24" s="1999"/>
      <c r="BN24" s="1999"/>
      <c r="BO24" s="1999"/>
      <c r="BP24" s="1999"/>
      <c r="BQ24" s="1999"/>
      <c r="BR24" s="1999"/>
      <c r="BS24" s="1999"/>
      <c r="BT24" s="1999"/>
      <c r="BU24" s="1999"/>
      <c r="BV24" s="1999"/>
      <c r="BW24" s="1999"/>
      <c r="BX24" s="1999"/>
      <c r="BY24" s="1999"/>
      <c r="BZ24" s="1999"/>
      <c r="CA24" s="1999"/>
      <c r="CB24" s="1999"/>
      <c r="CC24" s="1999"/>
      <c r="CD24" s="1999"/>
      <c r="CE24" s="1999"/>
      <c r="CF24" s="1999"/>
      <c r="CG24" s="1999"/>
      <c r="CH24" s="1999"/>
      <c r="CI24" s="1999"/>
      <c r="CJ24" s="1999"/>
      <c r="CK24" s="1999"/>
      <c r="CL24" s="1999"/>
      <c r="CM24" s="1999"/>
      <c r="CN24" s="1999"/>
      <c r="CO24" s="1999"/>
      <c r="CP24" s="1999"/>
      <c r="CQ24" s="1999"/>
      <c r="CR24" s="1999"/>
      <c r="CS24" s="1999"/>
      <c r="CT24" s="1999"/>
      <c r="CU24" s="1999"/>
      <c r="CV24" s="1999"/>
      <c r="CW24" s="1999"/>
      <c r="CX24" s="1999"/>
      <c r="CY24" s="1999"/>
      <c r="CZ24" s="1999"/>
      <c r="DA24" s="1999"/>
      <c r="DB24" s="1999"/>
      <c r="DC24" s="1999"/>
      <c r="DD24" s="1999"/>
      <c r="DE24" s="1999"/>
      <c r="DF24" s="1999"/>
      <c r="DG24" s="1999"/>
      <c r="DH24" s="1999"/>
      <c r="DI24" s="1999"/>
      <c r="DJ24" s="1999"/>
      <c r="DK24" s="1999"/>
      <c r="DL24" s="1999"/>
      <c r="DM24" s="1999"/>
      <c r="DN24" s="1999"/>
      <c r="DO24" s="1999"/>
      <c r="DP24" s="1999"/>
      <c r="DQ24" s="1999"/>
      <c r="DR24" s="1999"/>
      <c r="DS24" s="1999"/>
      <c r="DT24" s="1999"/>
      <c r="DU24" s="1999"/>
      <c r="DV24" s="1999"/>
      <c r="DW24" s="1999"/>
      <c r="DX24" s="1999"/>
      <c r="DY24" s="1999"/>
      <c r="DZ24" s="1999"/>
      <c r="EA24" s="1999"/>
      <c r="EB24" s="1999"/>
      <c r="EC24" s="1999"/>
      <c r="ED24" s="1999"/>
      <c r="EE24" s="1999"/>
      <c r="EF24" s="1999"/>
      <c r="EG24" s="1999"/>
      <c r="EH24" s="1999"/>
      <c r="EI24" s="1999"/>
      <c r="EJ24" s="1999"/>
      <c r="EK24" s="1999"/>
      <c r="EL24" s="1999"/>
      <c r="EM24" s="1999"/>
      <c r="EN24" s="1999"/>
      <c r="EO24" s="1999"/>
      <c r="EP24" s="1999"/>
      <c r="EQ24" s="1999"/>
      <c r="ER24" s="1999"/>
      <c r="ES24" s="1999"/>
      <c r="ET24" s="1999"/>
      <c r="EU24" s="1999"/>
      <c r="EV24" s="1999"/>
      <c r="EW24" s="1999"/>
      <c r="EX24" s="1999"/>
      <c r="EY24" s="1999"/>
      <c r="EZ24" s="1999"/>
      <c r="FA24" s="1999"/>
      <c r="FB24" s="1999"/>
      <c r="FC24" s="1999"/>
      <c r="FD24" s="1999"/>
      <c r="FE24" s="1999"/>
      <c r="FF24" s="1999"/>
      <c r="FG24" s="1999"/>
      <c r="FH24" s="1999"/>
      <c r="FI24" s="1999"/>
      <c r="FJ24" s="1999"/>
      <c r="FK24" s="1999"/>
      <c r="FL24" s="1999"/>
      <c r="FM24" s="1999"/>
      <c r="FN24" s="1999"/>
      <c r="FO24" s="1999"/>
      <c r="FP24" s="1999"/>
      <c r="FQ24" s="1999"/>
      <c r="FR24" s="1999"/>
      <c r="FS24" s="1999"/>
      <c r="FT24" s="1999"/>
      <c r="FU24" s="1999"/>
      <c r="FV24" s="1999"/>
      <c r="FW24" s="1999"/>
      <c r="FX24" s="1999"/>
      <c r="FY24" s="1999"/>
      <c r="FZ24" s="1999"/>
      <c r="GA24" s="1999"/>
      <c r="GB24" s="1999"/>
      <c r="GC24" s="1999"/>
      <c r="GD24" s="1999"/>
      <c r="GE24" s="1999"/>
      <c r="GF24" s="1999"/>
      <c r="GG24" s="1999"/>
      <c r="GH24" s="1999"/>
      <c r="GI24" s="1999"/>
      <c r="GJ24" s="1999"/>
      <c r="GK24" s="1999"/>
      <c r="GL24" s="1999"/>
      <c r="GM24" s="1999"/>
      <c r="GN24" s="1999"/>
      <c r="GO24" s="1999"/>
      <c r="GP24" s="1999"/>
      <c r="GQ24" s="1999"/>
      <c r="GR24" s="1999"/>
      <c r="GS24" s="1999"/>
      <c r="GT24" s="1999"/>
      <c r="GU24" s="1999"/>
      <c r="GV24" s="1999"/>
      <c r="GW24" s="1999"/>
      <c r="GX24" s="1999"/>
      <c r="GY24" s="1999"/>
      <c r="GZ24" s="1999"/>
      <c r="HA24" s="1999"/>
      <c r="HB24" s="1999"/>
      <c r="HC24" s="1999"/>
      <c r="HD24" s="1999"/>
      <c r="HE24" s="1999"/>
      <c r="HF24" s="1999"/>
      <c r="HG24" s="1999"/>
      <c r="HH24" s="1999"/>
      <c r="HI24" s="1999"/>
      <c r="HJ24" s="1999"/>
      <c r="HK24" s="1999"/>
      <c r="HL24" s="1999"/>
      <c r="HM24" s="1999"/>
      <c r="HN24" s="1999"/>
      <c r="HO24" s="1999"/>
      <c r="HP24" s="1999"/>
      <c r="HQ24" s="1999"/>
      <c r="HR24" s="1999"/>
      <c r="HS24" s="1999"/>
      <c r="HT24" s="1999"/>
      <c r="HU24" s="1999"/>
      <c r="HV24" s="1999"/>
      <c r="HW24" s="1999"/>
      <c r="HX24" s="1999"/>
      <c r="HY24" s="1999"/>
      <c r="HZ24" s="1999"/>
      <c r="IA24" s="1999"/>
      <c r="IB24" s="1999"/>
      <c r="IC24" s="1999"/>
      <c r="ID24" s="1999"/>
      <c r="IE24" s="1999"/>
      <c r="IF24" s="1999"/>
      <c r="IG24" s="1999"/>
      <c r="IH24" s="1999"/>
      <c r="II24" s="1999"/>
      <c r="IJ24" s="1999"/>
      <c r="IK24" s="1999"/>
      <c r="IL24" s="1999"/>
      <c r="IM24" s="1999"/>
    </row>
    <row r="25" spans="1:247" ht="24" customHeight="1">
      <c r="A25" s="2182" t="s">
        <v>832</v>
      </c>
      <c r="B25" s="2183"/>
      <c r="C25" s="2041">
        <f>C6+C8+C9+C10+C16</f>
        <v>2256047766.25</v>
      </c>
      <c r="D25" s="2042">
        <f>+D6+D7+D10+D13+D16+D24+D23</f>
        <v>1459270592.52</v>
      </c>
      <c r="E25" s="2042" t="s">
        <v>965</v>
      </c>
      <c r="F25" s="2043">
        <f>F6+F7+F10+F13+F16</f>
        <v>126565958.03</v>
      </c>
      <c r="G25" s="2053">
        <f>G6+G7+G8+G9+G10+G13+G16+G24+G23</f>
        <v>4688250865.2299995</v>
      </c>
      <c r="H25" s="2054">
        <f t="shared" si="0"/>
        <v>1</v>
      </c>
    </row>
    <row r="26" spans="1:247" s="2008" customFormat="1" ht="24" customHeight="1">
      <c r="A26" s="2005" t="s">
        <v>966</v>
      </c>
      <c r="B26" s="2006" t="s">
        <v>967</v>
      </c>
      <c r="C26" s="2007"/>
      <c r="D26" s="2007"/>
      <c r="E26" s="2007"/>
      <c r="F26" s="2007"/>
      <c r="G26" s="2049"/>
      <c r="H26" s="2050"/>
    </row>
    <row r="27" spans="1:247" ht="13.2">
      <c r="A27" s="799" t="s">
        <v>840</v>
      </c>
      <c r="E27" s="2009"/>
      <c r="G27" s="2051"/>
      <c r="H27" s="2052"/>
    </row>
    <row r="28" spans="1:247" ht="13.2">
      <c r="G28" s="2009"/>
    </row>
    <row r="29" spans="1:247" ht="13.2"/>
    <row r="30" spans="1:247" ht="13.2"/>
    <row r="31" spans="1:247" ht="13.2"/>
    <row r="32" spans="1:247" ht="13.2"/>
    <row r="33" ht="13.2"/>
    <row r="34" ht="13.2"/>
    <row r="35" ht="13.2"/>
    <row r="36" ht="13.2"/>
    <row r="37" ht="13.2"/>
    <row r="38" ht="13.2"/>
  </sheetData>
  <mergeCells count="12">
    <mergeCell ref="C5:G5"/>
    <mergeCell ref="A25:B25"/>
    <mergeCell ref="A1:H1"/>
    <mergeCell ref="A2:H2"/>
    <mergeCell ref="A3:A5"/>
    <mergeCell ref="B3:B5"/>
    <mergeCell ref="C3:C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117B-DE6B-49DD-9127-164D83819F23}">
  <dimension ref="A1:G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44140625" style="441" customWidth="1"/>
    <col min="2" max="2" width="16" style="441" customWidth="1"/>
    <col min="3" max="3" width="10.77734375" style="441" customWidth="1"/>
    <col min="4" max="6" width="9.21875" style="441"/>
    <col min="7" max="7" width="10.21875" style="441" customWidth="1"/>
    <col min="8" max="16384" width="9.21875" style="441"/>
  </cols>
  <sheetData>
    <row r="1" spans="1:7" ht="14.4">
      <c r="A1" s="280" t="s">
        <v>1014</v>
      </c>
      <c r="B1" s="443"/>
      <c r="C1" s="443"/>
      <c r="D1" s="443"/>
      <c r="E1" s="443"/>
      <c r="F1" s="443"/>
      <c r="G1" s="443"/>
    </row>
    <row r="3" spans="1:7">
      <c r="A3" s="2138" t="s">
        <v>87</v>
      </c>
      <c r="B3" s="2140" t="s">
        <v>1</v>
      </c>
      <c r="C3" s="2142" t="s">
        <v>157</v>
      </c>
      <c r="D3" s="378" t="s">
        <v>158</v>
      </c>
      <c r="E3" s="378" t="s">
        <v>159</v>
      </c>
      <c r="F3" s="378" t="s">
        <v>160</v>
      </c>
      <c r="G3" s="376" t="s">
        <v>161</v>
      </c>
    </row>
    <row r="4" spans="1:7">
      <c r="A4" s="2139"/>
      <c r="B4" s="2141"/>
      <c r="C4" s="2143"/>
      <c r="D4" s="2144" t="s">
        <v>162</v>
      </c>
      <c r="E4" s="2145"/>
      <c r="F4" s="2145"/>
      <c r="G4" s="2146"/>
    </row>
    <row r="5" spans="1:7" ht="14.4">
      <c r="A5" s="2139"/>
      <c r="B5" s="2141"/>
      <c r="C5" s="297"/>
      <c r="D5" s="2147" t="s">
        <v>163</v>
      </c>
      <c r="E5" s="2148"/>
      <c r="F5" s="2148"/>
      <c r="G5" s="2149"/>
    </row>
    <row r="6" spans="1:7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9" t="s">
        <v>16</v>
      </c>
    </row>
    <row r="7" spans="1:7">
      <c r="A7" s="299"/>
      <c r="B7" s="300" t="s">
        <v>129</v>
      </c>
      <c r="C7" s="303">
        <v>12250830</v>
      </c>
      <c r="D7" s="309">
        <v>12162.1</v>
      </c>
      <c r="E7" s="309">
        <v>12423.5</v>
      </c>
      <c r="F7" s="309">
        <v>-261.39999999999998</v>
      </c>
      <c r="G7" s="306">
        <v>4911.3999999999996</v>
      </c>
    </row>
    <row r="8" spans="1:7">
      <c r="A8" s="366" t="s">
        <v>96</v>
      </c>
      <c r="B8" s="301" t="s">
        <v>97</v>
      </c>
      <c r="C8" s="304">
        <v>936647</v>
      </c>
      <c r="D8" s="310">
        <v>12021.6</v>
      </c>
      <c r="E8" s="310">
        <v>12522.8</v>
      </c>
      <c r="F8" s="310">
        <v>-501.2</v>
      </c>
      <c r="G8" s="307">
        <v>6434.6</v>
      </c>
    </row>
    <row r="9" spans="1:7">
      <c r="A9" s="366" t="s">
        <v>98</v>
      </c>
      <c r="B9" s="301" t="s">
        <v>99</v>
      </c>
      <c r="C9" s="304">
        <v>704930</v>
      </c>
      <c r="D9" s="310">
        <v>11371.9</v>
      </c>
      <c r="E9" s="310">
        <v>11635.7</v>
      </c>
      <c r="F9" s="310">
        <v>-263.7</v>
      </c>
      <c r="G9" s="307">
        <v>4480.2</v>
      </c>
    </row>
    <row r="10" spans="1:7">
      <c r="A10" s="366" t="s">
        <v>100</v>
      </c>
      <c r="B10" s="301" t="s">
        <v>101</v>
      </c>
      <c r="C10" s="304">
        <v>496143</v>
      </c>
      <c r="D10" s="310">
        <v>11254.7</v>
      </c>
      <c r="E10" s="310">
        <v>11796.4</v>
      </c>
      <c r="F10" s="310">
        <v>-541.70000000000005</v>
      </c>
      <c r="G10" s="307">
        <v>6291.2</v>
      </c>
    </row>
    <row r="11" spans="1:7">
      <c r="A11" s="366" t="s">
        <v>102</v>
      </c>
      <c r="B11" s="301" t="s">
        <v>103</v>
      </c>
      <c r="C11" s="304">
        <v>253569</v>
      </c>
      <c r="D11" s="310">
        <v>11039.9</v>
      </c>
      <c r="E11" s="310">
        <v>11852.6</v>
      </c>
      <c r="F11" s="310">
        <v>-812.7</v>
      </c>
      <c r="G11" s="307">
        <v>4720.8</v>
      </c>
    </row>
    <row r="12" spans="1:7">
      <c r="A12" s="366" t="s">
        <v>104</v>
      </c>
      <c r="B12" s="301" t="s">
        <v>105</v>
      </c>
      <c r="C12" s="304">
        <v>756836</v>
      </c>
      <c r="D12" s="310">
        <v>11303.2</v>
      </c>
      <c r="E12" s="310">
        <v>11884.1</v>
      </c>
      <c r="F12" s="310">
        <v>-580.9</v>
      </c>
      <c r="G12" s="307">
        <v>8077.4</v>
      </c>
    </row>
    <row r="13" spans="1:7">
      <c r="A13" s="366" t="s">
        <v>106</v>
      </c>
      <c r="B13" s="301" t="s">
        <v>107</v>
      </c>
      <c r="C13" s="304">
        <v>991112</v>
      </c>
      <c r="D13" s="310">
        <v>11978.8</v>
      </c>
      <c r="E13" s="310">
        <v>12925.9</v>
      </c>
      <c r="F13" s="310">
        <v>-947.2</v>
      </c>
      <c r="G13" s="307">
        <v>8623.2000000000007</v>
      </c>
    </row>
    <row r="14" spans="1:7">
      <c r="A14" s="366" t="s">
        <v>108</v>
      </c>
      <c r="B14" s="301" t="s">
        <v>109</v>
      </c>
      <c r="C14" s="304">
        <v>2290113</v>
      </c>
      <c r="D14" s="310">
        <v>14663.6</v>
      </c>
      <c r="E14" s="310">
        <v>14818.2</v>
      </c>
      <c r="F14" s="310">
        <v>-154.6</v>
      </c>
      <c r="G14" s="307">
        <v>3816.9</v>
      </c>
    </row>
    <row r="15" spans="1:7">
      <c r="A15" s="366" t="s">
        <v>110</v>
      </c>
      <c r="B15" s="301" t="s">
        <v>111</v>
      </c>
      <c r="C15" s="304">
        <v>125492</v>
      </c>
      <c r="D15" s="310">
        <v>13222.1</v>
      </c>
      <c r="E15" s="310">
        <v>13832.3</v>
      </c>
      <c r="F15" s="310">
        <v>-610.20000000000005</v>
      </c>
      <c r="G15" s="307">
        <v>5475.5</v>
      </c>
    </row>
    <row r="16" spans="1:7">
      <c r="A16" s="366" t="s">
        <v>112</v>
      </c>
      <c r="B16" s="301" t="s">
        <v>113</v>
      </c>
      <c r="C16" s="304">
        <v>340427</v>
      </c>
      <c r="D16" s="310">
        <v>12385</v>
      </c>
      <c r="E16" s="310">
        <v>13091.4</v>
      </c>
      <c r="F16" s="310">
        <v>-706.4</v>
      </c>
      <c r="G16" s="307">
        <v>6055.4</v>
      </c>
    </row>
    <row r="17" spans="1:7">
      <c r="A17" s="366" t="s">
        <v>114</v>
      </c>
      <c r="B17" s="301" t="s">
        <v>115</v>
      </c>
      <c r="C17" s="304">
        <v>417792</v>
      </c>
      <c r="D17" s="310">
        <v>11254.5</v>
      </c>
      <c r="E17" s="310">
        <v>11012.1</v>
      </c>
      <c r="F17" s="310">
        <v>242.4</v>
      </c>
      <c r="G17" s="307">
        <v>3486.1</v>
      </c>
    </row>
    <row r="18" spans="1:7">
      <c r="A18" s="366" t="s">
        <v>116</v>
      </c>
      <c r="B18" s="301" t="s">
        <v>117</v>
      </c>
      <c r="C18" s="304">
        <v>844946</v>
      </c>
      <c r="D18" s="310">
        <v>12091.3</v>
      </c>
      <c r="E18" s="310">
        <v>12028.2</v>
      </c>
      <c r="F18" s="310">
        <v>63.1</v>
      </c>
      <c r="G18" s="307">
        <v>3269.9</v>
      </c>
    </row>
    <row r="19" spans="1:7">
      <c r="A19" s="366" t="s">
        <v>118</v>
      </c>
      <c r="B19" s="301" t="s">
        <v>119</v>
      </c>
      <c r="C19" s="304">
        <v>2349594</v>
      </c>
      <c r="D19" s="310">
        <v>11059.4</v>
      </c>
      <c r="E19" s="310">
        <v>11018.1</v>
      </c>
      <c r="F19" s="310">
        <v>41.3</v>
      </c>
      <c r="G19" s="307">
        <v>3439.7</v>
      </c>
    </row>
    <row r="20" spans="1:7">
      <c r="A20" s="366" t="s">
        <v>120</v>
      </c>
      <c r="B20" s="301" t="s">
        <v>121</v>
      </c>
      <c r="C20" s="304">
        <v>180537</v>
      </c>
      <c r="D20" s="310">
        <v>12424</v>
      </c>
      <c r="E20" s="310">
        <v>12525.5</v>
      </c>
      <c r="F20" s="310">
        <v>-101.5</v>
      </c>
      <c r="G20" s="307">
        <v>7395.8</v>
      </c>
    </row>
    <row r="21" spans="1:7">
      <c r="A21" s="366" t="s">
        <v>122</v>
      </c>
      <c r="B21" s="301" t="s">
        <v>123</v>
      </c>
      <c r="C21" s="304">
        <v>278444</v>
      </c>
      <c r="D21" s="310">
        <v>10872.6</v>
      </c>
      <c r="E21" s="310">
        <v>10956.1</v>
      </c>
      <c r="F21" s="310">
        <v>-83.5</v>
      </c>
      <c r="G21" s="307">
        <v>2429.9</v>
      </c>
    </row>
    <row r="22" spans="1:7">
      <c r="A22" s="366" t="s">
        <v>124</v>
      </c>
      <c r="B22" s="301" t="s">
        <v>125</v>
      </c>
      <c r="C22" s="304">
        <v>753738</v>
      </c>
      <c r="D22" s="310">
        <v>12417.7</v>
      </c>
      <c r="E22" s="310">
        <v>12396.8</v>
      </c>
      <c r="F22" s="310">
        <v>20.9</v>
      </c>
      <c r="G22" s="307">
        <v>3784.1</v>
      </c>
    </row>
    <row r="23" spans="1:7">
      <c r="A23" s="367" t="s">
        <v>126</v>
      </c>
      <c r="B23" s="302" t="s">
        <v>127</v>
      </c>
      <c r="C23" s="305">
        <v>530510</v>
      </c>
      <c r="D23" s="311">
        <v>11156.4</v>
      </c>
      <c r="E23" s="311">
        <v>11625.1</v>
      </c>
      <c r="F23" s="311">
        <v>-468.7</v>
      </c>
      <c r="G23" s="308">
        <v>6314.4</v>
      </c>
    </row>
    <row r="25" spans="1:7" ht="14.4">
      <c r="A25" s="295" t="s">
        <v>128</v>
      </c>
      <c r="B25" s="365" t="s">
        <v>909</v>
      </c>
      <c r="C25" s="295"/>
      <c r="D25" s="295"/>
      <c r="E25" s="295"/>
      <c r="F25" s="295"/>
      <c r="G25" s="295"/>
    </row>
    <row r="26" spans="1:7" ht="14.4">
      <c r="A26" s="295"/>
      <c r="B26" s="365" t="s">
        <v>910</v>
      </c>
      <c r="C26" s="295"/>
      <c r="D26" s="295"/>
      <c r="E26" s="295"/>
      <c r="F26" s="295"/>
      <c r="G26" s="295"/>
    </row>
  </sheetData>
  <mergeCells count="5">
    <mergeCell ref="A3:A5"/>
    <mergeCell ref="B3:B5"/>
    <mergeCell ref="C3:C4"/>
    <mergeCell ref="D4:G4"/>
    <mergeCell ref="D5:G5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90DE-A1DD-4B07-B04E-1B8CD7C8DC4B}">
  <dimension ref="A1:I37"/>
  <sheetViews>
    <sheetView view="pageBreakPreview" zoomScaleNormal="100" zoomScaleSheetLayoutView="100" workbookViewId="0">
      <selection activeCell="F8" sqref="F8"/>
    </sheetView>
  </sheetViews>
  <sheetFormatPr defaultColWidth="9.21875" defaultRowHeight="13.2"/>
  <cols>
    <col min="1" max="1" width="40.21875" style="529" customWidth="1"/>
    <col min="2" max="3" width="13.21875" style="529" customWidth="1"/>
    <col min="4" max="4" width="13.77734375" style="529" customWidth="1"/>
    <col min="5" max="6" width="7.21875" style="529" bestFit="1" customWidth="1"/>
    <col min="7" max="7" width="7.44140625" style="529" bestFit="1" customWidth="1"/>
    <col min="8" max="8" width="1.77734375" style="529" customWidth="1"/>
    <col min="9" max="9" width="12.21875" style="529" bestFit="1" customWidth="1"/>
    <col min="10" max="16384" width="9.21875" style="529"/>
  </cols>
  <sheetData>
    <row r="1" spans="1:9" ht="13.8">
      <c r="A1" s="2440" t="s">
        <v>1015</v>
      </c>
      <c r="B1" s="2440"/>
      <c r="C1" s="2440"/>
      <c r="D1" s="2440"/>
      <c r="E1" s="2440"/>
      <c r="F1" s="2441"/>
      <c r="G1" s="2442"/>
    </row>
    <row r="3" spans="1:9">
      <c r="A3" s="2413" t="s">
        <v>1</v>
      </c>
      <c r="B3" s="2415" t="s">
        <v>843</v>
      </c>
      <c r="C3" s="2362" t="s">
        <v>923</v>
      </c>
      <c r="D3" s="2417" t="s">
        <v>917</v>
      </c>
      <c r="E3" s="2360" t="s">
        <v>794</v>
      </c>
      <c r="F3" s="2362" t="s">
        <v>5</v>
      </c>
      <c r="G3" s="2364" t="s">
        <v>782</v>
      </c>
    </row>
    <row r="4" spans="1:9">
      <c r="A4" s="2414"/>
      <c r="B4" s="2416"/>
      <c r="C4" s="2363"/>
      <c r="D4" s="2418"/>
      <c r="E4" s="2361"/>
      <c r="F4" s="2363"/>
      <c r="G4" s="2365"/>
    </row>
    <row r="5" spans="1:9">
      <c r="A5" s="2414"/>
      <c r="B5" s="2416"/>
      <c r="C5" s="2363"/>
      <c r="D5" s="2418"/>
      <c r="E5" s="2361"/>
      <c r="F5" s="2363"/>
      <c r="G5" s="2365"/>
    </row>
    <row r="6" spans="1:9">
      <c r="A6" s="2414"/>
      <c r="B6" s="2443" t="s">
        <v>163</v>
      </c>
      <c r="C6" s="2367"/>
      <c r="D6" s="2444"/>
      <c r="E6" s="2419" t="s">
        <v>134</v>
      </c>
      <c r="F6" s="2367"/>
      <c r="G6" s="2368"/>
    </row>
    <row r="7" spans="1:9">
      <c r="A7" s="750" t="s">
        <v>10</v>
      </c>
      <c r="B7" s="735" t="s">
        <v>11</v>
      </c>
      <c r="C7" s="734" t="s">
        <v>12</v>
      </c>
      <c r="D7" s="751" t="s">
        <v>13</v>
      </c>
      <c r="E7" s="742" t="s">
        <v>14</v>
      </c>
      <c r="F7" s="734" t="s">
        <v>15</v>
      </c>
      <c r="G7" s="743" t="s">
        <v>16</v>
      </c>
    </row>
    <row r="8" spans="1:9" ht="26.4">
      <c r="A8" s="771" t="s">
        <v>783</v>
      </c>
      <c r="B8" s="772">
        <v>138229645404.22</v>
      </c>
      <c r="C8" s="794">
        <v>150107334075.13</v>
      </c>
      <c r="D8" s="772">
        <v>148995748204.79001</v>
      </c>
      <c r="E8" s="525">
        <f>D8/C8*100</f>
        <v>99.259472645231554</v>
      </c>
      <c r="F8" s="526">
        <f>D8/$D$8*100</f>
        <v>100</v>
      </c>
      <c r="G8" s="527">
        <f>D8/B8*100</f>
        <v>107.78856284343861</v>
      </c>
    </row>
    <row r="9" spans="1:9" ht="26.4">
      <c r="A9" s="551" t="s">
        <v>784</v>
      </c>
      <c r="B9" s="1997">
        <v>84389507294.820007</v>
      </c>
      <c r="C9" s="795">
        <v>119597740627.57001</v>
      </c>
      <c r="D9" s="552">
        <v>119976933818.01001</v>
      </c>
      <c r="E9" s="502">
        <f t="shared" ref="E9:E31" si="0">D9/C9*100</f>
        <v>100.31705715212532</v>
      </c>
      <c r="F9" s="503">
        <f t="shared" ref="F9:F31" si="1">D9/$D$8*100</f>
        <v>80.523729880604009</v>
      </c>
      <c r="G9" s="504">
        <f t="shared" ref="G9:G31" si="2">D9/B9*100</f>
        <v>142.17043998001211</v>
      </c>
      <c r="I9" s="546"/>
    </row>
    <row r="10" spans="1:9">
      <c r="A10" s="553" t="s">
        <v>786</v>
      </c>
      <c r="B10" s="554">
        <v>35655743832</v>
      </c>
      <c r="C10" s="621">
        <v>65631664063.919998</v>
      </c>
      <c r="D10" s="554">
        <v>65631664065.190002</v>
      </c>
      <c r="E10" s="513">
        <f t="shared" si="0"/>
        <v>100.00000000193505</v>
      </c>
      <c r="F10" s="514">
        <f t="shared" si="1"/>
        <v>44.049353660066409</v>
      </c>
      <c r="G10" s="515">
        <f t="shared" si="2"/>
        <v>184.07038252918869</v>
      </c>
    </row>
    <row r="11" spans="1:9">
      <c r="A11" s="553" t="s">
        <v>785</v>
      </c>
      <c r="B11" s="554">
        <v>6399865763</v>
      </c>
      <c r="C11" s="621">
        <v>9030041098.5599995</v>
      </c>
      <c r="D11" s="554">
        <v>9030041099</v>
      </c>
      <c r="E11" s="513">
        <f t="shared" si="0"/>
        <v>100.00000000487263</v>
      </c>
      <c r="F11" s="514">
        <f t="shared" si="1"/>
        <v>6.0606032103603988</v>
      </c>
      <c r="G11" s="515">
        <f t="shared" si="2"/>
        <v>141.09735162268592</v>
      </c>
    </row>
    <row r="12" spans="1:9">
      <c r="A12" s="553" t="s">
        <v>847</v>
      </c>
      <c r="B12" s="554">
        <v>13174330614.700001</v>
      </c>
      <c r="C12" s="621">
        <v>13774654798.01</v>
      </c>
      <c r="D12" s="554">
        <v>13969695688.719999</v>
      </c>
      <c r="E12" s="513">
        <f t="shared" si="0"/>
        <v>101.41594031625516</v>
      </c>
      <c r="F12" s="514">
        <f t="shared" si="1"/>
        <v>9.3759022368336904</v>
      </c>
      <c r="G12" s="515">
        <f t="shared" si="2"/>
        <v>106.03723329314757</v>
      </c>
    </row>
    <row r="13" spans="1:9">
      <c r="A13" s="553" t="s">
        <v>848</v>
      </c>
      <c r="B13" s="554">
        <v>33941739.960000001</v>
      </c>
      <c r="C13" s="621">
        <v>32825838.010000002</v>
      </c>
      <c r="D13" s="554">
        <v>32431609.399999999</v>
      </c>
      <c r="E13" s="513">
        <f t="shared" si="0"/>
        <v>98.799029563601977</v>
      </c>
      <c r="F13" s="514">
        <f t="shared" si="1"/>
        <v>2.1766801932779828E-2</v>
      </c>
      <c r="G13" s="515">
        <f t="shared" si="2"/>
        <v>95.550815716048504</v>
      </c>
      <c r="I13" s="546"/>
    </row>
    <row r="14" spans="1:9">
      <c r="A14" s="553" t="s">
        <v>849</v>
      </c>
      <c r="B14" s="554">
        <v>7741961.4699999997</v>
      </c>
      <c r="C14" s="621">
        <v>7340986</v>
      </c>
      <c r="D14" s="554">
        <v>6601936.4000000004</v>
      </c>
      <c r="E14" s="513">
        <f t="shared" si="0"/>
        <v>89.93255674373988</v>
      </c>
      <c r="F14" s="514">
        <f t="shared" si="1"/>
        <v>4.4309562383792623E-3</v>
      </c>
      <c r="G14" s="515">
        <f t="shared" si="2"/>
        <v>85.274725605163738</v>
      </c>
      <c r="I14" s="546"/>
    </row>
    <row r="15" spans="1:9">
      <c r="A15" s="553" t="s">
        <v>590</v>
      </c>
      <c r="B15" s="554">
        <v>406251039.05000001</v>
      </c>
      <c r="C15" s="621">
        <v>411609335</v>
      </c>
      <c r="D15" s="554">
        <v>398046992.62</v>
      </c>
      <c r="E15" s="513">
        <f t="shared" si="0"/>
        <v>96.705044996124784</v>
      </c>
      <c r="F15" s="514">
        <f t="shared" si="1"/>
        <v>0.26715325599284673</v>
      </c>
      <c r="G15" s="515">
        <f t="shared" si="2"/>
        <v>97.980547582306542</v>
      </c>
    </row>
    <row r="16" spans="1:9">
      <c r="A16" s="553" t="s">
        <v>591</v>
      </c>
      <c r="B16" s="554">
        <v>2072057094.26</v>
      </c>
      <c r="C16" s="621">
        <v>2003963522</v>
      </c>
      <c r="D16" s="554">
        <v>2051275211.5799999</v>
      </c>
      <c r="E16" s="513">
        <f t="shared" si="0"/>
        <v>102.36090572810338</v>
      </c>
      <c r="F16" s="514">
        <f t="shared" si="1"/>
        <v>1.3767340587199752</v>
      </c>
      <c r="G16" s="515">
        <f t="shared" si="2"/>
        <v>98.997041020849764</v>
      </c>
    </row>
    <row r="17" spans="1:7" ht="26.4">
      <c r="A17" s="553" t="s">
        <v>850</v>
      </c>
      <c r="B17" s="554">
        <v>92431593.959999993</v>
      </c>
      <c r="C17" s="621">
        <v>92450458</v>
      </c>
      <c r="D17" s="554">
        <v>87573439.840000004</v>
      </c>
      <c r="E17" s="513">
        <f t="shared" si="0"/>
        <v>94.72472255356486</v>
      </c>
      <c r="F17" s="514">
        <f t="shared" si="1"/>
        <v>5.877579789701988E-2</v>
      </c>
      <c r="G17" s="515">
        <f t="shared" si="2"/>
        <v>94.744054590141147</v>
      </c>
    </row>
    <row r="18" spans="1:7">
      <c r="A18" s="553" t="s">
        <v>851</v>
      </c>
      <c r="B18" s="554">
        <v>466976781.38</v>
      </c>
      <c r="C18" s="621">
        <v>476549894</v>
      </c>
      <c r="D18" s="554">
        <v>477315923.86000001</v>
      </c>
      <c r="E18" s="513">
        <f t="shared" si="0"/>
        <v>100.16074494394915</v>
      </c>
      <c r="F18" s="514">
        <f t="shared" si="1"/>
        <v>0.32035539913792987</v>
      </c>
      <c r="G18" s="515">
        <f t="shared" si="2"/>
        <v>102.21405921927125</v>
      </c>
    </row>
    <row r="19" spans="1:7">
      <c r="A19" s="553" t="s">
        <v>592</v>
      </c>
      <c r="B19" s="554">
        <v>9900075.8800000008</v>
      </c>
      <c r="C19" s="621">
        <v>32550417.600000001</v>
      </c>
      <c r="D19" s="554">
        <v>32753859.210000001</v>
      </c>
      <c r="E19" s="513">
        <f t="shared" si="0"/>
        <v>100.6250046082358</v>
      </c>
      <c r="F19" s="514">
        <f t="shared" si="1"/>
        <v>2.1983083144749102E-2</v>
      </c>
      <c r="G19" s="515">
        <f t="shared" si="2"/>
        <v>330.84452692093913</v>
      </c>
    </row>
    <row r="20" spans="1:7">
      <c r="A20" s="553" t="s">
        <v>852</v>
      </c>
      <c r="B20" s="554">
        <v>333551960.75</v>
      </c>
      <c r="C20" s="621">
        <v>324026156</v>
      </c>
      <c r="D20" s="554">
        <v>374439282.37</v>
      </c>
      <c r="E20" s="513">
        <f t="shared" si="0"/>
        <v>115.55835090362274</v>
      </c>
      <c r="F20" s="514">
        <f t="shared" si="1"/>
        <v>0.25130870302107206</v>
      </c>
      <c r="G20" s="515">
        <f t="shared" si="2"/>
        <v>112.25815657868232</v>
      </c>
    </row>
    <row r="21" spans="1:7">
      <c r="A21" s="553" t="s">
        <v>593</v>
      </c>
      <c r="B21" s="554">
        <v>13083737.859999999</v>
      </c>
      <c r="C21" s="621">
        <v>13341824</v>
      </c>
      <c r="D21" s="554">
        <v>12523828.130000001</v>
      </c>
      <c r="E21" s="513">
        <f t="shared" si="0"/>
        <v>93.868935237041057</v>
      </c>
      <c r="F21" s="514">
        <f t="shared" si="1"/>
        <v>8.4054936338091944E-3</v>
      </c>
      <c r="G21" s="515">
        <f t="shared" si="2"/>
        <v>95.720567501495339</v>
      </c>
    </row>
    <row r="22" spans="1:7">
      <c r="A22" s="553" t="s">
        <v>853</v>
      </c>
      <c r="B22" s="554">
        <v>13083737.859999999</v>
      </c>
      <c r="C22" s="621">
        <v>5905000</v>
      </c>
      <c r="D22" s="554">
        <v>8985614.7300000004</v>
      </c>
      <c r="E22" s="513">
        <f t="shared" si="0"/>
        <v>152.16959745977985</v>
      </c>
      <c r="F22" s="514">
        <f t="shared" si="1"/>
        <v>6.0307860044768215E-3</v>
      </c>
      <c r="G22" s="515">
        <f t="shared" si="2"/>
        <v>68.677734345863755</v>
      </c>
    </row>
    <row r="23" spans="1:7">
      <c r="A23" s="553" t="s">
        <v>854</v>
      </c>
      <c r="B23" s="554">
        <v>13083737.859999999</v>
      </c>
      <c r="C23" s="621">
        <v>25658800</v>
      </c>
      <c r="D23" s="554">
        <v>25455853.399999999</v>
      </c>
      <c r="E23" s="513">
        <f t="shared" si="0"/>
        <v>99.209056542005086</v>
      </c>
      <c r="F23" s="514">
        <f t="shared" si="1"/>
        <v>1.7084952897455652E-2</v>
      </c>
      <c r="G23" s="515">
        <f t="shared" si="2"/>
        <v>194.56101667876123</v>
      </c>
    </row>
    <row r="24" spans="1:7">
      <c r="A24" s="553" t="s">
        <v>855</v>
      </c>
      <c r="B24" s="554">
        <v>13083737.859999999</v>
      </c>
      <c r="C24" s="621">
        <v>603580</v>
      </c>
      <c r="D24" s="554">
        <v>583688.65</v>
      </c>
      <c r="E24" s="513">
        <f t="shared" si="0"/>
        <v>96.704438516849464</v>
      </c>
      <c r="F24" s="514">
        <f t="shared" si="1"/>
        <v>3.9174852774841477E-4</v>
      </c>
      <c r="G24" s="515">
        <f t="shared" si="2"/>
        <v>4.4611765861227681</v>
      </c>
    </row>
    <row r="25" spans="1:7">
      <c r="A25" s="553" t="s">
        <v>856</v>
      </c>
      <c r="B25" s="554">
        <v>13083737.859999999</v>
      </c>
      <c r="C25" s="621">
        <v>650000</v>
      </c>
      <c r="D25" s="554">
        <v>972987.1</v>
      </c>
      <c r="E25" s="513">
        <f t="shared" si="0"/>
        <v>149.69032307692308</v>
      </c>
      <c r="F25" s="514">
        <f t="shared" si="1"/>
        <v>6.5303011107582711E-4</v>
      </c>
      <c r="G25" s="515">
        <f t="shared" si="2"/>
        <v>7.4366141420078868</v>
      </c>
    </row>
    <row r="26" spans="1:7">
      <c r="A26" s="553" t="s">
        <v>594</v>
      </c>
      <c r="B26" s="554">
        <v>5340903072.8999996</v>
      </c>
      <c r="C26" s="621">
        <v>5830962804.46</v>
      </c>
      <c r="D26" s="554">
        <v>5568847039.5</v>
      </c>
      <c r="E26" s="513">
        <f t="shared" si="0"/>
        <v>95.504760127100923</v>
      </c>
      <c r="F26" s="514">
        <f t="shared" si="1"/>
        <v>3.7375878886461869</v>
      </c>
      <c r="G26" s="515">
        <f t="shared" si="2"/>
        <v>104.2678918431716</v>
      </c>
    </row>
    <row r="27" spans="1:7">
      <c r="A27" s="553" t="s">
        <v>595</v>
      </c>
      <c r="B27" s="554">
        <v>20330393076.210007</v>
      </c>
      <c r="C27" s="621">
        <v>21902942052.01001</v>
      </c>
      <c r="D27" s="554">
        <v>22267725698.310028</v>
      </c>
      <c r="E27" s="513">
        <f t="shared" si="0"/>
        <v>101.66545501254495</v>
      </c>
      <c r="F27" s="514">
        <f t="shared" si="1"/>
        <v>14.945208817438022</v>
      </c>
      <c r="G27" s="515">
        <f t="shared" si="2"/>
        <v>109.52924330994381</v>
      </c>
    </row>
    <row r="28" spans="1:7" ht="26.4">
      <c r="A28" s="551" t="s">
        <v>788</v>
      </c>
      <c r="B28" s="552">
        <v>19122124537.399998</v>
      </c>
      <c r="C28" s="795">
        <v>21770951407.490002</v>
      </c>
      <c r="D28" s="552">
        <v>20261836642.650002</v>
      </c>
      <c r="E28" s="502">
        <f t="shared" si="0"/>
        <v>93.06821857899692</v>
      </c>
      <c r="F28" s="503">
        <f t="shared" si="1"/>
        <v>13.598936135278667</v>
      </c>
      <c r="G28" s="504">
        <f t="shared" si="2"/>
        <v>105.9601750999001</v>
      </c>
    </row>
    <row r="29" spans="1:7">
      <c r="A29" s="553" t="s">
        <v>789</v>
      </c>
      <c r="B29" s="554">
        <v>16322332299.699999</v>
      </c>
      <c r="C29" s="621">
        <v>18037957998.549999</v>
      </c>
      <c r="D29" s="554">
        <v>17236231992.98</v>
      </c>
      <c r="E29" s="513">
        <f t="shared" si="0"/>
        <v>95.555339436789637</v>
      </c>
      <c r="F29" s="514">
        <f t="shared" si="1"/>
        <v>11.568271041727538</v>
      </c>
      <c r="G29" s="515">
        <f t="shared" si="2"/>
        <v>105.59907540478635</v>
      </c>
    </row>
    <row r="30" spans="1:7" ht="52.8">
      <c r="A30" s="553" t="s">
        <v>790</v>
      </c>
      <c r="B30" s="554">
        <v>2799792237.7000003</v>
      </c>
      <c r="C30" s="621">
        <v>3732993408.9399996</v>
      </c>
      <c r="D30" s="554">
        <v>3025604649.6700001</v>
      </c>
      <c r="E30" s="513">
        <f t="shared" si="0"/>
        <v>81.050361418375346</v>
      </c>
      <c r="F30" s="514">
        <f t="shared" si="1"/>
        <v>2.0306650935511263</v>
      </c>
      <c r="G30" s="515">
        <f t="shared" si="2"/>
        <v>108.06532745285065</v>
      </c>
    </row>
    <row r="31" spans="1:7">
      <c r="A31" s="555" t="s">
        <v>791</v>
      </c>
      <c r="B31" s="556">
        <v>34718013572</v>
      </c>
      <c r="C31" s="796">
        <v>8738642040.0699997</v>
      </c>
      <c r="D31" s="556">
        <v>8756977744.1299992</v>
      </c>
      <c r="E31" s="521">
        <f t="shared" si="0"/>
        <v>100.20982326517007</v>
      </c>
      <c r="F31" s="522">
        <f t="shared" si="1"/>
        <v>5.8773339841173229</v>
      </c>
      <c r="G31" s="523">
        <f t="shared" si="2"/>
        <v>25.223153179456332</v>
      </c>
    </row>
    <row r="33" spans="1:2">
      <c r="A33" s="524" t="s">
        <v>928</v>
      </c>
    </row>
    <row r="36" spans="1:2">
      <c r="B36" s="546"/>
    </row>
    <row r="37" spans="1:2">
      <c r="B37" s="546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A3C2-A419-4155-958C-60CD37182648}">
  <sheetPr codeName="Arkusz10"/>
  <dimension ref="A1:H42"/>
  <sheetViews>
    <sheetView view="pageBreakPreview" zoomScaleNormal="100" zoomScaleSheetLayoutView="100" workbookViewId="0">
      <selection activeCell="F8" sqref="F8"/>
    </sheetView>
  </sheetViews>
  <sheetFormatPr defaultColWidth="8.77734375" defaultRowHeight="13.2"/>
  <cols>
    <col min="1" max="1" width="6.21875" style="17" customWidth="1"/>
    <col min="2" max="2" width="29.21875" style="1" customWidth="1"/>
    <col min="3" max="5" width="13.77734375" style="2" customWidth="1"/>
    <col min="6" max="8" width="7.21875" style="2" customWidth="1"/>
    <col min="9" max="16384" width="8.77734375" style="2"/>
  </cols>
  <sheetData>
    <row r="1" spans="1:8" ht="13.8">
      <c r="A1" s="442" t="s">
        <v>1016</v>
      </c>
    </row>
    <row r="3" spans="1:8">
      <c r="A3" s="2167" t="s">
        <v>0</v>
      </c>
      <c r="B3" s="2170" t="s">
        <v>1</v>
      </c>
      <c r="C3" s="3" t="s">
        <v>2</v>
      </c>
      <c r="D3" s="4" t="s">
        <v>3</v>
      </c>
      <c r="E3" s="4" t="s">
        <v>2</v>
      </c>
      <c r="F3" s="5" t="s">
        <v>4</v>
      </c>
      <c r="G3" s="2173" t="s">
        <v>5</v>
      </c>
      <c r="H3" s="6" t="s">
        <v>6</v>
      </c>
    </row>
    <row r="4" spans="1:8">
      <c r="A4" s="2168"/>
      <c r="B4" s="2171"/>
      <c r="C4" s="7">
        <v>2024</v>
      </c>
      <c r="D4" s="8">
        <v>2025</v>
      </c>
      <c r="E4" s="8">
        <v>2025</v>
      </c>
      <c r="F4" s="9" t="s">
        <v>7</v>
      </c>
      <c r="G4" s="2174"/>
      <c r="H4" s="10" t="s">
        <v>8</v>
      </c>
    </row>
    <row r="5" spans="1:8">
      <c r="A5" s="2169"/>
      <c r="B5" s="2172"/>
      <c r="C5" s="2175" t="s">
        <v>93</v>
      </c>
      <c r="D5" s="2175"/>
      <c r="E5" s="2176"/>
      <c r="F5" s="2177" t="s">
        <v>9</v>
      </c>
      <c r="G5" s="2175"/>
      <c r="H5" s="2178"/>
    </row>
    <row r="6" spans="1:8">
      <c r="A6" s="11" t="s">
        <v>10</v>
      </c>
      <c r="B6" s="12" t="s">
        <v>11</v>
      </c>
      <c r="C6" s="13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5" t="s">
        <v>17</v>
      </c>
    </row>
    <row r="7" spans="1:8">
      <c r="A7" s="680"/>
      <c r="B7" s="685" t="s">
        <v>18</v>
      </c>
      <c r="C7" s="684">
        <v>138229645404.22</v>
      </c>
      <c r="D7" s="681">
        <v>150107334075.13</v>
      </c>
      <c r="E7" s="681">
        <v>148995748204.79001</v>
      </c>
      <c r="F7" s="682">
        <v>99.3</v>
      </c>
      <c r="G7" s="682">
        <v>100</v>
      </c>
      <c r="H7" s="683">
        <v>107.8</v>
      </c>
    </row>
    <row r="8" spans="1:8">
      <c r="A8" s="675" t="s">
        <v>19</v>
      </c>
      <c r="B8" s="686" t="s">
        <v>20</v>
      </c>
      <c r="C8" s="688">
        <v>25991411.829999998</v>
      </c>
      <c r="D8" s="689">
        <v>16402200.050000001</v>
      </c>
      <c r="E8" s="689">
        <v>17309344.370000001</v>
      </c>
      <c r="F8" s="674">
        <v>105.5</v>
      </c>
      <c r="G8" s="674">
        <v>0</v>
      </c>
      <c r="H8" s="676">
        <v>66.599999999999994</v>
      </c>
    </row>
    <row r="9" spans="1:8">
      <c r="A9" s="675" t="s">
        <v>21</v>
      </c>
      <c r="B9" s="686" t="s">
        <v>22</v>
      </c>
      <c r="C9" s="688">
        <v>5848286.5800000001</v>
      </c>
      <c r="D9" s="689">
        <v>5927431.6100000003</v>
      </c>
      <c r="E9" s="689">
        <v>4448769.4800000004</v>
      </c>
      <c r="F9" s="674">
        <v>75.099999999999994</v>
      </c>
      <c r="G9" s="674">
        <v>0</v>
      </c>
      <c r="H9" s="676">
        <v>76.099999999999994</v>
      </c>
    </row>
    <row r="10" spans="1:8">
      <c r="A10" s="675" t="s">
        <v>23</v>
      </c>
      <c r="B10" s="686" t="s">
        <v>24</v>
      </c>
      <c r="C10" s="688">
        <v>28104</v>
      </c>
      <c r="D10" s="689">
        <v>25380</v>
      </c>
      <c r="E10" s="689">
        <v>30429.29</v>
      </c>
      <c r="F10" s="674">
        <v>119.9</v>
      </c>
      <c r="G10" s="674">
        <v>0</v>
      </c>
      <c r="H10" s="676">
        <v>108.3</v>
      </c>
    </row>
    <row r="11" spans="1:8">
      <c r="A11" s="675" t="s">
        <v>25</v>
      </c>
      <c r="B11" s="686" t="s">
        <v>26</v>
      </c>
      <c r="C11" s="688">
        <v>864792.16</v>
      </c>
      <c r="D11" s="689">
        <v>10224893.039999999</v>
      </c>
      <c r="E11" s="689">
        <v>10236606.66</v>
      </c>
      <c r="F11" s="674">
        <v>100.1</v>
      </c>
      <c r="G11" s="674">
        <v>0</v>
      </c>
      <c r="H11" s="676">
        <v>1183.7</v>
      </c>
    </row>
    <row r="12" spans="1:8">
      <c r="A12" s="675" t="s">
        <v>27</v>
      </c>
      <c r="B12" s="686" t="s">
        <v>28</v>
      </c>
      <c r="C12" s="688">
        <v>26663735.649999999</v>
      </c>
      <c r="D12" s="689">
        <v>28262880</v>
      </c>
      <c r="E12" s="689">
        <v>25944569.300000001</v>
      </c>
      <c r="F12" s="674">
        <v>91.8</v>
      </c>
      <c r="G12" s="674">
        <v>0</v>
      </c>
      <c r="H12" s="676">
        <v>97.3</v>
      </c>
    </row>
    <row r="13" spans="1:8" ht="26.4">
      <c r="A13" s="675" t="s">
        <v>29</v>
      </c>
      <c r="B13" s="686" t="s">
        <v>30</v>
      </c>
      <c r="C13" s="688">
        <v>40242252.020000003</v>
      </c>
      <c r="D13" s="689">
        <v>35460921.109999999</v>
      </c>
      <c r="E13" s="689">
        <v>39505542.740000002</v>
      </c>
      <c r="F13" s="674">
        <v>111.4</v>
      </c>
      <c r="G13" s="674">
        <v>0</v>
      </c>
      <c r="H13" s="676">
        <v>98.2</v>
      </c>
    </row>
    <row r="14" spans="1:8">
      <c r="A14" s="675" t="s">
        <v>31</v>
      </c>
      <c r="B14" s="686" t="s">
        <v>32</v>
      </c>
      <c r="C14" s="688">
        <v>9812644.1099999994</v>
      </c>
      <c r="D14" s="689">
        <v>9440900</v>
      </c>
      <c r="E14" s="689">
        <v>9988473.1500000004</v>
      </c>
      <c r="F14" s="674">
        <v>105.8</v>
      </c>
      <c r="G14" s="674">
        <v>0</v>
      </c>
      <c r="H14" s="676">
        <v>101.8</v>
      </c>
    </row>
    <row r="15" spans="1:8">
      <c r="A15" s="675" t="s">
        <v>33</v>
      </c>
      <c r="B15" s="686" t="s">
        <v>34</v>
      </c>
      <c r="C15" s="688">
        <v>0</v>
      </c>
      <c r="D15" s="689">
        <v>0</v>
      </c>
      <c r="E15" s="689">
        <v>100</v>
      </c>
      <c r="F15" s="2055" t="s">
        <v>936</v>
      </c>
      <c r="G15" s="2055" t="s">
        <v>936</v>
      </c>
      <c r="H15" s="2056" t="s">
        <v>936</v>
      </c>
    </row>
    <row r="16" spans="1:8">
      <c r="A16" s="675" t="s">
        <v>35</v>
      </c>
      <c r="B16" s="686" t="s">
        <v>36</v>
      </c>
      <c r="C16" s="688">
        <v>8724275772.8799992</v>
      </c>
      <c r="D16" s="689">
        <v>9258374598.0699997</v>
      </c>
      <c r="E16" s="689">
        <v>8829053893.1200008</v>
      </c>
      <c r="F16" s="674">
        <v>95.4</v>
      </c>
      <c r="G16" s="674">
        <v>5.9</v>
      </c>
      <c r="H16" s="676">
        <v>101.2</v>
      </c>
    </row>
    <row r="17" spans="1:8">
      <c r="A17" s="675" t="s">
        <v>37</v>
      </c>
      <c r="B17" s="686" t="s">
        <v>38</v>
      </c>
      <c r="C17" s="688">
        <v>26414315.850000001</v>
      </c>
      <c r="D17" s="689">
        <v>6383342</v>
      </c>
      <c r="E17" s="689">
        <v>6202923.5599999996</v>
      </c>
      <c r="F17" s="674">
        <v>97.2</v>
      </c>
      <c r="G17" s="674">
        <v>0</v>
      </c>
      <c r="H17" s="676">
        <v>23.5</v>
      </c>
    </row>
    <row r="18" spans="1:8">
      <c r="A18" s="675" t="s">
        <v>39</v>
      </c>
      <c r="B18" s="686" t="s">
        <v>40</v>
      </c>
      <c r="C18" s="688">
        <v>8090330888.4799995</v>
      </c>
      <c r="D18" s="689">
        <v>8941879132.2000008</v>
      </c>
      <c r="E18" s="689">
        <v>9059682189.4500008</v>
      </c>
      <c r="F18" s="674">
        <v>101.3</v>
      </c>
      <c r="G18" s="674">
        <v>6.1</v>
      </c>
      <c r="H18" s="676">
        <v>112</v>
      </c>
    </row>
    <row r="19" spans="1:8">
      <c r="A19" s="675" t="s">
        <v>41</v>
      </c>
      <c r="B19" s="686" t="s">
        <v>42</v>
      </c>
      <c r="C19" s="688">
        <v>425363418.17000002</v>
      </c>
      <c r="D19" s="689">
        <v>491692842.57999998</v>
      </c>
      <c r="E19" s="689">
        <v>441479421.94</v>
      </c>
      <c r="F19" s="674">
        <v>89.8</v>
      </c>
      <c r="G19" s="674">
        <v>0.3</v>
      </c>
      <c r="H19" s="676">
        <v>103.8</v>
      </c>
    </row>
    <row r="20" spans="1:8">
      <c r="A20" s="675" t="s">
        <v>43</v>
      </c>
      <c r="B20" s="686" t="s">
        <v>44</v>
      </c>
      <c r="C20" s="688">
        <v>6376732.1200000001</v>
      </c>
      <c r="D20" s="689">
        <v>5386898.29</v>
      </c>
      <c r="E20" s="689">
        <v>3856327.57</v>
      </c>
      <c r="F20" s="674">
        <v>71.599999999999994</v>
      </c>
      <c r="G20" s="674">
        <v>0</v>
      </c>
      <c r="H20" s="676">
        <v>60.5</v>
      </c>
    </row>
    <row r="21" spans="1:8">
      <c r="A21" s="675" t="s">
        <v>45</v>
      </c>
      <c r="B21" s="686" t="s">
        <v>46</v>
      </c>
      <c r="C21" s="688">
        <v>2165214.13</v>
      </c>
      <c r="D21" s="689">
        <v>5494095.8200000003</v>
      </c>
      <c r="E21" s="689">
        <v>3845556.02</v>
      </c>
      <c r="F21" s="674">
        <v>70</v>
      </c>
      <c r="G21" s="674">
        <v>0</v>
      </c>
      <c r="H21" s="676">
        <v>177.6</v>
      </c>
    </row>
    <row r="22" spans="1:8">
      <c r="A22" s="675" t="s">
        <v>47</v>
      </c>
      <c r="B22" s="686" t="s">
        <v>48</v>
      </c>
      <c r="C22" s="688">
        <v>799371138.84000003</v>
      </c>
      <c r="D22" s="689">
        <v>813025076.10000002</v>
      </c>
      <c r="E22" s="689">
        <v>855242952.67999995</v>
      </c>
      <c r="F22" s="674">
        <v>105.2</v>
      </c>
      <c r="G22" s="674">
        <v>0.6</v>
      </c>
      <c r="H22" s="676">
        <v>107</v>
      </c>
    </row>
    <row r="23" spans="1:8" ht="39.6">
      <c r="A23" s="675" t="s">
        <v>49</v>
      </c>
      <c r="B23" s="686" t="s">
        <v>50</v>
      </c>
      <c r="C23" s="688">
        <v>164917281.13</v>
      </c>
      <c r="D23" s="689">
        <v>101726319</v>
      </c>
      <c r="E23" s="689">
        <v>101113444.11</v>
      </c>
      <c r="F23" s="674">
        <v>99.4</v>
      </c>
      <c r="G23" s="674">
        <v>0.1</v>
      </c>
      <c r="H23" s="676">
        <v>61.3</v>
      </c>
    </row>
    <row r="24" spans="1:8">
      <c r="A24" s="675" t="s">
        <v>51</v>
      </c>
      <c r="B24" s="686" t="s">
        <v>52</v>
      </c>
      <c r="C24" s="688">
        <v>9704065.0299999993</v>
      </c>
      <c r="D24" s="689">
        <v>966988532.29999995</v>
      </c>
      <c r="E24" s="689">
        <v>765977719.48000002</v>
      </c>
      <c r="F24" s="674">
        <v>79.2</v>
      </c>
      <c r="G24" s="674">
        <v>0.5</v>
      </c>
      <c r="H24" s="676">
        <v>7893.4</v>
      </c>
    </row>
    <row r="25" spans="1:8">
      <c r="A25" s="675" t="s">
        <v>53</v>
      </c>
      <c r="B25" s="686" t="s">
        <v>54</v>
      </c>
      <c r="C25" s="688">
        <v>0</v>
      </c>
      <c r="D25" s="689">
        <v>0</v>
      </c>
      <c r="E25" s="689">
        <v>0</v>
      </c>
      <c r="F25" s="2055" t="s">
        <v>936</v>
      </c>
      <c r="G25" s="2055" t="s">
        <v>936</v>
      </c>
      <c r="H25" s="2056" t="s">
        <v>936</v>
      </c>
    </row>
    <row r="26" spans="1:8" ht="26.4">
      <c r="A26" s="675" t="s">
        <v>55</v>
      </c>
      <c r="B26" s="686" t="s">
        <v>56</v>
      </c>
      <c r="C26" s="688">
        <v>2160812937.54</v>
      </c>
      <c r="D26" s="689">
        <v>2285210844.3499999</v>
      </c>
      <c r="E26" s="689">
        <v>2277139161.02</v>
      </c>
      <c r="F26" s="674">
        <v>99.6</v>
      </c>
      <c r="G26" s="674">
        <v>1.5</v>
      </c>
      <c r="H26" s="676">
        <v>105.4</v>
      </c>
    </row>
    <row r="27" spans="1:8">
      <c r="A27" s="675" t="s">
        <v>57</v>
      </c>
      <c r="B27" s="686" t="s">
        <v>58</v>
      </c>
      <c r="C27" s="688">
        <v>32117406.890000001</v>
      </c>
      <c r="D27" s="689">
        <v>33540996.140000001</v>
      </c>
      <c r="E27" s="689">
        <v>33291340.07</v>
      </c>
      <c r="F27" s="674">
        <v>99.3</v>
      </c>
      <c r="G27" s="674">
        <v>0</v>
      </c>
      <c r="H27" s="676">
        <v>103.7</v>
      </c>
    </row>
    <row r="28" spans="1:8" ht="52.8">
      <c r="A28" s="675" t="s">
        <v>59</v>
      </c>
      <c r="B28" s="686" t="s">
        <v>60</v>
      </c>
      <c r="C28" s="688">
        <v>60015285100.489998</v>
      </c>
      <c r="D28" s="689">
        <v>93044857479.710007</v>
      </c>
      <c r="E28" s="689">
        <v>93419552457.509995</v>
      </c>
      <c r="F28" s="674">
        <v>100.4</v>
      </c>
      <c r="G28" s="674">
        <v>62.7</v>
      </c>
      <c r="H28" s="676">
        <v>155.69999999999999</v>
      </c>
    </row>
    <row r="29" spans="1:8">
      <c r="A29" s="675" t="s">
        <v>61</v>
      </c>
      <c r="B29" s="686" t="s">
        <v>62</v>
      </c>
      <c r="C29" s="688">
        <v>996652.4</v>
      </c>
      <c r="D29" s="689">
        <v>118365.61</v>
      </c>
      <c r="E29" s="689">
        <v>216184.61</v>
      </c>
      <c r="F29" s="674">
        <v>182.6</v>
      </c>
      <c r="G29" s="674">
        <v>0</v>
      </c>
      <c r="H29" s="676">
        <v>21.7</v>
      </c>
    </row>
    <row r="30" spans="1:8">
      <c r="A30" s="675" t="s">
        <v>63</v>
      </c>
      <c r="B30" s="686" t="s">
        <v>64</v>
      </c>
      <c r="C30" s="688">
        <v>37790756095.540001</v>
      </c>
      <c r="D30" s="689">
        <v>12688027067.040001</v>
      </c>
      <c r="E30" s="689">
        <v>12647035112.540001</v>
      </c>
      <c r="F30" s="674">
        <v>99.7</v>
      </c>
      <c r="G30" s="674">
        <v>8.5</v>
      </c>
      <c r="H30" s="676">
        <v>33.5</v>
      </c>
    </row>
    <row r="31" spans="1:8">
      <c r="A31" s="675" t="s">
        <v>65</v>
      </c>
      <c r="B31" s="686" t="s">
        <v>66</v>
      </c>
      <c r="C31" s="688">
        <v>3557077202.1100001</v>
      </c>
      <c r="D31" s="689">
        <v>2634352436.3600001</v>
      </c>
      <c r="E31" s="689">
        <v>2366690864.6799998</v>
      </c>
      <c r="F31" s="674">
        <v>89.8</v>
      </c>
      <c r="G31" s="674">
        <v>1.6</v>
      </c>
      <c r="H31" s="676">
        <v>66.5</v>
      </c>
    </row>
    <row r="32" spans="1:8">
      <c r="A32" s="675" t="s">
        <v>67</v>
      </c>
      <c r="B32" s="686" t="s">
        <v>68</v>
      </c>
      <c r="C32" s="688">
        <v>146354302.56999999</v>
      </c>
      <c r="D32" s="689">
        <v>149224592.86000001</v>
      </c>
      <c r="E32" s="689">
        <v>151209145.44999999</v>
      </c>
      <c r="F32" s="674">
        <v>101.3</v>
      </c>
      <c r="G32" s="674">
        <v>0.1</v>
      </c>
      <c r="H32" s="676">
        <v>103.3</v>
      </c>
    </row>
    <row r="33" spans="1:8">
      <c r="A33" s="675" t="s">
        <v>69</v>
      </c>
      <c r="B33" s="686" t="s">
        <v>70</v>
      </c>
      <c r="C33" s="688">
        <v>2997652540.1900001</v>
      </c>
      <c r="D33" s="689">
        <v>3346721950.8299999</v>
      </c>
      <c r="E33" s="689">
        <v>3355433799.0100002</v>
      </c>
      <c r="F33" s="674">
        <v>100.3</v>
      </c>
      <c r="G33" s="674">
        <v>2.2999999999999998</v>
      </c>
      <c r="H33" s="676">
        <v>111.9</v>
      </c>
    </row>
    <row r="34" spans="1:8" ht="26.4">
      <c r="A34" s="675" t="s">
        <v>71</v>
      </c>
      <c r="B34" s="686" t="s">
        <v>72</v>
      </c>
      <c r="C34" s="688">
        <v>494861569.56999999</v>
      </c>
      <c r="D34" s="689">
        <v>547470958.27999997</v>
      </c>
      <c r="E34" s="689">
        <v>482816107.62</v>
      </c>
      <c r="F34" s="674">
        <v>88.2</v>
      </c>
      <c r="G34" s="674">
        <v>0.3</v>
      </c>
      <c r="H34" s="676">
        <v>97.6</v>
      </c>
    </row>
    <row r="35" spans="1:8">
      <c r="A35" s="675" t="s">
        <v>73</v>
      </c>
      <c r="B35" s="686" t="s">
        <v>74</v>
      </c>
      <c r="C35" s="688">
        <v>148722972.72</v>
      </c>
      <c r="D35" s="689">
        <v>204157542.87</v>
      </c>
      <c r="E35" s="689">
        <v>172471466.69999999</v>
      </c>
      <c r="F35" s="674">
        <v>84.5</v>
      </c>
      <c r="G35" s="674">
        <v>0.1</v>
      </c>
      <c r="H35" s="676">
        <v>116</v>
      </c>
    </row>
    <row r="36" spans="1:8">
      <c r="A36" s="675" t="s">
        <v>75</v>
      </c>
      <c r="B36" s="686" t="s">
        <v>76</v>
      </c>
      <c r="C36" s="688">
        <v>5175790688.8800001</v>
      </c>
      <c r="D36" s="689">
        <v>6171228011.1800003</v>
      </c>
      <c r="E36" s="689">
        <v>6075298864.8400002</v>
      </c>
      <c r="F36" s="674">
        <v>98.4</v>
      </c>
      <c r="G36" s="674">
        <v>4.0999999999999996</v>
      </c>
      <c r="H36" s="676">
        <v>117.4</v>
      </c>
    </row>
    <row r="37" spans="1:8" ht="26.4">
      <c r="A37" s="675" t="s">
        <v>77</v>
      </c>
      <c r="B37" s="686" t="s">
        <v>78</v>
      </c>
      <c r="C37" s="688">
        <v>6174103909.4300003</v>
      </c>
      <c r="D37" s="689">
        <v>6868117623</v>
      </c>
      <c r="E37" s="689">
        <v>6523611034.3299999</v>
      </c>
      <c r="F37" s="674">
        <v>95</v>
      </c>
      <c r="G37" s="674">
        <v>4.4000000000000004</v>
      </c>
      <c r="H37" s="676">
        <v>105.7</v>
      </c>
    </row>
    <row r="38" spans="1:8">
      <c r="A38" s="675" t="s">
        <v>79</v>
      </c>
      <c r="B38" s="686" t="s">
        <v>80</v>
      </c>
      <c r="C38" s="688">
        <v>308948726.43000001</v>
      </c>
      <c r="D38" s="689">
        <v>327957558.33999997</v>
      </c>
      <c r="E38" s="689">
        <v>286668229.60000002</v>
      </c>
      <c r="F38" s="674">
        <v>87.4</v>
      </c>
      <c r="G38" s="674">
        <v>0.2</v>
      </c>
      <c r="H38" s="676">
        <v>92.8</v>
      </c>
    </row>
    <row r="39" spans="1:8" ht="26.4">
      <c r="A39" s="675" t="s">
        <v>81</v>
      </c>
      <c r="B39" s="686" t="s">
        <v>82</v>
      </c>
      <c r="C39" s="688">
        <v>106577459.02</v>
      </c>
      <c r="D39" s="689">
        <v>100877616.84999999</v>
      </c>
      <c r="E39" s="689">
        <v>90799723.230000004</v>
      </c>
      <c r="F39" s="674">
        <v>90</v>
      </c>
      <c r="G39" s="674">
        <v>0.1</v>
      </c>
      <c r="H39" s="676">
        <v>85.2</v>
      </c>
    </row>
    <row r="40" spans="1:8">
      <c r="A40" s="677" t="s">
        <v>83</v>
      </c>
      <c r="B40" s="687" t="s">
        <v>84</v>
      </c>
      <c r="C40" s="690">
        <v>761217787.46000004</v>
      </c>
      <c r="D40" s="691">
        <v>1008775589.54</v>
      </c>
      <c r="E40" s="691">
        <v>939596450.65999997</v>
      </c>
      <c r="F40" s="678">
        <v>93.1</v>
      </c>
      <c r="G40" s="678">
        <v>0.6</v>
      </c>
      <c r="H40" s="679">
        <v>123.4</v>
      </c>
    </row>
    <row r="42" spans="1:8">
      <c r="A42" s="16" t="s">
        <v>908</v>
      </c>
    </row>
  </sheetData>
  <mergeCells count="5">
    <mergeCell ref="A3:A5"/>
    <mergeCell ref="B3:B5"/>
    <mergeCell ref="G3:G4"/>
    <mergeCell ref="C5:E5"/>
    <mergeCell ref="F5:H5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4389-582D-41FC-A877-E45733E23577}">
  <dimension ref="A1:L74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2" width="4.21875" customWidth="1"/>
    <col min="3" max="3" width="14.44140625" bestFit="1" customWidth="1"/>
    <col min="4" max="5" width="13.77734375" customWidth="1"/>
    <col min="6" max="6" width="7.44140625" customWidth="1"/>
    <col min="7" max="8" width="13.77734375" customWidth="1"/>
    <col min="9" max="9" width="7.21875" bestFit="1" customWidth="1"/>
    <col min="10" max="12" width="13.77734375" customWidth="1"/>
  </cols>
  <sheetData>
    <row r="1" spans="1:12">
      <c r="A1" s="271" t="s">
        <v>1017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3" spans="1:12">
      <c r="A3" s="2420" t="s">
        <v>87</v>
      </c>
      <c r="B3" s="2423" t="s">
        <v>171</v>
      </c>
      <c r="C3" s="2426" t="s">
        <v>478</v>
      </c>
      <c r="D3" s="2349" t="s">
        <v>164</v>
      </c>
      <c r="E3" s="2350"/>
      <c r="F3" s="2351" t="s">
        <v>165</v>
      </c>
      <c r="G3" s="2350" t="s">
        <v>152</v>
      </c>
      <c r="H3" s="2350"/>
      <c r="I3" s="2351" t="s">
        <v>166</v>
      </c>
      <c r="J3" s="2351" t="s">
        <v>167</v>
      </c>
      <c r="K3" s="2351" t="s">
        <v>161</v>
      </c>
      <c r="L3" s="2353" t="s">
        <v>168</v>
      </c>
    </row>
    <row r="4" spans="1:12" ht="51.6" customHeight="1">
      <c r="A4" s="2421"/>
      <c r="B4" s="2424"/>
      <c r="C4" s="2427"/>
      <c r="D4" s="254" t="s">
        <v>3</v>
      </c>
      <c r="E4" s="266" t="s">
        <v>2</v>
      </c>
      <c r="F4" s="2352"/>
      <c r="G4" s="266" t="s">
        <v>3</v>
      </c>
      <c r="H4" s="266" t="s">
        <v>2</v>
      </c>
      <c r="I4" s="2352"/>
      <c r="J4" s="2352"/>
      <c r="K4" s="2352"/>
      <c r="L4" s="2354"/>
    </row>
    <row r="5" spans="1:12">
      <c r="A5" s="2422"/>
      <c r="B5" s="2425"/>
      <c r="C5" s="2428"/>
      <c r="D5" s="2355" t="s">
        <v>93</v>
      </c>
      <c r="E5" s="2356"/>
      <c r="F5" s="267" t="s">
        <v>169</v>
      </c>
      <c r="G5" s="2356" t="s">
        <v>93</v>
      </c>
      <c r="H5" s="2356"/>
      <c r="I5" s="267" t="s">
        <v>169</v>
      </c>
      <c r="J5" s="2356" t="s">
        <v>93</v>
      </c>
      <c r="K5" s="2356"/>
      <c r="L5" s="268" t="s">
        <v>169</v>
      </c>
    </row>
    <row r="6" spans="1:12">
      <c r="A6" s="275" t="s">
        <v>10</v>
      </c>
      <c r="B6" s="276" t="s">
        <v>11</v>
      </c>
      <c r="C6" s="277" t="s">
        <v>12</v>
      </c>
      <c r="D6" s="255" t="s">
        <v>13</v>
      </c>
      <c r="E6" s="269" t="s">
        <v>14</v>
      </c>
      <c r="F6" s="269" t="s">
        <v>15</v>
      </c>
      <c r="G6" s="269" t="s">
        <v>16</v>
      </c>
      <c r="H6" s="269" t="s">
        <v>17</v>
      </c>
      <c r="I6" s="269" t="s">
        <v>94</v>
      </c>
      <c r="J6" s="269" t="s">
        <v>150</v>
      </c>
      <c r="K6" s="269" t="s">
        <v>170</v>
      </c>
      <c r="L6" s="270" t="s">
        <v>173</v>
      </c>
    </row>
    <row r="7" spans="1:12">
      <c r="A7" s="786">
        <v>2</v>
      </c>
      <c r="B7" s="787">
        <v>61</v>
      </c>
      <c r="C7" s="776" t="s">
        <v>479</v>
      </c>
      <c r="D7" s="777">
        <v>894527923.60000002</v>
      </c>
      <c r="E7" s="778">
        <v>883198816.53999996</v>
      </c>
      <c r="F7" s="779">
        <v>98.7</v>
      </c>
      <c r="G7" s="778">
        <v>979151597.53999996</v>
      </c>
      <c r="H7" s="778">
        <v>919774706.85000002</v>
      </c>
      <c r="I7" s="779">
        <v>93.9</v>
      </c>
      <c r="J7" s="778">
        <v>-36575890.310000062</v>
      </c>
      <c r="K7" s="778">
        <v>355770095.37</v>
      </c>
      <c r="L7" s="780">
        <v>40.299999999999997</v>
      </c>
    </row>
    <row r="8" spans="1:12">
      <c r="A8" s="788">
        <v>2</v>
      </c>
      <c r="B8" s="789">
        <v>62</v>
      </c>
      <c r="C8" s="774" t="s">
        <v>480</v>
      </c>
      <c r="D8" s="773">
        <v>1039740011.95</v>
      </c>
      <c r="E8" s="627">
        <v>1026103477.03</v>
      </c>
      <c r="F8" s="628">
        <v>98.7</v>
      </c>
      <c r="G8" s="627">
        <v>1099796174.4200001</v>
      </c>
      <c r="H8" s="627">
        <v>1003927967.59</v>
      </c>
      <c r="I8" s="628">
        <v>91.3</v>
      </c>
      <c r="J8" s="627">
        <v>22175509.439999938</v>
      </c>
      <c r="K8" s="627">
        <v>300046113.06</v>
      </c>
      <c r="L8" s="781">
        <v>29.2</v>
      </c>
    </row>
    <row r="9" spans="1:12">
      <c r="A9" s="788">
        <v>2</v>
      </c>
      <c r="B9" s="789">
        <v>64</v>
      </c>
      <c r="C9" s="774" t="s">
        <v>481</v>
      </c>
      <c r="D9" s="773">
        <v>8145234889.0600004</v>
      </c>
      <c r="E9" s="627">
        <v>8232304918.5799999</v>
      </c>
      <c r="F9" s="628">
        <v>101.1</v>
      </c>
      <c r="G9" s="627">
        <v>8868182418.2199993</v>
      </c>
      <c r="H9" s="627">
        <v>8595041413.7399998</v>
      </c>
      <c r="I9" s="628">
        <v>96.9</v>
      </c>
      <c r="J9" s="627">
        <v>-362736495.15999985</v>
      </c>
      <c r="K9" s="627">
        <v>4521885772.9300003</v>
      </c>
      <c r="L9" s="781">
        <v>54.9</v>
      </c>
    </row>
    <row r="10" spans="1:12">
      <c r="A10" s="788">
        <v>2</v>
      </c>
      <c r="B10" s="789">
        <v>65</v>
      </c>
      <c r="C10" s="774" t="s">
        <v>482</v>
      </c>
      <c r="D10" s="773">
        <v>1381746060.5</v>
      </c>
      <c r="E10" s="627">
        <v>1118403868.25</v>
      </c>
      <c r="F10" s="628">
        <v>80.900000000000006</v>
      </c>
      <c r="G10" s="627">
        <v>1509828832.6800001</v>
      </c>
      <c r="H10" s="627">
        <v>1210692268.8699999</v>
      </c>
      <c r="I10" s="628">
        <v>80.2</v>
      </c>
      <c r="J10" s="627">
        <v>-92288400.619999886</v>
      </c>
      <c r="K10" s="627">
        <v>849267668.29999995</v>
      </c>
      <c r="L10" s="781">
        <v>75.900000000000006</v>
      </c>
    </row>
    <row r="11" spans="1:12">
      <c r="A11" s="788">
        <v>4</v>
      </c>
      <c r="B11" s="789">
        <v>61</v>
      </c>
      <c r="C11" s="774" t="s">
        <v>483</v>
      </c>
      <c r="D11" s="773">
        <v>3627499796</v>
      </c>
      <c r="E11" s="627">
        <v>3613549046.9400001</v>
      </c>
      <c r="F11" s="628">
        <v>99.6</v>
      </c>
      <c r="G11" s="627">
        <v>3815342633</v>
      </c>
      <c r="H11" s="627">
        <v>3696082398.52</v>
      </c>
      <c r="I11" s="628">
        <v>96.9</v>
      </c>
      <c r="J11" s="627">
        <v>-82533351.579999924</v>
      </c>
      <c r="K11" s="627">
        <v>803440988.39999998</v>
      </c>
      <c r="L11" s="781">
        <v>22.2</v>
      </c>
    </row>
    <row r="12" spans="1:12">
      <c r="A12" s="788">
        <v>4</v>
      </c>
      <c r="B12" s="789">
        <v>62</v>
      </c>
      <c r="C12" s="774" t="s">
        <v>484</v>
      </c>
      <c r="D12" s="773">
        <v>1044091157.53</v>
      </c>
      <c r="E12" s="627">
        <v>1044885595.99</v>
      </c>
      <c r="F12" s="628">
        <v>100.1</v>
      </c>
      <c r="G12" s="627">
        <v>1162195547.6300001</v>
      </c>
      <c r="H12" s="627">
        <v>1122786259.3499999</v>
      </c>
      <c r="I12" s="628">
        <v>96.6</v>
      </c>
      <c r="J12" s="627">
        <v>-77900663.359999895</v>
      </c>
      <c r="K12" s="627">
        <v>464733596.44</v>
      </c>
      <c r="L12" s="781">
        <v>44.5</v>
      </c>
    </row>
    <row r="13" spans="1:12">
      <c r="A13" s="788">
        <v>4</v>
      </c>
      <c r="B13" s="789">
        <v>63</v>
      </c>
      <c r="C13" s="774" t="s">
        <v>485</v>
      </c>
      <c r="D13" s="773">
        <v>2161629462</v>
      </c>
      <c r="E13" s="627">
        <v>2162239841.0300002</v>
      </c>
      <c r="F13" s="628">
        <v>100</v>
      </c>
      <c r="G13" s="627">
        <v>2268629462</v>
      </c>
      <c r="H13" s="627">
        <v>2154685299.75</v>
      </c>
      <c r="I13" s="628">
        <v>95</v>
      </c>
      <c r="J13" s="627">
        <v>7554541.2800002098</v>
      </c>
      <c r="K13" s="627">
        <v>1189944455.25</v>
      </c>
      <c r="L13" s="781">
        <v>55</v>
      </c>
    </row>
    <row r="14" spans="1:12">
      <c r="A14" s="788">
        <v>4</v>
      </c>
      <c r="B14" s="789">
        <v>64</v>
      </c>
      <c r="C14" s="774" t="s">
        <v>486</v>
      </c>
      <c r="D14" s="773">
        <v>1226825192.3299999</v>
      </c>
      <c r="E14" s="627">
        <v>1195743281.0899999</v>
      </c>
      <c r="F14" s="628">
        <v>97.5</v>
      </c>
      <c r="G14" s="627">
        <v>1444843874.6400001</v>
      </c>
      <c r="H14" s="627">
        <v>1228786091.22</v>
      </c>
      <c r="I14" s="628">
        <v>85</v>
      </c>
      <c r="J14" s="627">
        <v>-33042810.130000114</v>
      </c>
      <c r="K14" s="627">
        <v>700093372.74000001</v>
      </c>
      <c r="L14" s="781">
        <v>58.5</v>
      </c>
    </row>
    <row r="15" spans="1:12">
      <c r="A15" s="788">
        <v>6</v>
      </c>
      <c r="B15" s="789">
        <v>61</v>
      </c>
      <c r="C15" s="774" t="s">
        <v>487</v>
      </c>
      <c r="D15" s="773">
        <v>650910815.82000005</v>
      </c>
      <c r="E15" s="627">
        <v>625965428.91999996</v>
      </c>
      <c r="F15" s="628">
        <v>96.2</v>
      </c>
      <c r="G15" s="627">
        <v>691231059.21000004</v>
      </c>
      <c r="H15" s="627">
        <v>630148236.89999998</v>
      </c>
      <c r="I15" s="628">
        <v>91.2</v>
      </c>
      <c r="J15" s="627">
        <v>-4182807.9800000191</v>
      </c>
      <c r="K15" s="627">
        <v>90063862</v>
      </c>
      <c r="L15" s="781">
        <v>14.4</v>
      </c>
    </row>
    <row r="16" spans="1:12">
      <c r="A16" s="788">
        <v>6</v>
      </c>
      <c r="B16" s="789">
        <v>62</v>
      </c>
      <c r="C16" s="774" t="s">
        <v>488</v>
      </c>
      <c r="D16" s="773">
        <v>988732365.10000002</v>
      </c>
      <c r="E16" s="627">
        <v>760645829.11000001</v>
      </c>
      <c r="F16" s="628">
        <v>76.900000000000006</v>
      </c>
      <c r="G16" s="627">
        <v>1072074205.1</v>
      </c>
      <c r="H16" s="627">
        <v>819022039.63</v>
      </c>
      <c r="I16" s="628">
        <v>76.400000000000006</v>
      </c>
      <c r="J16" s="627">
        <v>-58376210.519999981</v>
      </c>
      <c r="K16" s="627">
        <v>198232917.88</v>
      </c>
      <c r="L16" s="781">
        <v>26.1</v>
      </c>
    </row>
    <row r="17" spans="1:12">
      <c r="A17" s="788">
        <v>6</v>
      </c>
      <c r="B17" s="789">
        <v>63</v>
      </c>
      <c r="C17" s="774" t="s">
        <v>489</v>
      </c>
      <c r="D17" s="773">
        <v>3657123360.7199998</v>
      </c>
      <c r="E17" s="627">
        <v>3442840569.25</v>
      </c>
      <c r="F17" s="628">
        <v>94.1</v>
      </c>
      <c r="G17" s="627">
        <v>3944873990.6500001</v>
      </c>
      <c r="H17" s="627">
        <v>3684334041.3600001</v>
      </c>
      <c r="I17" s="628">
        <v>93.4</v>
      </c>
      <c r="J17" s="627">
        <v>-241493472.11000013</v>
      </c>
      <c r="K17" s="627">
        <v>2611555376.4699998</v>
      </c>
      <c r="L17" s="781">
        <v>75.900000000000006</v>
      </c>
    </row>
    <row r="18" spans="1:12">
      <c r="A18" s="788">
        <v>6</v>
      </c>
      <c r="B18" s="789">
        <v>64</v>
      </c>
      <c r="C18" s="774" t="s">
        <v>490</v>
      </c>
      <c r="D18" s="773">
        <v>762796467.40999997</v>
      </c>
      <c r="E18" s="627">
        <v>754500751.78999996</v>
      </c>
      <c r="F18" s="628">
        <v>98.9</v>
      </c>
      <c r="G18" s="627">
        <v>752307040.40999997</v>
      </c>
      <c r="H18" s="627">
        <v>719184606.08000004</v>
      </c>
      <c r="I18" s="628">
        <v>95.6</v>
      </c>
      <c r="J18" s="627">
        <v>35316145.709999919</v>
      </c>
      <c r="K18" s="627">
        <v>221482000</v>
      </c>
      <c r="L18" s="781">
        <v>29.4</v>
      </c>
    </row>
    <row r="19" spans="1:12">
      <c r="A19" s="788">
        <v>8</v>
      </c>
      <c r="B19" s="789">
        <v>61</v>
      </c>
      <c r="C19" s="774" t="s">
        <v>491</v>
      </c>
      <c r="D19" s="773">
        <v>1216645955.52</v>
      </c>
      <c r="E19" s="627">
        <v>1201198715.6400001</v>
      </c>
      <c r="F19" s="628">
        <v>98.7</v>
      </c>
      <c r="G19" s="627">
        <v>1351764274</v>
      </c>
      <c r="H19" s="627">
        <v>1266733208.95</v>
      </c>
      <c r="I19" s="628">
        <v>93.7</v>
      </c>
      <c r="J19" s="627">
        <v>-65534493.309999943</v>
      </c>
      <c r="K19" s="627">
        <v>422624431.69</v>
      </c>
      <c r="L19" s="781">
        <v>35.200000000000003</v>
      </c>
    </row>
    <row r="20" spans="1:12">
      <c r="A20" s="788">
        <v>8</v>
      </c>
      <c r="B20" s="789">
        <v>62</v>
      </c>
      <c r="C20" s="774" t="s">
        <v>492</v>
      </c>
      <c r="D20" s="773">
        <v>1638109799.4100001</v>
      </c>
      <c r="E20" s="627">
        <v>1598171363.51</v>
      </c>
      <c r="F20" s="628">
        <v>97.6</v>
      </c>
      <c r="G20" s="627">
        <v>1852270981.3399999</v>
      </c>
      <c r="H20" s="627">
        <v>1738718771.0599999</v>
      </c>
      <c r="I20" s="628">
        <v>93.9</v>
      </c>
      <c r="J20" s="627">
        <v>-140547407.54999995</v>
      </c>
      <c r="K20" s="627">
        <v>774434447.85000002</v>
      </c>
      <c r="L20" s="781">
        <v>48.5</v>
      </c>
    </row>
    <row r="21" spans="1:12">
      <c r="A21" s="788">
        <v>10</v>
      </c>
      <c r="B21" s="789">
        <v>61</v>
      </c>
      <c r="C21" s="774" t="s">
        <v>493</v>
      </c>
      <c r="D21" s="773">
        <v>7412708508.9700003</v>
      </c>
      <c r="E21" s="627">
        <v>7239958920.1999998</v>
      </c>
      <c r="F21" s="628">
        <v>97.7</v>
      </c>
      <c r="G21" s="627">
        <v>8094501718.9700003</v>
      </c>
      <c r="H21" s="627">
        <v>7666536660.2700005</v>
      </c>
      <c r="I21" s="628">
        <v>94.7</v>
      </c>
      <c r="J21" s="627">
        <v>-426577740.07000065</v>
      </c>
      <c r="K21" s="627">
        <v>5700514280.5600004</v>
      </c>
      <c r="L21" s="781">
        <v>78.7</v>
      </c>
    </row>
    <row r="22" spans="1:12">
      <c r="A22" s="788">
        <v>10</v>
      </c>
      <c r="B22" s="789">
        <v>62</v>
      </c>
      <c r="C22" s="774" t="s">
        <v>494</v>
      </c>
      <c r="D22" s="773">
        <v>798412440.27999997</v>
      </c>
      <c r="E22" s="627">
        <v>797402883.49000001</v>
      </c>
      <c r="F22" s="628">
        <v>99.9</v>
      </c>
      <c r="G22" s="627">
        <v>818641592.78999996</v>
      </c>
      <c r="H22" s="627">
        <v>786723686.21000004</v>
      </c>
      <c r="I22" s="628">
        <v>96.1</v>
      </c>
      <c r="J22" s="627">
        <v>10679197.279999971</v>
      </c>
      <c r="K22" s="627">
        <v>183022702</v>
      </c>
      <c r="L22" s="781">
        <v>23</v>
      </c>
    </row>
    <row r="23" spans="1:12">
      <c r="A23" s="788">
        <v>10</v>
      </c>
      <c r="B23" s="789">
        <v>63</v>
      </c>
      <c r="C23" s="774" t="s">
        <v>495</v>
      </c>
      <c r="D23" s="773">
        <v>515290169.5</v>
      </c>
      <c r="E23" s="627">
        <v>517290314.38999999</v>
      </c>
      <c r="F23" s="628">
        <v>100.4</v>
      </c>
      <c r="G23" s="627">
        <v>572591386.09000003</v>
      </c>
      <c r="H23" s="627">
        <v>541029224.49000001</v>
      </c>
      <c r="I23" s="628">
        <v>94.5</v>
      </c>
      <c r="J23" s="627">
        <v>-23738910.100000024</v>
      </c>
      <c r="K23" s="627">
        <v>229726760</v>
      </c>
      <c r="L23" s="781">
        <v>44.4</v>
      </c>
    </row>
    <row r="24" spans="1:12">
      <c r="A24" s="788">
        <v>12</v>
      </c>
      <c r="B24" s="789">
        <v>61</v>
      </c>
      <c r="C24" s="774" t="s">
        <v>496</v>
      </c>
      <c r="D24" s="773">
        <v>9774149658.4400005</v>
      </c>
      <c r="E24" s="627">
        <v>9672062306.2900009</v>
      </c>
      <c r="F24" s="628">
        <v>99</v>
      </c>
      <c r="G24" s="627">
        <v>10878255833.440001</v>
      </c>
      <c r="H24" s="627">
        <v>10619193988.74</v>
      </c>
      <c r="I24" s="628">
        <v>97.6</v>
      </c>
      <c r="J24" s="627">
        <v>-947131682.44999886</v>
      </c>
      <c r="K24" s="627">
        <v>7874613854.3699999</v>
      </c>
      <c r="L24" s="781">
        <v>81.400000000000006</v>
      </c>
    </row>
    <row r="25" spans="1:12">
      <c r="A25" s="788">
        <v>12</v>
      </c>
      <c r="B25" s="789">
        <v>62</v>
      </c>
      <c r="C25" s="774" t="s">
        <v>497</v>
      </c>
      <c r="D25" s="773">
        <v>1032743448.08</v>
      </c>
      <c r="E25" s="627">
        <v>1022571879.71</v>
      </c>
      <c r="F25" s="628">
        <v>99</v>
      </c>
      <c r="G25" s="627">
        <v>1119606022.1099999</v>
      </c>
      <c r="H25" s="627">
        <v>1045473006.5</v>
      </c>
      <c r="I25" s="628">
        <v>93.4</v>
      </c>
      <c r="J25" s="627">
        <v>-22901126.789999962</v>
      </c>
      <c r="K25" s="627">
        <v>174060025</v>
      </c>
      <c r="L25" s="781">
        <v>17</v>
      </c>
    </row>
    <row r="26" spans="1:12">
      <c r="A26" s="788">
        <v>12</v>
      </c>
      <c r="B26" s="789">
        <v>63</v>
      </c>
      <c r="C26" s="774" t="s">
        <v>498</v>
      </c>
      <c r="D26" s="773">
        <v>1153369447.03</v>
      </c>
      <c r="E26" s="627">
        <v>1177673689.51</v>
      </c>
      <c r="F26" s="628">
        <v>102.1</v>
      </c>
      <c r="G26" s="627">
        <v>1191493667.8299999</v>
      </c>
      <c r="H26" s="627">
        <v>1146386648.6099999</v>
      </c>
      <c r="I26" s="628">
        <v>96.2</v>
      </c>
      <c r="J26" s="627">
        <v>31287040.900000095</v>
      </c>
      <c r="K26" s="627">
        <v>497903202.73000002</v>
      </c>
      <c r="L26" s="781">
        <v>42.3</v>
      </c>
    </row>
    <row r="27" spans="1:12">
      <c r="A27" s="788">
        <v>14</v>
      </c>
      <c r="B27" s="789">
        <v>61</v>
      </c>
      <c r="C27" s="774" t="s">
        <v>499</v>
      </c>
      <c r="D27" s="773">
        <v>662916711.13</v>
      </c>
      <c r="E27" s="627">
        <v>655135765.13999999</v>
      </c>
      <c r="F27" s="628">
        <v>98.8</v>
      </c>
      <c r="G27" s="627">
        <v>664692348.69000006</v>
      </c>
      <c r="H27" s="627">
        <v>647637780.47000003</v>
      </c>
      <c r="I27" s="628">
        <v>97.4</v>
      </c>
      <c r="J27" s="627">
        <v>7497984.6699999571</v>
      </c>
      <c r="K27" s="627">
        <v>129463335.76000001</v>
      </c>
      <c r="L27" s="781">
        <v>19.8</v>
      </c>
    </row>
    <row r="28" spans="1:12">
      <c r="A28" s="788">
        <v>14</v>
      </c>
      <c r="B28" s="789">
        <v>62</v>
      </c>
      <c r="C28" s="774" t="s">
        <v>500</v>
      </c>
      <c r="D28" s="773">
        <v>1596970310.3800001</v>
      </c>
      <c r="E28" s="627">
        <v>1619181776.8599999</v>
      </c>
      <c r="F28" s="628">
        <v>101.4</v>
      </c>
      <c r="G28" s="627">
        <v>1566158506.05</v>
      </c>
      <c r="H28" s="627">
        <v>1493585788.55</v>
      </c>
      <c r="I28" s="628">
        <v>95.4</v>
      </c>
      <c r="J28" s="627">
        <v>125595988.30999994</v>
      </c>
      <c r="K28" s="627">
        <v>371737113.30000001</v>
      </c>
      <c r="L28" s="781">
        <v>23</v>
      </c>
    </row>
    <row r="29" spans="1:12">
      <c r="A29" s="788">
        <v>14</v>
      </c>
      <c r="B29" s="789">
        <v>63</v>
      </c>
      <c r="C29" s="774" t="s">
        <v>501</v>
      </c>
      <c r="D29" s="773">
        <v>2334125790.4099998</v>
      </c>
      <c r="E29" s="627">
        <v>2277633506.0599999</v>
      </c>
      <c r="F29" s="628">
        <v>97.6</v>
      </c>
      <c r="G29" s="627">
        <v>2541725889.8499999</v>
      </c>
      <c r="H29" s="627">
        <v>2452899639.6700001</v>
      </c>
      <c r="I29" s="628">
        <v>96.5</v>
      </c>
      <c r="J29" s="627">
        <v>-175266133.61000013</v>
      </c>
      <c r="K29" s="627">
        <v>1380916617.1700001</v>
      </c>
      <c r="L29" s="781">
        <v>60.6</v>
      </c>
    </row>
    <row r="30" spans="1:12">
      <c r="A30" s="788">
        <v>14</v>
      </c>
      <c r="B30" s="789">
        <v>64</v>
      </c>
      <c r="C30" s="774" t="s">
        <v>502</v>
      </c>
      <c r="D30" s="773">
        <v>930411141.76999998</v>
      </c>
      <c r="E30" s="627">
        <v>904062596.80999994</v>
      </c>
      <c r="F30" s="628">
        <v>97.2</v>
      </c>
      <c r="G30" s="627">
        <v>1026743134.4299999</v>
      </c>
      <c r="H30" s="627">
        <v>978567409.14999998</v>
      </c>
      <c r="I30" s="628">
        <v>95.3</v>
      </c>
      <c r="J30" s="627">
        <v>-74504812.340000033</v>
      </c>
      <c r="K30" s="627">
        <v>555312581.99000001</v>
      </c>
      <c r="L30" s="781">
        <v>61.4</v>
      </c>
    </row>
    <row r="31" spans="1:12">
      <c r="A31" s="788">
        <v>14</v>
      </c>
      <c r="B31" s="789">
        <v>65</v>
      </c>
      <c r="C31" s="774" t="s">
        <v>503</v>
      </c>
      <c r="D31" s="773">
        <v>27499310595</v>
      </c>
      <c r="E31" s="627">
        <v>28125200231.060001</v>
      </c>
      <c r="F31" s="628">
        <v>102.3</v>
      </c>
      <c r="G31" s="627">
        <v>30228293430</v>
      </c>
      <c r="H31" s="627">
        <v>28362577274.970001</v>
      </c>
      <c r="I31" s="628">
        <v>93.8</v>
      </c>
      <c r="J31" s="627">
        <v>-237377043.90999985</v>
      </c>
      <c r="K31" s="627">
        <v>6303774024.5</v>
      </c>
      <c r="L31" s="781">
        <v>22.4</v>
      </c>
    </row>
    <row r="32" spans="1:12">
      <c r="A32" s="788">
        <v>16</v>
      </c>
      <c r="B32" s="789">
        <v>61</v>
      </c>
      <c r="C32" s="774" t="s">
        <v>504</v>
      </c>
      <c r="D32" s="773">
        <v>1685117219.8299999</v>
      </c>
      <c r="E32" s="627">
        <v>1659268325.6900001</v>
      </c>
      <c r="F32" s="628">
        <v>98.5</v>
      </c>
      <c r="G32" s="627">
        <v>1857263120.4400001</v>
      </c>
      <c r="H32" s="627">
        <v>1735846871.78</v>
      </c>
      <c r="I32" s="628">
        <v>93.5</v>
      </c>
      <c r="J32" s="627">
        <v>-76578546.089999914</v>
      </c>
      <c r="K32" s="627">
        <v>687132799.50999999</v>
      </c>
      <c r="L32" s="781">
        <v>41.4</v>
      </c>
    </row>
    <row r="33" spans="1:12">
      <c r="A33" s="788">
        <v>18</v>
      </c>
      <c r="B33" s="789">
        <v>61</v>
      </c>
      <c r="C33" s="774" t="s">
        <v>505</v>
      </c>
      <c r="D33" s="773">
        <v>676841423.05999994</v>
      </c>
      <c r="E33" s="627">
        <v>607544185.92999995</v>
      </c>
      <c r="F33" s="628">
        <v>89.8</v>
      </c>
      <c r="G33" s="627">
        <v>800284979.50999999</v>
      </c>
      <c r="H33" s="627">
        <v>687051596.10000002</v>
      </c>
      <c r="I33" s="628">
        <v>85.9</v>
      </c>
      <c r="J33" s="627">
        <v>-79507410.170000076</v>
      </c>
      <c r="K33" s="627">
        <v>337888695.11000001</v>
      </c>
      <c r="L33" s="781">
        <v>55.6</v>
      </c>
    </row>
    <row r="34" spans="1:12">
      <c r="A34" s="788">
        <v>18</v>
      </c>
      <c r="B34" s="789">
        <v>62</v>
      </c>
      <c r="C34" s="774" t="s">
        <v>506</v>
      </c>
      <c r="D34" s="773">
        <v>750768176.16999996</v>
      </c>
      <c r="E34" s="627">
        <v>754635923.77999997</v>
      </c>
      <c r="F34" s="628">
        <v>100.5</v>
      </c>
      <c r="G34" s="627">
        <v>756521575.64999998</v>
      </c>
      <c r="H34" s="627">
        <v>735200527.66999996</v>
      </c>
      <c r="I34" s="628">
        <v>97.2</v>
      </c>
      <c r="J34" s="627">
        <v>19435396.110000014</v>
      </c>
      <c r="K34" s="627">
        <v>126020358.40000001</v>
      </c>
      <c r="L34" s="781">
        <v>16.7</v>
      </c>
    </row>
    <row r="35" spans="1:12">
      <c r="A35" s="788">
        <v>18</v>
      </c>
      <c r="B35" s="789">
        <v>63</v>
      </c>
      <c r="C35" s="774" t="s">
        <v>507</v>
      </c>
      <c r="D35" s="773">
        <v>2397017635.6199999</v>
      </c>
      <c r="E35" s="627">
        <v>2352273554.3899999</v>
      </c>
      <c r="F35" s="628">
        <v>98.1</v>
      </c>
      <c r="G35" s="627">
        <v>2611956629.6199999</v>
      </c>
      <c r="H35" s="627">
        <v>2523121818.3400002</v>
      </c>
      <c r="I35" s="628">
        <v>96.6</v>
      </c>
      <c r="J35" s="627">
        <v>-170848263.95000029</v>
      </c>
      <c r="K35" s="627">
        <v>1451585121.3099999</v>
      </c>
      <c r="L35" s="781">
        <v>61.7</v>
      </c>
    </row>
    <row r="36" spans="1:12">
      <c r="A36" s="788">
        <v>18</v>
      </c>
      <c r="B36" s="789">
        <v>64</v>
      </c>
      <c r="C36" s="774" t="s">
        <v>508</v>
      </c>
      <c r="D36" s="773">
        <v>507565062.79000002</v>
      </c>
      <c r="E36" s="627">
        <v>501746498.54000002</v>
      </c>
      <c r="F36" s="628">
        <v>98.9</v>
      </c>
      <c r="G36" s="627">
        <v>522395974.58999997</v>
      </c>
      <c r="H36" s="627">
        <v>511306186.07999998</v>
      </c>
      <c r="I36" s="628">
        <v>97.9</v>
      </c>
      <c r="J36" s="627">
        <v>-9559687.5399999619</v>
      </c>
      <c r="K36" s="627">
        <v>145918401.11000001</v>
      </c>
      <c r="L36" s="781">
        <v>29.1</v>
      </c>
    </row>
    <row r="37" spans="1:12">
      <c r="A37" s="788">
        <v>20</v>
      </c>
      <c r="B37" s="789">
        <v>61</v>
      </c>
      <c r="C37" s="774" t="s">
        <v>509</v>
      </c>
      <c r="D37" s="773">
        <v>3231421227</v>
      </c>
      <c r="E37" s="627">
        <v>3239181688.8200002</v>
      </c>
      <c r="F37" s="628">
        <v>100.2</v>
      </c>
      <c r="G37" s="627">
        <v>3313932572</v>
      </c>
      <c r="H37" s="627">
        <v>3191581946.5599999</v>
      </c>
      <c r="I37" s="628">
        <v>96.3</v>
      </c>
      <c r="J37" s="627">
        <v>47599742.260000229</v>
      </c>
      <c r="K37" s="627">
        <v>998110208.94000006</v>
      </c>
      <c r="L37" s="781">
        <v>30.8</v>
      </c>
    </row>
    <row r="38" spans="1:12">
      <c r="A38" s="788">
        <v>20</v>
      </c>
      <c r="B38" s="789">
        <v>62</v>
      </c>
      <c r="C38" s="774" t="s">
        <v>510</v>
      </c>
      <c r="D38" s="773">
        <v>639642163</v>
      </c>
      <c r="E38" s="627">
        <v>654508632.80999994</v>
      </c>
      <c r="F38" s="628">
        <v>102.3</v>
      </c>
      <c r="G38" s="627">
        <v>651148459</v>
      </c>
      <c r="H38" s="627">
        <v>630512706.20000005</v>
      </c>
      <c r="I38" s="628">
        <v>96.8</v>
      </c>
      <c r="J38" s="627">
        <v>23995926.609999895</v>
      </c>
      <c r="K38" s="627">
        <v>197477215.50999999</v>
      </c>
      <c r="L38" s="781">
        <v>30.2</v>
      </c>
    </row>
    <row r="39" spans="1:12">
      <c r="A39" s="788">
        <v>20</v>
      </c>
      <c r="B39" s="789">
        <v>63</v>
      </c>
      <c r="C39" s="774" t="s">
        <v>511</v>
      </c>
      <c r="D39" s="773">
        <v>810987176.46000004</v>
      </c>
      <c r="E39" s="627">
        <v>808336531.71000004</v>
      </c>
      <c r="F39" s="628">
        <v>99.7</v>
      </c>
      <c r="G39" s="627">
        <v>814199952.46000004</v>
      </c>
      <c r="H39" s="627">
        <v>778652974.75</v>
      </c>
      <c r="I39" s="628">
        <v>95.6</v>
      </c>
      <c r="J39" s="627">
        <v>29683556.960000038</v>
      </c>
      <c r="K39" s="627">
        <v>260858470.58000001</v>
      </c>
      <c r="L39" s="781">
        <v>32.299999999999997</v>
      </c>
    </row>
    <row r="40" spans="1:12">
      <c r="A40" s="788">
        <v>22</v>
      </c>
      <c r="B40" s="789">
        <v>61</v>
      </c>
      <c r="C40" s="774" t="s">
        <v>512</v>
      </c>
      <c r="D40" s="773">
        <v>6074965900</v>
      </c>
      <c r="E40" s="627">
        <v>6047709379.3999996</v>
      </c>
      <c r="F40" s="628">
        <v>99.6</v>
      </c>
      <c r="G40" s="627">
        <v>6483282437</v>
      </c>
      <c r="H40" s="627">
        <v>6023471305.4099998</v>
      </c>
      <c r="I40" s="628">
        <v>92.9</v>
      </c>
      <c r="J40" s="627">
        <v>24238073.989999771</v>
      </c>
      <c r="K40" s="627">
        <v>1385397064.23</v>
      </c>
      <c r="L40" s="781">
        <v>22.9</v>
      </c>
    </row>
    <row r="41" spans="1:12">
      <c r="A41" s="788">
        <v>22</v>
      </c>
      <c r="B41" s="789">
        <v>62</v>
      </c>
      <c r="C41" s="774" t="s">
        <v>513</v>
      </c>
      <c r="D41" s="773">
        <v>2578029605.3899999</v>
      </c>
      <c r="E41" s="627">
        <v>2583390400.1999998</v>
      </c>
      <c r="F41" s="628">
        <v>100.2</v>
      </c>
      <c r="G41" s="627">
        <v>2802095386.5900002</v>
      </c>
      <c r="H41" s="627">
        <v>2565486818.0500002</v>
      </c>
      <c r="I41" s="628">
        <v>91.6</v>
      </c>
      <c r="J41" s="627">
        <v>17903582.149999619</v>
      </c>
      <c r="K41" s="627">
        <v>959488485.19000006</v>
      </c>
      <c r="L41" s="781">
        <v>37.1</v>
      </c>
    </row>
    <row r="42" spans="1:12">
      <c r="A42" s="788">
        <v>22</v>
      </c>
      <c r="B42" s="789">
        <v>63</v>
      </c>
      <c r="C42" s="774" t="s">
        <v>514</v>
      </c>
      <c r="D42" s="773">
        <v>1034584026.6900001</v>
      </c>
      <c r="E42" s="627">
        <v>1047521494.55</v>
      </c>
      <c r="F42" s="628">
        <v>101.3</v>
      </c>
      <c r="G42" s="627">
        <v>1068137233.22</v>
      </c>
      <c r="H42" s="627">
        <v>1020969917.75</v>
      </c>
      <c r="I42" s="628">
        <v>95.6</v>
      </c>
      <c r="J42" s="627">
        <v>26551576.799999952</v>
      </c>
      <c r="K42" s="627">
        <v>317000000</v>
      </c>
      <c r="L42" s="781">
        <v>30.3</v>
      </c>
    </row>
    <row r="43" spans="1:12">
      <c r="A43" s="788">
        <v>22</v>
      </c>
      <c r="B43" s="789">
        <v>64</v>
      </c>
      <c r="C43" s="774" t="s">
        <v>515</v>
      </c>
      <c r="D43" s="773">
        <v>605737271</v>
      </c>
      <c r="E43" s="627">
        <v>537873036.29999995</v>
      </c>
      <c r="F43" s="628">
        <v>88.8</v>
      </c>
      <c r="G43" s="627">
        <v>616031271</v>
      </c>
      <c r="H43" s="627">
        <v>553225800.49000001</v>
      </c>
      <c r="I43" s="628">
        <v>89.8</v>
      </c>
      <c r="J43" s="627">
        <v>-15352764.190000057</v>
      </c>
      <c r="K43" s="627">
        <v>100998859.17</v>
      </c>
      <c r="L43" s="781">
        <v>18.8</v>
      </c>
    </row>
    <row r="44" spans="1:12">
      <c r="A44" s="788">
        <v>24</v>
      </c>
      <c r="B44" s="789">
        <v>61</v>
      </c>
      <c r="C44" s="774" t="s">
        <v>516</v>
      </c>
      <c r="D44" s="773">
        <v>2022186062.99</v>
      </c>
      <c r="E44" s="627">
        <v>2029190800.04</v>
      </c>
      <c r="F44" s="628">
        <v>100.3</v>
      </c>
      <c r="G44" s="627">
        <v>2119519886.3299999</v>
      </c>
      <c r="H44" s="627">
        <v>2025224327.76</v>
      </c>
      <c r="I44" s="628">
        <v>95.6</v>
      </c>
      <c r="J44" s="627">
        <v>3966472.2799999714</v>
      </c>
      <c r="K44" s="627">
        <v>520299083.11000001</v>
      </c>
      <c r="L44" s="781">
        <v>25.6</v>
      </c>
    </row>
    <row r="45" spans="1:12">
      <c r="A45" s="788">
        <v>24</v>
      </c>
      <c r="B45" s="789">
        <v>62</v>
      </c>
      <c r="C45" s="774" t="s">
        <v>517</v>
      </c>
      <c r="D45" s="773">
        <v>1412155697</v>
      </c>
      <c r="E45" s="627">
        <v>1371859262.96</v>
      </c>
      <c r="F45" s="628">
        <v>97.1</v>
      </c>
      <c r="G45" s="627">
        <v>1458271274</v>
      </c>
      <c r="H45" s="627">
        <v>1386577166.1600001</v>
      </c>
      <c r="I45" s="628">
        <v>95.1</v>
      </c>
      <c r="J45" s="627">
        <v>-14717903.200000048</v>
      </c>
      <c r="K45" s="627">
        <v>454261481</v>
      </c>
      <c r="L45" s="781">
        <v>33.1</v>
      </c>
    </row>
    <row r="46" spans="1:12">
      <c r="A46" s="788">
        <v>24</v>
      </c>
      <c r="B46" s="789">
        <v>63</v>
      </c>
      <c r="C46" s="774" t="s">
        <v>518</v>
      </c>
      <c r="D46" s="773">
        <v>1020809045.7</v>
      </c>
      <c r="E46" s="627">
        <v>1008100174.77</v>
      </c>
      <c r="F46" s="628">
        <v>98.8</v>
      </c>
      <c r="G46" s="627">
        <v>1092733730.47</v>
      </c>
      <c r="H46" s="627">
        <v>1007233566.6900001</v>
      </c>
      <c r="I46" s="628">
        <v>92.2</v>
      </c>
      <c r="J46" s="627">
        <v>866608.07999992371</v>
      </c>
      <c r="K46" s="627">
        <v>270974720.80000001</v>
      </c>
      <c r="L46" s="781">
        <v>26.9</v>
      </c>
    </row>
    <row r="47" spans="1:12">
      <c r="A47" s="788">
        <v>24</v>
      </c>
      <c r="B47" s="789">
        <v>64</v>
      </c>
      <c r="C47" s="774" t="s">
        <v>519</v>
      </c>
      <c r="D47" s="773">
        <v>2363260131</v>
      </c>
      <c r="E47" s="627">
        <v>2348610973.3499999</v>
      </c>
      <c r="F47" s="628">
        <v>99.4</v>
      </c>
      <c r="G47" s="627">
        <v>2497851757</v>
      </c>
      <c r="H47" s="627">
        <v>2337482484.9400001</v>
      </c>
      <c r="I47" s="628">
        <v>93.6</v>
      </c>
      <c r="J47" s="627">
        <v>11128488.409999847</v>
      </c>
      <c r="K47" s="627">
        <v>1036931720.5</v>
      </c>
      <c r="L47" s="781">
        <v>44.2</v>
      </c>
    </row>
    <row r="48" spans="1:12">
      <c r="A48" s="788">
        <v>24</v>
      </c>
      <c r="B48" s="789">
        <v>65</v>
      </c>
      <c r="C48" s="774" t="s">
        <v>520</v>
      </c>
      <c r="D48" s="773">
        <v>1314473336.71</v>
      </c>
      <c r="E48" s="627">
        <v>1319498454.76</v>
      </c>
      <c r="F48" s="628">
        <v>100.4</v>
      </c>
      <c r="G48" s="627">
        <v>1371759956.48</v>
      </c>
      <c r="H48" s="627">
        <v>1257669871.8299999</v>
      </c>
      <c r="I48" s="628">
        <v>91.7</v>
      </c>
      <c r="J48" s="627">
        <v>61828582.930000067</v>
      </c>
      <c r="K48" s="627">
        <v>244219208.44</v>
      </c>
      <c r="L48" s="781">
        <v>18.5</v>
      </c>
    </row>
    <row r="49" spans="1:12">
      <c r="A49" s="788">
        <v>24</v>
      </c>
      <c r="B49" s="789">
        <v>66</v>
      </c>
      <c r="C49" s="774" t="s">
        <v>521</v>
      </c>
      <c r="D49" s="773">
        <v>2106157406.71</v>
      </c>
      <c r="E49" s="627">
        <v>2079188552.24</v>
      </c>
      <c r="F49" s="628">
        <v>98.7</v>
      </c>
      <c r="G49" s="627">
        <v>2174952417.6100001</v>
      </c>
      <c r="H49" s="627">
        <v>2010368765.0899999</v>
      </c>
      <c r="I49" s="628">
        <v>92.4</v>
      </c>
      <c r="J49" s="627">
        <v>68819787.150000095</v>
      </c>
      <c r="K49" s="627">
        <v>415103426.23000002</v>
      </c>
      <c r="L49" s="781">
        <v>20</v>
      </c>
    </row>
    <row r="50" spans="1:12">
      <c r="A50" s="788">
        <v>24</v>
      </c>
      <c r="B50" s="789">
        <v>67</v>
      </c>
      <c r="C50" s="774" t="s">
        <v>522</v>
      </c>
      <c r="D50" s="773">
        <v>859623683.09000003</v>
      </c>
      <c r="E50" s="627">
        <v>863151908.38999999</v>
      </c>
      <c r="F50" s="628">
        <v>100.4</v>
      </c>
      <c r="G50" s="627">
        <v>883381257.32000005</v>
      </c>
      <c r="H50" s="627">
        <v>823813009.69000006</v>
      </c>
      <c r="I50" s="628">
        <v>93.3</v>
      </c>
      <c r="J50" s="627">
        <v>39338898.699999928</v>
      </c>
      <c r="K50" s="627">
        <v>22320315.440000001</v>
      </c>
      <c r="L50" s="781">
        <v>2.6</v>
      </c>
    </row>
    <row r="51" spans="1:12">
      <c r="A51" s="788">
        <v>24</v>
      </c>
      <c r="B51" s="789">
        <v>68</v>
      </c>
      <c r="C51" s="774" t="s">
        <v>523</v>
      </c>
      <c r="D51" s="773">
        <v>962780945.74000001</v>
      </c>
      <c r="E51" s="627">
        <v>987177175.99000001</v>
      </c>
      <c r="F51" s="628">
        <v>102.5</v>
      </c>
      <c r="G51" s="627">
        <v>1000652309.52</v>
      </c>
      <c r="H51" s="627">
        <v>958824532.95000005</v>
      </c>
      <c r="I51" s="628">
        <v>95.8</v>
      </c>
      <c r="J51" s="627">
        <v>28352643.039999962</v>
      </c>
      <c r="K51" s="627">
        <v>125799999.59999999</v>
      </c>
      <c r="L51" s="781">
        <v>12.7</v>
      </c>
    </row>
    <row r="52" spans="1:12">
      <c r="A52" s="788">
        <v>24</v>
      </c>
      <c r="B52" s="789">
        <v>69</v>
      </c>
      <c r="C52" s="774" t="s">
        <v>524</v>
      </c>
      <c r="D52" s="773">
        <v>3568976266</v>
      </c>
      <c r="E52" s="627">
        <v>3510768206.3800001</v>
      </c>
      <c r="F52" s="628">
        <v>98.4</v>
      </c>
      <c r="G52" s="627">
        <v>4064272371</v>
      </c>
      <c r="H52" s="627">
        <v>3726747671.1799998</v>
      </c>
      <c r="I52" s="628">
        <v>91.7</v>
      </c>
      <c r="J52" s="627">
        <v>-215979464.79999971</v>
      </c>
      <c r="K52" s="627">
        <v>1456960841.1500001</v>
      </c>
      <c r="L52" s="781">
        <v>41.5</v>
      </c>
    </row>
    <row r="53" spans="1:12">
      <c r="A53" s="788">
        <v>24</v>
      </c>
      <c r="B53" s="789">
        <v>70</v>
      </c>
      <c r="C53" s="774" t="s">
        <v>525</v>
      </c>
      <c r="D53" s="773">
        <v>691301887.74000001</v>
      </c>
      <c r="E53" s="627">
        <v>687628490.30999994</v>
      </c>
      <c r="F53" s="628">
        <v>99.5</v>
      </c>
      <c r="G53" s="627">
        <v>732479001.59000003</v>
      </c>
      <c r="H53" s="627">
        <v>677695061.44000006</v>
      </c>
      <c r="I53" s="628">
        <v>92.5</v>
      </c>
      <c r="J53" s="627">
        <v>9933428.8699998856</v>
      </c>
      <c r="K53" s="627">
        <v>199182112.88</v>
      </c>
      <c r="L53" s="781">
        <v>29</v>
      </c>
    </row>
    <row r="54" spans="1:12">
      <c r="A54" s="788">
        <v>24</v>
      </c>
      <c r="B54" s="789">
        <v>71</v>
      </c>
      <c r="C54" s="774" t="s">
        <v>526</v>
      </c>
      <c r="D54" s="773">
        <v>473560098.88</v>
      </c>
      <c r="E54" s="627">
        <v>479869914.12</v>
      </c>
      <c r="F54" s="628">
        <v>101.3</v>
      </c>
      <c r="G54" s="627">
        <v>505125198.56</v>
      </c>
      <c r="H54" s="627">
        <v>463451752.91000003</v>
      </c>
      <c r="I54" s="628">
        <v>91.7</v>
      </c>
      <c r="J54" s="627">
        <v>16418161.209999979</v>
      </c>
      <c r="K54" s="627">
        <v>103856141.26000001</v>
      </c>
      <c r="L54" s="781">
        <v>21.6</v>
      </c>
    </row>
    <row r="55" spans="1:12">
      <c r="A55" s="788">
        <v>24</v>
      </c>
      <c r="B55" s="789">
        <v>72</v>
      </c>
      <c r="C55" s="774" t="s">
        <v>527</v>
      </c>
      <c r="D55" s="773">
        <v>1366376947.55</v>
      </c>
      <c r="E55" s="627">
        <v>1334357470.51</v>
      </c>
      <c r="F55" s="628">
        <v>97.7</v>
      </c>
      <c r="G55" s="627">
        <v>1413898065.47</v>
      </c>
      <c r="H55" s="627">
        <v>1359620368.3099999</v>
      </c>
      <c r="I55" s="628">
        <v>96.2</v>
      </c>
      <c r="J55" s="627">
        <v>-25262897.799999952</v>
      </c>
      <c r="K55" s="627">
        <v>414528425</v>
      </c>
      <c r="L55" s="781">
        <v>31.1</v>
      </c>
    </row>
    <row r="56" spans="1:12">
      <c r="A56" s="788">
        <v>24</v>
      </c>
      <c r="B56" s="789">
        <v>73</v>
      </c>
      <c r="C56" s="774" t="s">
        <v>528</v>
      </c>
      <c r="D56" s="773">
        <v>1512530974.28</v>
      </c>
      <c r="E56" s="627">
        <v>1454406073.1600001</v>
      </c>
      <c r="F56" s="628">
        <v>96.2</v>
      </c>
      <c r="G56" s="627">
        <v>1678586826.7</v>
      </c>
      <c r="H56" s="627">
        <v>1511299652.71</v>
      </c>
      <c r="I56" s="628">
        <v>90</v>
      </c>
      <c r="J56" s="627">
        <v>-56893579.549999952</v>
      </c>
      <c r="K56" s="627">
        <v>519548389.51999998</v>
      </c>
      <c r="L56" s="781">
        <v>35.700000000000003</v>
      </c>
    </row>
    <row r="57" spans="1:12">
      <c r="A57" s="788">
        <v>24</v>
      </c>
      <c r="B57" s="789">
        <v>74</v>
      </c>
      <c r="C57" s="774" t="s">
        <v>529</v>
      </c>
      <c r="D57" s="773">
        <v>691588831.94000006</v>
      </c>
      <c r="E57" s="627">
        <v>630956788.28999996</v>
      </c>
      <c r="F57" s="628">
        <v>91.2</v>
      </c>
      <c r="G57" s="627">
        <v>724863558.61000001</v>
      </c>
      <c r="H57" s="627">
        <v>648000202.27999997</v>
      </c>
      <c r="I57" s="628">
        <v>89.4</v>
      </c>
      <c r="J57" s="627">
        <v>-17043413.99000001</v>
      </c>
      <c r="K57" s="627">
        <v>158300000</v>
      </c>
      <c r="L57" s="781">
        <v>25.1</v>
      </c>
    </row>
    <row r="58" spans="1:12">
      <c r="A58" s="788">
        <v>24</v>
      </c>
      <c r="B58" s="789">
        <v>75</v>
      </c>
      <c r="C58" s="774" t="s">
        <v>530</v>
      </c>
      <c r="D58" s="773">
        <v>1802359527.3800001</v>
      </c>
      <c r="E58" s="627">
        <v>1796931884.3</v>
      </c>
      <c r="F58" s="628">
        <v>99.7</v>
      </c>
      <c r="G58" s="627">
        <v>1856327888.1900001</v>
      </c>
      <c r="H58" s="627">
        <v>1753632041.29</v>
      </c>
      <c r="I58" s="628">
        <v>94.5</v>
      </c>
      <c r="J58" s="627">
        <v>43299843.00999999</v>
      </c>
      <c r="K58" s="627">
        <v>373972072.32999998</v>
      </c>
      <c r="L58" s="781">
        <v>20.8</v>
      </c>
    </row>
    <row r="59" spans="1:12">
      <c r="A59" s="788">
        <v>24</v>
      </c>
      <c r="B59" s="789">
        <v>76</v>
      </c>
      <c r="C59" s="774" t="s">
        <v>531</v>
      </c>
      <c r="D59" s="773">
        <v>487144888.60000002</v>
      </c>
      <c r="E59" s="627">
        <v>450876495.01999998</v>
      </c>
      <c r="F59" s="628">
        <v>92.6</v>
      </c>
      <c r="G59" s="627">
        <v>497017394.82999998</v>
      </c>
      <c r="H59" s="627">
        <v>473156478.18000001</v>
      </c>
      <c r="I59" s="628">
        <v>95.2</v>
      </c>
      <c r="J59" s="627">
        <v>-22279983.160000026</v>
      </c>
      <c r="K59" s="627">
        <v>104142702.09999999</v>
      </c>
      <c r="L59" s="781">
        <v>23.1</v>
      </c>
    </row>
    <row r="60" spans="1:12">
      <c r="A60" s="788">
        <v>24</v>
      </c>
      <c r="B60" s="789">
        <v>77</v>
      </c>
      <c r="C60" s="774" t="s">
        <v>532</v>
      </c>
      <c r="D60" s="773">
        <v>1317260876.5599999</v>
      </c>
      <c r="E60" s="627">
        <v>1318605108.25</v>
      </c>
      <c r="F60" s="628">
        <v>100.1</v>
      </c>
      <c r="G60" s="627">
        <v>1367655747.75</v>
      </c>
      <c r="H60" s="627">
        <v>1309750187.53</v>
      </c>
      <c r="I60" s="628">
        <v>95.8</v>
      </c>
      <c r="J60" s="627">
        <v>8854920.7200000286</v>
      </c>
      <c r="K60" s="627">
        <v>135044272.03999999</v>
      </c>
      <c r="L60" s="781">
        <v>10.199999999999999</v>
      </c>
    </row>
    <row r="61" spans="1:12">
      <c r="A61" s="788">
        <v>24</v>
      </c>
      <c r="B61" s="789">
        <v>78</v>
      </c>
      <c r="C61" s="774" t="s">
        <v>533</v>
      </c>
      <c r="D61" s="773">
        <v>1462268651.1300001</v>
      </c>
      <c r="E61" s="627">
        <v>1434768379.9200001</v>
      </c>
      <c r="F61" s="628">
        <v>98.1</v>
      </c>
      <c r="G61" s="627">
        <v>1550123660.1300001</v>
      </c>
      <c r="H61" s="627">
        <v>1483410201.74</v>
      </c>
      <c r="I61" s="628">
        <v>95.7</v>
      </c>
      <c r="J61" s="627">
        <v>-48641821.819999933</v>
      </c>
      <c r="K61" s="627">
        <v>1043402798.09</v>
      </c>
      <c r="L61" s="781">
        <v>72.7</v>
      </c>
    </row>
    <row r="62" spans="1:12">
      <c r="A62" s="788">
        <v>24</v>
      </c>
      <c r="B62" s="789">
        <v>79</v>
      </c>
      <c r="C62" s="774" t="s">
        <v>534</v>
      </c>
      <c r="D62" s="773">
        <v>671349920.08000004</v>
      </c>
      <c r="E62" s="627">
        <v>879194100.40999997</v>
      </c>
      <c r="F62" s="628">
        <v>131</v>
      </c>
      <c r="G62" s="627">
        <v>729699250.53999996</v>
      </c>
      <c r="H62" s="627">
        <v>674048739.15999997</v>
      </c>
      <c r="I62" s="628">
        <v>92.4</v>
      </c>
      <c r="J62" s="627">
        <v>205145361.25</v>
      </c>
      <c r="K62" s="627">
        <v>483002652.10000002</v>
      </c>
      <c r="L62" s="781">
        <v>54.9</v>
      </c>
    </row>
    <row r="63" spans="1:12">
      <c r="A63" s="788">
        <v>26</v>
      </c>
      <c r="B63" s="789">
        <v>61</v>
      </c>
      <c r="C63" s="774" t="s">
        <v>535</v>
      </c>
      <c r="D63" s="773">
        <v>2290293642.6199999</v>
      </c>
      <c r="E63" s="627">
        <v>2242982853.4299998</v>
      </c>
      <c r="F63" s="628">
        <v>97.9</v>
      </c>
      <c r="G63" s="627">
        <v>2371252442.6199999</v>
      </c>
      <c r="H63" s="627">
        <v>2261314781.2199998</v>
      </c>
      <c r="I63" s="628">
        <v>95.4</v>
      </c>
      <c r="J63" s="627">
        <v>-18331927.789999962</v>
      </c>
      <c r="K63" s="627">
        <v>1335209076.6300001</v>
      </c>
      <c r="L63" s="781">
        <v>59.5</v>
      </c>
    </row>
    <row r="64" spans="1:12">
      <c r="A64" s="788">
        <v>28</v>
      </c>
      <c r="B64" s="789">
        <v>61</v>
      </c>
      <c r="C64" s="774" t="s">
        <v>536</v>
      </c>
      <c r="D64" s="773">
        <v>1170062927.22</v>
      </c>
      <c r="E64" s="627">
        <v>1181029150.6099999</v>
      </c>
      <c r="F64" s="628">
        <v>100.9</v>
      </c>
      <c r="G64" s="627">
        <v>1197077575.3299999</v>
      </c>
      <c r="H64" s="627">
        <v>1125208632.6300001</v>
      </c>
      <c r="I64" s="628">
        <v>94</v>
      </c>
      <c r="J64" s="627">
        <v>55820517.979999781</v>
      </c>
      <c r="K64" s="627">
        <v>259873262.81</v>
      </c>
      <c r="L64" s="781">
        <v>22</v>
      </c>
    </row>
    <row r="65" spans="1:12">
      <c r="A65" s="788">
        <v>28</v>
      </c>
      <c r="B65" s="789">
        <v>62</v>
      </c>
      <c r="C65" s="774" t="s">
        <v>537</v>
      </c>
      <c r="D65" s="773">
        <v>1854576614.6099999</v>
      </c>
      <c r="E65" s="627">
        <v>1846369730.97</v>
      </c>
      <c r="F65" s="628">
        <v>99.6</v>
      </c>
      <c r="G65" s="627">
        <v>2052180651.6099999</v>
      </c>
      <c r="H65" s="627">
        <v>1925452870.73</v>
      </c>
      <c r="I65" s="628">
        <v>93.8</v>
      </c>
      <c r="J65" s="627">
        <v>-79083139.75999999</v>
      </c>
      <c r="K65" s="627">
        <v>416727981.69</v>
      </c>
      <c r="L65" s="781">
        <v>22.6</v>
      </c>
    </row>
    <row r="66" spans="1:12">
      <c r="A66" s="788">
        <v>30</v>
      </c>
      <c r="B66" s="789">
        <v>61</v>
      </c>
      <c r="C66" s="774" t="s">
        <v>538</v>
      </c>
      <c r="D66" s="773">
        <v>1110861071.7</v>
      </c>
      <c r="E66" s="627">
        <v>1118350356.77</v>
      </c>
      <c r="F66" s="628">
        <v>100.7</v>
      </c>
      <c r="G66" s="627">
        <v>1150497634.6900001</v>
      </c>
      <c r="H66" s="627">
        <v>1108527539.97</v>
      </c>
      <c r="I66" s="628">
        <v>96.4</v>
      </c>
      <c r="J66" s="627">
        <v>9822816.7999999523</v>
      </c>
      <c r="K66" s="627">
        <v>337899000</v>
      </c>
      <c r="L66" s="781">
        <v>30.2</v>
      </c>
    </row>
    <row r="67" spans="1:12">
      <c r="A67" s="788">
        <v>30</v>
      </c>
      <c r="B67" s="789">
        <v>62</v>
      </c>
      <c r="C67" s="774" t="s">
        <v>539</v>
      </c>
      <c r="D67" s="773">
        <v>924943067.33000004</v>
      </c>
      <c r="E67" s="627">
        <v>898859171.64999998</v>
      </c>
      <c r="F67" s="628">
        <v>97.2</v>
      </c>
      <c r="G67" s="627">
        <v>957358731.63</v>
      </c>
      <c r="H67" s="627">
        <v>893256382.85000002</v>
      </c>
      <c r="I67" s="628">
        <v>93.3</v>
      </c>
      <c r="J67" s="627">
        <v>5602788.7999999523</v>
      </c>
      <c r="K67" s="627">
        <v>258376905.25</v>
      </c>
      <c r="L67" s="781">
        <v>28.7</v>
      </c>
    </row>
    <row r="68" spans="1:12">
      <c r="A68" s="788">
        <v>30</v>
      </c>
      <c r="B68" s="789">
        <v>63</v>
      </c>
      <c r="C68" s="774" t="s">
        <v>540</v>
      </c>
      <c r="D68" s="773">
        <v>702274921.51999998</v>
      </c>
      <c r="E68" s="627">
        <v>684255370.37</v>
      </c>
      <c r="F68" s="628">
        <v>97.4</v>
      </c>
      <c r="G68" s="627">
        <v>710021697.52999997</v>
      </c>
      <c r="H68" s="627">
        <v>680903309.63999999</v>
      </c>
      <c r="I68" s="628">
        <v>95.9</v>
      </c>
      <c r="J68" s="627">
        <v>3352060.7300000191</v>
      </c>
      <c r="K68" s="627">
        <v>230782532.53</v>
      </c>
      <c r="L68" s="781">
        <v>33.700000000000003</v>
      </c>
    </row>
    <row r="69" spans="1:12">
      <c r="A69" s="788">
        <v>30</v>
      </c>
      <c r="B69" s="789">
        <v>64</v>
      </c>
      <c r="C69" s="774" t="s">
        <v>541</v>
      </c>
      <c r="D69" s="773">
        <v>6614533983.3699999</v>
      </c>
      <c r="E69" s="627">
        <v>6658258594.9700003</v>
      </c>
      <c r="F69" s="628">
        <v>100.7</v>
      </c>
      <c r="G69" s="627">
        <v>6962371645.4499998</v>
      </c>
      <c r="H69" s="627">
        <v>6661264613.9899998</v>
      </c>
      <c r="I69" s="628">
        <v>95.7</v>
      </c>
      <c r="J69" s="627">
        <v>-3006019.0199995041</v>
      </c>
      <c r="K69" s="627">
        <v>2025189766.05</v>
      </c>
      <c r="L69" s="781">
        <v>30.4</v>
      </c>
    </row>
    <row r="70" spans="1:12">
      <c r="A70" s="788">
        <v>32</v>
      </c>
      <c r="B70" s="789">
        <v>61</v>
      </c>
      <c r="C70" s="774" t="s">
        <v>542</v>
      </c>
      <c r="D70" s="773">
        <v>1142659128.04</v>
      </c>
      <c r="E70" s="627">
        <v>1117745140.4000001</v>
      </c>
      <c r="F70" s="628">
        <v>97.8</v>
      </c>
      <c r="G70" s="627">
        <v>1187673404.04</v>
      </c>
      <c r="H70" s="627">
        <v>1143425826.3</v>
      </c>
      <c r="I70" s="628">
        <v>96.3</v>
      </c>
      <c r="J70" s="627">
        <v>-25680685.899999857</v>
      </c>
      <c r="K70" s="627">
        <v>466077473.06999999</v>
      </c>
      <c r="L70" s="781">
        <v>41.7</v>
      </c>
    </row>
    <row r="71" spans="1:12">
      <c r="A71" s="788">
        <v>32</v>
      </c>
      <c r="B71" s="789">
        <v>62</v>
      </c>
      <c r="C71" s="774" t="s">
        <v>543</v>
      </c>
      <c r="D71" s="773">
        <v>4502082127.1700001</v>
      </c>
      <c r="E71" s="627">
        <v>4299795833.6400003</v>
      </c>
      <c r="F71" s="628">
        <v>95.5</v>
      </c>
      <c r="G71" s="627">
        <v>4861102143.1700001</v>
      </c>
      <c r="H71" s="627">
        <v>4508145535.5100002</v>
      </c>
      <c r="I71" s="628">
        <v>92.7</v>
      </c>
      <c r="J71" s="627">
        <v>-208349701.86999989</v>
      </c>
      <c r="K71" s="627">
        <v>2565156109.3299999</v>
      </c>
      <c r="L71" s="781">
        <v>59.7</v>
      </c>
    </row>
    <row r="72" spans="1:12">
      <c r="A72" s="790">
        <v>32</v>
      </c>
      <c r="B72" s="791">
        <v>63</v>
      </c>
      <c r="C72" s="775" t="s">
        <v>544</v>
      </c>
      <c r="D72" s="782">
        <v>550183047.51999998</v>
      </c>
      <c r="E72" s="783">
        <v>501046763.5</v>
      </c>
      <c r="F72" s="784">
        <v>91.1</v>
      </c>
      <c r="G72" s="783">
        <v>600847890.38999999</v>
      </c>
      <c r="H72" s="783">
        <v>515640233.06</v>
      </c>
      <c r="I72" s="784">
        <v>85.8</v>
      </c>
      <c r="J72" s="783">
        <v>-14593469.560000002</v>
      </c>
      <c r="K72" s="783">
        <v>318607951.41000003</v>
      </c>
      <c r="L72" s="785">
        <v>63.6</v>
      </c>
    </row>
    <row r="74" spans="1:12">
      <c r="A74" s="32" t="s">
        <v>911</v>
      </c>
    </row>
  </sheetData>
  <mergeCells count="13">
    <mergeCell ref="I3:I4"/>
    <mergeCell ref="J3:J4"/>
    <mergeCell ref="K3:K4"/>
    <mergeCell ref="L3:L4"/>
    <mergeCell ref="D5:E5"/>
    <mergeCell ref="J5:K5"/>
    <mergeCell ref="G3:H3"/>
    <mergeCell ref="G5:H5"/>
    <mergeCell ref="A3:A5"/>
    <mergeCell ref="B3:B5"/>
    <mergeCell ref="C3:C5"/>
    <mergeCell ref="D3:E3"/>
    <mergeCell ref="F3:F4"/>
  </mergeCells>
  <pageMargins left="0.70866141732283472" right="0.31496062992125984" top="0.74803149606299213" bottom="0.55118110236220474" header="0.31496062992125984" footer="0.31496062992125984"/>
  <pageSetup paperSize="9" scale="81" orientation="landscape" r:id="rId1"/>
  <rowBreaks count="1" manualBreakCount="1">
    <brk id="38" max="11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52E7-C671-4339-9958-24F5F3580A84}">
  <dimension ref="A1:H77"/>
  <sheetViews>
    <sheetView view="pageBreakPreview" topLeftCell="A40" zoomScaleNormal="100" zoomScaleSheetLayoutView="100" workbookViewId="0">
      <selection activeCell="F17" sqref="F17"/>
    </sheetView>
  </sheetViews>
  <sheetFormatPr defaultColWidth="8.77734375" defaultRowHeight="13.2"/>
  <cols>
    <col min="1" max="2" width="5.21875" style="716" customWidth="1"/>
    <col min="3" max="3" width="25.21875" style="717" customWidth="1"/>
    <col min="4" max="6" width="14" style="718" customWidth="1"/>
    <col min="7" max="8" width="6.21875" style="718" customWidth="1"/>
    <col min="9" max="9" width="8" style="718" customWidth="1"/>
    <col min="10" max="16384" width="8.77734375" style="718"/>
  </cols>
  <sheetData>
    <row r="1" spans="1:8" ht="37.5" customHeight="1">
      <c r="A1" s="2445" t="s">
        <v>1018</v>
      </c>
      <c r="B1" s="2445"/>
      <c r="C1" s="2445"/>
      <c r="D1" s="2445"/>
      <c r="E1" s="2445"/>
      <c r="F1" s="2445"/>
      <c r="G1" s="2445"/>
      <c r="H1" s="2445"/>
    </row>
    <row r="3" spans="1:8">
      <c r="A3" s="2376" t="s">
        <v>87</v>
      </c>
      <c r="B3" s="2429" t="s">
        <v>171</v>
      </c>
      <c r="C3" s="2377" t="s">
        <v>172</v>
      </c>
      <c r="D3" s="2379" t="s">
        <v>819</v>
      </c>
      <c r="E3" s="2381" t="s">
        <v>88</v>
      </c>
      <c r="F3" s="2381"/>
      <c r="G3" s="2376" t="s">
        <v>575</v>
      </c>
      <c r="H3" s="2382"/>
    </row>
    <row r="4" spans="1:8">
      <c r="A4" s="2372"/>
      <c r="B4" s="2430"/>
      <c r="C4" s="2378"/>
      <c r="D4" s="2380"/>
      <c r="E4" s="2369" t="s">
        <v>136</v>
      </c>
      <c r="F4" s="2370" t="s">
        <v>137</v>
      </c>
      <c r="G4" s="2372"/>
      <c r="H4" s="2373"/>
    </row>
    <row r="5" spans="1:8" ht="26.55" customHeight="1">
      <c r="A5" s="2372"/>
      <c r="B5" s="2430"/>
      <c r="C5" s="2378"/>
      <c r="D5" s="2380"/>
      <c r="E5" s="2369"/>
      <c r="F5" s="2370"/>
      <c r="G5" s="2372"/>
      <c r="H5" s="2373"/>
    </row>
    <row r="6" spans="1:8">
      <c r="A6" s="2372"/>
      <c r="B6" s="2430"/>
      <c r="C6" s="2378"/>
      <c r="D6" s="2380"/>
      <c r="E6" s="2369"/>
      <c r="F6" s="2370"/>
      <c r="G6" s="725" t="s">
        <v>7</v>
      </c>
      <c r="H6" s="2073" t="s">
        <v>576</v>
      </c>
    </row>
    <row r="7" spans="1:8">
      <c r="A7" s="2372"/>
      <c r="B7" s="2431"/>
      <c r="C7" s="2378"/>
      <c r="D7" s="2371" t="s">
        <v>93</v>
      </c>
      <c r="E7" s="2370"/>
      <c r="F7" s="2370"/>
      <c r="G7" s="2372" t="s">
        <v>169</v>
      </c>
      <c r="H7" s="2373"/>
    </row>
    <row r="8" spans="1:8">
      <c r="A8" s="721" t="s">
        <v>10</v>
      </c>
      <c r="B8" s="766" t="s">
        <v>11</v>
      </c>
      <c r="C8" s="727" t="s">
        <v>12</v>
      </c>
      <c r="D8" s="728" t="s">
        <v>13</v>
      </c>
      <c r="E8" s="729" t="s">
        <v>14</v>
      </c>
      <c r="F8" s="729" t="s">
        <v>15</v>
      </c>
      <c r="G8" s="721" t="s">
        <v>16</v>
      </c>
      <c r="H8" s="727" t="s">
        <v>17</v>
      </c>
    </row>
    <row r="9" spans="1:8">
      <c r="A9" s="1663"/>
      <c r="B9" s="1664"/>
      <c r="C9" s="1665" t="s">
        <v>562</v>
      </c>
      <c r="D9" s="1722">
        <v>48396694067.359985</v>
      </c>
      <c r="E9" s="1719">
        <v>46629065214.299995</v>
      </c>
      <c r="F9" s="1719">
        <v>1767628853.0600004</v>
      </c>
      <c r="G9" s="1677">
        <v>96.3</v>
      </c>
      <c r="H9" s="1721">
        <v>3.7</v>
      </c>
    </row>
    <row r="10" spans="1:8">
      <c r="A10" s="1666">
        <v>2</v>
      </c>
      <c r="B10" s="1667">
        <v>61</v>
      </c>
      <c r="C10" s="1724" t="s">
        <v>479</v>
      </c>
      <c r="D10" s="1682">
        <v>294669116.36000001</v>
      </c>
      <c r="E10" s="1683">
        <v>284573693.17000002</v>
      </c>
      <c r="F10" s="1683">
        <v>10095423.189999999</v>
      </c>
      <c r="G10" s="1678">
        <v>96.6</v>
      </c>
      <c r="H10" s="1715">
        <v>3.4</v>
      </c>
    </row>
    <row r="11" spans="1:8">
      <c r="A11" s="1666">
        <v>2</v>
      </c>
      <c r="B11" s="1667">
        <v>62</v>
      </c>
      <c r="C11" s="1724" t="s">
        <v>480</v>
      </c>
      <c r="D11" s="1682">
        <v>349502068.75999999</v>
      </c>
      <c r="E11" s="1683">
        <v>346682495.69999999</v>
      </c>
      <c r="F11" s="1683">
        <v>2819573.06</v>
      </c>
      <c r="G11" s="1678">
        <v>99.2</v>
      </c>
      <c r="H11" s="1715">
        <v>0.8</v>
      </c>
    </row>
    <row r="12" spans="1:8">
      <c r="A12" s="1666">
        <v>2</v>
      </c>
      <c r="B12" s="1667">
        <v>64</v>
      </c>
      <c r="C12" s="1724" t="s">
        <v>481</v>
      </c>
      <c r="D12" s="1682">
        <v>2624397046.6100001</v>
      </c>
      <c r="E12" s="1683">
        <v>2503880255.4099998</v>
      </c>
      <c r="F12" s="1683">
        <v>120516791.2</v>
      </c>
      <c r="G12" s="1678">
        <v>95.4</v>
      </c>
      <c r="H12" s="1715">
        <v>4.5999999999999996</v>
      </c>
    </row>
    <row r="13" spans="1:8">
      <c r="A13" s="1666">
        <v>2</v>
      </c>
      <c r="B13" s="1667">
        <v>65</v>
      </c>
      <c r="C13" s="1724" t="s">
        <v>482</v>
      </c>
      <c r="D13" s="1682">
        <v>301723457.23000002</v>
      </c>
      <c r="E13" s="1683">
        <v>274357514.54000002</v>
      </c>
      <c r="F13" s="1683">
        <v>27365942.690000001</v>
      </c>
      <c r="G13" s="1678">
        <v>90.9</v>
      </c>
      <c r="H13" s="1715">
        <v>9.1</v>
      </c>
    </row>
    <row r="14" spans="1:8">
      <c r="A14" s="1666">
        <v>4</v>
      </c>
      <c r="B14" s="1667">
        <v>61</v>
      </c>
      <c r="C14" s="1724" t="s">
        <v>483</v>
      </c>
      <c r="D14" s="1682">
        <v>1136527784.27</v>
      </c>
      <c r="E14" s="1683">
        <v>1116744455.99</v>
      </c>
      <c r="F14" s="1683">
        <v>19783328.280000001</v>
      </c>
      <c r="G14" s="1678">
        <v>98.3</v>
      </c>
      <c r="H14" s="1715">
        <v>1.7</v>
      </c>
    </row>
    <row r="15" spans="1:8">
      <c r="A15" s="1666">
        <v>4</v>
      </c>
      <c r="B15" s="1667">
        <v>62</v>
      </c>
      <c r="C15" s="1724" t="s">
        <v>484</v>
      </c>
      <c r="D15" s="1682">
        <v>440280073.41000003</v>
      </c>
      <c r="E15" s="1683">
        <v>383627006.79000002</v>
      </c>
      <c r="F15" s="1683">
        <v>56653066.619999997</v>
      </c>
      <c r="G15" s="1678">
        <v>87.1</v>
      </c>
      <c r="H15" s="1715">
        <v>12.9</v>
      </c>
    </row>
    <row r="16" spans="1:8">
      <c r="A16" s="1666">
        <v>4</v>
      </c>
      <c r="B16" s="1667">
        <v>63</v>
      </c>
      <c r="C16" s="1724" t="s">
        <v>485</v>
      </c>
      <c r="D16" s="1682">
        <v>735858042.77999997</v>
      </c>
      <c r="E16" s="1683">
        <v>698644545.87</v>
      </c>
      <c r="F16" s="1683">
        <v>37213496.909999996</v>
      </c>
      <c r="G16" s="1678">
        <v>94.9</v>
      </c>
      <c r="H16" s="1715">
        <v>5.0999999999999996</v>
      </c>
    </row>
    <row r="17" spans="1:8">
      <c r="A17" s="1666">
        <v>4</v>
      </c>
      <c r="B17" s="1667">
        <v>64</v>
      </c>
      <c r="C17" s="1724" t="s">
        <v>486</v>
      </c>
      <c r="D17" s="1682">
        <v>401129997.41000003</v>
      </c>
      <c r="E17" s="1683">
        <v>393864361.35000002</v>
      </c>
      <c r="F17" s="1683">
        <v>7265636.0599999996</v>
      </c>
      <c r="G17" s="1678">
        <v>98.2</v>
      </c>
      <c r="H17" s="1715">
        <v>1.8</v>
      </c>
    </row>
    <row r="18" spans="1:8">
      <c r="A18" s="1666">
        <v>6</v>
      </c>
      <c r="B18" s="1667">
        <v>61</v>
      </c>
      <c r="C18" s="1724" t="s">
        <v>487</v>
      </c>
      <c r="D18" s="1682">
        <v>250120383.09</v>
      </c>
      <c r="E18" s="1683">
        <v>243330787.71000001</v>
      </c>
      <c r="F18" s="1683">
        <v>6789595.3799999999</v>
      </c>
      <c r="G18" s="1678">
        <v>97.3</v>
      </c>
      <c r="H18" s="1715">
        <v>2.7</v>
      </c>
    </row>
    <row r="19" spans="1:8">
      <c r="A19" s="1666">
        <v>6</v>
      </c>
      <c r="B19" s="1667">
        <v>62</v>
      </c>
      <c r="C19" s="1724" t="s">
        <v>488</v>
      </c>
      <c r="D19" s="1682">
        <v>286425126.04000002</v>
      </c>
      <c r="E19" s="1683">
        <v>260547506.38999999</v>
      </c>
      <c r="F19" s="1683">
        <v>25877619.649999999</v>
      </c>
      <c r="G19" s="1678">
        <v>91</v>
      </c>
      <c r="H19" s="1715">
        <v>9</v>
      </c>
    </row>
    <row r="20" spans="1:8">
      <c r="A20" s="1666">
        <v>6</v>
      </c>
      <c r="B20" s="1667">
        <v>63</v>
      </c>
      <c r="C20" s="1724" t="s">
        <v>489</v>
      </c>
      <c r="D20" s="1682">
        <v>1370447660.3499999</v>
      </c>
      <c r="E20" s="1683">
        <v>1335042491</v>
      </c>
      <c r="F20" s="1683">
        <v>35405169.350000001</v>
      </c>
      <c r="G20" s="1678">
        <v>97.4</v>
      </c>
      <c r="H20" s="1715">
        <v>2.6</v>
      </c>
    </row>
    <row r="21" spans="1:8">
      <c r="A21" s="1666">
        <v>6</v>
      </c>
      <c r="B21" s="1667">
        <v>64</v>
      </c>
      <c r="C21" s="1724" t="s">
        <v>490</v>
      </c>
      <c r="D21" s="1682">
        <v>300944948.43000001</v>
      </c>
      <c r="E21" s="1683">
        <v>299312554.62</v>
      </c>
      <c r="F21" s="1683">
        <v>1632393.81</v>
      </c>
      <c r="G21" s="1678">
        <v>99.5</v>
      </c>
      <c r="H21" s="1715">
        <v>0.5</v>
      </c>
    </row>
    <row r="22" spans="1:8">
      <c r="A22" s="1666">
        <v>8</v>
      </c>
      <c r="B22" s="1667">
        <v>61</v>
      </c>
      <c r="C22" s="1724" t="s">
        <v>491</v>
      </c>
      <c r="D22" s="1682">
        <v>496303858.70999998</v>
      </c>
      <c r="E22" s="1683">
        <v>461769682.82999998</v>
      </c>
      <c r="F22" s="1683">
        <v>34534175.880000003</v>
      </c>
      <c r="G22" s="1678">
        <v>93</v>
      </c>
      <c r="H22" s="1715">
        <v>7</v>
      </c>
    </row>
    <row r="23" spans="1:8">
      <c r="A23" s="1666">
        <v>8</v>
      </c>
      <c r="B23" s="1667">
        <v>62</v>
      </c>
      <c r="C23" s="1724" t="s">
        <v>492</v>
      </c>
      <c r="D23" s="1682">
        <v>647263591.79999995</v>
      </c>
      <c r="E23" s="1683">
        <v>576472505.08000004</v>
      </c>
      <c r="F23" s="1683">
        <v>70791086.719999999</v>
      </c>
      <c r="G23" s="1678">
        <v>89.1</v>
      </c>
      <c r="H23" s="1715">
        <v>10.9</v>
      </c>
    </row>
    <row r="24" spans="1:8">
      <c r="A24" s="1666">
        <v>10</v>
      </c>
      <c r="B24" s="1667">
        <v>61</v>
      </c>
      <c r="C24" s="1724" t="s">
        <v>493</v>
      </c>
      <c r="D24" s="1682">
        <v>1945255285.0899999</v>
      </c>
      <c r="E24" s="1683">
        <v>1852947423.73</v>
      </c>
      <c r="F24" s="1683">
        <v>92307861.359999999</v>
      </c>
      <c r="G24" s="1678">
        <v>95.3</v>
      </c>
      <c r="H24" s="1715">
        <v>4.7</v>
      </c>
    </row>
    <row r="25" spans="1:8">
      <c r="A25" s="1666">
        <v>10</v>
      </c>
      <c r="B25" s="1667">
        <v>62</v>
      </c>
      <c r="C25" s="1724" t="s">
        <v>494</v>
      </c>
      <c r="D25" s="1682">
        <v>301621764.69999999</v>
      </c>
      <c r="E25" s="1683">
        <v>300274072.44999999</v>
      </c>
      <c r="F25" s="1683">
        <v>1347692.25</v>
      </c>
      <c r="G25" s="1678">
        <v>99.6</v>
      </c>
      <c r="H25" s="1715">
        <v>0.4</v>
      </c>
    </row>
    <row r="26" spans="1:8">
      <c r="A26" s="1666">
        <v>10</v>
      </c>
      <c r="B26" s="1667">
        <v>63</v>
      </c>
      <c r="C26" s="1724" t="s">
        <v>495</v>
      </c>
      <c r="D26" s="1682">
        <v>208603457.75999999</v>
      </c>
      <c r="E26" s="1683">
        <v>199792971.84</v>
      </c>
      <c r="F26" s="1683">
        <v>8810485.9199999999</v>
      </c>
      <c r="G26" s="1678">
        <v>95.8</v>
      </c>
      <c r="H26" s="1715">
        <v>4.2</v>
      </c>
    </row>
    <row r="27" spans="1:8">
      <c r="A27" s="1666">
        <v>12</v>
      </c>
      <c r="B27" s="1667">
        <v>61</v>
      </c>
      <c r="C27" s="1724" t="s">
        <v>496</v>
      </c>
      <c r="D27" s="1682">
        <v>3067874112.98</v>
      </c>
      <c r="E27" s="1683">
        <v>2962799067.8800001</v>
      </c>
      <c r="F27" s="1683">
        <v>105075045.09999999</v>
      </c>
      <c r="G27" s="1678">
        <v>96.6</v>
      </c>
      <c r="H27" s="1715">
        <v>3.4</v>
      </c>
    </row>
    <row r="28" spans="1:8">
      <c r="A28" s="1666">
        <v>12</v>
      </c>
      <c r="B28" s="1667">
        <v>62</v>
      </c>
      <c r="C28" s="1724" t="s">
        <v>497</v>
      </c>
      <c r="D28" s="1682">
        <v>413525507.18000001</v>
      </c>
      <c r="E28" s="1683">
        <v>405286597.07999998</v>
      </c>
      <c r="F28" s="1683">
        <v>8238910.0999999996</v>
      </c>
      <c r="G28" s="1678">
        <v>98</v>
      </c>
      <c r="H28" s="1715">
        <v>2</v>
      </c>
    </row>
    <row r="29" spans="1:8">
      <c r="A29" s="1666">
        <v>12</v>
      </c>
      <c r="B29" s="1667">
        <v>63</v>
      </c>
      <c r="C29" s="1724" t="s">
        <v>498</v>
      </c>
      <c r="D29" s="1682">
        <v>482864663.10000002</v>
      </c>
      <c r="E29" s="1683">
        <v>482372952.88</v>
      </c>
      <c r="F29" s="1683">
        <v>491710.22</v>
      </c>
      <c r="G29" s="1678">
        <v>99.9</v>
      </c>
      <c r="H29" s="1715">
        <v>0.1</v>
      </c>
    </row>
    <row r="30" spans="1:8">
      <c r="A30" s="1666">
        <v>14</v>
      </c>
      <c r="B30" s="1667">
        <v>61</v>
      </c>
      <c r="C30" s="1724" t="s">
        <v>499</v>
      </c>
      <c r="D30" s="1682">
        <v>246546003.21000001</v>
      </c>
      <c r="E30" s="1683">
        <v>231998007.13</v>
      </c>
      <c r="F30" s="1683">
        <v>14547996.08</v>
      </c>
      <c r="G30" s="1678">
        <v>94.1</v>
      </c>
      <c r="H30" s="1715">
        <v>5.9</v>
      </c>
    </row>
    <row r="31" spans="1:8">
      <c r="A31" s="1666">
        <v>14</v>
      </c>
      <c r="B31" s="1667">
        <v>62</v>
      </c>
      <c r="C31" s="1724" t="s">
        <v>500</v>
      </c>
      <c r="D31" s="1682">
        <v>529567818.95999998</v>
      </c>
      <c r="E31" s="1683">
        <v>524828753.32999998</v>
      </c>
      <c r="F31" s="1683">
        <v>4739065.63</v>
      </c>
      <c r="G31" s="1678">
        <v>99.1</v>
      </c>
      <c r="H31" s="1715">
        <v>0.9</v>
      </c>
    </row>
    <row r="32" spans="1:8">
      <c r="A32" s="1666">
        <v>14</v>
      </c>
      <c r="B32" s="1667">
        <v>63</v>
      </c>
      <c r="C32" s="1724" t="s">
        <v>501</v>
      </c>
      <c r="D32" s="1682">
        <v>911710369.21000004</v>
      </c>
      <c r="E32" s="1683">
        <v>883800566.45000005</v>
      </c>
      <c r="F32" s="1683">
        <v>27909802.760000002</v>
      </c>
      <c r="G32" s="1678">
        <v>96.9</v>
      </c>
      <c r="H32" s="1715">
        <v>3.1</v>
      </c>
    </row>
    <row r="33" spans="1:8">
      <c r="A33" s="1666">
        <v>14</v>
      </c>
      <c r="B33" s="1667">
        <v>64</v>
      </c>
      <c r="C33" s="1724" t="s">
        <v>502</v>
      </c>
      <c r="D33" s="1682">
        <v>422240038.08999997</v>
      </c>
      <c r="E33" s="1683">
        <v>395909958.60000002</v>
      </c>
      <c r="F33" s="1683">
        <v>26330079.489999998</v>
      </c>
      <c r="G33" s="1678">
        <v>93.8</v>
      </c>
      <c r="H33" s="1715">
        <v>6.2</v>
      </c>
    </row>
    <row r="34" spans="1:8">
      <c r="A34" s="1666">
        <v>14</v>
      </c>
      <c r="B34" s="1667">
        <v>65</v>
      </c>
      <c r="C34" s="1724" t="s">
        <v>503</v>
      </c>
      <c r="D34" s="1682">
        <v>7529285709.1000004</v>
      </c>
      <c r="E34" s="1683">
        <v>7297288953.0299997</v>
      </c>
      <c r="F34" s="1683">
        <v>231996756.06999999</v>
      </c>
      <c r="G34" s="1678">
        <v>96.9</v>
      </c>
      <c r="H34" s="1715">
        <v>3.1</v>
      </c>
    </row>
    <row r="35" spans="1:8">
      <c r="A35" s="1666">
        <v>16</v>
      </c>
      <c r="B35" s="1667">
        <v>61</v>
      </c>
      <c r="C35" s="1724" t="s">
        <v>504</v>
      </c>
      <c r="D35" s="1682">
        <v>657843690.38</v>
      </c>
      <c r="E35" s="1683">
        <v>578210013.71000004</v>
      </c>
      <c r="F35" s="1683">
        <v>79633676.670000002</v>
      </c>
      <c r="G35" s="1678">
        <v>87.9</v>
      </c>
      <c r="H35" s="1715">
        <v>12.1</v>
      </c>
    </row>
    <row r="36" spans="1:8">
      <c r="A36" s="1666">
        <v>18</v>
      </c>
      <c r="B36" s="1667">
        <v>61</v>
      </c>
      <c r="C36" s="1724" t="s">
        <v>505</v>
      </c>
      <c r="D36" s="1682">
        <v>239148806.25999999</v>
      </c>
      <c r="E36" s="1683">
        <v>216138863.58000001</v>
      </c>
      <c r="F36" s="1683">
        <v>23009942.68</v>
      </c>
      <c r="G36" s="1678">
        <v>90.4</v>
      </c>
      <c r="H36" s="1715">
        <v>9.6</v>
      </c>
    </row>
    <row r="37" spans="1:8">
      <c r="A37" s="1666">
        <v>18</v>
      </c>
      <c r="B37" s="1667">
        <v>62</v>
      </c>
      <c r="C37" s="1724" t="s">
        <v>506</v>
      </c>
      <c r="D37" s="1682">
        <v>251353811.58000001</v>
      </c>
      <c r="E37" s="1683">
        <v>249761792.90000001</v>
      </c>
      <c r="F37" s="1683">
        <v>1592018.68</v>
      </c>
      <c r="G37" s="1678">
        <v>99.4</v>
      </c>
      <c r="H37" s="1715">
        <v>0.6</v>
      </c>
    </row>
    <row r="38" spans="1:8">
      <c r="A38" s="1666">
        <v>18</v>
      </c>
      <c r="B38" s="1667">
        <v>63</v>
      </c>
      <c r="C38" s="1724" t="s">
        <v>507</v>
      </c>
      <c r="D38" s="1682">
        <v>942021028.21000004</v>
      </c>
      <c r="E38" s="1683">
        <v>894694795.00999999</v>
      </c>
      <c r="F38" s="1683">
        <v>47326233.200000003</v>
      </c>
      <c r="G38" s="1678">
        <v>95</v>
      </c>
      <c r="H38" s="1715">
        <v>5</v>
      </c>
    </row>
    <row r="39" spans="1:8">
      <c r="A39" s="1666">
        <v>18</v>
      </c>
      <c r="B39" s="1667">
        <v>64</v>
      </c>
      <c r="C39" s="1724" t="s">
        <v>508</v>
      </c>
      <c r="D39" s="1682">
        <v>206937864.69</v>
      </c>
      <c r="E39" s="1683">
        <v>197753697.30000001</v>
      </c>
      <c r="F39" s="1683">
        <v>9184167.3900000006</v>
      </c>
      <c r="G39" s="1678">
        <v>95.6</v>
      </c>
      <c r="H39" s="1715">
        <v>4.4000000000000004</v>
      </c>
    </row>
    <row r="40" spans="1:8">
      <c r="A40" s="1666">
        <v>20</v>
      </c>
      <c r="B40" s="1667">
        <v>61</v>
      </c>
      <c r="C40" s="1724" t="s">
        <v>509</v>
      </c>
      <c r="D40" s="1682">
        <v>1290968475.73</v>
      </c>
      <c r="E40" s="1683">
        <v>1256870798.26</v>
      </c>
      <c r="F40" s="1683">
        <v>34097677.469999999</v>
      </c>
      <c r="G40" s="1678">
        <v>97.4</v>
      </c>
      <c r="H40" s="1715">
        <v>2.6</v>
      </c>
    </row>
    <row r="41" spans="1:8">
      <c r="A41" s="1666">
        <v>20</v>
      </c>
      <c r="B41" s="1667">
        <v>62</v>
      </c>
      <c r="C41" s="1724" t="s">
        <v>510</v>
      </c>
      <c r="D41" s="1682">
        <v>281789295.38999999</v>
      </c>
      <c r="E41" s="1683">
        <v>257019653.91</v>
      </c>
      <c r="F41" s="1683">
        <v>24769641.48</v>
      </c>
      <c r="G41" s="1678">
        <v>91.2</v>
      </c>
      <c r="H41" s="1715">
        <v>8.8000000000000007</v>
      </c>
    </row>
    <row r="42" spans="1:8">
      <c r="A42" s="1666">
        <v>20</v>
      </c>
      <c r="B42" s="1667">
        <v>63</v>
      </c>
      <c r="C42" s="1724" t="s">
        <v>511</v>
      </c>
      <c r="D42" s="1682">
        <v>275723595.33999997</v>
      </c>
      <c r="E42" s="1683">
        <v>267038024.00999999</v>
      </c>
      <c r="F42" s="1683">
        <v>8685571.3300000001</v>
      </c>
      <c r="G42" s="1678">
        <v>96.8</v>
      </c>
      <c r="H42" s="1715">
        <v>3.2</v>
      </c>
    </row>
    <row r="43" spans="1:8">
      <c r="A43" s="1666">
        <v>22</v>
      </c>
      <c r="B43" s="1667">
        <v>61</v>
      </c>
      <c r="C43" s="1724" t="s">
        <v>512</v>
      </c>
      <c r="D43" s="1682">
        <v>1854032059.4100001</v>
      </c>
      <c r="E43" s="1683">
        <v>1792375192.04</v>
      </c>
      <c r="F43" s="1683">
        <v>61656867.369999997</v>
      </c>
      <c r="G43" s="1678">
        <v>96.7</v>
      </c>
      <c r="H43" s="1715">
        <v>3.3</v>
      </c>
    </row>
    <row r="44" spans="1:8">
      <c r="A44" s="1666">
        <v>22</v>
      </c>
      <c r="B44" s="1667">
        <v>62</v>
      </c>
      <c r="C44" s="1724" t="s">
        <v>513</v>
      </c>
      <c r="D44" s="1682">
        <v>773339650.44000006</v>
      </c>
      <c r="E44" s="1683">
        <v>769693884.85000002</v>
      </c>
      <c r="F44" s="1683">
        <v>3645765.59</v>
      </c>
      <c r="G44" s="1678">
        <v>99.5</v>
      </c>
      <c r="H44" s="1715">
        <v>0.5</v>
      </c>
    </row>
    <row r="45" spans="1:8">
      <c r="A45" s="1666">
        <v>22</v>
      </c>
      <c r="B45" s="1667">
        <v>63</v>
      </c>
      <c r="C45" s="1724" t="s">
        <v>514</v>
      </c>
      <c r="D45" s="1682">
        <v>326033024.33999997</v>
      </c>
      <c r="E45" s="1683">
        <v>323369076.72000003</v>
      </c>
      <c r="F45" s="1683">
        <v>2663947.62</v>
      </c>
      <c r="G45" s="1678">
        <v>99.2</v>
      </c>
      <c r="H45" s="1715">
        <v>0.8</v>
      </c>
    </row>
    <row r="46" spans="1:8">
      <c r="A46" s="1666">
        <v>22</v>
      </c>
      <c r="B46" s="1667">
        <v>64</v>
      </c>
      <c r="C46" s="1724" t="s">
        <v>515</v>
      </c>
      <c r="D46" s="1682">
        <v>128310403.3</v>
      </c>
      <c r="E46" s="1683">
        <v>126348043.55</v>
      </c>
      <c r="F46" s="1683">
        <v>1962359.75</v>
      </c>
      <c r="G46" s="1678">
        <v>98.5</v>
      </c>
      <c r="H46" s="1715">
        <v>1.5</v>
      </c>
    </row>
    <row r="47" spans="1:8">
      <c r="A47" s="1666">
        <v>24</v>
      </c>
      <c r="B47" s="1667">
        <v>61</v>
      </c>
      <c r="C47" s="1724" t="s">
        <v>516</v>
      </c>
      <c r="D47" s="1682">
        <v>741561884.99000001</v>
      </c>
      <c r="E47" s="1683">
        <v>731360901.08000004</v>
      </c>
      <c r="F47" s="1683">
        <v>10200983.91</v>
      </c>
      <c r="G47" s="1678">
        <v>98.6</v>
      </c>
      <c r="H47" s="1715">
        <v>1.4</v>
      </c>
    </row>
    <row r="48" spans="1:8">
      <c r="A48" s="1666">
        <v>24</v>
      </c>
      <c r="B48" s="1667">
        <v>62</v>
      </c>
      <c r="C48" s="1724" t="s">
        <v>517</v>
      </c>
      <c r="D48" s="1682">
        <v>451871647.69999999</v>
      </c>
      <c r="E48" s="1683">
        <v>442328773.07999998</v>
      </c>
      <c r="F48" s="1683">
        <v>9542874.6199999992</v>
      </c>
      <c r="G48" s="1678">
        <v>97.9</v>
      </c>
      <c r="H48" s="1715">
        <v>2.1</v>
      </c>
    </row>
    <row r="49" spans="1:8">
      <c r="A49" s="1666">
        <v>24</v>
      </c>
      <c r="B49" s="1667">
        <v>63</v>
      </c>
      <c r="C49" s="1724" t="s">
        <v>518</v>
      </c>
      <c r="D49" s="1682">
        <v>368246099.44999999</v>
      </c>
      <c r="E49" s="1683">
        <v>362164534.31</v>
      </c>
      <c r="F49" s="1683">
        <v>6081565.1399999997</v>
      </c>
      <c r="G49" s="1678">
        <v>98.3</v>
      </c>
      <c r="H49" s="1715">
        <v>1.7</v>
      </c>
    </row>
    <row r="50" spans="1:8">
      <c r="A50" s="1666">
        <v>24</v>
      </c>
      <c r="B50" s="1667">
        <v>64</v>
      </c>
      <c r="C50" s="1724" t="s">
        <v>519</v>
      </c>
      <c r="D50" s="1682">
        <v>847014430.58000004</v>
      </c>
      <c r="E50" s="1683">
        <v>829798058.16999996</v>
      </c>
      <c r="F50" s="1683">
        <v>17216372.41</v>
      </c>
      <c r="G50" s="1678">
        <v>98</v>
      </c>
      <c r="H50" s="1715">
        <v>2</v>
      </c>
    </row>
    <row r="51" spans="1:8">
      <c r="A51" s="1666">
        <v>24</v>
      </c>
      <c r="B51" s="1667">
        <v>65</v>
      </c>
      <c r="C51" s="1724" t="s">
        <v>520</v>
      </c>
      <c r="D51" s="1682">
        <v>363579586.25</v>
      </c>
      <c r="E51" s="1683">
        <v>361445142.82999998</v>
      </c>
      <c r="F51" s="1683">
        <v>2134443.42</v>
      </c>
      <c r="G51" s="1678">
        <v>99.4</v>
      </c>
      <c r="H51" s="1715">
        <v>0.6</v>
      </c>
    </row>
    <row r="52" spans="1:8">
      <c r="A52" s="1666">
        <v>24</v>
      </c>
      <c r="B52" s="1667">
        <v>66</v>
      </c>
      <c r="C52" s="1724" t="s">
        <v>521</v>
      </c>
      <c r="D52" s="1682">
        <v>599024863.52999997</v>
      </c>
      <c r="E52" s="1683">
        <v>551153177.96000004</v>
      </c>
      <c r="F52" s="1683">
        <v>47871685.57</v>
      </c>
      <c r="G52" s="1678">
        <v>92</v>
      </c>
      <c r="H52" s="1715">
        <v>8</v>
      </c>
    </row>
    <row r="53" spans="1:8">
      <c r="A53" s="1666">
        <v>24</v>
      </c>
      <c r="B53" s="1667">
        <v>67</v>
      </c>
      <c r="C53" s="1724" t="s">
        <v>522</v>
      </c>
      <c r="D53" s="1682">
        <v>284338042.02999997</v>
      </c>
      <c r="E53" s="1683">
        <v>278498808.08999997</v>
      </c>
      <c r="F53" s="1683">
        <v>5839233.9400000004</v>
      </c>
      <c r="G53" s="1678">
        <v>97.9</v>
      </c>
      <c r="H53" s="1715">
        <v>2.1</v>
      </c>
    </row>
    <row r="54" spans="1:8">
      <c r="A54" s="1666">
        <v>24</v>
      </c>
      <c r="B54" s="1667">
        <v>68</v>
      </c>
      <c r="C54" s="1724" t="s">
        <v>523</v>
      </c>
      <c r="D54" s="1682">
        <v>277407849.95999998</v>
      </c>
      <c r="E54" s="1683">
        <v>271371615.38</v>
      </c>
      <c r="F54" s="1683">
        <v>6036234.5800000001</v>
      </c>
      <c r="G54" s="1678">
        <v>97.8</v>
      </c>
      <c r="H54" s="1715">
        <v>2.2000000000000002</v>
      </c>
    </row>
    <row r="55" spans="1:8">
      <c r="A55" s="1666">
        <v>24</v>
      </c>
      <c r="B55" s="1667">
        <v>69</v>
      </c>
      <c r="C55" s="1724" t="s">
        <v>524</v>
      </c>
      <c r="D55" s="1682">
        <v>1103510367.2</v>
      </c>
      <c r="E55" s="1683">
        <v>1074001326.1099999</v>
      </c>
      <c r="F55" s="1683">
        <v>29509041.09</v>
      </c>
      <c r="G55" s="1678">
        <v>97.3</v>
      </c>
      <c r="H55" s="1715">
        <v>2.7</v>
      </c>
    </row>
    <row r="56" spans="1:8">
      <c r="A56" s="1666">
        <v>24</v>
      </c>
      <c r="B56" s="1667">
        <v>70</v>
      </c>
      <c r="C56" s="1724" t="s">
        <v>525</v>
      </c>
      <c r="D56" s="1682">
        <v>243741236.94</v>
      </c>
      <c r="E56" s="1683">
        <v>227778441.12</v>
      </c>
      <c r="F56" s="1683">
        <v>15962795.82</v>
      </c>
      <c r="G56" s="1678">
        <v>93.5</v>
      </c>
      <c r="H56" s="1715">
        <v>6.5</v>
      </c>
    </row>
    <row r="57" spans="1:8">
      <c r="A57" s="1666">
        <v>24</v>
      </c>
      <c r="B57" s="1667">
        <v>71</v>
      </c>
      <c r="C57" s="1724" t="s">
        <v>526</v>
      </c>
      <c r="D57" s="1682">
        <v>144836812.02000001</v>
      </c>
      <c r="E57" s="1683">
        <v>144354875.63999999</v>
      </c>
      <c r="F57" s="1683">
        <v>481936.38</v>
      </c>
      <c r="G57" s="1678">
        <v>99.7</v>
      </c>
      <c r="H57" s="1715">
        <v>0.3</v>
      </c>
    </row>
    <row r="58" spans="1:8">
      <c r="A58" s="1666">
        <v>24</v>
      </c>
      <c r="B58" s="1667">
        <v>72</v>
      </c>
      <c r="C58" s="1724" t="s">
        <v>527</v>
      </c>
      <c r="D58" s="1682">
        <v>419046778.67000002</v>
      </c>
      <c r="E58" s="1683">
        <v>412545605.80000001</v>
      </c>
      <c r="F58" s="1683">
        <v>6501172.8700000001</v>
      </c>
      <c r="G58" s="1678">
        <v>98.4</v>
      </c>
      <c r="H58" s="1715">
        <v>1.6</v>
      </c>
    </row>
    <row r="59" spans="1:8">
      <c r="A59" s="1666">
        <v>24</v>
      </c>
      <c r="B59" s="1667">
        <v>73</v>
      </c>
      <c r="C59" s="1724" t="s">
        <v>528</v>
      </c>
      <c r="D59" s="1682">
        <v>507596315.29000002</v>
      </c>
      <c r="E59" s="1683">
        <v>492621568.18000001</v>
      </c>
      <c r="F59" s="1683">
        <v>14974747.109999999</v>
      </c>
      <c r="G59" s="1678">
        <v>97</v>
      </c>
      <c r="H59" s="1715">
        <v>3</v>
      </c>
    </row>
    <row r="60" spans="1:8">
      <c r="A60" s="1666">
        <v>24</v>
      </c>
      <c r="B60" s="1667">
        <v>74</v>
      </c>
      <c r="C60" s="1724" t="s">
        <v>529</v>
      </c>
      <c r="D60" s="1682">
        <v>189273184.5</v>
      </c>
      <c r="E60" s="1683">
        <v>179617861.52000001</v>
      </c>
      <c r="F60" s="1683">
        <v>9655322.9800000004</v>
      </c>
      <c r="G60" s="1678">
        <v>94.9</v>
      </c>
      <c r="H60" s="1715">
        <v>5.0999999999999996</v>
      </c>
    </row>
    <row r="61" spans="1:8">
      <c r="A61" s="1666">
        <v>24</v>
      </c>
      <c r="B61" s="1667">
        <v>75</v>
      </c>
      <c r="C61" s="1724" t="s">
        <v>530</v>
      </c>
      <c r="D61" s="1682">
        <v>545969469.26999998</v>
      </c>
      <c r="E61" s="1683">
        <v>531306906.50999999</v>
      </c>
      <c r="F61" s="1683">
        <v>14662562.76</v>
      </c>
      <c r="G61" s="1678">
        <v>97.3</v>
      </c>
      <c r="H61" s="1715">
        <v>2.7</v>
      </c>
    </row>
    <row r="62" spans="1:8">
      <c r="A62" s="1666">
        <v>24</v>
      </c>
      <c r="B62" s="1667">
        <v>76</v>
      </c>
      <c r="C62" s="1724" t="s">
        <v>531</v>
      </c>
      <c r="D62" s="1682">
        <v>124105802.25</v>
      </c>
      <c r="E62" s="1683">
        <v>119046399.22</v>
      </c>
      <c r="F62" s="1683">
        <v>5059403.03</v>
      </c>
      <c r="G62" s="1678">
        <v>95.9</v>
      </c>
      <c r="H62" s="1715">
        <v>4.0999999999999996</v>
      </c>
    </row>
    <row r="63" spans="1:8">
      <c r="A63" s="1666">
        <v>24</v>
      </c>
      <c r="B63" s="1667">
        <v>77</v>
      </c>
      <c r="C63" s="1724" t="s">
        <v>532</v>
      </c>
      <c r="D63" s="1682">
        <v>483413364.20999998</v>
      </c>
      <c r="E63" s="1683">
        <v>479798206.00999999</v>
      </c>
      <c r="F63" s="1683">
        <v>3615158.2</v>
      </c>
      <c r="G63" s="1678">
        <v>99.3</v>
      </c>
      <c r="H63" s="1715">
        <v>0.7</v>
      </c>
    </row>
    <row r="64" spans="1:8">
      <c r="A64" s="1666">
        <v>24</v>
      </c>
      <c r="B64" s="1667">
        <v>78</v>
      </c>
      <c r="C64" s="1724" t="s">
        <v>533</v>
      </c>
      <c r="D64" s="1682">
        <v>483442223.25</v>
      </c>
      <c r="E64" s="1683">
        <v>468744934.14999998</v>
      </c>
      <c r="F64" s="1683">
        <v>14697289.1</v>
      </c>
      <c r="G64" s="1678">
        <v>97</v>
      </c>
      <c r="H64" s="1715">
        <v>3</v>
      </c>
    </row>
    <row r="65" spans="1:8">
      <c r="A65" s="1666">
        <v>24</v>
      </c>
      <c r="B65" s="1667">
        <v>79</v>
      </c>
      <c r="C65" s="1724" t="s">
        <v>534</v>
      </c>
      <c r="D65" s="1682">
        <v>294581868.73000002</v>
      </c>
      <c r="E65" s="1683">
        <v>271417228.13</v>
      </c>
      <c r="F65" s="1683">
        <v>23164640.600000001</v>
      </c>
      <c r="G65" s="1678">
        <v>92.1</v>
      </c>
      <c r="H65" s="1715">
        <v>7.9</v>
      </c>
    </row>
    <row r="66" spans="1:8">
      <c r="A66" s="1666">
        <v>26</v>
      </c>
      <c r="B66" s="1667">
        <v>61</v>
      </c>
      <c r="C66" s="1724" t="s">
        <v>535</v>
      </c>
      <c r="D66" s="1682">
        <v>800491910.54999995</v>
      </c>
      <c r="E66" s="1683">
        <v>771091674.65999997</v>
      </c>
      <c r="F66" s="1683">
        <v>29400235.890000001</v>
      </c>
      <c r="G66" s="1678">
        <v>96.3</v>
      </c>
      <c r="H66" s="1715">
        <v>3.7</v>
      </c>
    </row>
    <row r="67" spans="1:8">
      <c r="A67" s="1666">
        <v>28</v>
      </c>
      <c r="B67" s="1667">
        <v>61</v>
      </c>
      <c r="C67" s="1724" t="s">
        <v>536</v>
      </c>
      <c r="D67" s="1682">
        <v>367000825.27999997</v>
      </c>
      <c r="E67" s="1683">
        <v>366262484.13</v>
      </c>
      <c r="F67" s="1683">
        <v>738341.15</v>
      </c>
      <c r="G67" s="1678">
        <v>99.8</v>
      </c>
      <c r="H67" s="1715">
        <v>0.2</v>
      </c>
    </row>
    <row r="68" spans="1:8">
      <c r="A68" s="1666">
        <v>28</v>
      </c>
      <c r="B68" s="1667">
        <v>62</v>
      </c>
      <c r="C68" s="1724" t="s">
        <v>537</v>
      </c>
      <c r="D68" s="1682">
        <v>804041772.45000005</v>
      </c>
      <c r="E68" s="1683">
        <v>779286914.75999999</v>
      </c>
      <c r="F68" s="1683">
        <v>24754857.690000001</v>
      </c>
      <c r="G68" s="1678">
        <v>96.9</v>
      </c>
      <c r="H68" s="1715">
        <v>3.1</v>
      </c>
    </row>
    <row r="69" spans="1:8">
      <c r="A69" s="1666">
        <v>30</v>
      </c>
      <c r="B69" s="1667">
        <v>61</v>
      </c>
      <c r="C69" s="1724" t="s">
        <v>538</v>
      </c>
      <c r="D69" s="1682">
        <v>405791927.39999998</v>
      </c>
      <c r="E69" s="1683">
        <v>404612240.41000003</v>
      </c>
      <c r="F69" s="1683">
        <v>1179686.99</v>
      </c>
      <c r="G69" s="1678">
        <v>99.7</v>
      </c>
      <c r="H69" s="1715">
        <v>0.3</v>
      </c>
    </row>
    <row r="70" spans="1:8">
      <c r="A70" s="1666">
        <v>30</v>
      </c>
      <c r="B70" s="1667">
        <v>62</v>
      </c>
      <c r="C70" s="1724" t="s">
        <v>539</v>
      </c>
      <c r="D70" s="1682">
        <v>345016851.26999998</v>
      </c>
      <c r="E70" s="1683">
        <v>318650136.56</v>
      </c>
      <c r="F70" s="1683">
        <v>26366714.710000001</v>
      </c>
      <c r="G70" s="1678">
        <v>92.4</v>
      </c>
      <c r="H70" s="1715">
        <v>7.6</v>
      </c>
    </row>
    <row r="71" spans="1:8">
      <c r="A71" s="1666">
        <v>30</v>
      </c>
      <c r="B71" s="1667">
        <v>63</v>
      </c>
      <c r="C71" s="1724" t="s">
        <v>540</v>
      </c>
      <c r="D71" s="1682">
        <v>294423928.02999997</v>
      </c>
      <c r="E71" s="1683">
        <v>286492743.81</v>
      </c>
      <c r="F71" s="1683">
        <v>7931184.2199999997</v>
      </c>
      <c r="G71" s="1678">
        <v>97.3</v>
      </c>
      <c r="H71" s="1715">
        <v>2.7</v>
      </c>
    </row>
    <row r="72" spans="1:8">
      <c r="A72" s="1666">
        <v>30</v>
      </c>
      <c r="B72" s="1667">
        <v>64</v>
      </c>
      <c r="C72" s="1724" t="s">
        <v>541</v>
      </c>
      <c r="D72" s="1682">
        <v>2129648244.3099999</v>
      </c>
      <c r="E72" s="1683">
        <v>2017433848.9300001</v>
      </c>
      <c r="F72" s="1683">
        <v>112214395.38</v>
      </c>
      <c r="G72" s="1678">
        <v>94.7</v>
      </c>
      <c r="H72" s="1715">
        <v>5.3</v>
      </c>
    </row>
    <row r="73" spans="1:8">
      <c r="A73" s="1666">
        <v>32</v>
      </c>
      <c r="B73" s="1667">
        <v>61</v>
      </c>
      <c r="C73" s="1724" t="s">
        <v>542</v>
      </c>
      <c r="D73" s="1682">
        <v>404706177.66000003</v>
      </c>
      <c r="E73" s="1683">
        <v>393721336.19999999</v>
      </c>
      <c r="F73" s="1683">
        <v>10984841.460000001</v>
      </c>
      <c r="G73" s="1678">
        <v>97.3</v>
      </c>
      <c r="H73" s="1715">
        <v>2.7</v>
      </c>
    </row>
    <row r="74" spans="1:8">
      <c r="A74" s="1666">
        <v>32</v>
      </c>
      <c r="B74" s="1667">
        <v>62</v>
      </c>
      <c r="C74" s="1724" t="s">
        <v>543</v>
      </c>
      <c r="D74" s="1682">
        <v>1340719999.8099999</v>
      </c>
      <c r="E74" s="1683">
        <v>1307094249.1800001</v>
      </c>
      <c r="F74" s="1683">
        <v>33625750.630000003</v>
      </c>
      <c r="G74" s="1678">
        <v>97.5</v>
      </c>
      <c r="H74" s="1715">
        <v>2.5</v>
      </c>
    </row>
    <row r="75" spans="1:8">
      <c r="A75" s="2505">
        <v>32</v>
      </c>
      <c r="B75" s="2506">
        <v>63</v>
      </c>
      <c r="C75" s="1725" t="s">
        <v>544</v>
      </c>
      <c r="D75" s="1684">
        <v>110101014.08</v>
      </c>
      <c r="E75" s="1685">
        <v>109642205.68000001</v>
      </c>
      <c r="F75" s="1685">
        <v>458808.4</v>
      </c>
      <c r="G75" s="1679">
        <v>99.6</v>
      </c>
      <c r="H75" s="1717">
        <v>0.4</v>
      </c>
    </row>
    <row r="77" spans="1:8">
      <c r="A77" s="724" t="s">
        <v>911</v>
      </c>
    </row>
  </sheetData>
  <mergeCells count="11">
    <mergeCell ref="A1:H1"/>
    <mergeCell ref="G3:H5"/>
    <mergeCell ref="E4:E6"/>
    <mergeCell ref="F4:F6"/>
    <mergeCell ref="D7:F7"/>
    <mergeCell ref="G7:H7"/>
    <mergeCell ref="A3:A7"/>
    <mergeCell ref="B3:B7"/>
    <mergeCell ref="C3:C7"/>
    <mergeCell ref="D3:D6"/>
    <mergeCell ref="E3:F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5544-5CF7-44F8-B415-4FCD9C381E1E}">
  <dimension ref="A1:J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" style="441" customWidth="1"/>
    <col min="2" max="2" width="15.5546875" style="441" customWidth="1"/>
    <col min="3" max="4" width="11.77734375" style="441" bestFit="1" customWidth="1"/>
    <col min="5" max="5" width="9.77734375" style="441" customWidth="1"/>
    <col min="6" max="6" width="11.77734375" style="441" bestFit="1" customWidth="1"/>
    <col min="7" max="7" width="7.21875" style="441" bestFit="1" customWidth="1"/>
    <col min="8" max="8" width="7.44140625" style="441" bestFit="1" customWidth="1"/>
    <col min="9" max="9" width="11.77734375" style="441" customWidth="1"/>
    <col min="10" max="16384" width="9.21875" style="441"/>
  </cols>
  <sheetData>
    <row r="1" spans="1:10" ht="35.549999999999997" customHeight="1">
      <c r="A1" s="2203" t="s">
        <v>1019</v>
      </c>
      <c r="B1" s="2203"/>
      <c r="C1" s="2203"/>
      <c r="D1" s="2203"/>
      <c r="E1" s="2203"/>
      <c r="F1" s="2203"/>
      <c r="G1" s="2203"/>
      <c r="H1" s="2203"/>
      <c r="I1" s="2203"/>
      <c r="J1" s="443"/>
    </row>
    <row r="3" spans="1:10" ht="14.4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  <c r="J3" s="443"/>
    </row>
    <row r="4" spans="1:10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  <c r="J4" s="443"/>
    </row>
    <row r="5" spans="1:10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  <c r="J5" s="443"/>
    </row>
    <row r="6" spans="1:10" ht="14.4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  <c r="J6" s="443"/>
    </row>
    <row r="7" spans="1:10">
      <c r="A7" s="1041"/>
      <c r="B7" s="1042" t="s">
        <v>129</v>
      </c>
      <c r="C7" s="1038">
        <v>5535361585.9099998</v>
      </c>
      <c r="D7" s="1036">
        <v>5565282905.6999998</v>
      </c>
      <c r="E7" s="1036">
        <v>90826282.409999996</v>
      </c>
      <c r="F7" s="1036">
        <v>5474456623.29</v>
      </c>
      <c r="G7" s="1037">
        <v>100</v>
      </c>
      <c r="H7" s="1037">
        <v>100.5</v>
      </c>
      <c r="I7" s="1045">
        <v>454.3</v>
      </c>
      <c r="J7" s="448"/>
    </row>
    <row r="8" spans="1:10">
      <c r="A8" s="1032" t="s">
        <v>96</v>
      </c>
      <c r="B8" s="1043" t="s">
        <v>97</v>
      </c>
      <c r="C8" s="1039">
        <v>368812438.77999997</v>
      </c>
      <c r="D8" s="1030">
        <v>337852791.39999998</v>
      </c>
      <c r="E8" s="1030">
        <v>20000</v>
      </c>
      <c r="F8" s="1030">
        <v>337832791.39999998</v>
      </c>
      <c r="G8" s="1031">
        <v>6.1</v>
      </c>
      <c r="H8" s="1031">
        <v>91.6</v>
      </c>
      <c r="I8" s="1046">
        <v>360.7</v>
      </c>
      <c r="J8" s="448"/>
    </row>
    <row r="9" spans="1:10">
      <c r="A9" s="1032" t="s">
        <v>98</v>
      </c>
      <c r="B9" s="1043" t="s">
        <v>99</v>
      </c>
      <c r="C9" s="1039">
        <v>429229360.87</v>
      </c>
      <c r="D9" s="1030">
        <v>434519186.57999998</v>
      </c>
      <c r="E9" s="1030">
        <v>2798326.85</v>
      </c>
      <c r="F9" s="1030">
        <v>431720859.73000002</v>
      </c>
      <c r="G9" s="1031">
        <v>7.8</v>
      </c>
      <c r="H9" s="1031">
        <v>101.2</v>
      </c>
      <c r="I9" s="1046">
        <v>616.4</v>
      </c>
      <c r="J9" s="448"/>
    </row>
    <row r="10" spans="1:10">
      <c r="A10" s="1032" t="s">
        <v>100</v>
      </c>
      <c r="B10" s="1043" t="s">
        <v>101</v>
      </c>
      <c r="C10" s="1039">
        <v>263966243.38</v>
      </c>
      <c r="D10" s="1030">
        <v>254176214.63999999</v>
      </c>
      <c r="E10" s="1030">
        <v>1311577.42</v>
      </c>
      <c r="F10" s="1030">
        <v>252864637.22</v>
      </c>
      <c r="G10" s="1031">
        <v>4.5999999999999996</v>
      </c>
      <c r="H10" s="1031">
        <v>96.3</v>
      </c>
      <c r="I10" s="1046">
        <v>512.29999999999995</v>
      </c>
      <c r="J10" s="448"/>
    </row>
    <row r="11" spans="1:10">
      <c r="A11" s="1032" t="s">
        <v>102</v>
      </c>
      <c r="B11" s="1043" t="s">
        <v>103</v>
      </c>
      <c r="C11" s="1039">
        <v>151375096.94999999</v>
      </c>
      <c r="D11" s="1030">
        <v>153295327</v>
      </c>
      <c r="E11" s="1030">
        <v>0</v>
      </c>
      <c r="F11" s="1030">
        <v>153295327</v>
      </c>
      <c r="G11" s="1031">
        <v>2.8</v>
      </c>
      <c r="H11" s="1031">
        <v>101.3</v>
      </c>
      <c r="I11" s="1046">
        <v>604.6</v>
      </c>
      <c r="J11" s="448"/>
    </row>
    <row r="12" spans="1:10">
      <c r="A12" s="1032" t="s">
        <v>104</v>
      </c>
      <c r="B12" s="1043" t="s">
        <v>105</v>
      </c>
      <c r="C12" s="1039">
        <v>366454520.20999998</v>
      </c>
      <c r="D12" s="1030">
        <v>370541490.25999999</v>
      </c>
      <c r="E12" s="1030">
        <v>103890.11</v>
      </c>
      <c r="F12" s="1030">
        <v>370437600.14999998</v>
      </c>
      <c r="G12" s="1031">
        <v>6.7</v>
      </c>
      <c r="H12" s="1031">
        <v>101.1</v>
      </c>
      <c r="I12" s="1046">
        <v>489.6</v>
      </c>
      <c r="J12" s="448"/>
    </row>
    <row r="13" spans="1:10">
      <c r="A13" s="1032" t="s">
        <v>106</v>
      </c>
      <c r="B13" s="1043" t="s">
        <v>107</v>
      </c>
      <c r="C13" s="1039">
        <v>315924650.86000001</v>
      </c>
      <c r="D13" s="1030">
        <v>319705944.75</v>
      </c>
      <c r="E13" s="1030">
        <v>0</v>
      </c>
      <c r="F13" s="1030">
        <v>319705944.75</v>
      </c>
      <c r="G13" s="1031">
        <v>5.7</v>
      </c>
      <c r="H13" s="1031">
        <v>101.2</v>
      </c>
      <c r="I13" s="1046">
        <v>322.60000000000002</v>
      </c>
      <c r="J13" s="448"/>
    </row>
    <row r="14" spans="1:10">
      <c r="A14" s="1032" t="s">
        <v>108</v>
      </c>
      <c r="B14" s="1043" t="s">
        <v>109</v>
      </c>
      <c r="C14" s="1039">
        <v>746723853.78999996</v>
      </c>
      <c r="D14" s="1030">
        <v>725458802.29999995</v>
      </c>
      <c r="E14" s="1030">
        <v>17500</v>
      </c>
      <c r="F14" s="1030">
        <v>725441302.29999995</v>
      </c>
      <c r="G14" s="1031">
        <v>13</v>
      </c>
      <c r="H14" s="1031">
        <v>97.2</v>
      </c>
      <c r="I14" s="1046">
        <v>316.8</v>
      </c>
      <c r="J14" s="448"/>
    </row>
    <row r="15" spans="1:10">
      <c r="A15" s="1032" t="s">
        <v>110</v>
      </c>
      <c r="B15" s="1043" t="s">
        <v>111</v>
      </c>
      <c r="C15" s="1039">
        <v>50072716.75</v>
      </c>
      <c r="D15" s="1030">
        <v>52269291.469999999</v>
      </c>
      <c r="E15" s="1030">
        <v>0</v>
      </c>
      <c r="F15" s="1030">
        <v>52269291.469999999</v>
      </c>
      <c r="G15" s="1031">
        <v>0.9</v>
      </c>
      <c r="H15" s="1031">
        <v>104.4</v>
      </c>
      <c r="I15" s="1046">
        <v>416.5</v>
      </c>
      <c r="J15" s="448"/>
    </row>
    <row r="16" spans="1:10">
      <c r="A16" s="1032" t="s">
        <v>112</v>
      </c>
      <c r="B16" s="1043" t="s">
        <v>113</v>
      </c>
      <c r="C16" s="1039">
        <v>195525606.97</v>
      </c>
      <c r="D16" s="1030">
        <v>197479306.06</v>
      </c>
      <c r="E16" s="1030">
        <v>4359128.6100000003</v>
      </c>
      <c r="F16" s="1030">
        <v>193120177.44999999</v>
      </c>
      <c r="G16" s="1031">
        <v>3.5</v>
      </c>
      <c r="H16" s="1031">
        <v>101</v>
      </c>
      <c r="I16" s="1046">
        <v>580.1</v>
      </c>
      <c r="J16" s="448"/>
    </row>
    <row r="17" spans="1:10">
      <c r="A17" s="1032" t="s">
        <v>114</v>
      </c>
      <c r="B17" s="1043" t="s">
        <v>115</v>
      </c>
      <c r="C17" s="1039">
        <v>236807383.97999999</v>
      </c>
      <c r="D17" s="1030">
        <v>230653943.05000001</v>
      </c>
      <c r="E17" s="1030">
        <v>0</v>
      </c>
      <c r="F17" s="1030">
        <v>230653943.05000001</v>
      </c>
      <c r="G17" s="1031">
        <v>4.0999999999999996</v>
      </c>
      <c r="H17" s="1031">
        <v>97.4</v>
      </c>
      <c r="I17" s="1046">
        <v>552.1</v>
      </c>
      <c r="J17" s="448"/>
    </row>
    <row r="18" spans="1:10">
      <c r="A18" s="1032" t="s">
        <v>116</v>
      </c>
      <c r="B18" s="1043" t="s">
        <v>117</v>
      </c>
      <c r="C18" s="1039">
        <v>408579831.67000002</v>
      </c>
      <c r="D18" s="1030">
        <v>496391968.47000003</v>
      </c>
      <c r="E18" s="1030">
        <v>55948193.890000001</v>
      </c>
      <c r="F18" s="1030">
        <v>440443774.57999998</v>
      </c>
      <c r="G18" s="1031">
        <v>8.9</v>
      </c>
      <c r="H18" s="1031">
        <v>121.5</v>
      </c>
      <c r="I18" s="1046">
        <v>587.5</v>
      </c>
      <c r="J18" s="448"/>
    </row>
    <row r="19" spans="1:10">
      <c r="A19" s="1032" t="s">
        <v>118</v>
      </c>
      <c r="B19" s="1043" t="s">
        <v>119</v>
      </c>
      <c r="C19" s="1039">
        <v>1138753558.48</v>
      </c>
      <c r="D19" s="1030">
        <v>1115616914.8599999</v>
      </c>
      <c r="E19" s="1030">
        <v>5551464.4500000002</v>
      </c>
      <c r="F19" s="1030">
        <v>1110065450.4100001</v>
      </c>
      <c r="G19" s="1031">
        <v>20</v>
      </c>
      <c r="H19" s="1031">
        <v>98</v>
      </c>
      <c r="I19" s="1046">
        <v>474.8</v>
      </c>
      <c r="J19" s="448"/>
    </row>
    <row r="20" spans="1:10">
      <c r="A20" s="1032" t="s">
        <v>120</v>
      </c>
      <c r="B20" s="1043" t="s">
        <v>121</v>
      </c>
      <c r="C20" s="1039">
        <v>138345637.19999999</v>
      </c>
      <c r="D20" s="1030">
        <v>136105624.68000001</v>
      </c>
      <c r="E20" s="1030">
        <v>0</v>
      </c>
      <c r="F20" s="1030">
        <v>136105624.68000001</v>
      </c>
      <c r="G20" s="1031">
        <v>2.4</v>
      </c>
      <c r="H20" s="1031">
        <v>98.4</v>
      </c>
      <c r="I20" s="1046">
        <v>753.9</v>
      </c>
      <c r="J20" s="448"/>
    </row>
    <row r="21" spans="1:10">
      <c r="A21" s="1032" t="s">
        <v>122</v>
      </c>
      <c r="B21" s="1043" t="s">
        <v>123</v>
      </c>
      <c r="C21" s="1039">
        <v>165617781.84999999</v>
      </c>
      <c r="D21" s="1030">
        <v>165429829.02000001</v>
      </c>
      <c r="E21" s="1030">
        <v>0</v>
      </c>
      <c r="F21" s="1030">
        <v>165429829.02000001</v>
      </c>
      <c r="G21" s="1031">
        <v>3</v>
      </c>
      <c r="H21" s="1031">
        <v>99.9</v>
      </c>
      <c r="I21" s="1046">
        <v>594.1</v>
      </c>
      <c r="J21" s="448"/>
    </row>
    <row r="22" spans="1:10">
      <c r="A22" s="1032" t="s">
        <v>124</v>
      </c>
      <c r="B22" s="1043" t="s">
        <v>125</v>
      </c>
      <c r="C22" s="1039">
        <v>344463751.93000001</v>
      </c>
      <c r="D22" s="1030">
        <v>342739625.05000001</v>
      </c>
      <c r="E22" s="1030">
        <v>181420</v>
      </c>
      <c r="F22" s="1030">
        <v>342558205.05000001</v>
      </c>
      <c r="G22" s="1031">
        <v>6.2</v>
      </c>
      <c r="H22" s="1031">
        <v>99.5</v>
      </c>
      <c r="I22" s="1046">
        <v>454.7</v>
      </c>
      <c r="J22" s="448"/>
    </row>
    <row r="23" spans="1:10">
      <c r="A23" s="1033" t="s">
        <v>126</v>
      </c>
      <c r="B23" s="1044" t="s">
        <v>127</v>
      </c>
      <c r="C23" s="1040">
        <v>214709152.24000001</v>
      </c>
      <c r="D23" s="1034">
        <v>233046646.11000001</v>
      </c>
      <c r="E23" s="1034">
        <v>20534781.079999998</v>
      </c>
      <c r="F23" s="1034">
        <v>212511865.03</v>
      </c>
      <c r="G23" s="1035">
        <v>4.2</v>
      </c>
      <c r="H23" s="1035">
        <v>108.5</v>
      </c>
      <c r="I23" s="1047">
        <v>439.3</v>
      </c>
      <c r="J23" s="448"/>
    </row>
    <row r="25" spans="1:10" ht="14.4">
      <c r="A25" s="1048" t="s">
        <v>128</v>
      </c>
      <c r="B25" s="1049" t="s">
        <v>912</v>
      </c>
      <c r="C25" s="295"/>
      <c r="D25" s="295"/>
      <c r="E25" s="295"/>
      <c r="F25" s="295"/>
      <c r="G25" s="295"/>
      <c r="H25" s="295"/>
      <c r="I25" s="295"/>
      <c r="J25" s="443"/>
    </row>
    <row r="26" spans="1:10" ht="14.4">
      <c r="A26" s="1048"/>
      <c r="B26" s="1049" t="s">
        <v>910</v>
      </c>
      <c r="C26" s="295"/>
      <c r="D26" s="295"/>
      <c r="E26" s="295"/>
      <c r="F26" s="295"/>
      <c r="G26" s="295"/>
      <c r="H26" s="295"/>
      <c r="I26" s="295"/>
      <c r="J26" s="443"/>
    </row>
  </sheetData>
  <mergeCells count="8">
    <mergeCell ref="A1:I1"/>
    <mergeCell ref="I3:I4"/>
    <mergeCell ref="C5:F5"/>
    <mergeCell ref="E3:F3"/>
    <mergeCell ref="A3:A5"/>
    <mergeCell ref="B3:B5"/>
    <mergeCell ref="G5:H5"/>
    <mergeCell ref="G3:G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DD3D-8514-4CC3-8EFD-B4C90EC3F709}">
  <dimension ref="A1:J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5.77734375" style="441" customWidth="1"/>
    <col min="3" max="4" width="11.77734375" style="441" bestFit="1" customWidth="1"/>
    <col min="5" max="5" width="10.77734375" style="441" bestFit="1" customWidth="1"/>
    <col min="6" max="6" width="11.77734375" style="441" bestFit="1" customWidth="1"/>
    <col min="7" max="7" width="7.21875" style="441" bestFit="1" customWidth="1"/>
    <col min="8" max="8" width="7.44140625" style="441" bestFit="1" customWidth="1"/>
    <col min="9" max="9" width="11.77734375" style="441" customWidth="1"/>
    <col min="10" max="16384" width="9.21875" style="441"/>
  </cols>
  <sheetData>
    <row r="1" spans="1:10" ht="37.200000000000003" customHeight="1">
      <c r="A1" s="2203" t="s">
        <v>1020</v>
      </c>
      <c r="B1" s="2203"/>
      <c r="C1" s="2203"/>
      <c r="D1" s="2203"/>
      <c r="E1" s="2203"/>
      <c r="F1" s="2203"/>
      <c r="G1" s="2203"/>
      <c r="H1" s="2203"/>
      <c r="I1" s="2203"/>
      <c r="J1" s="443"/>
    </row>
    <row r="3" spans="1:10" ht="14.4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  <c r="J3" s="443"/>
    </row>
    <row r="4" spans="1:10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  <c r="J4" s="443"/>
    </row>
    <row r="5" spans="1:10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  <c r="J5" s="443"/>
    </row>
    <row r="6" spans="1:10" ht="14.4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  <c r="J6" s="443"/>
    </row>
    <row r="7" spans="1:10">
      <c r="A7" s="1061"/>
      <c r="B7" s="1062" t="s">
        <v>129</v>
      </c>
      <c r="C7" s="1058">
        <v>2676036383.8699999</v>
      </c>
      <c r="D7" s="1056">
        <v>1970301125.25</v>
      </c>
      <c r="E7" s="1056">
        <v>327935138.66000003</v>
      </c>
      <c r="F7" s="1056">
        <v>1642365986.5899999</v>
      </c>
      <c r="G7" s="1057">
        <v>100</v>
      </c>
      <c r="H7" s="1057">
        <v>73.599999999999994</v>
      </c>
      <c r="I7" s="1065">
        <v>160.80000000000001</v>
      </c>
      <c r="J7" s="448"/>
    </row>
    <row r="8" spans="1:10">
      <c r="A8" s="1052" t="s">
        <v>96</v>
      </c>
      <c r="B8" s="1063" t="s">
        <v>97</v>
      </c>
      <c r="C8" s="1059">
        <v>183467395.37</v>
      </c>
      <c r="D8" s="1050">
        <v>108385311.94</v>
      </c>
      <c r="E8" s="1050">
        <v>3920440.97</v>
      </c>
      <c r="F8" s="1050">
        <v>104464870.97</v>
      </c>
      <c r="G8" s="1051">
        <v>5.5</v>
      </c>
      <c r="H8" s="1051">
        <v>59.1</v>
      </c>
      <c r="I8" s="1066">
        <v>115.7</v>
      </c>
      <c r="J8" s="448"/>
    </row>
    <row r="9" spans="1:10">
      <c r="A9" s="1052" t="s">
        <v>98</v>
      </c>
      <c r="B9" s="1063" t="s">
        <v>99</v>
      </c>
      <c r="C9" s="1059">
        <v>151830364.38999999</v>
      </c>
      <c r="D9" s="1050">
        <v>135982510.88</v>
      </c>
      <c r="E9" s="1050">
        <v>25228835.629999999</v>
      </c>
      <c r="F9" s="1050">
        <v>110753675.25</v>
      </c>
      <c r="G9" s="1051">
        <v>6.9</v>
      </c>
      <c r="H9" s="1051">
        <v>89.6</v>
      </c>
      <c r="I9" s="1066">
        <v>192.9</v>
      </c>
      <c r="J9" s="448"/>
    </row>
    <row r="10" spans="1:10">
      <c r="A10" s="1052" t="s">
        <v>100</v>
      </c>
      <c r="B10" s="1063" t="s">
        <v>101</v>
      </c>
      <c r="C10" s="1059">
        <v>113023223.94</v>
      </c>
      <c r="D10" s="1050">
        <v>91083193.200000003</v>
      </c>
      <c r="E10" s="1050">
        <v>19610004.760000002</v>
      </c>
      <c r="F10" s="1050">
        <v>71473188.439999998</v>
      </c>
      <c r="G10" s="1051">
        <v>4.5999999999999996</v>
      </c>
      <c r="H10" s="1051">
        <v>80.599999999999994</v>
      </c>
      <c r="I10" s="1066">
        <v>183.6</v>
      </c>
      <c r="J10" s="448"/>
    </row>
    <row r="11" spans="1:10">
      <c r="A11" s="1052" t="s">
        <v>102</v>
      </c>
      <c r="B11" s="1063" t="s">
        <v>103</v>
      </c>
      <c r="C11" s="1059">
        <v>53322409.020000003</v>
      </c>
      <c r="D11" s="1050">
        <v>44970376.609999999</v>
      </c>
      <c r="E11" s="1050">
        <v>11254750.539999999</v>
      </c>
      <c r="F11" s="1050">
        <v>33715626.07</v>
      </c>
      <c r="G11" s="1051">
        <v>2.2999999999999998</v>
      </c>
      <c r="H11" s="1051">
        <v>84.3</v>
      </c>
      <c r="I11" s="1066">
        <v>177.3</v>
      </c>
      <c r="J11" s="448"/>
    </row>
    <row r="12" spans="1:10">
      <c r="A12" s="1052" t="s">
        <v>104</v>
      </c>
      <c r="B12" s="1063" t="s">
        <v>105</v>
      </c>
      <c r="C12" s="1059">
        <v>171103106.80000001</v>
      </c>
      <c r="D12" s="1050">
        <v>132986831.40000001</v>
      </c>
      <c r="E12" s="1050">
        <v>10702013.880000001</v>
      </c>
      <c r="F12" s="1050">
        <v>122284817.52</v>
      </c>
      <c r="G12" s="1051">
        <v>6.7</v>
      </c>
      <c r="H12" s="1051">
        <v>77.7</v>
      </c>
      <c r="I12" s="1066">
        <v>175.7</v>
      </c>
      <c r="J12" s="448"/>
    </row>
    <row r="13" spans="1:10">
      <c r="A13" s="1052" t="s">
        <v>106</v>
      </c>
      <c r="B13" s="1063" t="s">
        <v>107</v>
      </c>
      <c r="C13" s="1059">
        <v>208586976.25</v>
      </c>
      <c r="D13" s="1050">
        <v>141629449.84</v>
      </c>
      <c r="E13" s="1050">
        <v>30724606.489999998</v>
      </c>
      <c r="F13" s="1050">
        <v>110904843.34999999</v>
      </c>
      <c r="G13" s="1051">
        <v>7.2</v>
      </c>
      <c r="H13" s="1051">
        <v>67.900000000000006</v>
      </c>
      <c r="I13" s="1066">
        <v>142.9</v>
      </c>
      <c r="J13" s="448"/>
    </row>
    <row r="14" spans="1:10">
      <c r="A14" s="1052" t="s">
        <v>108</v>
      </c>
      <c r="B14" s="1063" t="s">
        <v>109</v>
      </c>
      <c r="C14" s="1059">
        <v>491725748.75</v>
      </c>
      <c r="D14" s="1050">
        <v>260910637</v>
      </c>
      <c r="E14" s="1050">
        <v>40197969.310000002</v>
      </c>
      <c r="F14" s="1050">
        <v>220712667.69</v>
      </c>
      <c r="G14" s="1051">
        <v>13.2</v>
      </c>
      <c r="H14" s="1051">
        <v>53.1</v>
      </c>
      <c r="I14" s="1066">
        <v>113.9</v>
      </c>
      <c r="J14" s="448"/>
    </row>
    <row r="15" spans="1:10">
      <c r="A15" s="1052" t="s">
        <v>110</v>
      </c>
      <c r="B15" s="1063" t="s">
        <v>111</v>
      </c>
      <c r="C15" s="1059">
        <v>23708877.600000001</v>
      </c>
      <c r="D15" s="1050">
        <v>16989539.870000001</v>
      </c>
      <c r="E15" s="1050">
        <v>3070460.98</v>
      </c>
      <c r="F15" s="1050">
        <v>13919078.890000001</v>
      </c>
      <c r="G15" s="1051">
        <v>0.9</v>
      </c>
      <c r="H15" s="1051">
        <v>71.7</v>
      </c>
      <c r="I15" s="1066">
        <v>135.4</v>
      </c>
      <c r="J15" s="448"/>
    </row>
    <row r="16" spans="1:10">
      <c r="A16" s="1052" t="s">
        <v>112</v>
      </c>
      <c r="B16" s="1063" t="s">
        <v>113</v>
      </c>
      <c r="C16" s="1059">
        <v>83692691.859999999</v>
      </c>
      <c r="D16" s="1050">
        <v>81678909.700000003</v>
      </c>
      <c r="E16" s="1050">
        <v>27218608.370000001</v>
      </c>
      <c r="F16" s="1050">
        <v>54460301.329999998</v>
      </c>
      <c r="G16" s="1051">
        <v>4.0999999999999996</v>
      </c>
      <c r="H16" s="1051">
        <v>97.6</v>
      </c>
      <c r="I16" s="1066">
        <v>239.9</v>
      </c>
      <c r="J16" s="448"/>
    </row>
    <row r="17" spans="1:10">
      <c r="A17" s="1052" t="s">
        <v>114</v>
      </c>
      <c r="B17" s="1063" t="s">
        <v>115</v>
      </c>
      <c r="C17" s="1059">
        <v>111569479.05</v>
      </c>
      <c r="D17" s="1050">
        <v>104161185.52</v>
      </c>
      <c r="E17" s="1050">
        <v>38495343.229999997</v>
      </c>
      <c r="F17" s="1050">
        <v>65665842.289999999</v>
      </c>
      <c r="G17" s="1051">
        <v>5.3</v>
      </c>
      <c r="H17" s="1051">
        <v>93.4</v>
      </c>
      <c r="I17" s="1066">
        <v>249.3</v>
      </c>
      <c r="J17" s="448"/>
    </row>
    <row r="18" spans="1:10">
      <c r="A18" s="1052" t="s">
        <v>116</v>
      </c>
      <c r="B18" s="1063" t="s">
        <v>117</v>
      </c>
      <c r="C18" s="1059">
        <v>214415398.13</v>
      </c>
      <c r="D18" s="1050">
        <v>148588186.78</v>
      </c>
      <c r="E18" s="1050">
        <v>50102701.439999998</v>
      </c>
      <c r="F18" s="1050">
        <v>98485485.340000004</v>
      </c>
      <c r="G18" s="1051">
        <v>7.5</v>
      </c>
      <c r="H18" s="1051">
        <v>69.3</v>
      </c>
      <c r="I18" s="1066">
        <v>175.9</v>
      </c>
      <c r="J18" s="448"/>
    </row>
    <row r="19" spans="1:10">
      <c r="A19" s="1052" t="s">
        <v>118</v>
      </c>
      <c r="B19" s="1063" t="s">
        <v>119</v>
      </c>
      <c r="C19" s="1059">
        <v>463725612.19</v>
      </c>
      <c r="D19" s="1050">
        <v>394624119.30000001</v>
      </c>
      <c r="E19" s="1050">
        <v>33000481.210000001</v>
      </c>
      <c r="F19" s="1050">
        <v>361623638.08999997</v>
      </c>
      <c r="G19" s="1051">
        <v>20</v>
      </c>
      <c r="H19" s="1051">
        <v>85.1</v>
      </c>
      <c r="I19" s="1066">
        <v>168</v>
      </c>
      <c r="J19" s="448"/>
    </row>
    <row r="20" spans="1:10">
      <c r="A20" s="1052" t="s">
        <v>120</v>
      </c>
      <c r="B20" s="1063" t="s">
        <v>121</v>
      </c>
      <c r="C20" s="1059">
        <v>56104649.810000002</v>
      </c>
      <c r="D20" s="1050">
        <v>58266726.450000003</v>
      </c>
      <c r="E20" s="1050">
        <v>9209360.9800000004</v>
      </c>
      <c r="F20" s="1050">
        <v>49057365.469999999</v>
      </c>
      <c r="G20" s="1051">
        <v>3</v>
      </c>
      <c r="H20" s="1051">
        <v>103.9</v>
      </c>
      <c r="I20" s="1066">
        <v>322.7</v>
      </c>
      <c r="J20" s="448"/>
    </row>
    <row r="21" spans="1:10">
      <c r="A21" s="1052" t="s">
        <v>122</v>
      </c>
      <c r="B21" s="1063" t="s">
        <v>123</v>
      </c>
      <c r="C21" s="1059">
        <v>68486516.480000004</v>
      </c>
      <c r="D21" s="1050">
        <v>48043233.280000001</v>
      </c>
      <c r="E21" s="1050">
        <v>1858664.98</v>
      </c>
      <c r="F21" s="1050">
        <v>46184568.299999997</v>
      </c>
      <c r="G21" s="1051">
        <v>2.4</v>
      </c>
      <c r="H21" s="1051">
        <v>70.099999999999994</v>
      </c>
      <c r="I21" s="1066">
        <v>172.5</v>
      </c>
      <c r="J21" s="448"/>
    </row>
    <row r="22" spans="1:10">
      <c r="A22" s="1052" t="s">
        <v>124</v>
      </c>
      <c r="B22" s="1063" t="s">
        <v>125</v>
      </c>
      <c r="C22" s="1059">
        <v>159995532.63999999</v>
      </c>
      <c r="D22" s="1050">
        <v>113310537.23999999</v>
      </c>
      <c r="E22" s="1050">
        <v>15476963.49</v>
      </c>
      <c r="F22" s="1050">
        <v>97833573.75</v>
      </c>
      <c r="G22" s="1051">
        <v>5.8</v>
      </c>
      <c r="H22" s="1051">
        <v>70.8</v>
      </c>
      <c r="I22" s="1066">
        <v>150.30000000000001</v>
      </c>
      <c r="J22" s="448"/>
    </row>
    <row r="23" spans="1:10">
      <c r="A23" s="1053" t="s">
        <v>126</v>
      </c>
      <c r="B23" s="1064" t="s">
        <v>127</v>
      </c>
      <c r="C23" s="1060">
        <v>121278401.59</v>
      </c>
      <c r="D23" s="1054">
        <v>88690376.239999995</v>
      </c>
      <c r="E23" s="1054">
        <v>7863932.4000000004</v>
      </c>
      <c r="F23" s="1054">
        <v>80826443.840000004</v>
      </c>
      <c r="G23" s="1055">
        <v>4.5</v>
      </c>
      <c r="H23" s="1055">
        <v>73.099999999999994</v>
      </c>
      <c r="I23" s="1067">
        <v>167.2</v>
      </c>
      <c r="J23" s="448"/>
    </row>
    <row r="25" spans="1:10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  <c r="J25" s="443"/>
    </row>
    <row r="26" spans="1:10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  <c r="J26" s="443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1336-484E-4B9A-AB5E-80BCE91ADBB5}">
  <dimension ref="A1:J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5546875" style="441" customWidth="1"/>
    <col min="2" max="2" width="15.21875" style="441" customWidth="1"/>
    <col min="3" max="4" width="9.77734375" style="441" bestFit="1" customWidth="1"/>
    <col min="5" max="5" width="9.21875" style="441"/>
    <col min="6" max="6" width="9.77734375" style="441" bestFit="1" customWidth="1"/>
    <col min="7" max="8" width="9.21875" style="441"/>
    <col min="9" max="9" width="11.77734375" style="441" customWidth="1"/>
    <col min="10" max="16384" width="9.21875" style="441"/>
  </cols>
  <sheetData>
    <row r="1" spans="1:10" ht="46.95" customHeight="1">
      <c r="A1" s="2203" t="s">
        <v>1021</v>
      </c>
      <c r="B1" s="2203"/>
      <c r="C1" s="2203"/>
      <c r="D1" s="2203"/>
      <c r="E1" s="2203"/>
      <c r="F1" s="2203"/>
      <c r="G1" s="2203"/>
      <c r="H1" s="2203"/>
      <c r="I1" s="2203"/>
      <c r="J1" s="443"/>
    </row>
    <row r="3" spans="1:10" ht="14.4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  <c r="J3" s="443"/>
    </row>
    <row r="4" spans="1:10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  <c r="J4" s="443"/>
    </row>
    <row r="5" spans="1:10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  <c r="J5" s="443"/>
    </row>
    <row r="6" spans="1:10" ht="14.4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  <c r="J6" s="443"/>
    </row>
    <row r="7" spans="1:10">
      <c r="A7" s="1079"/>
      <c r="B7" s="1080" t="s">
        <v>129</v>
      </c>
      <c r="C7" s="1076">
        <v>23266221.940000001</v>
      </c>
      <c r="D7" s="1074">
        <v>26420254.140000001</v>
      </c>
      <c r="E7" s="1074">
        <v>8231069.9000000004</v>
      </c>
      <c r="F7" s="1074">
        <v>18189184.239999998</v>
      </c>
      <c r="G7" s="1075">
        <v>100</v>
      </c>
      <c r="H7" s="1075">
        <v>113.6</v>
      </c>
      <c r="I7" s="1083">
        <v>2.2000000000000002</v>
      </c>
      <c r="J7" s="448"/>
    </row>
    <row r="8" spans="1:10">
      <c r="A8" s="1070" t="s">
        <v>96</v>
      </c>
      <c r="B8" s="1081" t="s">
        <v>97</v>
      </c>
      <c r="C8" s="1077">
        <v>2808330.65</v>
      </c>
      <c r="D8" s="1068">
        <v>2728651.64</v>
      </c>
      <c r="E8" s="1068">
        <v>0</v>
      </c>
      <c r="F8" s="1068">
        <v>2728651.64</v>
      </c>
      <c r="G8" s="1069">
        <v>10.3</v>
      </c>
      <c r="H8" s="1069">
        <v>97.2</v>
      </c>
      <c r="I8" s="1084">
        <v>2.9</v>
      </c>
      <c r="J8" s="448"/>
    </row>
    <row r="9" spans="1:10">
      <c r="A9" s="1070" t="s">
        <v>98</v>
      </c>
      <c r="B9" s="1081" t="s">
        <v>99</v>
      </c>
      <c r="C9" s="1077">
        <v>537140.47</v>
      </c>
      <c r="D9" s="1068">
        <v>707542.94</v>
      </c>
      <c r="E9" s="1068">
        <v>0</v>
      </c>
      <c r="F9" s="1068">
        <v>707542.94</v>
      </c>
      <c r="G9" s="1069">
        <v>2.7</v>
      </c>
      <c r="H9" s="1069">
        <v>131.69999999999999</v>
      </c>
      <c r="I9" s="1084">
        <v>1</v>
      </c>
      <c r="J9" s="448"/>
    </row>
    <row r="10" spans="1:10">
      <c r="A10" s="1070" t="s">
        <v>100</v>
      </c>
      <c r="B10" s="1081" t="s">
        <v>101</v>
      </c>
      <c r="C10" s="1077">
        <v>2031703.91</v>
      </c>
      <c r="D10" s="1068">
        <v>1349896.5</v>
      </c>
      <c r="E10" s="1068">
        <v>0</v>
      </c>
      <c r="F10" s="1068">
        <v>1349896.5</v>
      </c>
      <c r="G10" s="1069">
        <v>5.0999999999999996</v>
      </c>
      <c r="H10" s="1069">
        <v>66.400000000000006</v>
      </c>
      <c r="I10" s="1084">
        <v>2.7</v>
      </c>
      <c r="J10" s="448"/>
    </row>
    <row r="11" spans="1:10">
      <c r="A11" s="1070" t="s">
        <v>102</v>
      </c>
      <c r="B11" s="1081" t="s">
        <v>103</v>
      </c>
      <c r="C11" s="1077">
        <v>27000</v>
      </c>
      <c r="D11" s="1068">
        <v>387478.94</v>
      </c>
      <c r="E11" s="1068">
        <v>0</v>
      </c>
      <c r="F11" s="1068">
        <v>387478.94</v>
      </c>
      <c r="G11" s="1069">
        <v>1.5</v>
      </c>
      <c r="H11" s="1069">
        <v>1435.1</v>
      </c>
      <c r="I11" s="1084">
        <v>1.5</v>
      </c>
      <c r="J11" s="448"/>
    </row>
    <row r="12" spans="1:10">
      <c r="A12" s="1070" t="s">
        <v>104</v>
      </c>
      <c r="B12" s="1081" t="s">
        <v>105</v>
      </c>
      <c r="C12" s="1077">
        <v>288740</v>
      </c>
      <c r="D12" s="1068">
        <v>459791.8</v>
      </c>
      <c r="E12" s="1068">
        <v>0</v>
      </c>
      <c r="F12" s="1068">
        <v>459791.8</v>
      </c>
      <c r="G12" s="1069">
        <v>1.7</v>
      </c>
      <c r="H12" s="1069">
        <v>159.19999999999999</v>
      </c>
      <c r="I12" s="1084">
        <v>0.6</v>
      </c>
      <c r="J12" s="448"/>
    </row>
    <row r="13" spans="1:10">
      <c r="A13" s="1070" t="s">
        <v>106</v>
      </c>
      <c r="B13" s="1081" t="s">
        <v>107</v>
      </c>
      <c r="C13" s="1077">
        <v>498477.68</v>
      </c>
      <c r="D13" s="1068">
        <v>593584.87</v>
      </c>
      <c r="E13" s="1068">
        <v>984</v>
      </c>
      <c r="F13" s="1068">
        <v>592600.87</v>
      </c>
      <c r="G13" s="1069">
        <v>2.2000000000000002</v>
      </c>
      <c r="H13" s="1069">
        <v>119.1</v>
      </c>
      <c r="I13" s="1084">
        <v>0.6</v>
      </c>
      <c r="J13" s="448"/>
    </row>
    <row r="14" spans="1:10">
      <c r="A14" s="1070" t="s">
        <v>108</v>
      </c>
      <c r="B14" s="1081" t="s">
        <v>109</v>
      </c>
      <c r="C14" s="1077">
        <v>5838965.6299999999</v>
      </c>
      <c r="D14" s="1068">
        <v>5937476.9800000004</v>
      </c>
      <c r="E14" s="1068">
        <v>119747.54</v>
      </c>
      <c r="F14" s="1068">
        <v>5817729.4400000004</v>
      </c>
      <c r="G14" s="1069">
        <v>22.5</v>
      </c>
      <c r="H14" s="1069">
        <v>101.7</v>
      </c>
      <c r="I14" s="1084">
        <v>2.6</v>
      </c>
      <c r="J14" s="448"/>
    </row>
    <row r="15" spans="1:10">
      <c r="A15" s="1070" t="s">
        <v>110</v>
      </c>
      <c r="B15" s="1081" t="s">
        <v>111</v>
      </c>
      <c r="C15" s="1077">
        <v>3825515.08</v>
      </c>
      <c r="D15" s="1068">
        <v>7746040.4900000002</v>
      </c>
      <c r="E15" s="1068">
        <v>6975980</v>
      </c>
      <c r="F15" s="1068">
        <v>770060.49</v>
      </c>
      <c r="G15" s="1069">
        <v>29.3</v>
      </c>
      <c r="H15" s="1069">
        <v>202.5</v>
      </c>
      <c r="I15" s="1084">
        <v>61.7</v>
      </c>
      <c r="J15" s="448"/>
    </row>
    <row r="16" spans="1:10">
      <c r="A16" s="1070" t="s">
        <v>112</v>
      </c>
      <c r="B16" s="1081" t="s">
        <v>113</v>
      </c>
      <c r="C16" s="1077">
        <v>516012.05</v>
      </c>
      <c r="D16" s="1068">
        <v>533579.36</v>
      </c>
      <c r="E16" s="1068">
        <v>115803.72</v>
      </c>
      <c r="F16" s="1068">
        <v>417775.64</v>
      </c>
      <c r="G16" s="1069">
        <v>2</v>
      </c>
      <c r="H16" s="1069">
        <v>103.4</v>
      </c>
      <c r="I16" s="1084">
        <v>1.6</v>
      </c>
      <c r="J16" s="448"/>
    </row>
    <row r="17" spans="1:10">
      <c r="A17" s="1070" t="s">
        <v>114</v>
      </c>
      <c r="B17" s="1081" t="s">
        <v>115</v>
      </c>
      <c r="C17" s="1077">
        <v>389051.57</v>
      </c>
      <c r="D17" s="1068">
        <v>613776.21</v>
      </c>
      <c r="E17" s="1068">
        <v>203499</v>
      </c>
      <c r="F17" s="1068">
        <v>410277.21</v>
      </c>
      <c r="G17" s="1069">
        <v>2.2999999999999998</v>
      </c>
      <c r="H17" s="1069">
        <v>157.80000000000001</v>
      </c>
      <c r="I17" s="1084">
        <v>1.5</v>
      </c>
      <c r="J17" s="448"/>
    </row>
    <row r="18" spans="1:10">
      <c r="A18" s="1070" t="s">
        <v>116</v>
      </c>
      <c r="B18" s="1081" t="s">
        <v>117</v>
      </c>
      <c r="C18" s="1077">
        <v>620821.81000000006</v>
      </c>
      <c r="D18" s="1068">
        <v>568854</v>
      </c>
      <c r="E18" s="1068">
        <v>0</v>
      </c>
      <c r="F18" s="1068">
        <v>568854</v>
      </c>
      <c r="G18" s="1069">
        <v>2.2000000000000002</v>
      </c>
      <c r="H18" s="1069">
        <v>91.6</v>
      </c>
      <c r="I18" s="1084">
        <v>0.7</v>
      </c>
      <c r="J18" s="448"/>
    </row>
    <row r="19" spans="1:10">
      <c r="A19" s="1070" t="s">
        <v>118</v>
      </c>
      <c r="B19" s="1081" t="s">
        <v>119</v>
      </c>
      <c r="C19" s="1077">
        <v>3026737.02</v>
      </c>
      <c r="D19" s="1068">
        <v>2128382.94</v>
      </c>
      <c r="E19" s="1068">
        <v>119900</v>
      </c>
      <c r="F19" s="1068">
        <v>2008482.94</v>
      </c>
      <c r="G19" s="1069">
        <v>8.1</v>
      </c>
      <c r="H19" s="1069">
        <v>70.3</v>
      </c>
      <c r="I19" s="1084">
        <v>0.9</v>
      </c>
      <c r="J19" s="448"/>
    </row>
    <row r="20" spans="1:10">
      <c r="A20" s="1070" t="s">
        <v>120</v>
      </c>
      <c r="B20" s="1081" t="s">
        <v>121</v>
      </c>
      <c r="C20" s="1077">
        <v>745608.51</v>
      </c>
      <c r="D20" s="1068">
        <v>708666.85</v>
      </c>
      <c r="E20" s="1068">
        <v>115923.07</v>
      </c>
      <c r="F20" s="1068">
        <v>592743.78</v>
      </c>
      <c r="G20" s="1069">
        <v>2.7</v>
      </c>
      <c r="H20" s="1069">
        <v>95</v>
      </c>
      <c r="I20" s="1084">
        <v>3.9</v>
      </c>
      <c r="J20" s="448"/>
    </row>
    <row r="21" spans="1:10">
      <c r="A21" s="1070" t="s">
        <v>122</v>
      </c>
      <c r="B21" s="1081" t="s">
        <v>123</v>
      </c>
      <c r="C21" s="1077">
        <v>287555.09999999998</v>
      </c>
      <c r="D21" s="1068">
        <v>164772.6</v>
      </c>
      <c r="E21" s="1068">
        <v>0</v>
      </c>
      <c r="F21" s="1068">
        <v>164772.6</v>
      </c>
      <c r="G21" s="1069">
        <v>0.6</v>
      </c>
      <c r="H21" s="1069">
        <v>57.3</v>
      </c>
      <c r="I21" s="1084">
        <v>0.6</v>
      </c>
      <c r="J21" s="448"/>
    </row>
    <row r="22" spans="1:10">
      <c r="A22" s="1070" t="s">
        <v>124</v>
      </c>
      <c r="B22" s="1081" t="s">
        <v>125</v>
      </c>
      <c r="C22" s="1077">
        <v>1142393.77</v>
      </c>
      <c r="D22" s="1068">
        <v>1076735.07</v>
      </c>
      <c r="E22" s="1068">
        <v>70225.78</v>
      </c>
      <c r="F22" s="1068">
        <v>1006509.29</v>
      </c>
      <c r="G22" s="1069">
        <v>4.0999999999999996</v>
      </c>
      <c r="H22" s="1069">
        <v>94.3</v>
      </c>
      <c r="I22" s="1084">
        <v>1.4</v>
      </c>
      <c r="J22" s="448"/>
    </row>
    <row r="23" spans="1:10">
      <c r="A23" s="1071" t="s">
        <v>126</v>
      </c>
      <c r="B23" s="1082" t="s">
        <v>127</v>
      </c>
      <c r="C23" s="1078">
        <v>682168.69</v>
      </c>
      <c r="D23" s="1072">
        <v>715022.95</v>
      </c>
      <c r="E23" s="1072">
        <v>509006.79</v>
      </c>
      <c r="F23" s="1072">
        <v>206016.16</v>
      </c>
      <c r="G23" s="1073">
        <v>2.7</v>
      </c>
      <c r="H23" s="1073">
        <v>104.8</v>
      </c>
      <c r="I23" s="1085">
        <v>1.3</v>
      </c>
      <c r="J23" s="448"/>
    </row>
    <row r="25" spans="1:10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  <c r="J25" s="443"/>
    </row>
    <row r="26" spans="1:10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  <c r="J26" s="443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3671-21B6-443C-AFD3-4A948E74924F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6.21875" style="441" customWidth="1"/>
    <col min="2" max="2" width="15.5546875" style="441" customWidth="1"/>
    <col min="3" max="4" width="11.77734375" style="441" bestFit="1" customWidth="1"/>
    <col min="5" max="5" width="10.77734375" style="441" bestFit="1" customWidth="1"/>
    <col min="6" max="6" width="11.77734375" style="441" bestFit="1" customWidth="1"/>
    <col min="7" max="7" width="9.21875" style="441"/>
    <col min="8" max="8" width="10.44140625" style="441" customWidth="1"/>
    <col min="9" max="9" width="11.21875" style="441" customWidth="1"/>
    <col min="10" max="16384" width="9.21875" style="441"/>
  </cols>
  <sheetData>
    <row r="1" spans="1:9" ht="33" customHeight="1">
      <c r="A1" s="2203" t="s">
        <v>1022</v>
      </c>
      <c r="B1" s="2203"/>
      <c r="C1" s="2203"/>
      <c r="D1" s="2203"/>
      <c r="E1" s="2203"/>
      <c r="F1" s="2203"/>
      <c r="G1" s="2203"/>
      <c r="H1" s="2203"/>
      <c r="I1" s="220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097"/>
      <c r="B7" s="1098" t="s">
        <v>129</v>
      </c>
      <c r="C7" s="1094">
        <v>2458884414.5</v>
      </c>
      <c r="D7" s="1092">
        <v>3075498807.5999999</v>
      </c>
      <c r="E7" s="1092">
        <v>303038424.83999997</v>
      </c>
      <c r="F7" s="1092">
        <v>2772460382.7600002</v>
      </c>
      <c r="G7" s="1093">
        <v>100</v>
      </c>
      <c r="H7" s="1093">
        <v>125.1</v>
      </c>
      <c r="I7" s="1101">
        <v>251</v>
      </c>
    </row>
    <row r="8" spans="1:9">
      <c r="A8" s="1088" t="s">
        <v>96</v>
      </c>
      <c r="B8" s="1099" t="s">
        <v>97</v>
      </c>
      <c r="C8" s="1095">
        <v>171412414.44</v>
      </c>
      <c r="D8" s="1086">
        <v>221262385.06</v>
      </c>
      <c r="E8" s="1086">
        <v>22163719.25</v>
      </c>
      <c r="F8" s="1086">
        <v>199098665.81</v>
      </c>
      <c r="G8" s="1087">
        <v>7.2</v>
      </c>
      <c r="H8" s="1087">
        <v>129.1</v>
      </c>
      <c r="I8" s="1102">
        <v>236.2</v>
      </c>
    </row>
    <row r="9" spans="1:9">
      <c r="A9" s="1088" t="s">
        <v>98</v>
      </c>
      <c r="B9" s="1099" t="s">
        <v>99</v>
      </c>
      <c r="C9" s="1095">
        <v>142226150.74000001</v>
      </c>
      <c r="D9" s="1086">
        <v>168746563.28</v>
      </c>
      <c r="E9" s="1086">
        <v>20052163.77</v>
      </c>
      <c r="F9" s="1086">
        <v>148694399.50999999</v>
      </c>
      <c r="G9" s="1087">
        <v>5.5</v>
      </c>
      <c r="H9" s="1087">
        <v>118.6</v>
      </c>
      <c r="I9" s="1102">
        <v>239.4</v>
      </c>
    </row>
    <row r="10" spans="1:9">
      <c r="A10" s="1088" t="s">
        <v>100</v>
      </c>
      <c r="B10" s="1099" t="s">
        <v>101</v>
      </c>
      <c r="C10" s="1095">
        <v>147620650.72</v>
      </c>
      <c r="D10" s="1086">
        <v>188433261.80000001</v>
      </c>
      <c r="E10" s="1086">
        <v>15112110.74</v>
      </c>
      <c r="F10" s="1086">
        <v>173321151.06</v>
      </c>
      <c r="G10" s="1087">
        <v>6.1</v>
      </c>
      <c r="H10" s="1087">
        <v>127.6</v>
      </c>
      <c r="I10" s="1102">
        <v>379.8</v>
      </c>
    </row>
    <row r="11" spans="1:9">
      <c r="A11" s="1088" t="s">
        <v>102</v>
      </c>
      <c r="B11" s="1099" t="s">
        <v>103</v>
      </c>
      <c r="C11" s="1095">
        <v>58968419.829999998</v>
      </c>
      <c r="D11" s="1086">
        <v>74679587.879999995</v>
      </c>
      <c r="E11" s="1086">
        <v>7642840.0700000003</v>
      </c>
      <c r="F11" s="1086">
        <v>67036747.810000002</v>
      </c>
      <c r="G11" s="1087">
        <v>2.4</v>
      </c>
      <c r="H11" s="1087">
        <v>126.6</v>
      </c>
      <c r="I11" s="1102">
        <v>294.5</v>
      </c>
    </row>
    <row r="12" spans="1:9">
      <c r="A12" s="1088" t="s">
        <v>104</v>
      </c>
      <c r="B12" s="1099" t="s">
        <v>105</v>
      </c>
      <c r="C12" s="1095">
        <v>157806121.11000001</v>
      </c>
      <c r="D12" s="1086">
        <v>187854750.61000001</v>
      </c>
      <c r="E12" s="1086">
        <v>25092486.48</v>
      </c>
      <c r="F12" s="1086">
        <v>162762264.13</v>
      </c>
      <c r="G12" s="1087">
        <v>6.1</v>
      </c>
      <c r="H12" s="1087">
        <v>119</v>
      </c>
      <c r="I12" s="1102">
        <v>248.2</v>
      </c>
    </row>
    <row r="13" spans="1:9">
      <c r="A13" s="1088" t="s">
        <v>106</v>
      </c>
      <c r="B13" s="1099" t="s">
        <v>107</v>
      </c>
      <c r="C13" s="1095">
        <v>199867274.55000001</v>
      </c>
      <c r="D13" s="1086">
        <v>291254158.81</v>
      </c>
      <c r="E13" s="1086">
        <v>3265442.79</v>
      </c>
      <c r="F13" s="1086">
        <v>287988716.01999998</v>
      </c>
      <c r="G13" s="1087">
        <v>9.5</v>
      </c>
      <c r="H13" s="1087">
        <v>145.69999999999999</v>
      </c>
      <c r="I13" s="1102">
        <v>293.89999999999998</v>
      </c>
    </row>
    <row r="14" spans="1:9">
      <c r="A14" s="1088" t="s">
        <v>108</v>
      </c>
      <c r="B14" s="1099" t="s">
        <v>109</v>
      </c>
      <c r="C14" s="1095">
        <v>357369028.68000001</v>
      </c>
      <c r="D14" s="1086">
        <v>431786826.44999999</v>
      </c>
      <c r="E14" s="1086">
        <v>34871836.030000001</v>
      </c>
      <c r="F14" s="1086">
        <v>396914990.42000002</v>
      </c>
      <c r="G14" s="1087">
        <v>14</v>
      </c>
      <c r="H14" s="1087">
        <v>120.8</v>
      </c>
      <c r="I14" s="1102">
        <v>188.5</v>
      </c>
    </row>
    <row r="15" spans="1:9">
      <c r="A15" s="1088" t="s">
        <v>110</v>
      </c>
      <c r="B15" s="1099" t="s">
        <v>111</v>
      </c>
      <c r="C15" s="1095">
        <v>32463422.699999999</v>
      </c>
      <c r="D15" s="1086">
        <v>43693432.5</v>
      </c>
      <c r="E15" s="1086">
        <v>3004168.99</v>
      </c>
      <c r="F15" s="1086">
        <v>40689263.509999998</v>
      </c>
      <c r="G15" s="1087">
        <v>1.4</v>
      </c>
      <c r="H15" s="1087">
        <v>134.6</v>
      </c>
      <c r="I15" s="1102">
        <v>348.2</v>
      </c>
    </row>
    <row r="16" spans="1:9">
      <c r="A16" s="1088" t="s">
        <v>112</v>
      </c>
      <c r="B16" s="1099" t="s">
        <v>113</v>
      </c>
      <c r="C16" s="1095">
        <v>98183044.150000006</v>
      </c>
      <c r="D16" s="1086">
        <v>124648548.93000001</v>
      </c>
      <c r="E16" s="1086">
        <v>15547336.119999999</v>
      </c>
      <c r="F16" s="1086">
        <v>109101212.81</v>
      </c>
      <c r="G16" s="1087">
        <v>4.0999999999999996</v>
      </c>
      <c r="H16" s="1087">
        <v>127</v>
      </c>
      <c r="I16" s="1102">
        <v>366.2</v>
      </c>
    </row>
    <row r="17" spans="1:9">
      <c r="A17" s="1088" t="s">
        <v>114</v>
      </c>
      <c r="B17" s="1099" t="s">
        <v>115</v>
      </c>
      <c r="C17" s="1095">
        <v>94387946.719999999</v>
      </c>
      <c r="D17" s="1086">
        <v>117480031.98999999</v>
      </c>
      <c r="E17" s="1086">
        <v>18005064.579999998</v>
      </c>
      <c r="F17" s="1086">
        <v>99474967.409999996</v>
      </c>
      <c r="G17" s="1087">
        <v>3.8</v>
      </c>
      <c r="H17" s="1087">
        <v>124.5</v>
      </c>
      <c r="I17" s="1102">
        <v>281.2</v>
      </c>
    </row>
    <row r="18" spans="1:9">
      <c r="A18" s="1088" t="s">
        <v>116</v>
      </c>
      <c r="B18" s="1099" t="s">
        <v>117</v>
      </c>
      <c r="C18" s="1095">
        <v>146302545.58000001</v>
      </c>
      <c r="D18" s="1086">
        <v>172911718.86000001</v>
      </c>
      <c r="E18" s="1086">
        <v>14311943.24</v>
      </c>
      <c r="F18" s="1086">
        <v>158599775.62</v>
      </c>
      <c r="G18" s="1087">
        <v>5.6</v>
      </c>
      <c r="H18" s="1087">
        <v>118.2</v>
      </c>
      <c r="I18" s="1102">
        <v>204.6</v>
      </c>
    </row>
    <row r="19" spans="1:9">
      <c r="A19" s="1088" t="s">
        <v>118</v>
      </c>
      <c r="B19" s="1099" t="s">
        <v>119</v>
      </c>
      <c r="C19" s="1095">
        <v>434768964.89999998</v>
      </c>
      <c r="D19" s="1086">
        <v>567611056.38</v>
      </c>
      <c r="E19" s="1086">
        <v>81794535.989999995</v>
      </c>
      <c r="F19" s="1086">
        <v>485816520.38999999</v>
      </c>
      <c r="G19" s="1087">
        <v>18.5</v>
      </c>
      <c r="H19" s="1087">
        <v>130.6</v>
      </c>
      <c r="I19" s="1102">
        <v>241.6</v>
      </c>
    </row>
    <row r="20" spans="1:9">
      <c r="A20" s="1088" t="s">
        <v>120</v>
      </c>
      <c r="B20" s="1099" t="s">
        <v>121</v>
      </c>
      <c r="C20" s="1095">
        <v>44644708.810000002</v>
      </c>
      <c r="D20" s="1086">
        <v>53198648.060000002</v>
      </c>
      <c r="E20" s="1086">
        <v>91132.49</v>
      </c>
      <c r="F20" s="1086">
        <v>53107515.57</v>
      </c>
      <c r="G20" s="1087">
        <v>1.7</v>
      </c>
      <c r="H20" s="1087">
        <v>119.2</v>
      </c>
      <c r="I20" s="1102">
        <v>294.7</v>
      </c>
    </row>
    <row r="21" spans="1:9">
      <c r="A21" s="1088" t="s">
        <v>122</v>
      </c>
      <c r="B21" s="1099" t="s">
        <v>123</v>
      </c>
      <c r="C21" s="1095">
        <v>84411437.780000001</v>
      </c>
      <c r="D21" s="1086">
        <v>87486171.129999995</v>
      </c>
      <c r="E21" s="1086">
        <v>227701.23</v>
      </c>
      <c r="F21" s="1086">
        <v>87258469.900000006</v>
      </c>
      <c r="G21" s="1087">
        <v>2.8</v>
      </c>
      <c r="H21" s="1087">
        <v>103.6</v>
      </c>
      <c r="I21" s="1102">
        <v>314.2</v>
      </c>
    </row>
    <row r="22" spans="1:9">
      <c r="A22" s="1088" t="s">
        <v>124</v>
      </c>
      <c r="B22" s="1099" t="s">
        <v>125</v>
      </c>
      <c r="C22" s="1095">
        <v>186479261.03</v>
      </c>
      <c r="D22" s="1086">
        <v>236177790.58000001</v>
      </c>
      <c r="E22" s="1086">
        <v>37569262.479999997</v>
      </c>
      <c r="F22" s="1086">
        <v>198608528.09999999</v>
      </c>
      <c r="G22" s="1087">
        <v>7.7</v>
      </c>
      <c r="H22" s="1087">
        <v>126.7</v>
      </c>
      <c r="I22" s="1102">
        <v>313.3</v>
      </c>
    </row>
    <row r="23" spans="1:9">
      <c r="A23" s="1089" t="s">
        <v>126</v>
      </c>
      <c r="B23" s="1100" t="s">
        <v>127</v>
      </c>
      <c r="C23" s="1096">
        <v>101973022.76000001</v>
      </c>
      <c r="D23" s="1090">
        <v>108273875.28</v>
      </c>
      <c r="E23" s="1090">
        <v>4286680.59</v>
      </c>
      <c r="F23" s="1090">
        <v>103987194.69</v>
      </c>
      <c r="G23" s="1091">
        <v>3.5</v>
      </c>
      <c r="H23" s="1091">
        <v>106.2</v>
      </c>
      <c r="I23" s="1103">
        <v>204.1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385A1-8797-4927-92CA-C85414E0521A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5546875" style="441" customWidth="1"/>
    <col min="2" max="2" width="15.77734375" style="441" customWidth="1"/>
    <col min="3" max="4" width="10.77734375" style="441" bestFit="1" customWidth="1"/>
    <col min="5" max="5" width="10.77734375" style="441" customWidth="1"/>
    <col min="6" max="6" width="10.77734375" style="441" bestFit="1" customWidth="1"/>
    <col min="7" max="8" width="9.21875" style="441"/>
    <col min="9" max="9" width="11.21875" style="441" customWidth="1"/>
    <col min="10" max="16384" width="9.21875" style="441"/>
  </cols>
  <sheetData>
    <row r="1" spans="1:9" ht="34.950000000000003" customHeight="1">
      <c r="A1" s="2203" t="s">
        <v>1023</v>
      </c>
      <c r="B1" s="2203"/>
      <c r="C1" s="2203"/>
      <c r="D1" s="2203"/>
      <c r="E1" s="2203"/>
      <c r="F1" s="2203"/>
      <c r="G1" s="2203"/>
      <c r="H1" s="2203"/>
      <c r="I1" s="220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115"/>
      <c r="B7" s="1116" t="s">
        <v>129</v>
      </c>
      <c r="C7" s="1112">
        <v>327418441.05000001</v>
      </c>
      <c r="D7" s="1110">
        <v>660130093.52999997</v>
      </c>
      <c r="E7" s="1110">
        <v>159292544.11000001</v>
      </c>
      <c r="F7" s="1110">
        <v>500837549.42000002</v>
      </c>
      <c r="G7" s="1111">
        <v>100</v>
      </c>
      <c r="H7" s="1111">
        <v>201.6</v>
      </c>
      <c r="I7" s="1119">
        <v>53.9</v>
      </c>
    </row>
    <row r="8" spans="1:9">
      <c r="A8" s="1106" t="s">
        <v>96</v>
      </c>
      <c r="B8" s="1117" t="s">
        <v>97</v>
      </c>
      <c r="C8" s="1113">
        <v>16412008.24</v>
      </c>
      <c r="D8" s="1104">
        <v>58102887.880000003</v>
      </c>
      <c r="E8" s="1104">
        <v>16785262.809999999</v>
      </c>
      <c r="F8" s="1104">
        <v>41317625.07</v>
      </c>
      <c r="G8" s="1105">
        <v>8.8000000000000007</v>
      </c>
      <c r="H8" s="1105">
        <v>354</v>
      </c>
      <c r="I8" s="1120">
        <v>62</v>
      </c>
    </row>
    <row r="9" spans="1:9">
      <c r="A9" s="1106" t="s">
        <v>98</v>
      </c>
      <c r="B9" s="1117" t="s">
        <v>99</v>
      </c>
      <c r="C9" s="1113">
        <v>16521303.300000001</v>
      </c>
      <c r="D9" s="1104">
        <v>24219185.809999999</v>
      </c>
      <c r="E9" s="1104">
        <v>195000</v>
      </c>
      <c r="F9" s="1104">
        <v>24024185.809999999</v>
      </c>
      <c r="G9" s="1105">
        <v>3.7</v>
      </c>
      <c r="H9" s="1105">
        <v>146.6</v>
      </c>
      <c r="I9" s="1120">
        <v>34.4</v>
      </c>
    </row>
    <row r="10" spans="1:9">
      <c r="A10" s="1106" t="s">
        <v>100</v>
      </c>
      <c r="B10" s="1117" t="s">
        <v>101</v>
      </c>
      <c r="C10" s="1113">
        <v>10829313.18</v>
      </c>
      <c r="D10" s="1104">
        <v>35745460.270000003</v>
      </c>
      <c r="E10" s="1104">
        <v>19646037.210000001</v>
      </c>
      <c r="F10" s="1104">
        <v>16099423.060000001</v>
      </c>
      <c r="G10" s="1105">
        <v>5.4</v>
      </c>
      <c r="H10" s="1105">
        <v>330.1</v>
      </c>
      <c r="I10" s="1120">
        <v>72</v>
      </c>
    </row>
    <row r="11" spans="1:9">
      <c r="A11" s="1106" t="s">
        <v>102</v>
      </c>
      <c r="B11" s="1117" t="s">
        <v>103</v>
      </c>
      <c r="C11" s="1113">
        <v>6664073.0800000001</v>
      </c>
      <c r="D11" s="1104">
        <v>26738452.690000001</v>
      </c>
      <c r="E11" s="1104">
        <v>16287107.939999999</v>
      </c>
      <c r="F11" s="1104">
        <v>10451344.75</v>
      </c>
      <c r="G11" s="1105">
        <v>4.0999999999999996</v>
      </c>
      <c r="H11" s="1105">
        <v>401.2</v>
      </c>
      <c r="I11" s="1120">
        <v>105.4</v>
      </c>
    </row>
    <row r="12" spans="1:9">
      <c r="A12" s="1106" t="s">
        <v>104</v>
      </c>
      <c r="B12" s="1117" t="s">
        <v>105</v>
      </c>
      <c r="C12" s="1113">
        <v>30712949.359999999</v>
      </c>
      <c r="D12" s="1104">
        <v>44284916.07</v>
      </c>
      <c r="E12" s="1104">
        <v>0</v>
      </c>
      <c r="F12" s="1104">
        <v>44284916.07</v>
      </c>
      <c r="G12" s="1105">
        <v>6.7</v>
      </c>
      <c r="H12" s="1105">
        <v>144.19999999999999</v>
      </c>
      <c r="I12" s="1120">
        <v>58.5</v>
      </c>
    </row>
    <row r="13" spans="1:9">
      <c r="A13" s="1106" t="s">
        <v>106</v>
      </c>
      <c r="B13" s="1117" t="s">
        <v>107</v>
      </c>
      <c r="C13" s="1113">
        <v>42862169.5</v>
      </c>
      <c r="D13" s="1104">
        <v>68291744.950000003</v>
      </c>
      <c r="E13" s="1104">
        <v>167200</v>
      </c>
      <c r="F13" s="1104">
        <v>68124544.950000003</v>
      </c>
      <c r="G13" s="1105">
        <v>10.3</v>
      </c>
      <c r="H13" s="1105">
        <v>159.30000000000001</v>
      </c>
      <c r="I13" s="1120">
        <v>68.900000000000006</v>
      </c>
    </row>
    <row r="14" spans="1:9">
      <c r="A14" s="1106" t="s">
        <v>108</v>
      </c>
      <c r="B14" s="1117" t="s">
        <v>109</v>
      </c>
      <c r="C14" s="1113">
        <v>63242352.009999998</v>
      </c>
      <c r="D14" s="1104">
        <v>150419186.72999999</v>
      </c>
      <c r="E14" s="1104">
        <v>66756271.219999999</v>
      </c>
      <c r="F14" s="1104">
        <v>83662915.510000005</v>
      </c>
      <c r="G14" s="1105">
        <v>22.8</v>
      </c>
      <c r="H14" s="1105">
        <v>237.8</v>
      </c>
      <c r="I14" s="1120">
        <v>65.7</v>
      </c>
    </row>
    <row r="15" spans="1:9">
      <c r="A15" s="1106" t="s">
        <v>110</v>
      </c>
      <c r="B15" s="1117" t="s">
        <v>111</v>
      </c>
      <c r="C15" s="1113">
        <v>5693396.2400000002</v>
      </c>
      <c r="D15" s="1104">
        <v>7162585.1500000004</v>
      </c>
      <c r="E15" s="1104">
        <v>0</v>
      </c>
      <c r="F15" s="1104">
        <v>7162585.1500000004</v>
      </c>
      <c r="G15" s="1105">
        <v>1.1000000000000001</v>
      </c>
      <c r="H15" s="1105">
        <v>125.8</v>
      </c>
      <c r="I15" s="1120">
        <v>57.1</v>
      </c>
    </row>
    <row r="16" spans="1:9">
      <c r="A16" s="1106" t="s">
        <v>112</v>
      </c>
      <c r="B16" s="1117" t="s">
        <v>113</v>
      </c>
      <c r="C16" s="1113">
        <v>17935757.52</v>
      </c>
      <c r="D16" s="1104">
        <v>23215633.780000001</v>
      </c>
      <c r="E16" s="1104">
        <v>295200</v>
      </c>
      <c r="F16" s="1104">
        <v>22920433.780000001</v>
      </c>
      <c r="G16" s="1105">
        <v>3.5</v>
      </c>
      <c r="H16" s="1105">
        <v>129.4</v>
      </c>
      <c r="I16" s="1120">
        <v>68.2</v>
      </c>
    </row>
    <row r="17" spans="1:9">
      <c r="A17" s="1106" t="s">
        <v>114</v>
      </c>
      <c r="B17" s="1117" t="s">
        <v>115</v>
      </c>
      <c r="C17" s="1113">
        <v>20349632.559999999</v>
      </c>
      <c r="D17" s="1104">
        <v>36245678.810000002</v>
      </c>
      <c r="E17" s="1104">
        <v>7568700.6299999999</v>
      </c>
      <c r="F17" s="1104">
        <v>28676978.18</v>
      </c>
      <c r="G17" s="1105">
        <v>5.5</v>
      </c>
      <c r="H17" s="1105">
        <v>178.1</v>
      </c>
      <c r="I17" s="1120">
        <v>86.8</v>
      </c>
    </row>
    <row r="18" spans="1:9">
      <c r="A18" s="1106" t="s">
        <v>116</v>
      </c>
      <c r="B18" s="1117" t="s">
        <v>117</v>
      </c>
      <c r="C18" s="1113">
        <v>12991221.779999999</v>
      </c>
      <c r="D18" s="1104">
        <v>18406575.09</v>
      </c>
      <c r="E18" s="1104">
        <v>348800</v>
      </c>
      <c r="F18" s="1104">
        <v>18057775.09</v>
      </c>
      <c r="G18" s="1105">
        <v>2.8</v>
      </c>
      <c r="H18" s="1105">
        <v>141.69999999999999</v>
      </c>
      <c r="I18" s="1120">
        <v>21.8</v>
      </c>
    </row>
    <row r="19" spans="1:9">
      <c r="A19" s="1106" t="s">
        <v>118</v>
      </c>
      <c r="B19" s="1117" t="s">
        <v>119</v>
      </c>
      <c r="C19" s="1113">
        <v>49902237.939999998</v>
      </c>
      <c r="D19" s="1104">
        <v>94015204.810000002</v>
      </c>
      <c r="E19" s="1104">
        <v>11896980.35</v>
      </c>
      <c r="F19" s="1104">
        <v>82118224.459999993</v>
      </c>
      <c r="G19" s="1105">
        <v>14.2</v>
      </c>
      <c r="H19" s="1105">
        <v>188.4</v>
      </c>
      <c r="I19" s="1120">
        <v>40</v>
      </c>
    </row>
    <row r="20" spans="1:9">
      <c r="A20" s="1106" t="s">
        <v>120</v>
      </c>
      <c r="B20" s="1117" t="s">
        <v>121</v>
      </c>
      <c r="C20" s="1113">
        <v>6884406.9000000004</v>
      </c>
      <c r="D20" s="1104">
        <v>14778513.48</v>
      </c>
      <c r="E20" s="1104">
        <v>4373671.8</v>
      </c>
      <c r="F20" s="1104">
        <v>10404841.68</v>
      </c>
      <c r="G20" s="1105">
        <v>2.2000000000000002</v>
      </c>
      <c r="H20" s="1105">
        <v>214.7</v>
      </c>
      <c r="I20" s="1120">
        <v>81.900000000000006</v>
      </c>
    </row>
    <row r="21" spans="1:9">
      <c r="A21" s="1106" t="s">
        <v>122</v>
      </c>
      <c r="B21" s="1117" t="s">
        <v>123</v>
      </c>
      <c r="C21" s="1113">
        <v>7615586.9100000001</v>
      </c>
      <c r="D21" s="1104">
        <v>26597698.719999999</v>
      </c>
      <c r="E21" s="1104">
        <v>11403525.09</v>
      </c>
      <c r="F21" s="1104">
        <v>15194173.630000001</v>
      </c>
      <c r="G21" s="1105">
        <v>4</v>
      </c>
      <c r="H21" s="1105">
        <v>349.3</v>
      </c>
      <c r="I21" s="1120">
        <v>95.5</v>
      </c>
    </row>
    <row r="22" spans="1:9">
      <c r="A22" s="1106" t="s">
        <v>124</v>
      </c>
      <c r="B22" s="1117" t="s">
        <v>125</v>
      </c>
      <c r="C22" s="1113">
        <v>13443434.16</v>
      </c>
      <c r="D22" s="1104">
        <v>21759334.579999998</v>
      </c>
      <c r="E22" s="1104">
        <v>3368787.06</v>
      </c>
      <c r="F22" s="1104">
        <v>18390547.52</v>
      </c>
      <c r="G22" s="1105">
        <v>3.3</v>
      </c>
      <c r="H22" s="1105">
        <v>161.9</v>
      </c>
      <c r="I22" s="1120">
        <v>28.9</v>
      </c>
    </row>
    <row r="23" spans="1:9">
      <c r="A23" s="1107" t="s">
        <v>126</v>
      </c>
      <c r="B23" s="1118" t="s">
        <v>127</v>
      </c>
      <c r="C23" s="1114">
        <v>5358598.37</v>
      </c>
      <c r="D23" s="1108">
        <v>10147034.710000001</v>
      </c>
      <c r="E23" s="1108">
        <v>200000</v>
      </c>
      <c r="F23" s="1108">
        <v>9947034.7100000009</v>
      </c>
      <c r="G23" s="1109">
        <v>1.5</v>
      </c>
      <c r="H23" s="1109">
        <v>189.4</v>
      </c>
      <c r="I23" s="1121">
        <v>19.100000000000001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DF5A-41C5-4327-BFA3-7B46E481B275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44140625" style="441" customWidth="1"/>
    <col min="2" max="2" width="15.5546875" style="441" customWidth="1"/>
    <col min="3" max="4" width="12.5546875" style="441" bestFit="1" customWidth="1"/>
    <col min="5" max="5" width="12" style="441" customWidth="1"/>
    <col min="6" max="6" width="12.5546875" style="441" bestFit="1" customWidth="1"/>
    <col min="7" max="7" width="7.21875" style="441" bestFit="1" customWidth="1"/>
    <col min="8" max="8" width="7.44140625" style="441" bestFit="1" customWidth="1"/>
    <col min="9" max="9" width="11" style="441" customWidth="1"/>
    <col min="10" max="16384" width="9.21875" style="441"/>
  </cols>
  <sheetData>
    <row r="1" spans="1:9" ht="31.5" customHeight="1">
      <c r="A1" s="2203" t="s">
        <v>969</v>
      </c>
      <c r="B1" s="2203"/>
      <c r="C1" s="2203"/>
      <c r="D1" s="2203"/>
      <c r="E1" s="2203"/>
      <c r="F1" s="2203"/>
      <c r="G1" s="2203"/>
      <c r="H1" s="2203"/>
      <c r="I1" s="220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863"/>
      <c r="B7" s="862" t="s">
        <v>95</v>
      </c>
      <c r="C7" s="859">
        <v>33569283647.290001</v>
      </c>
      <c r="D7" s="857">
        <v>33668122914.07</v>
      </c>
      <c r="E7" s="857">
        <v>1092012315.6199999</v>
      </c>
      <c r="F7" s="857">
        <v>32576110598.450001</v>
      </c>
      <c r="G7" s="858">
        <v>100</v>
      </c>
      <c r="H7" s="858">
        <v>100.3</v>
      </c>
      <c r="I7" s="866">
        <v>898.1</v>
      </c>
    </row>
    <row r="8" spans="1:9">
      <c r="A8" s="853" t="s">
        <v>96</v>
      </c>
      <c r="B8" s="864" t="s">
        <v>97</v>
      </c>
      <c r="C8" s="860">
        <v>2566419494.1199999</v>
      </c>
      <c r="D8" s="851">
        <v>2311683764.27</v>
      </c>
      <c r="E8" s="851">
        <v>53095787.280000001</v>
      </c>
      <c r="F8" s="851">
        <v>2258587976.9899998</v>
      </c>
      <c r="G8" s="852">
        <v>6.9</v>
      </c>
      <c r="H8" s="852">
        <v>90.1</v>
      </c>
      <c r="I8" s="867">
        <v>806</v>
      </c>
    </row>
    <row r="9" spans="1:9">
      <c r="A9" s="853" t="s">
        <v>98</v>
      </c>
      <c r="B9" s="864" t="s">
        <v>99</v>
      </c>
      <c r="C9" s="860">
        <v>2115519300.3299999</v>
      </c>
      <c r="D9" s="851">
        <v>2139884026.99</v>
      </c>
      <c r="E9" s="851">
        <v>47981054.43</v>
      </c>
      <c r="F9" s="851">
        <v>2091902972.5599999</v>
      </c>
      <c r="G9" s="852">
        <v>6.4</v>
      </c>
      <c r="H9" s="852">
        <v>101.2</v>
      </c>
      <c r="I9" s="867">
        <v>1078.3</v>
      </c>
    </row>
    <row r="10" spans="1:9">
      <c r="A10" s="853" t="s">
        <v>100</v>
      </c>
      <c r="B10" s="864" t="s">
        <v>101</v>
      </c>
      <c r="C10" s="860">
        <v>2041621566.8499999</v>
      </c>
      <c r="D10" s="851">
        <v>2067609550.9400001</v>
      </c>
      <c r="E10" s="851">
        <v>94741784.760000005</v>
      </c>
      <c r="F10" s="851">
        <v>1972867766.1800001</v>
      </c>
      <c r="G10" s="852">
        <v>6.1</v>
      </c>
      <c r="H10" s="852">
        <v>101.3</v>
      </c>
      <c r="I10" s="867">
        <v>1035.5999999999999</v>
      </c>
    </row>
    <row r="11" spans="1:9">
      <c r="A11" s="853" t="s">
        <v>102</v>
      </c>
      <c r="B11" s="864" t="s">
        <v>103</v>
      </c>
      <c r="C11" s="860">
        <v>1038316689.3099999</v>
      </c>
      <c r="D11" s="851">
        <v>1058657572.42</v>
      </c>
      <c r="E11" s="851">
        <v>31423806.530000001</v>
      </c>
      <c r="F11" s="851">
        <v>1027233765.89</v>
      </c>
      <c r="G11" s="852">
        <v>3.1</v>
      </c>
      <c r="H11" s="852">
        <v>102</v>
      </c>
      <c r="I11" s="867">
        <v>1091.5999999999999</v>
      </c>
    </row>
    <row r="12" spans="1:9">
      <c r="A12" s="853" t="s">
        <v>104</v>
      </c>
      <c r="B12" s="864" t="s">
        <v>105</v>
      </c>
      <c r="C12" s="860">
        <v>1997578410.8299999</v>
      </c>
      <c r="D12" s="851">
        <v>2012587292.5899999</v>
      </c>
      <c r="E12" s="851">
        <v>39665387.009999998</v>
      </c>
      <c r="F12" s="851">
        <v>1972921905.5799999</v>
      </c>
      <c r="G12" s="852">
        <v>6</v>
      </c>
      <c r="H12" s="852">
        <v>100.8</v>
      </c>
      <c r="I12" s="867">
        <v>857.9</v>
      </c>
    </row>
    <row r="13" spans="1:9">
      <c r="A13" s="853" t="s">
        <v>106</v>
      </c>
      <c r="B13" s="864" t="s">
        <v>107</v>
      </c>
      <c r="C13" s="860">
        <v>2267910325.6100001</v>
      </c>
      <c r="D13" s="851">
        <v>2314950551.5799999</v>
      </c>
      <c r="E13" s="851">
        <v>19797207.16</v>
      </c>
      <c r="F13" s="851">
        <v>2295153344.4200001</v>
      </c>
      <c r="G13" s="852">
        <v>6.9</v>
      </c>
      <c r="H13" s="852">
        <v>102.1</v>
      </c>
      <c r="I13" s="867">
        <v>675.1</v>
      </c>
    </row>
    <row r="14" spans="1:9">
      <c r="A14" s="853" t="s">
        <v>108</v>
      </c>
      <c r="B14" s="864" t="s">
        <v>109</v>
      </c>
      <c r="C14" s="860">
        <v>3908392227.8800001</v>
      </c>
      <c r="D14" s="851">
        <v>3902022635.7600002</v>
      </c>
      <c r="E14" s="851">
        <v>68308466.900000006</v>
      </c>
      <c r="F14" s="851">
        <v>3833714168.8600001</v>
      </c>
      <c r="G14" s="852">
        <v>11.6</v>
      </c>
      <c r="H14" s="852">
        <v>99.8</v>
      </c>
      <c r="I14" s="867">
        <v>708.4</v>
      </c>
    </row>
    <row r="15" spans="1:9">
      <c r="A15" s="853" t="s">
        <v>110</v>
      </c>
      <c r="B15" s="864" t="s">
        <v>111</v>
      </c>
      <c r="C15" s="860">
        <v>1179064887.47</v>
      </c>
      <c r="D15" s="851">
        <v>897536435.38999999</v>
      </c>
      <c r="E15" s="851">
        <v>22393589.640000001</v>
      </c>
      <c r="F15" s="851">
        <v>875142845.75</v>
      </c>
      <c r="G15" s="852">
        <v>2.7</v>
      </c>
      <c r="H15" s="852">
        <v>76.099999999999994</v>
      </c>
      <c r="I15" s="867">
        <v>964.8</v>
      </c>
    </row>
    <row r="16" spans="1:9">
      <c r="A16" s="853" t="s">
        <v>112</v>
      </c>
      <c r="B16" s="864" t="s">
        <v>113</v>
      </c>
      <c r="C16" s="860">
        <v>2256489649.5100002</v>
      </c>
      <c r="D16" s="851">
        <v>2254493649.9699998</v>
      </c>
      <c r="E16" s="851">
        <v>58262584.539999999</v>
      </c>
      <c r="F16" s="851">
        <v>2196231065.4299998</v>
      </c>
      <c r="G16" s="852">
        <v>6.7</v>
      </c>
      <c r="H16" s="852">
        <v>99.9</v>
      </c>
      <c r="I16" s="867">
        <v>1092.8</v>
      </c>
    </row>
    <row r="17" spans="1:9">
      <c r="A17" s="853" t="s">
        <v>114</v>
      </c>
      <c r="B17" s="864" t="s">
        <v>115</v>
      </c>
      <c r="C17" s="860">
        <v>1188852781.0799999</v>
      </c>
      <c r="D17" s="851">
        <v>1188416425.72</v>
      </c>
      <c r="E17" s="851">
        <v>41374266.979999997</v>
      </c>
      <c r="F17" s="851">
        <v>1147042158.74</v>
      </c>
      <c r="G17" s="852">
        <v>3.5</v>
      </c>
      <c r="H17" s="852">
        <v>100</v>
      </c>
      <c r="I17" s="867">
        <v>1049.2</v>
      </c>
    </row>
    <row r="18" spans="1:9">
      <c r="A18" s="853" t="s">
        <v>116</v>
      </c>
      <c r="B18" s="864" t="s">
        <v>117</v>
      </c>
      <c r="C18" s="860">
        <v>2356638786.54</v>
      </c>
      <c r="D18" s="851">
        <v>2682705357.1599998</v>
      </c>
      <c r="E18" s="851">
        <v>220224525.71000001</v>
      </c>
      <c r="F18" s="851">
        <v>2462480831.4499998</v>
      </c>
      <c r="G18" s="852">
        <v>8</v>
      </c>
      <c r="H18" s="852">
        <v>113.8</v>
      </c>
      <c r="I18" s="867">
        <v>1137</v>
      </c>
    </row>
    <row r="19" spans="1:9">
      <c r="A19" s="853" t="s">
        <v>118</v>
      </c>
      <c r="B19" s="864" t="s">
        <v>119</v>
      </c>
      <c r="C19" s="860">
        <v>3062576343.5</v>
      </c>
      <c r="D19" s="851">
        <v>3200193088.5300002</v>
      </c>
      <c r="E19" s="851">
        <v>169691056.21000001</v>
      </c>
      <c r="F19" s="851">
        <v>3030502032.3200002</v>
      </c>
      <c r="G19" s="852">
        <v>9.5</v>
      </c>
      <c r="H19" s="852">
        <v>104.5</v>
      </c>
      <c r="I19" s="867">
        <v>745.7</v>
      </c>
    </row>
    <row r="20" spans="1:9">
      <c r="A20" s="853" t="s">
        <v>120</v>
      </c>
      <c r="B20" s="864" t="s">
        <v>121</v>
      </c>
      <c r="C20" s="860">
        <v>1364758128.6099999</v>
      </c>
      <c r="D20" s="851">
        <v>1305205647.54</v>
      </c>
      <c r="E20" s="851">
        <v>12055347.33</v>
      </c>
      <c r="F20" s="851">
        <v>1293150300.21</v>
      </c>
      <c r="G20" s="852">
        <v>3.9</v>
      </c>
      <c r="H20" s="852">
        <v>95.6</v>
      </c>
      <c r="I20" s="867">
        <v>1127.0999999999999</v>
      </c>
    </row>
    <row r="21" spans="1:9">
      <c r="A21" s="853" t="s">
        <v>122</v>
      </c>
      <c r="B21" s="864" t="s">
        <v>123</v>
      </c>
      <c r="C21" s="860">
        <v>1563792131.51</v>
      </c>
      <c r="D21" s="851">
        <v>1520173822.3199999</v>
      </c>
      <c r="E21" s="851">
        <v>14247014</v>
      </c>
      <c r="F21" s="851">
        <v>1505926808.3199999</v>
      </c>
      <c r="G21" s="852">
        <v>4.5</v>
      </c>
      <c r="H21" s="852">
        <v>97.2</v>
      </c>
      <c r="I21" s="867">
        <v>1126.7</v>
      </c>
    </row>
    <row r="22" spans="1:9">
      <c r="A22" s="853" t="s">
        <v>124</v>
      </c>
      <c r="B22" s="864" t="s">
        <v>125</v>
      </c>
      <c r="C22" s="860">
        <v>3201380775.9000001</v>
      </c>
      <c r="D22" s="851">
        <v>3281652393.4099998</v>
      </c>
      <c r="E22" s="851">
        <v>107469300.31</v>
      </c>
      <c r="F22" s="851">
        <v>3174183093.0999999</v>
      </c>
      <c r="G22" s="852">
        <v>9.6999999999999993</v>
      </c>
      <c r="H22" s="852">
        <v>102.5</v>
      </c>
      <c r="I22" s="867">
        <v>943</v>
      </c>
    </row>
    <row r="23" spans="1:9">
      <c r="A23" s="854" t="s">
        <v>126</v>
      </c>
      <c r="B23" s="865" t="s">
        <v>127</v>
      </c>
      <c r="C23" s="861">
        <v>1459972148.24</v>
      </c>
      <c r="D23" s="855">
        <v>1530350699.48</v>
      </c>
      <c r="E23" s="855">
        <v>91281136.829999998</v>
      </c>
      <c r="F23" s="855">
        <v>1439069562.6500001</v>
      </c>
      <c r="G23" s="856">
        <v>4.5</v>
      </c>
      <c r="H23" s="856">
        <v>104.8</v>
      </c>
      <c r="I23" s="868">
        <v>943.1</v>
      </c>
    </row>
    <row r="25" spans="1:9" ht="14.4">
      <c r="A25" s="869" t="s">
        <v>128</v>
      </c>
      <c r="B25" s="870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869"/>
      <c r="B26" s="870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A1:I1"/>
    <mergeCell ref="I3:I4"/>
    <mergeCell ref="C5:F5"/>
    <mergeCell ref="E3:F3"/>
    <mergeCell ref="A3:A5"/>
    <mergeCell ref="B3:B5"/>
    <mergeCell ref="G5:H5"/>
    <mergeCell ref="G3:G4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9C84-2704-41BE-B851-B049CBCA8E9E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6.21875" style="441" customWidth="1"/>
    <col min="3" max="4" width="9.77734375" style="441" bestFit="1" customWidth="1"/>
    <col min="5" max="5" width="9.21875" style="441"/>
    <col min="6" max="6" width="9.77734375" style="441" bestFit="1" customWidth="1"/>
    <col min="7" max="8" width="9.21875" style="441"/>
    <col min="9" max="9" width="12" style="441" customWidth="1"/>
    <col min="10" max="16384" width="9.21875" style="441"/>
  </cols>
  <sheetData>
    <row r="1" spans="1:9" ht="43.2" customHeight="1">
      <c r="A1" s="2203" t="s">
        <v>1024</v>
      </c>
      <c r="B1" s="2203"/>
      <c r="C1" s="2203"/>
      <c r="D1" s="2203"/>
      <c r="E1" s="2203"/>
      <c r="F1" s="2203"/>
      <c r="G1" s="2203"/>
      <c r="H1" s="2203"/>
      <c r="I1" s="220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133"/>
      <c r="B7" s="1134" t="s">
        <v>129</v>
      </c>
      <c r="C7" s="1130">
        <v>70742581.519999996</v>
      </c>
      <c r="D7" s="1128">
        <v>80057524.549999997</v>
      </c>
      <c r="E7" s="1128">
        <v>2417654.62</v>
      </c>
      <c r="F7" s="1128">
        <v>77639869.930000007</v>
      </c>
      <c r="G7" s="1129">
        <v>100</v>
      </c>
      <c r="H7" s="1129">
        <v>113.2</v>
      </c>
      <c r="I7" s="1137">
        <v>6.5</v>
      </c>
    </row>
    <row r="8" spans="1:9">
      <c r="A8" s="1124" t="s">
        <v>96</v>
      </c>
      <c r="B8" s="1135" t="s">
        <v>97</v>
      </c>
      <c r="C8" s="1131">
        <v>3823418.4</v>
      </c>
      <c r="D8" s="1122">
        <v>5141575.49</v>
      </c>
      <c r="E8" s="1122">
        <v>0</v>
      </c>
      <c r="F8" s="1122">
        <v>5141575.49</v>
      </c>
      <c r="G8" s="1123">
        <v>6.4</v>
      </c>
      <c r="H8" s="1123">
        <v>134.5</v>
      </c>
      <c r="I8" s="1138">
        <v>5.5</v>
      </c>
    </row>
    <row r="9" spans="1:9">
      <c r="A9" s="1124" t="s">
        <v>98</v>
      </c>
      <c r="B9" s="1135" t="s">
        <v>99</v>
      </c>
      <c r="C9" s="1131">
        <v>6254578.8799999999</v>
      </c>
      <c r="D9" s="1122">
        <v>7389927.1600000001</v>
      </c>
      <c r="E9" s="1122">
        <v>148058.62</v>
      </c>
      <c r="F9" s="1122">
        <v>7241868.54</v>
      </c>
      <c r="G9" s="1123">
        <v>9.1999999999999993</v>
      </c>
      <c r="H9" s="1123">
        <v>118.2</v>
      </c>
      <c r="I9" s="1138">
        <v>10.5</v>
      </c>
    </row>
    <row r="10" spans="1:9">
      <c r="A10" s="1124" t="s">
        <v>100</v>
      </c>
      <c r="B10" s="1135" t="s">
        <v>101</v>
      </c>
      <c r="C10" s="1131">
        <v>2671593.85</v>
      </c>
      <c r="D10" s="1122">
        <v>3087952.08</v>
      </c>
      <c r="E10" s="1122">
        <v>0</v>
      </c>
      <c r="F10" s="1122">
        <v>3087952.08</v>
      </c>
      <c r="G10" s="1123">
        <v>3.9</v>
      </c>
      <c r="H10" s="1123">
        <v>115.6</v>
      </c>
      <c r="I10" s="1138">
        <v>6.2</v>
      </c>
    </row>
    <row r="11" spans="1:9">
      <c r="A11" s="1124" t="s">
        <v>102</v>
      </c>
      <c r="B11" s="1135" t="s">
        <v>103</v>
      </c>
      <c r="C11" s="1131">
        <v>1768077.07</v>
      </c>
      <c r="D11" s="1122">
        <v>2466873.9</v>
      </c>
      <c r="E11" s="1122">
        <v>0</v>
      </c>
      <c r="F11" s="1122">
        <v>2466873.9</v>
      </c>
      <c r="G11" s="1123">
        <v>3.1</v>
      </c>
      <c r="H11" s="1123">
        <v>139.5</v>
      </c>
      <c r="I11" s="1138">
        <v>9.6999999999999993</v>
      </c>
    </row>
    <row r="12" spans="1:9">
      <c r="A12" s="1124" t="s">
        <v>104</v>
      </c>
      <c r="B12" s="1135" t="s">
        <v>105</v>
      </c>
      <c r="C12" s="1131">
        <v>2045884.87</v>
      </c>
      <c r="D12" s="1122">
        <v>2733950.48</v>
      </c>
      <c r="E12" s="1122">
        <v>0</v>
      </c>
      <c r="F12" s="1122">
        <v>2733950.48</v>
      </c>
      <c r="G12" s="1123">
        <v>3.4</v>
      </c>
      <c r="H12" s="1123">
        <v>133.6</v>
      </c>
      <c r="I12" s="1138">
        <v>3.6</v>
      </c>
    </row>
    <row r="13" spans="1:9">
      <c r="A13" s="1124" t="s">
        <v>106</v>
      </c>
      <c r="B13" s="1135" t="s">
        <v>107</v>
      </c>
      <c r="C13" s="1131">
        <v>4096248.06</v>
      </c>
      <c r="D13" s="1122">
        <v>4180298.05</v>
      </c>
      <c r="E13" s="1122">
        <v>0</v>
      </c>
      <c r="F13" s="1122">
        <v>4180298.05</v>
      </c>
      <c r="G13" s="1123">
        <v>5.2</v>
      </c>
      <c r="H13" s="1123">
        <v>102.1</v>
      </c>
      <c r="I13" s="1138">
        <v>4.2</v>
      </c>
    </row>
    <row r="14" spans="1:9">
      <c r="A14" s="1124" t="s">
        <v>108</v>
      </c>
      <c r="B14" s="1135" t="s">
        <v>109</v>
      </c>
      <c r="C14" s="1131">
        <v>15930969.41</v>
      </c>
      <c r="D14" s="1122">
        <v>17622075.57</v>
      </c>
      <c r="E14" s="1122">
        <v>0</v>
      </c>
      <c r="F14" s="1122">
        <v>17622075.57</v>
      </c>
      <c r="G14" s="1123">
        <v>22</v>
      </c>
      <c r="H14" s="1123">
        <v>110.6</v>
      </c>
      <c r="I14" s="1138">
        <v>7.7</v>
      </c>
    </row>
    <row r="15" spans="1:9">
      <c r="A15" s="1124" t="s">
        <v>110</v>
      </c>
      <c r="B15" s="1135" t="s">
        <v>111</v>
      </c>
      <c r="C15" s="1131">
        <v>3975286.17</v>
      </c>
      <c r="D15" s="1122">
        <v>3065110.87</v>
      </c>
      <c r="E15" s="1122">
        <v>2269596</v>
      </c>
      <c r="F15" s="1122">
        <v>795514.87</v>
      </c>
      <c r="G15" s="1123">
        <v>3.8</v>
      </c>
      <c r="H15" s="1123">
        <v>77.099999999999994</v>
      </c>
      <c r="I15" s="1138">
        <v>24.4</v>
      </c>
    </row>
    <row r="16" spans="1:9">
      <c r="A16" s="1124" t="s">
        <v>112</v>
      </c>
      <c r="B16" s="1135" t="s">
        <v>113</v>
      </c>
      <c r="C16" s="1131">
        <v>1440643.76</v>
      </c>
      <c r="D16" s="1122">
        <v>2247008.14</v>
      </c>
      <c r="E16" s="1122">
        <v>0</v>
      </c>
      <c r="F16" s="1122">
        <v>2247008.14</v>
      </c>
      <c r="G16" s="1123">
        <v>2.8</v>
      </c>
      <c r="H16" s="1123">
        <v>156</v>
      </c>
      <c r="I16" s="1138">
        <v>6.6</v>
      </c>
    </row>
    <row r="17" spans="1:9">
      <c r="A17" s="1124" t="s">
        <v>114</v>
      </c>
      <c r="B17" s="1135" t="s">
        <v>115</v>
      </c>
      <c r="C17" s="1131">
        <v>4266696.1100000003</v>
      </c>
      <c r="D17" s="1122">
        <v>4770836.99</v>
      </c>
      <c r="E17" s="1122">
        <v>0</v>
      </c>
      <c r="F17" s="1122">
        <v>4770836.99</v>
      </c>
      <c r="G17" s="1123">
        <v>6</v>
      </c>
      <c r="H17" s="1123">
        <v>111.8</v>
      </c>
      <c r="I17" s="1138">
        <v>11.4</v>
      </c>
    </row>
    <row r="18" spans="1:9">
      <c r="A18" s="1124" t="s">
        <v>116</v>
      </c>
      <c r="B18" s="1135" t="s">
        <v>117</v>
      </c>
      <c r="C18" s="1131">
        <v>7261977.25</v>
      </c>
      <c r="D18" s="1122">
        <v>8469155.5800000001</v>
      </c>
      <c r="E18" s="1122">
        <v>0</v>
      </c>
      <c r="F18" s="1122">
        <v>8469155.5800000001</v>
      </c>
      <c r="G18" s="1123">
        <v>10.6</v>
      </c>
      <c r="H18" s="1123">
        <v>116.6</v>
      </c>
      <c r="I18" s="1138">
        <v>10</v>
      </c>
    </row>
    <row r="19" spans="1:9">
      <c r="A19" s="1124" t="s">
        <v>118</v>
      </c>
      <c r="B19" s="1135" t="s">
        <v>119</v>
      </c>
      <c r="C19" s="1131">
        <v>12113839.619999999</v>
      </c>
      <c r="D19" s="1122">
        <v>12336297.060000001</v>
      </c>
      <c r="E19" s="1122">
        <v>0</v>
      </c>
      <c r="F19" s="1122">
        <v>12336297.060000001</v>
      </c>
      <c r="G19" s="1123">
        <v>15.4</v>
      </c>
      <c r="H19" s="1123">
        <v>101.8</v>
      </c>
      <c r="I19" s="1138">
        <v>5.3</v>
      </c>
    </row>
    <row r="20" spans="1:9">
      <c r="A20" s="1124" t="s">
        <v>120</v>
      </c>
      <c r="B20" s="1135" t="s">
        <v>121</v>
      </c>
      <c r="C20" s="1131">
        <v>335388.23</v>
      </c>
      <c r="D20" s="1122">
        <v>431508.02</v>
      </c>
      <c r="E20" s="1122">
        <v>0</v>
      </c>
      <c r="F20" s="1122">
        <v>431508.02</v>
      </c>
      <c r="G20" s="1123">
        <v>0.5</v>
      </c>
      <c r="H20" s="1123">
        <v>128.69999999999999</v>
      </c>
      <c r="I20" s="1138">
        <v>2.4</v>
      </c>
    </row>
    <row r="21" spans="1:9">
      <c r="A21" s="1124" t="s">
        <v>122</v>
      </c>
      <c r="B21" s="1135" t="s">
        <v>123</v>
      </c>
      <c r="C21" s="1131">
        <v>1625468.52</v>
      </c>
      <c r="D21" s="1122">
        <v>1806397.76</v>
      </c>
      <c r="E21" s="1122">
        <v>0</v>
      </c>
      <c r="F21" s="1122">
        <v>1806397.76</v>
      </c>
      <c r="G21" s="1123">
        <v>2.2999999999999998</v>
      </c>
      <c r="H21" s="1123">
        <v>111.1</v>
      </c>
      <c r="I21" s="1138">
        <v>6.5</v>
      </c>
    </row>
    <row r="22" spans="1:9">
      <c r="A22" s="1124" t="s">
        <v>124</v>
      </c>
      <c r="B22" s="1135" t="s">
        <v>125</v>
      </c>
      <c r="C22" s="1131">
        <v>1909975.76</v>
      </c>
      <c r="D22" s="1122">
        <v>2240017.62</v>
      </c>
      <c r="E22" s="1122">
        <v>0</v>
      </c>
      <c r="F22" s="1122">
        <v>2240017.62</v>
      </c>
      <c r="G22" s="1123">
        <v>2.8</v>
      </c>
      <c r="H22" s="1123">
        <v>117.3</v>
      </c>
      <c r="I22" s="1138">
        <v>3</v>
      </c>
    </row>
    <row r="23" spans="1:9">
      <c r="A23" s="1125" t="s">
        <v>126</v>
      </c>
      <c r="B23" s="1136" t="s">
        <v>127</v>
      </c>
      <c r="C23" s="1132">
        <v>1222535.56</v>
      </c>
      <c r="D23" s="1126">
        <v>2068539.78</v>
      </c>
      <c r="E23" s="1126">
        <v>0</v>
      </c>
      <c r="F23" s="1126">
        <v>2068539.78</v>
      </c>
      <c r="G23" s="1127">
        <v>2.6</v>
      </c>
      <c r="H23" s="1127">
        <v>169.2</v>
      </c>
      <c r="I23" s="1139">
        <v>3.9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A1:I1"/>
    <mergeCell ref="A3:A5"/>
    <mergeCell ref="B3:B5"/>
    <mergeCell ref="E3:F3"/>
    <mergeCell ref="G3:G4"/>
    <mergeCell ref="I3:I4"/>
    <mergeCell ref="C5:F5"/>
    <mergeCell ref="G5:H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110B-F5B0-46BC-B5B8-92AA82A6CF61}">
  <dimension ref="A1:L42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5.21875" customWidth="1"/>
    <col min="2" max="2" width="23.5546875" customWidth="1"/>
    <col min="3" max="5" width="11.77734375" bestFit="1" customWidth="1"/>
    <col min="6" max="6" width="6.5546875" bestFit="1" customWidth="1"/>
    <col min="7" max="7" width="7.77734375" customWidth="1"/>
    <col min="8" max="9" width="10.77734375" bestFit="1" customWidth="1"/>
    <col min="10" max="11" width="6.5546875" bestFit="1" customWidth="1"/>
  </cols>
  <sheetData>
    <row r="1" spans="1:12" ht="36.75" customHeight="1">
      <c r="A1" s="2214" t="s">
        <v>1025</v>
      </c>
      <c r="B1" s="2214"/>
      <c r="C1" s="2214"/>
      <c r="D1" s="2214"/>
      <c r="E1" s="2214"/>
      <c r="F1" s="2214"/>
      <c r="G1" s="2214"/>
      <c r="H1" s="2214"/>
      <c r="I1" s="2214"/>
      <c r="J1" s="2214"/>
      <c r="K1" s="2214"/>
    </row>
    <row r="3" spans="1:12">
      <c r="A3" s="2138" t="s">
        <v>0</v>
      </c>
      <c r="B3" s="2140" t="s">
        <v>1</v>
      </c>
      <c r="C3" s="2446" t="s">
        <v>129</v>
      </c>
      <c r="D3" s="2446"/>
      <c r="E3" s="2446"/>
      <c r="F3" s="2446"/>
      <c r="G3" s="2392"/>
      <c r="H3" s="2224" t="s">
        <v>130</v>
      </c>
      <c r="I3" s="2224"/>
      <c r="J3" s="2224"/>
      <c r="K3" s="170" t="s">
        <v>131</v>
      </c>
    </row>
    <row r="4" spans="1:12" ht="24">
      <c r="A4" s="2139"/>
      <c r="B4" s="2141"/>
      <c r="C4" s="792" t="s">
        <v>843</v>
      </c>
      <c r="D4" s="626" t="s">
        <v>916</v>
      </c>
      <c r="E4" s="625" t="s">
        <v>917</v>
      </c>
      <c r="F4" s="231" t="s">
        <v>7</v>
      </c>
      <c r="G4" s="231" t="s">
        <v>8</v>
      </c>
      <c r="H4" s="169" t="s">
        <v>3</v>
      </c>
      <c r="I4" s="169" t="s">
        <v>2</v>
      </c>
      <c r="J4" s="231" t="s">
        <v>845</v>
      </c>
      <c r="K4" s="230" t="s">
        <v>846</v>
      </c>
    </row>
    <row r="5" spans="1:12">
      <c r="A5" s="2139"/>
      <c r="B5" s="2141"/>
      <c r="C5" s="2447" t="s">
        <v>93</v>
      </c>
      <c r="D5" s="2447"/>
      <c r="E5" s="2448"/>
      <c r="F5" s="169" t="s">
        <v>134</v>
      </c>
      <c r="G5" s="169" t="s">
        <v>134</v>
      </c>
      <c r="H5" s="2226" t="s">
        <v>93</v>
      </c>
      <c r="I5" s="2226"/>
      <c r="J5" s="2226" t="s">
        <v>134</v>
      </c>
      <c r="K5" s="2227"/>
    </row>
    <row r="6" spans="1:12">
      <c r="A6" s="367" t="s">
        <v>10</v>
      </c>
      <c r="B6" s="369" t="s">
        <v>11</v>
      </c>
      <c r="C6" s="370" t="s">
        <v>12</v>
      </c>
      <c r="D6" s="166" t="s">
        <v>13</v>
      </c>
      <c r="E6" s="167" t="s">
        <v>14</v>
      </c>
      <c r="F6" s="167" t="s">
        <v>15</v>
      </c>
      <c r="G6" s="167" t="s">
        <v>16</v>
      </c>
      <c r="H6" s="167" t="s">
        <v>17</v>
      </c>
      <c r="I6" s="167" t="s">
        <v>94</v>
      </c>
      <c r="J6" s="167" t="s">
        <v>150</v>
      </c>
      <c r="K6" s="168" t="s">
        <v>170</v>
      </c>
    </row>
    <row r="7" spans="1:12">
      <c r="A7" s="1150"/>
      <c r="B7" s="1147" t="s">
        <v>151</v>
      </c>
      <c r="C7" s="1146">
        <v>2799792237.6999998</v>
      </c>
      <c r="D7" s="1156">
        <v>3732993408.9400001</v>
      </c>
      <c r="E7" s="1146">
        <v>3025604649.6700001</v>
      </c>
      <c r="F7" s="1153">
        <v>81.099999999999994</v>
      </c>
      <c r="G7" s="1153">
        <v>108.1</v>
      </c>
      <c r="H7" s="1146">
        <v>989211358.53999996</v>
      </c>
      <c r="I7" s="1146">
        <v>785858518.61000013</v>
      </c>
      <c r="J7" s="1153">
        <v>79.400000000000006</v>
      </c>
      <c r="K7" s="1157">
        <v>26</v>
      </c>
      <c r="L7" s="1726"/>
    </row>
    <row r="8" spans="1:12">
      <c r="A8" s="1142" t="s">
        <v>19</v>
      </c>
      <c r="B8" s="1148" t="s">
        <v>20</v>
      </c>
      <c r="C8" s="1140">
        <v>16769655.550000001</v>
      </c>
      <c r="D8" s="1154">
        <v>7015236</v>
      </c>
      <c r="E8" s="1140">
        <v>7859072.8700000001</v>
      </c>
      <c r="F8" s="1152">
        <v>112</v>
      </c>
      <c r="G8" s="1152">
        <v>46.9</v>
      </c>
      <c r="H8" s="1141">
        <v>0</v>
      </c>
      <c r="I8" s="1141">
        <v>0</v>
      </c>
      <c r="J8" s="1141" t="s">
        <v>135</v>
      </c>
      <c r="K8" s="1158">
        <v>0</v>
      </c>
      <c r="L8" s="1726"/>
    </row>
    <row r="9" spans="1:12">
      <c r="A9" s="1142" t="s">
        <v>21</v>
      </c>
      <c r="B9" s="1148" t="s">
        <v>22</v>
      </c>
      <c r="C9" s="1140">
        <v>0</v>
      </c>
      <c r="D9" s="1154">
        <v>0</v>
      </c>
      <c r="E9" s="1140">
        <v>0</v>
      </c>
      <c r="F9" s="2065" t="s">
        <v>936</v>
      </c>
      <c r="G9" s="2065" t="s">
        <v>936</v>
      </c>
      <c r="H9" s="1141">
        <v>0</v>
      </c>
      <c r="I9" s="1141">
        <v>0</v>
      </c>
      <c r="J9" s="2048" t="s">
        <v>936</v>
      </c>
      <c r="K9" s="2064" t="s">
        <v>936</v>
      </c>
      <c r="L9" s="1726"/>
    </row>
    <row r="10" spans="1:12">
      <c r="A10" s="1142" t="s">
        <v>23</v>
      </c>
      <c r="B10" s="1148" t="s">
        <v>24</v>
      </c>
      <c r="C10" s="1140">
        <v>0</v>
      </c>
      <c r="D10" s="1154">
        <v>0</v>
      </c>
      <c r="E10" s="1140">
        <v>0</v>
      </c>
      <c r="F10" s="2065" t="s">
        <v>936</v>
      </c>
      <c r="G10" s="2065" t="s">
        <v>936</v>
      </c>
      <c r="H10" s="1141">
        <v>0</v>
      </c>
      <c r="I10" s="1141">
        <v>0</v>
      </c>
      <c r="J10" s="2048" t="s">
        <v>936</v>
      </c>
      <c r="K10" s="2064" t="s">
        <v>936</v>
      </c>
      <c r="L10" s="1726"/>
    </row>
    <row r="11" spans="1:12">
      <c r="A11" s="1142" t="s">
        <v>25</v>
      </c>
      <c r="B11" s="1148" t="s">
        <v>26</v>
      </c>
      <c r="C11" s="1140">
        <v>0</v>
      </c>
      <c r="D11" s="1154">
        <v>0</v>
      </c>
      <c r="E11" s="1140">
        <v>0</v>
      </c>
      <c r="F11" s="2065" t="s">
        <v>936</v>
      </c>
      <c r="G11" s="2065" t="s">
        <v>936</v>
      </c>
      <c r="H11" s="1141">
        <v>0</v>
      </c>
      <c r="I11" s="1141">
        <v>0</v>
      </c>
      <c r="J11" s="2048" t="s">
        <v>936</v>
      </c>
      <c r="K11" s="2064" t="s">
        <v>936</v>
      </c>
      <c r="L11" s="1726"/>
    </row>
    <row r="12" spans="1:12">
      <c r="A12" s="1142" t="s">
        <v>27</v>
      </c>
      <c r="B12" s="1148" t="s">
        <v>28</v>
      </c>
      <c r="C12" s="1140">
        <v>340941.69</v>
      </c>
      <c r="D12" s="1154">
        <v>352011</v>
      </c>
      <c r="E12" s="1140">
        <v>352010.55</v>
      </c>
      <c r="F12" s="1152">
        <v>100</v>
      </c>
      <c r="G12" s="1152">
        <v>103.2</v>
      </c>
      <c r="H12" s="1141">
        <v>0</v>
      </c>
      <c r="I12" s="1141">
        <v>0</v>
      </c>
      <c r="J12" s="1141" t="s">
        <v>936</v>
      </c>
      <c r="K12" s="1158">
        <v>0</v>
      </c>
      <c r="L12" s="1726"/>
    </row>
    <row r="13" spans="1:12" ht="26.4">
      <c r="A13" s="1142" t="s">
        <v>29</v>
      </c>
      <c r="B13" s="1148" t="s">
        <v>30</v>
      </c>
      <c r="C13" s="1140">
        <v>518087.47</v>
      </c>
      <c r="D13" s="1154">
        <v>339115</v>
      </c>
      <c r="E13" s="1140">
        <v>370654.15</v>
      </c>
      <c r="F13" s="1152">
        <v>109.3</v>
      </c>
      <c r="G13" s="1152">
        <v>71.5</v>
      </c>
      <c r="H13" s="1141">
        <v>121600</v>
      </c>
      <c r="I13" s="1141">
        <v>153138.95000000001</v>
      </c>
      <c r="J13" s="1141">
        <v>125.9</v>
      </c>
      <c r="K13" s="1158">
        <v>41.3</v>
      </c>
      <c r="L13" s="1726"/>
    </row>
    <row r="14" spans="1:12">
      <c r="A14" s="1142" t="s">
        <v>31</v>
      </c>
      <c r="B14" s="1148" t="s">
        <v>32</v>
      </c>
      <c r="C14" s="1140">
        <v>0</v>
      </c>
      <c r="D14" s="1154">
        <v>0</v>
      </c>
      <c r="E14" s="1140">
        <v>0</v>
      </c>
      <c r="F14" s="2065" t="s">
        <v>936</v>
      </c>
      <c r="G14" s="2065" t="s">
        <v>936</v>
      </c>
      <c r="H14" s="1141">
        <v>0</v>
      </c>
      <c r="I14" s="1141">
        <v>0</v>
      </c>
      <c r="J14" s="2048" t="s">
        <v>936</v>
      </c>
      <c r="K14" s="2064" t="s">
        <v>936</v>
      </c>
      <c r="L14" s="1726"/>
    </row>
    <row r="15" spans="1:12">
      <c r="A15" s="1142" t="s">
        <v>33</v>
      </c>
      <c r="B15" s="1148" t="s">
        <v>34</v>
      </c>
      <c r="C15" s="1140">
        <v>0</v>
      </c>
      <c r="D15" s="1154">
        <v>0</v>
      </c>
      <c r="E15" s="1140">
        <v>0</v>
      </c>
      <c r="F15" s="2065" t="s">
        <v>936</v>
      </c>
      <c r="G15" s="2065" t="s">
        <v>936</v>
      </c>
      <c r="H15" s="1141">
        <v>0</v>
      </c>
      <c r="I15" s="1141">
        <v>0</v>
      </c>
      <c r="J15" s="2048" t="s">
        <v>936</v>
      </c>
      <c r="K15" s="2064" t="s">
        <v>936</v>
      </c>
      <c r="L15" s="1726"/>
    </row>
    <row r="16" spans="1:12">
      <c r="A16" s="1142" t="s">
        <v>35</v>
      </c>
      <c r="B16" s="1148" t="s">
        <v>36</v>
      </c>
      <c r="C16" s="1140">
        <v>1665862995.1700001</v>
      </c>
      <c r="D16" s="1154">
        <v>1376848142.55</v>
      </c>
      <c r="E16" s="1140">
        <v>1310874005.1900001</v>
      </c>
      <c r="F16" s="1152">
        <v>95.2</v>
      </c>
      <c r="G16" s="1152">
        <v>78.7</v>
      </c>
      <c r="H16" s="1141">
        <v>15517393.909999847</v>
      </c>
      <c r="I16" s="1141">
        <v>14015923.789999962</v>
      </c>
      <c r="J16" s="1141">
        <v>90.3</v>
      </c>
      <c r="K16" s="1158">
        <v>1.1000000000000001</v>
      </c>
      <c r="L16" s="1726"/>
    </row>
    <row r="17" spans="1:12">
      <c r="A17" s="1142" t="s">
        <v>37</v>
      </c>
      <c r="B17" s="1148" t="s">
        <v>38</v>
      </c>
      <c r="C17" s="1140">
        <v>17437261.48</v>
      </c>
      <c r="D17" s="1154">
        <v>1127565</v>
      </c>
      <c r="E17" s="1140">
        <v>446684.56</v>
      </c>
      <c r="F17" s="1152">
        <v>39.6</v>
      </c>
      <c r="G17" s="1152">
        <v>2.6</v>
      </c>
      <c r="H17" s="1141">
        <v>665064</v>
      </c>
      <c r="I17" s="1141">
        <v>361064.86</v>
      </c>
      <c r="J17" s="1141">
        <v>54.3</v>
      </c>
      <c r="K17" s="1158">
        <v>80.8</v>
      </c>
      <c r="L17" s="1726"/>
    </row>
    <row r="18" spans="1:12">
      <c r="A18" s="1142" t="s">
        <v>39</v>
      </c>
      <c r="B18" s="1148" t="s">
        <v>40</v>
      </c>
      <c r="C18" s="1140">
        <v>107881873.23999999</v>
      </c>
      <c r="D18" s="1154">
        <v>120433109.92</v>
      </c>
      <c r="E18" s="1140">
        <v>84796213.640000001</v>
      </c>
      <c r="F18" s="1152">
        <v>70.400000000000006</v>
      </c>
      <c r="G18" s="1152">
        <v>78.599999999999994</v>
      </c>
      <c r="H18" s="1141">
        <v>1569670.5900000036</v>
      </c>
      <c r="I18" s="1141">
        <v>1391032.9300000072</v>
      </c>
      <c r="J18" s="1141">
        <v>88.6</v>
      </c>
      <c r="K18" s="1158">
        <v>1.6</v>
      </c>
      <c r="L18" s="1726"/>
    </row>
    <row r="19" spans="1:12">
      <c r="A19" s="1142" t="s">
        <v>41</v>
      </c>
      <c r="B19" s="1148" t="s">
        <v>42</v>
      </c>
      <c r="C19" s="1140">
        <v>43714337.289999999</v>
      </c>
      <c r="D19" s="1154">
        <v>58423436.240000002</v>
      </c>
      <c r="E19" s="1140">
        <v>43704265.009999998</v>
      </c>
      <c r="F19" s="1152">
        <v>74.8</v>
      </c>
      <c r="G19" s="1152">
        <v>100</v>
      </c>
      <c r="H19" s="1141">
        <v>16013831.359999999</v>
      </c>
      <c r="I19" s="1141">
        <v>12607986.259999998</v>
      </c>
      <c r="J19" s="1141">
        <v>78.7</v>
      </c>
      <c r="K19" s="1158">
        <v>28.8</v>
      </c>
      <c r="L19" s="1726"/>
    </row>
    <row r="20" spans="1:12">
      <c r="A20" s="1142" t="s">
        <v>43</v>
      </c>
      <c r="B20" s="1148" t="s">
        <v>44</v>
      </c>
      <c r="C20" s="1140">
        <v>5822052.1600000001</v>
      </c>
      <c r="D20" s="1154">
        <v>4782983.74</v>
      </c>
      <c r="E20" s="1140">
        <v>3291493.96</v>
      </c>
      <c r="F20" s="1152">
        <v>68.8</v>
      </c>
      <c r="G20" s="1152">
        <v>56.5</v>
      </c>
      <c r="H20" s="1141">
        <v>1042044.4400000004</v>
      </c>
      <c r="I20" s="1141">
        <v>780278.96</v>
      </c>
      <c r="J20" s="1141">
        <v>74.900000000000006</v>
      </c>
      <c r="K20" s="1158">
        <v>23.7</v>
      </c>
      <c r="L20" s="1726"/>
    </row>
    <row r="21" spans="1:12">
      <c r="A21" s="1142" t="s">
        <v>45</v>
      </c>
      <c r="B21" s="1148" t="s">
        <v>46</v>
      </c>
      <c r="C21" s="1140">
        <v>1108728.3799999999</v>
      </c>
      <c r="D21" s="1154">
        <v>4529649</v>
      </c>
      <c r="E21" s="1140">
        <v>2535356.4300000002</v>
      </c>
      <c r="F21" s="1152">
        <v>56</v>
      </c>
      <c r="G21" s="1152">
        <v>228.7</v>
      </c>
      <c r="H21" s="1141">
        <v>4529649</v>
      </c>
      <c r="I21" s="1141">
        <v>2535356.4300000002</v>
      </c>
      <c r="J21" s="1141">
        <v>56</v>
      </c>
      <c r="K21" s="1158">
        <v>100</v>
      </c>
      <c r="L21" s="1726"/>
    </row>
    <row r="22" spans="1:12">
      <c r="A22" s="1142" t="s">
        <v>47</v>
      </c>
      <c r="B22" s="1148" t="s">
        <v>48</v>
      </c>
      <c r="C22" s="1140">
        <v>77075128.640000001</v>
      </c>
      <c r="D22" s="1154">
        <v>89517878.959999993</v>
      </c>
      <c r="E22" s="1140">
        <v>68100177.159999996</v>
      </c>
      <c r="F22" s="1152">
        <v>76.099999999999994</v>
      </c>
      <c r="G22" s="1152">
        <v>88.4</v>
      </c>
      <c r="H22" s="1141">
        <v>41413872.479999997</v>
      </c>
      <c r="I22" s="1141">
        <v>35435553.339999996</v>
      </c>
      <c r="J22" s="1141">
        <v>85.6</v>
      </c>
      <c r="K22" s="1158">
        <v>52</v>
      </c>
      <c r="L22" s="1726"/>
    </row>
    <row r="23" spans="1:12" ht="39.6">
      <c r="A23" s="1142" t="s">
        <v>49</v>
      </c>
      <c r="B23" s="1148" t="s">
        <v>50</v>
      </c>
      <c r="C23" s="1140">
        <v>0</v>
      </c>
      <c r="D23" s="1154">
        <v>0</v>
      </c>
      <c r="E23" s="1140">
        <v>0</v>
      </c>
      <c r="F23" s="2065" t="s">
        <v>936</v>
      </c>
      <c r="G23" s="2065" t="s">
        <v>936</v>
      </c>
      <c r="H23" s="1141">
        <v>0</v>
      </c>
      <c r="I23" s="1141">
        <v>0</v>
      </c>
      <c r="J23" s="2048" t="s">
        <v>936</v>
      </c>
      <c r="K23" s="2064" t="s">
        <v>936</v>
      </c>
      <c r="L23" s="1726"/>
    </row>
    <row r="24" spans="1:12">
      <c r="A24" s="1142" t="s">
        <v>51</v>
      </c>
      <c r="B24" s="1148" t="s">
        <v>52</v>
      </c>
      <c r="C24" s="1140">
        <v>0</v>
      </c>
      <c r="D24" s="1154">
        <v>0</v>
      </c>
      <c r="E24" s="1140">
        <v>0</v>
      </c>
      <c r="F24" s="2065" t="s">
        <v>936</v>
      </c>
      <c r="G24" s="2065" t="s">
        <v>936</v>
      </c>
      <c r="H24" s="1141">
        <v>0</v>
      </c>
      <c r="I24" s="1141">
        <v>0</v>
      </c>
      <c r="J24" s="2048" t="s">
        <v>936</v>
      </c>
      <c r="K24" s="2064" t="s">
        <v>936</v>
      </c>
      <c r="L24" s="1726"/>
    </row>
    <row r="25" spans="1:12" ht="26.4">
      <c r="A25" s="1142" t="s">
        <v>53</v>
      </c>
      <c r="B25" s="1148" t="s">
        <v>54</v>
      </c>
      <c r="C25" s="1140">
        <v>0</v>
      </c>
      <c r="D25" s="1154">
        <v>0</v>
      </c>
      <c r="E25" s="1140">
        <v>0</v>
      </c>
      <c r="F25" s="2065" t="s">
        <v>936</v>
      </c>
      <c r="G25" s="2065" t="s">
        <v>936</v>
      </c>
      <c r="H25" s="1141">
        <v>0</v>
      </c>
      <c r="I25" s="1141">
        <v>0</v>
      </c>
      <c r="J25" s="2048" t="s">
        <v>936</v>
      </c>
      <c r="K25" s="2064" t="s">
        <v>936</v>
      </c>
      <c r="L25" s="1726"/>
    </row>
    <row r="26" spans="1:12" ht="26.4">
      <c r="A26" s="1142" t="s">
        <v>55</v>
      </c>
      <c r="B26" s="1148" t="s">
        <v>56</v>
      </c>
      <c r="C26" s="1140">
        <v>4802562.6500000004</v>
      </c>
      <c r="D26" s="1154">
        <v>8159643.8200000003</v>
      </c>
      <c r="E26" s="1140">
        <v>6615670.04</v>
      </c>
      <c r="F26" s="1152">
        <v>81.099999999999994</v>
      </c>
      <c r="G26" s="1152">
        <v>137.80000000000001</v>
      </c>
      <c r="H26" s="1141">
        <v>1570015.6100000003</v>
      </c>
      <c r="I26" s="1141">
        <v>1063446.3700000001</v>
      </c>
      <c r="J26" s="1141">
        <v>67.7</v>
      </c>
      <c r="K26" s="1158">
        <v>16.100000000000001</v>
      </c>
      <c r="L26" s="1726"/>
    </row>
    <row r="27" spans="1:12">
      <c r="A27" s="1142" t="s">
        <v>57</v>
      </c>
      <c r="B27" s="1148" t="s">
        <v>58</v>
      </c>
      <c r="C27" s="1140">
        <v>0</v>
      </c>
      <c r="D27" s="1154">
        <v>0</v>
      </c>
      <c r="E27" s="1140">
        <v>0</v>
      </c>
      <c r="F27" s="2065" t="s">
        <v>936</v>
      </c>
      <c r="G27" s="2065" t="s">
        <v>936</v>
      </c>
      <c r="H27" s="1141">
        <v>0</v>
      </c>
      <c r="I27" s="1141">
        <v>0</v>
      </c>
      <c r="J27" s="2048" t="s">
        <v>936</v>
      </c>
      <c r="K27" s="2064" t="s">
        <v>936</v>
      </c>
      <c r="L27" s="1726"/>
    </row>
    <row r="28" spans="1:12" ht="66">
      <c r="A28" s="1142" t="s">
        <v>59</v>
      </c>
      <c r="B28" s="1148" t="s">
        <v>60</v>
      </c>
      <c r="C28" s="1140">
        <v>0</v>
      </c>
      <c r="D28" s="1154">
        <v>0</v>
      </c>
      <c r="E28" s="1140">
        <v>0</v>
      </c>
      <c r="F28" s="2065" t="s">
        <v>936</v>
      </c>
      <c r="G28" s="2065" t="s">
        <v>936</v>
      </c>
      <c r="H28" s="1141">
        <v>0</v>
      </c>
      <c r="I28" s="1141">
        <v>0</v>
      </c>
      <c r="J28" s="2048" t="s">
        <v>936</v>
      </c>
      <c r="K28" s="2064" t="s">
        <v>936</v>
      </c>
      <c r="L28" s="1726"/>
    </row>
    <row r="29" spans="1:12">
      <c r="A29" s="1142" t="s">
        <v>61</v>
      </c>
      <c r="B29" s="1148" t="s">
        <v>62</v>
      </c>
      <c r="C29" s="1140">
        <v>0</v>
      </c>
      <c r="D29" s="1154">
        <v>0</v>
      </c>
      <c r="E29" s="1140">
        <v>0</v>
      </c>
      <c r="F29" s="2065" t="s">
        <v>936</v>
      </c>
      <c r="G29" s="2065" t="s">
        <v>936</v>
      </c>
      <c r="H29" s="1141">
        <v>0</v>
      </c>
      <c r="I29" s="1141">
        <v>0</v>
      </c>
      <c r="J29" s="2048" t="s">
        <v>936</v>
      </c>
      <c r="K29" s="2064" t="s">
        <v>936</v>
      </c>
      <c r="L29" s="1726"/>
    </row>
    <row r="30" spans="1:12">
      <c r="A30" s="1142" t="s">
        <v>63</v>
      </c>
      <c r="B30" s="1148" t="s">
        <v>64</v>
      </c>
      <c r="C30" s="1140">
        <v>67961826.450000003</v>
      </c>
      <c r="D30" s="1154">
        <v>463913452.32999998</v>
      </c>
      <c r="E30" s="1140">
        <v>399749093.41000003</v>
      </c>
      <c r="F30" s="1152">
        <v>86.2</v>
      </c>
      <c r="G30" s="1152">
        <v>588.20000000000005</v>
      </c>
      <c r="H30" s="1141">
        <v>56123174.109999955</v>
      </c>
      <c r="I30" s="1141">
        <v>36370667.520000041</v>
      </c>
      <c r="J30" s="1141">
        <v>64.8</v>
      </c>
      <c r="K30" s="1158">
        <v>9.1</v>
      </c>
      <c r="L30" s="1726"/>
    </row>
    <row r="31" spans="1:12">
      <c r="A31" s="1142" t="s">
        <v>65</v>
      </c>
      <c r="B31" s="1148" t="s">
        <v>66</v>
      </c>
      <c r="C31" s="1140">
        <v>338656239.92000002</v>
      </c>
      <c r="D31" s="1154">
        <v>711713260.30999994</v>
      </c>
      <c r="E31" s="1140">
        <v>520946168.01999998</v>
      </c>
      <c r="F31" s="1152">
        <v>73.2</v>
      </c>
      <c r="G31" s="1152">
        <v>153.80000000000001</v>
      </c>
      <c r="H31" s="1141">
        <v>469602187.13999999</v>
      </c>
      <c r="I31" s="1141">
        <v>396052418.17999995</v>
      </c>
      <c r="J31" s="1141">
        <v>84.3</v>
      </c>
      <c r="K31" s="1158">
        <v>76</v>
      </c>
      <c r="L31" s="1726"/>
    </row>
    <row r="32" spans="1:12">
      <c r="A32" s="1142" t="s">
        <v>67</v>
      </c>
      <c r="B32" s="1148" t="s">
        <v>68</v>
      </c>
      <c r="C32" s="1140">
        <v>5691441.6900000004</v>
      </c>
      <c r="D32" s="1154">
        <v>3767646</v>
      </c>
      <c r="E32" s="1140">
        <v>3740561.81</v>
      </c>
      <c r="F32" s="1152">
        <v>99.3</v>
      </c>
      <c r="G32" s="1152">
        <v>65.7</v>
      </c>
      <c r="H32" s="1141">
        <v>3767646</v>
      </c>
      <c r="I32" s="1141">
        <v>3740561.81</v>
      </c>
      <c r="J32" s="1141">
        <v>99.3</v>
      </c>
      <c r="K32" s="1158">
        <v>100</v>
      </c>
      <c r="L32" s="1726"/>
    </row>
    <row r="33" spans="1:12">
      <c r="A33" s="1142" t="s">
        <v>69</v>
      </c>
      <c r="B33" s="1148" t="s">
        <v>70</v>
      </c>
      <c r="C33" s="1140">
        <v>47353872.479999997</v>
      </c>
      <c r="D33" s="1154">
        <v>129200859.51000001</v>
      </c>
      <c r="E33" s="1140">
        <v>107797559.48</v>
      </c>
      <c r="F33" s="1152">
        <v>83.4</v>
      </c>
      <c r="G33" s="1152">
        <v>227.6</v>
      </c>
      <c r="H33" s="1141">
        <v>123889464.83000001</v>
      </c>
      <c r="I33" s="1141">
        <v>102749373.45</v>
      </c>
      <c r="J33" s="1141">
        <v>82.9</v>
      </c>
      <c r="K33" s="1158">
        <v>95.3</v>
      </c>
      <c r="L33" s="1726"/>
    </row>
    <row r="34" spans="1:12" ht="26.4">
      <c r="A34" s="1142" t="s">
        <v>71</v>
      </c>
      <c r="B34" s="1148" t="s">
        <v>72</v>
      </c>
      <c r="C34" s="1140">
        <v>35924759.810000002</v>
      </c>
      <c r="D34" s="1154">
        <v>176535126.06999999</v>
      </c>
      <c r="E34" s="1140">
        <v>114039924.83</v>
      </c>
      <c r="F34" s="1152">
        <v>64.599999999999994</v>
      </c>
      <c r="G34" s="1152">
        <v>317.39999999999998</v>
      </c>
      <c r="H34" s="1141">
        <v>141491385.01999998</v>
      </c>
      <c r="I34" s="1141">
        <v>106905189.33</v>
      </c>
      <c r="J34" s="1141">
        <v>75.599999999999994</v>
      </c>
      <c r="K34" s="1158">
        <v>93.7</v>
      </c>
      <c r="L34" s="1726"/>
    </row>
    <row r="35" spans="1:12">
      <c r="A35" s="1142" t="s">
        <v>73</v>
      </c>
      <c r="B35" s="1148" t="s">
        <v>74</v>
      </c>
      <c r="C35" s="1140">
        <v>3835948.6</v>
      </c>
      <c r="D35" s="1154">
        <v>1400390.89</v>
      </c>
      <c r="E35" s="1140">
        <v>1438497.5</v>
      </c>
      <c r="F35" s="1152">
        <v>102.7</v>
      </c>
      <c r="G35" s="1152">
        <v>37.5</v>
      </c>
      <c r="H35" s="1141">
        <v>1256203.8899999999</v>
      </c>
      <c r="I35" s="1141">
        <v>954834.94</v>
      </c>
      <c r="J35" s="1141">
        <v>76</v>
      </c>
      <c r="K35" s="1158">
        <v>66.400000000000006</v>
      </c>
      <c r="L35" s="1726"/>
    </row>
    <row r="36" spans="1:12">
      <c r="A36" s="1142" t="s">
        <v>75</v>
      </c>
      <c r="B36" s="1148" t="s">
        <v>76</v>
      </c>
      <c r="C36" s="1140">
        <v>28502106.289999999</v>
      </c>
      <c r="D36" s="1154">
        <v>79808390.870000005</v>
      </c>
      <c r="E36" s="1140">
        <v>71677235.599999994</v>
      </c>
      <c r="F36" s="1152">
        <v>89.8</v>
      </c>
      <c r="G36" s="1152">
        <v>251.5</v>
      </c>
      <c r="H36" s="1141">
        <v>50191908.460000008</v>
      </c>
      <c r="I36" s="1141">
        <v>42913728.129999995</v>
      </c>
      <c r="J36" s="1141">
        <v>85.5</v>
      </c>
      <c r="K36" s="1158">
        <v>59.9</v>
      </c>
      <c r="L36" s="1726"/>
    </row>
    <row r="37" spans="1:12" ht="26.4">
      <c r="A37" s="1142" t="s">
        <v>77</v>
      </c>
      <c r="B37" s="1148" t="s">
        <v>78</v>
      </c>
      <c r="C37" s="1140">
        <v>209146026.00999999</v>
      </c>
      <c r="D37" s="1154">
        <v>391187793.42000002</v>
      </c>
      <c r="E37" s="1140">
        <v>234225356.78999999</v>
      </c>
      <c r="F37" s="1152">
        <v>59.9</v>
      </c>
      <c r="G37" s="1152">
        <v>112</v>
      </c>
      <c r="H37" s="1141">
        <v>45946610.390000045</v>
      </c>
      <c r="I37" s="1141">
        <v>25010562.780000001</v>
      </c>
      <c r="J37" s="1141">
        <v>54.4</v>
      </c>
      <c r="K37" s="1158">
        <v>10.7</v>
      </c>
      <c r="L37" s="1726"/>
    </row>
    <row r="38" spans="1:12" ht="26.4">
      <c r="A38" s="1142" t="s">
        <v>79</v>
      </c>
      <c r="B38" s="1148" t="s">
        <v>80</v>
      </c>
      <c r="C38" s="1140">
        <v>77903590.629999995</v>
      </c>
      <c r="D38" s="1154">
        <v>94285059.010000005</v>
      </c>
      <c r="E38" s="1140">
        <v>35320731.57</v>
      </c>
      <c r="F38" s="1152">
        <v>37.5</v>
      </c>
      <c r="G38" s="1152">
        <v>45.3</v>
      </c>
      <c r="H38" s="1141">
        <v>13727650.310000002</v>
      </c>
      <c r="I38" s="1141">
        <v>2094846.6900000013</v>
      </c>
      <c r="J38" s="1141">
        <v>15.3</v>
      </c>
      <c r="K38" s="1158">
        <v>5.9</v>
      </c>
      <c r="L38" s="1726"/>
    </row>
    <row r="39" spans="1:12" ht="39.6">
      <c r="A39" s="1142" t="s">
        <v>81</v>
      </c>
      <c r="B39" s="1148" t="s">
        <v>82</v>
      </c>
      <c r="C39" s="1140">
        <v>14656837.32</v>
      </c>
      <c r="D39" s="1154">
        <v>3161826.84</v>
      </c>
      <c r="E39" s="1140">
        <v>2187019.23</v>
      </c>
      <c r="F39" s="1152">
        <v>69.2</v>
      </c>
      <c r="G39" s="1152">
        <v>14.9</v>
      </c>
      <c r="H39" s="1141">
        <v>2022</v>
      </c>
      <c r="I39" s="1141">
        <v>0</v>
      </c>
      <c r="J39" s="1141">
        <v>0</v>
      </c>
      <c r="K39" s="1158">
        <v>0</v>
      </c>
      <c r="L39" s="1726"/>
    </row>
    <row r="40" spans="1:12">
      <c r="A40" s="1143" t="s">
        <v>83</v>
      </c>
      <c r="B40" s="1149" t="s">
        <v>84</v>
      </c>
      <c r="C40" s="1144">
        <v>28825964.780000001</v>
      </c>
      <c r="D40" s="1155">
        <v>6490832.46</v>
      </c>
      <c r="E40" s="1144">
        <v>5536897.8700000001</v>
      </c>
      <c r="F40" s="1151">
        <v>85.3</v>
      </c>
      <c r="G40" s="1151">
        <v>19.2</v>
      </c>
      <c r="H40" s="1145">
        <v>769965</v>
      </c>
      <c r="I40" s="1145">
        <v>722553.88999999966</v>
      </c>
      <c r="J40" s="1145">
        <v>93.8</v>
      </c>
      <c r="K40" s="1159">
        <v>13</v>
      </c>
      <c r="L40" s="1726"/>
    </row>
    <row r="42" spans="1:12">
      <c r="A42" s="165" t="s">
        <v>908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</row>
  </sheetData>
  <mergeCells count="8">
    <mergeCell ref="A1:K1"/>
    <mergeCell ref="A3:A5"/>
    <mergeCell ref="B3:B5"/>
    <mergeCell ref="H3:J3"/>
    <mergeCell ref="H5:I5"/>
    <mergeCell ref="J5:K5"/>
    <mergeCell ref="C3:G3"/>
    <mergeCell ref="C5:E5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D861-A2AA-413E-9E04-1AB85D21832B}">
  <dimension ref="A1:L111"/>
  <sheetViews>
    <sheetView view="pageBreakPreview" topLeftCell="A80" zoomScaleNormal="100" zoomScaleSheetLayoutView="100" workbookViewId="0">
      <selection activeCell="F8" sqref="F8"/>
    </sheetView>
  </sheetViews>
  <sheetFormatPr defaultRowHeight="14.4"/>
  <cols>
    <col min="1" max="1" width="6.21875" customWidth="1"/>
    <col min="2" max="2" width="31.6640625" customWidth="1"/>
    <col min="3" max="3" width="12.5546875" bestFit="1" customWidth="1"/>
    <col min="4" max="5" width="11.77734375" bestFit="1" customWidth="1"/>
    <col min="6" max="7" width="6.5546875" bestFit="1" customWidth="1"/>
    <col min="8" max="9" width="11.77734375" bestFit="1" customWidth="1"/>
    <col min="10" max="11" width="6.5546875" bestFit="1" customWidth="1"/>
  </cols>
  <sheetData>
    <row r="1" spans="1:12">
      <c r="A1" s="445" t="s">
        <v>1026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>
      <c r="A3" s="2138" t="s">
        <v>0</v>
      </c>
      <c r="B3" s="2140" t="s">
        <v>1</v>
      </c>
      <c r="C3" s="2446" t="s">
        <v>129</v>
      </c>
      <c r="D3" s="2446"/>
      <c r="E3" s="2446"/>
      <c r="F3" s="2446"/>
      <c r="G3" s="2392"/>
      <c r="H3" s="2224" t="s">
        <v>130</v>
      </c>
      <c r="I3" s="2224"/>
      <c r="J3" s="2224"/>
      <c r="K3" s="176" t="s">
        <v>131</v>
      </c>
    </row>
    <row r="4" spans="1:12" ht="24">
      <c r="A4" s="2139"/>
      <c r="B4" s="2141"/>
      <c r="C4" s="626" t="s">
        <v>843</v>
      </c>
      <c r="D4" s="792" t="s">
        <v>916</v>
      </c>
      <c r="E4" s="625" t="s">
        <v>917</v>
      </c>
      <c r="F4" s="231" t="s">
        <v>7</v>
      </c>
      <c r="G4" s="231" t="s">
        <v>8</v>
      </c>
      <c r="H4" s="175" t="s">
        <v>3</v>
      </c>
      <c r="I4" s="175" t="s">
        <v>2</v>
      </c>
      <c r="J4" s="231" t="s">
        <v>845</v>
      </c>
      <c r="K4" s="230" t="s">
        <v>846</v>
      </c>
    </row>
    <row r="5" spans="1:12">
      <c r="A5" s="2139"/>
      <c r="B5" s="2141"/>
      <c r="C5" s="2447" t="s">
        <v>93</v>
      </c>
      <c r="D5" s="2447"/>
      <c r="E5" s="2448"/>
      <c r="F5" s="175" t="s">
        <v>134</v>
      </c>
      <c r="G5" s="175" t="s">
        <v>134</v>
      </c>
      <c r="H5" s="2226" t="s">
        <v>93</v>
      </c>
      <c r="I5" s="2226"/>
      <c r="J5" s="2226" t="s">
        <v>134</v>
      </c>
      <c r="K5" s="2227"/>
    </row>
    <row r="6" spans="1:12">
      <c r="A6" s="367" t="s">
        <v>10</v>
      </c>
      <c r="B6" s="369" t="s">
        <v>11</v>
      </c>
      <c r="C6" s="367" t="s">
        <v>12</v>
      </c>
      <c r="D6" s="370" t="s">
        <v>13</v>
      </c>
      <c r="E6" s="173" t="s">
        <v>14</v>
      </c>
      <c r="F6" s="173" t="s">
        <v>15</v>
      </c>
      <c r="G6" s="173" t="s">
        <v>16</v>
      </c>
      <c r="H6" s="173" t="s">
        <v>17</v>
      </c>
      <c r="I6" s="173" t="s">
        <v>94</v>
      </c>
      <c r="J6" s="173" t="s">
        <v>150</v>
      </c>
      <c r="K6" s="174" t="s">
        <v>170</v>
      </c>
    </row>
    <row r="7" spans="1:12">
      <c r="A7" s="1170"/>
      <c r="B7" s="1167" t="s">
        <v>151</v>
      </c>
      <c r="C7" s="1166">
        <v>7994246000.4099998</v>
      </c>
      <c r="D7" s="1175">
        <v>8718498785.9699993</v>
      </c>
      <c r="E7" s="1166">
        <v>8640781713.2999992</v>
      </c>
      <c r="F7" s="1484">
        <v>99.1</v>
      </c>
      <c r="G7" s="1484">
        <v>108.1</v>
      </c>
      <c r="H7" s="1166">
        <v>8292089186.8499994</v>
      </c>
      <c r="I7" s="1166">
        <v>8246917006.0499992</v>
      </c>
      <c r="J7" s="1172">
        <v>99.5</v>
      </c>
      <c r="K7" s="1176">
        <v>95.4</v>
      </c>
      <c r="L7" s="1726"/>
    </row>
    <row r="8" spans="1:12">
      <c r="A8" s="1170"/>
      <c r="B8" s="1167" t="s">
        <v>153</v>
      </c>
      <c r="C8" s="1166">
        <v>5535361585.9099998</v>
      </c>
      <c r="D8" s="1175">
        <v>5609739645.8699999</v>
      </c>
      <c r="E8" s="1166">
        <v>5565282905.6999998</v>
      </c>
      <c r="F8" s="1172">
        <v>99.2</v>
      </c>
      <c r="G8" s="1172">
        <v>100.5</v>
      </c>
      <c r="H8" s="1166">
        <v>5503070103.4700003</v>
      </c>
      <c r="I8" s="1166">
        <v>5474456623.29</v>
      </c>
      <c r="J8" s="1172">
        <v>99.5</v>
      </c>
      <c r="K8" s="1176">
        <v>98.4</v>
      </c>
      <c r="L8" s="1726"/>
    </row>
    <row r="9" spans="1:12">
      <c r="A9" s="1162" t="s">
        <v>19</v>
      </c>
      <c r="B9" s="1168" t="s">
        <v>20</v>
      </c>
      <c r="C9" s="1160">
        <v>6900382.1100000003</v>
      </c>
      <c r="D9" s="1173">
        <v>6596407.96</v>
      </c>
      <c r="E9" s="1160">
        <v>6592782.2699999996</v>
      </c>
      <c r="F9" s="1171">
        <v>99.9</v>
      </c>
      <c r="G9" s="1171">
        <v>95.5</v>
      </c>
      <c r="H9" s="1161">
        <v>6596407.96</v>
      </c>
      <c r="I9" s="1161">
        <v>6592782.2699999996</v>
      </c>
      <c r="J9" s="1161">
        <v>99.9</v>
      </c>
      <c r="K9" s="1177">
        <v>100</v>
      </c>
      <c r="L9" s="1726"/>
    </row>
    <row r="10" spans="1:12">
      <c r="A10" s="1162" t="s">
        <v>21</v>
      </c>
      <c r="B10" s="1168" t="s">
        <v>22</v>
      </c>
      <c r="C10" s="1160">
        <v>0</v>
      </c>
      <c r="D10" s="1173">
        <v>0</v>
      </c>
      <c r="E10" s="1160">
        <v>0</v>
      </c>
      <c r="F10" s="2065" t="s">
        <v>936</v>
      </c>
      <c r="G10" s="2065" t="s">
        <v>936</v>
      </c>
      <c r="H10" s="1161">
        <v>0</v>
      </c>
      <c r="I10" s="1161">
        <v>0</v>
      </c>
      <c r="J10" s="2048" t="s">
        <v>936</v>
      </c>
      <c r="K10" s="2064" t="s">
        <v>936</v>
      </c>
      <c r="L10" s="1726"/>
    </row>
    <row r="11" spans="1:12">
      <c r="A11" s="1162" t="s">
        <v>23</v>
      </c>
      <c r="B11" s="1168" t="s">
        <v>24</v>
      </c>
      <c r="C11" s="1160">
        <v>0</v>
      </c>
      <c r="D11" s="1173">
        <v>0</v>
      </c>
      <c r="E11" s="1160">
        <v>0</v>
      </c>
      <c r="F11" s="2065" t="s">
        <v>936</v>
      </c>
      <c r="G11" s="2065" t="s">
        <v>936</v>
      </c>
      <c r="H11" s="1161">
        <v>0</v>
      </c>
      <c r="I11" s="1161">
        <v>0</v>
      </c>
      <c r="J11" s="2048" t="s">
        <v>936</v>
      </c>
      <c r="K11" s="2064" t="s">
        <v>936</v>
      </c>
      <c r="L11" s="1726"/>
    </row>
    <row r="12" spans="1:12">
      <c r="A12" s="1162" t="s">
        <v>25</v>
      </c>
      <c r="B12" s="1168" t="s">
        <v>26</v>
      </c>
      <c r="C12" s="1160">
        <v>0</v>
      </c>
      <c r="D12" s="1173">
        <v>0</v>
      </c>
      <c r="E12" s="1160">
        <v>0</v>
      </c>
      <c r="F12" s="2065" t="s">
        <v>936</v>
      </c>
      <c r="G12" s="2065" t="s">
        <v>936</v>
      </c>
      <c r="H12" s="1161">
        <v>0</v>
      </c>
      <c r="I12" s="1161">
        <v>0</v>
      </c>
      <c r="J12" s="2048" t="s">
        <v>936</v>
      </c>
      <c r="K12" s="2064" t="s">
        <v>936</v>
      </c>
      <c r="L12" s="1726"/>
    </row>
    <row r="13" spans="1:12">
      <c r="A13" s="1162" t="s">
        <v>27</v>
      </c>
      <c r="B13" s="1168" t="s">
        <v>28</v>
      </c>
      <c r="C13" s="1160">
        <v>0</v>
      </c>
      <c r="D13" s="1173">
        <v>0</v>
      </c>
      <c r="E13" s="1160">
        <v>0</v>
      </c>
      <c r="F13" s="2065" t="s">
        <v>936</v>
      </c>
      <c r="G13" s="2065" t="s">
        <v>936</v>
      </c>
      <c r="H13" s="1161">
        <v>0</v>
      </c>
      <c r="I13" s="1161">
        <v>0</v>
      </c>
      <c r="J13" s="2048" t="s">
        <v>936</v>
      </c>
      <c r="K13" s="2064" t="s">
        <v>936</v>
      </c>
      <c r="L13" s="1726"/>
    </row>
    <row r="14" spans="1:12" ht="26.4">
      <c r="A14" s="1162" t="s">
        <v>29</v>
      </c>
      <c r="B14" s="1168" t="s">
        <v>30</v>
      </c>
      <c r="C14" s="1160">
        <v>0</v>
      </c>
      <c r="D14" s="1173">
        <v>0</v>
      </c>
      <c r="E14" s="1160">
        <v>0</v>
      </c>
      <c r="F14" s="2065" t="s">
        <v>936</v>
      </c>
      <c r="G14" s="2065" t="s">
        <v>936</v>
      </c>
      <c r="H14" s="1161">
        <v>0</v>
      </c>
      <c r="I14" s="1161">
        <v>0</v>
      </c>
      <c r="J14" s="2048" t="s">
        <v>936</v>
      </c>
      <c r="K14" s="2064" t="s">
        <v>936</v>
      </c>
      <c r="L14" s="1726"/>
    </row>
    <row r="15" spans="1:12">
      <c r="A15" s="1162" t="s">
        <v>31</v>
      </c>
      <c r="B15" s="1168" t="s">
        <v>32</v>
      </c>
      <c r="C15" s="1160">
        <v>0</v>
      </c>
      <c r="D15" s="1173">
        <v>0</v>
      </c>
      <c r="E15" s="1160">
        <v>0</v>
      </c>
      <c r="F15" s="2065" t="s">
        <v>936</v>
      </c>
      <c r="G15" s="2065" t="s">
        <v>936</v>
      </c>
      <c r="H15" s="1161">
        <v>0</v>
      </c>
      <c r="I15" s="1161">
        <v>0</v>
      </c>
      <c r="J15" s="2048" t="s">
        <v>936</v>
      </c>
      <c r="K15" s="2064" t="s">
        <v>936</v>
      </c>
      <c r="L15" s="1726"/>
    </row>
    <row r="16" spans="1:12">
      <c r="A16" s="1162" t="s">
        <v>33</v>
      </c>
      <c r="B16" s="1168" t="s">
        <v>34</v>
      </c>
      <c r="C16" s="1160">
        <v>0</v>
      </c>
      <c r="D16" s="1173">
        <v>0</v>
      </c>
      <c r="E16" s="1160">
        <v>0</v>
      </c>
      <c r="F16" s="2065" t="s">
        <v>936</v>
      </c>
      <c r="G16" s="2065" t="s">
        <v>936</v>
      </c>
      <c r="H16" s="1161">
        <v>0</v>
      </c>
      <c r="I16" s="1161">
        <v>0</v>
      </c>
      <c r="J16" s="2048" t="s">
        <v>936</v>
      </c>
      <c r="K16" s="2064" t="s">
        <v>936</v>
      </c>
      <c r="L16" s="1726"/>
    </row>
    <row r="17" spans="1:12">
      <c r="A17" s="1162" t="s">
        <v>35</v>
      </c>
      <c r="B17" s="1168" t="s">
        <v>36</v>
      </c>
      <c r="C17" s="1160">
        <v>1620</v>
      </c>
      <c r="D17" s="1173">
        <v>0</v>
      </c>
      <c r="E17" s="1160">
        <v>0</v>
      </c>
      <c r="F17" s="2065" t="s">
        <v>936</v>
      </c>
      <c r="G17" s="2065" t="s">
        <v>936</v>
      </c>
      <c r="H17" s="1161">
        <v>0</v>
      </c>
      <c r="I17" s="1161">
        <v>0</v>
      </c>
      <c r="J17" s="2048" t="s">
        <v>936</v>
      </c>
      <c r="K17" s="2064" t="s">
        <v>936</v>
      </c>
      <c r="L17" s="1726"/>
    </row>
    <row r="18" spans="1:12">
      <c r="A18" s="1162" t="s">
        <v>37</v>
      </c>
      <c r="B18" s="1168" t="s">
        <v>38</v>
      </c>
      <c r="C18" s="1160">
        <v>0</v>
      </c>
      <c r="D18" s="1173">
        <v>0</v>
      </c>
      <c r="E18" s="1160">
        <v>0</v>
      </c>
      <c r="F18" s="2065" t="s">
        <v>936</v>
      </c>
      <c r="G18" s="2065" t="s">
        <v>936</v>
      </c>
      <c r="H18" s="1161">
        <v>0</v>
      </c>
      <c r="I18" s="1161">
        <v>0</v>
      </c>
      <c r="J18" s="2048" t="s">
        <v>936</v>
      </c>
      <c r="K18" s="2064" t="s">
        <v>936</v>
      </c>
      <c r="L18" s="1726"/>
    </row>
    <row r="19" spans="1:12">
      <c r="A19" s="1162" t="s">
        <v>39</v>
      </c>
      <c r="B19" s="1168" t="s">
        <v>40</v>
      </c>
      <c r="C19" s="1160">
        <v>0</v>
      </c>
      <c r="D19" s="1173">
        <v>0</v>
      </c>
      <c r="E19" s="1160">
        <v>0</v>
      </c>
      <c r="F19" s="2065" t="s">
        <v>936</v>
      </c>
      <c r="G19" s="2065" t="s">
        <v>936</v>
      </c>
      <c r="H19" s="1161">
        <v>0</v>
      </c>
      <c r="I19" s="1161">
        <v>0</v>
      </c>
      <c r="J19" s="2048" t="s">
        <v>936</v>
      </c>
      <c r="K19" s="2064" t="s">
        <v>936</v>
      </c>
      <c r="L19" s="1726"/>
    </row>
    <row r="20" spans="1:12">
      <c r="A20" s="1162" t="s">
        <v>41</v>
      </c>
      <c r="B20" s="1168" t="s">
        <v>42</v>
      </c>
      <c r="C20" s="1160">
        <v>0</v>
      </c>
      <c r="D20" s="1173">
        <v>0</v>
      </c>
      <c r="E20" s="1160">
        <v>0</v>
      </c>
      <c r="F20" s="2065" t="s">
        <v>936</v>
      </c>
      <c r="G20" s="2065" t="s">
        <v>936</v>
      </c>
      <c r="H20" s="1161">
        <v>0</v>
      </c>
      <c r="I20" s="1161">
        <v>0</v>
      </c>
      <c r="J20" s="2048" t="s">
        <v>936</v>
      </c>
      <c r="K20" s="2064" t="s">
        <v>936</v>
      </c>
      <c r="L20" s="1726"/>
    </row>
    <row r="21" spans="1:12">
      <c r="A21" s="1162" t="s">
        <v>43</v>
      </c>
      <c r="B21" s="1168" t="s">
        <v>44</v>
      </c>
      <c r="C21" s="1160">
        <v>0</v>
      </c>
      <c r="D21" s="1173">
        <v>0</v>
      </c>
      <c r="E21" s="1160">
        <v>0</v>
      </c>
      <c r="F21" s="2065" t="s">
        <v>936</v>
      </c>
      <c r="G21" s="2065" t="s">
        <v>936</v>
      </c>
      <c r="H21" s="1161">
        <v>0</v>
      </c>
      <c r="I21" s="1161">
        <v>0</v>
      </c>
      <c r="J21" s="2048" t="s">
        <v>936</v>
      </c>
      <c r="K21" s="2064" t="s">
        <v>936</v>
      </c>
      <c r="L21" s="1726"/>
    </row>
    <row r="22" spans="1:12">
      <c r="A22" s="1162" t="s">
        <v>45</v>
      </c>
      <c r="B22" s="1168" t="s">
        <v>46</v>
      </c>
      <c r="C22" s="1160">
        <v>0</v>
      </c>
      <c r="D22" s="1173">
        <v>0</v>
      </c>
      <c r="E22" s="1160">
        <v>0</v>
      </c>
      <c r="F22" s="2065" t="s">
        <v>936</v>
      </c>
      <c r="G22" s="2065" t="s">
        <v>936</v>
      </c>
      <c r="H22" s="1161">
        <v>0</v>
      </c>
      <c r="I22" s="1161">
        <v>0</v>
      </c>
      <c r="J22" s="2048" t="s">
        <v>936</v>
      </c>
      <c r="K22" s="2064" t="s">
        <v>936</v>
      </c>
      <c r="L22" s="1726"/>
    </row>
    <row r="23" spans="1:12">
      <c r="A23" s="1162" t="s">
        <v>47</v>
      </c>
      <c r="B23" s="1168" t="s">
        <v>48</v>
      </c>
      <c r="C23" s="1160">
        <v>245270059.97</v>
      </c>
      <c r="D23" s="1173">
        <v>262476029.97</v>
      </c>
      <c r="E23" s="1160">
        <v>260085193.22</v>
      </c>
      <c r="F23" s="1171">
        <v>99.1</v>
      </c>
      <c r="G23" s="1171">
        <v>106</v>
      </c>
      <c r="H23" s="1161">
        <v>262476029.97</v>
      </c>
      <c r="I23" s="1161">
        <v>260085193.22</v>
      </c>
      <c r="J23" s="1161">
        <v>99.1</v>
      </c>
      <c r="K23" s="1177">
        <v>100</v>
      </c>
      <c r="L23" s="1726"/>
    </row>
    <row r="24" spans="1:12" ht="26.4">
      <c r="A24" s="1162" t="s">
        <v>49</v>
      </c>
      <c r="B24" s="1168" t="s">
        <v>50</v>
      </c>
      <c r="C24" s="1160">
        <v>164917281.13</v>
      </c>
      <c r="D24" s="1173">
        <v>101726319</v>
      </c>
      <c r="E24" s="1160">
        <v>101113444.11</v>
      </c>
      <c r="F24" s="1171">
        <v>99.4</v>
      </c>
      <c r="G24" s="1171">
        <v>61.3</v>
      </c>
      <c r="H24" s="1161">
        <v>101726319</v>
      </c>
      <c r="I24" s="1161">
        <v>101113444.11</v>
      </c>
      <c r="J24" s="1161">
        <v>99.4</v>
      </c>
      <c r="K24" s="1177">
        <v>100</v>
      </c>
      <c r="L24" s="1726"/>
    </row>
    <row r="25" spans="1:12">
      <c r="A25" s="1162" t="s">
        <v>51</v>
      </c>
      <c r="B25" s="1168" t="s">
        <v>52</v>
      </c>
      <c r="C25" s="1160">
        <v>480292.92</v>
      </c>
      <c r="D25" s="1173">
        <v>130190088.77</v>
      </c>
      <c r="E25" s="1160">
        <v>107561990.44</v>
      </c>
      <c r="F25" s="1171">
        <v>82.6</v>
      </c>
      <c r="G25" s="1171">
        <v>22395.1</v>
      </c>
      <c r="H25" s="1161">
        <v>24117073.36999999</v>
      </c>
      <c r="I25" s="1161">
        <v>17330625.140000001</v>
      </c>
      <c r="J25" s="1161">
        <v>71.900000000000006</v>
      </c>
      <c r="K25" s="1177">
        <v>16.100000000000001</v>
      </c>
      <c r="L25" s="1726"/>
    </row>
    <row r="26" spans="1:12">
      <c r="A26" s="1162" t="s">
        <v>53</v>
      </c>
      <c r="B26" s="1168" t="s">
        <v>54</v>
      </c>
      <c r="C26" s="1160">
        <v>0</v>
      </c>
      <c r="D26" s="1173">
        <v>0</v>
      </c>
      <c r="E26" s="1160">
        <v>0</v>
      </c>
      <c r="F26" s="2065" t="s">
        <v>936</v>
      </c>
      <c r="G26" s="2065" t="s">
        <v>936</v>
      </c>
      <c r="H26" s="1161">
        <v>0</v>
      </c>
      <c r="I26" s="1161">
        <v>0</v>
      </c>
      <c r="J26" s="2048" t="s">
        <v>936</v>
      </c>
      <c r="K26" s="2064" t="s">
        <v>936</v>
      </c>
      <c r="L26" s="1726"/>
    </row>
    <row r="27" spans="1:12" ht="26.4">
      <c r="A27" s="1162" t="s">
        <v>55</v>
      </c>
      <c r="B27" s="1168" t="s">
        <v>56</v>
      </c>
      <c r="C27" s="1160">
        <v>0</v>
      </c>
      <c r="D27" s="1173">
        <v>0</v>
      </c>
      <c r="E27" s="1160">
        <v>0</v>
      </c>
      <c r="F27" s="2065" t="s">
        <v>936</v>
      </c>
      <c r="G27" s="2065" t="s">
        <v>936</v>
      </c>
      <c r="H27" s="1161">
        <v>0</v>
      </c>
      <c r="I27" s="1161">
        <v>0</v>
      </c>
      <c r="J27" s="2048" t="s">
        <v>936</v>
      </c>
      <c r="K27" s="2064" t="s">
        <v>936</v>
      </c>
      <c r="L27" s="1726"/>
    </row>
    <row r="28" spans="1:12">
      <c r="A28" s="1162" t="s">
        <v>57</v>
      </c>
      <c r="B28" s="1168" t="s">
        <v>58</v>
      </c>
      <c r="C28" s="1160">
        <v>0</v>
      </c>
      <c r="D28" s="1173">
        <v>0</v>
      </c>
      <c r="E28" s="1160">
        <v>0</v>
      </c>
      <c r="F28" s="2065" t="s">
        <v>936</v>
      </c>
      <c r="G28" s="2065" t="s">
        <v>936</v>
      </c>
      <c r="H28" s="1161">
        <v>0</v>
      </c>
      <c r="I28" s="1161">
        <v>0</v>
      </c>
      <c r="J28" s="2048" t="s">
        <v>936</v>
      </c>
      <c r="K28" s="2064" t="s">
        <v>936</v>
      </c>
      <c r="L28" s="1726"/>
    </row>
    <row r="29" spans="1:12" ht="52.8">
      <c r="A29" s="1162" t="s">
        <v>59</v>
      </c>
      <c r="B29" s="1168" t="s">
        <v>60</v>
      </c>
      <c r="C29" s="1160">
        <v>0</v>
      </c>
      <c r="D29" s="1173">
        <v>0</v>
      </c>
      <c r="E29" s="1160">
        <v>0</v>
      </c>
      <c r="F29" s="2065" t="s">
        <v>936</v>
      </c>
      <c r="G29" s="2065" t="s">
        <v>936</v>
      </c>
      <c r="H29" s="1161">
        <v>0</v>
      </c>
      <c r="I29" s="1161">
        <v>0</v>
      </c>
      <c r="J29" s="2048" t="s">
        <v>936</v>
      </c>
      <c r="K29" s="2064" t="s">
        <v>936</v>
      </c>
      <c r="L29" s="1726"/>
    </row>
    <row r="30" spans="1:12">
      <c r="A30" s="1162" t="s">
        <v>61</v>
      </c>
      <c r="B30" s="1168" t="s">
        <v>62</v>
      </c>
      <c r="C30" s="1160">
        <v>0</v>
      </c>
      <c r="D30" s="1173">
        <v>0</v>
      </c>
      <c r="E30" s="1160">
        <v>0</v>
      </c>
      <c r="F30" s="2065" t="s">
        <v>936</v>
      </c>
      <c r="G30" s="2065" t="s">
        <v>936</v>
      </c>
      <c r="H30" s="1161">
        <v>0</v>
      </c>
      <c r="I30" s="1161">
        <v>0</v>
      </c>
      <c r="J30" s="2048" t="s">
        <v>936</v>
      </c>
      <c r="K30" s="2064" t="s">
        <v>936</v>
      </c>
      <c r="L30" s="1726"/>
    </row>
    <row r="31" spans="1:12">
      <c r="A31" s="1162" t="s">
        <v>63</v>
      </c>
      <c r="B31" s="1168" t="s">
        <v>64</v>
      </c>
      <c r="C31" s="1160">
        <v>753359.04</v>
      </c>
      <c r="D31" s="1173">
        <v>1524850.97</v>
      </c>
      <c r="E31" s="1160">
        <v>1524844.11</v>
      </c>
      <c r="F31" s="1171">
        <v>100</v>
      </c>
      <c r="G31" s="1171">
        <v>202.4</v>
      </c>
      <c r="H31" s="1161">
        <v>1524850.97</v>
      </c>
      <c r="I31" s="1161">
        <v>1524844.11</v>
      </c>
      <c r="J31" s="1161">
        <v>100</v>
      </c>
      <c r="K31" s="1177">
        <v>100</v>
      </c>
      <c r="L31" s="1726"/>
    </row>
    <row r="32" spans="1:12">
      <c r="A32" s="1162" t="s">
        <v>65</v>
      </c>
      <c r="B32" s="1168" t="s">
        <v>66</v>
      </c>
      <c r="C32" s="1160">
        <v>133819918.39</v>
      </c>
      <c r="D32" s="1173">
        <v>94109628.069999993</v>
      </c>
      <c r="E32" s="1160">
        <v>91011113.790000007</v>
      </c>
      <c r="F32" s="1171">
        <v>96.7</v>
      </c>
      <c r="G32" s="1171">
        <v>68</v>
      </c>
      <c r="H32" s="1161">
        <v>94109628.069999993</v>
      </c>
      <c r="I32" s="1161">
        <v>91011113.790000007</v>
      </c>
      <c r="J32" s="1161">
        <v>96.7</v>
      </c>
      <c r="K32" s="1177">
        <v>100</v>
      </c>
      <c r="L32" s="1726"/>
    </row>
    <row r="33" spans="1:12">
      <c r="A33" s="1162" t="s">
        <v>67</v>
      </c>
      <c r="B33" s="1168" t="s">
        <v>68</v>
      </c>
      <c r="C33" s="1160">
        <v>5596819.1799999997</v>
      </c>
      <c r="D33" s="1173">
        <v>6281037.8700000001</v>
      </c>
      <c r="E33" s="1160">
        <v>5964687.3600000003</v>
      </c>
      <c r="F33" s="1171">
        <v>95</v>
      </c>
      <c r="G33" s="1171">
        <v>106.6</v>
      </c>
      <c r="H33" s="1161">
        <v>6281037.8700000001</v>
      </c>
      <c r="I33" s="1161">
        <v>5964687.3600000003</v>
      </c>
      <c r="J33" s="1161">
        <v>95</v>
      </c>
      <c r="K33" s="1177">
        <v>100</v>
      </c>
      <c r="L33" s="1726"/>
    </row>
    <row r="34" spans="1:12">
      <c r="A34" s="1162" t="s">
        <v>69</v>
      </c>
      <c r="B34" s="1168" t="s">
        <v>70</v>
      </c>
      <c r="C34" s="1160">
        <v>566808740.29999995</v>
      </c>
      <c r="D34" s="1173">
        <v>377785792.06999999</v>
      </c>
      <c r="E34" s="1160">
        <v>372270878.31999999</v>
      </c>
      <c r="F34" s="1171">
        <v>98.5</v>
      </c>
      <c r="G34" s="1171">
        <v>65.7</v>
      </c>
      <c r="H34" s="1161">
        <v>377189265.06999999</v>
      </c>
      <c r="I34" s="1161">
        <v>371675961.20999998</v>
      </c>
      <c r="J34" s="1161">
        <v>98.5</v>
      </c>
      <c r="K34" s="1177">
        <v>99.8</v>
      </c>
      <c r="L34" s="1726"/>
    </row>
    <row r="35" spans="1:12">
      <c r="A35" s="1162" t="s">
        <v>71</v>
      </c>
      <c r="B35" s="1168" t="s">
        <v>72</v>
      </c>
      <c r="C35" s="1160">
        <v>404300.07</v>
      </c>
      <c r="D35" s="1173">
        <v>230468.75</v>
      </c>
      <c r="E35" s="1160">
        <v>230288.39</v>
      </c>
      <c r="F35" s="1171">
        <v>99.9</v>
      </c>
      <c r="G35" s="1171">
        <v>57</v>
      </c>
      <c r="H35" s="1161">
        <v>230468.75</v>
      </c>
      <c r="I35" s="1161">
        <v>230288.39</v>
      </c>
      <c r="J35" s="1161">
        <v>99.9</v>
      </c>
      <c r="K35" s="1177">
        <v>100</v>
      </c>
      <c r="L35" s="1726"/>
    </row>
    <row r="36" spans="1:12">
      <c r="A36" s="1162" t="s">
        <v>73</v>
      </c>
      <c r="B36" s="1168" t="s">
        <v>74</v>
      </c>
      <c r="C36" s="1160">
        <v>198000</v>
      </c>
      <c r="D36" s="1173">
        <v>15000</v>
      </c>
      <c r="E36" s="1160">
        <v>15000</v>
      </c>
      <c r="F36" s="1171">
        <v>100</v>
      </c>
      <c r="G36" s="1171">
        <v>7.6</v>
      </c>
      <c r="H36" s="1161">
        <v>15000</v>
      </c>
      <c r="I36" s="1161">
        <v>15000</v>
      </c>
      <c r="J36" s="1161">
        <v>100</v>
      </c>
      <c r="K36" s="1177">
        <v>100</v>
      </c>
      <c r="L36" s="1726"/>
    </row>
    <row r="37" spans="1:12">
      <c r="A37" s="1162" t="s">
        <v>75</v>
      </c>
      <c r="B37" s="1168" t="s">
        <v>76</v>
      </c>
      <c r="C37" s="1160">
        <v>4410210812.8000002</v>
      </c>
      <c r="D37" s="1173">
        <v>4628804022.4399996</v>
      </c>
      <c r="E37" s="1160">
        <v>4618912683.6899996</v>
      </c>
      <c r="F37" s="1171">
        <v>99.8</v>
      </c>
      <c r="G37" s="1171">
        <v>104.7</v>
      </c>
      <c r="H37" s="1161">
        <v>4628804022.4399996</v>
      </c>
      <c r="I37" s="1161">
        <v>4618912683.6899996</v>
      </c>
      <c r="J37" s="1161">
        <v>99.8</v>
      </c>
      <c r="K37" s="1177">
        <v>100</v>
      </c>
      <c r="L37" s="1726"/>
    </row>
    <row r="38" spans="1:12">
      <c r="A38" s="1162" t="s">
        <v>77</v>
      </c>
      <c r="B38" s="1168" t="s">
        <v>78</v>
      </c>
      <c r="C38" s="1160">
        <v>0</v>
      </c>
      <c r="D38" s="1173">
        <v>0</v>
      </c>
      <c r="E38" s="1160">
        <v>0</v>
      </c>
      <c r="F38" s="2065" t="s">
        <v>936</v>
      </c>
      <c r="G38" s="2065" t="s">
        <v>936</v>
      </c>
      <c r="H38" s="1161">
        <v>0</v>
      </c>
      <c r="I38" s="1161">
        <v>0</v>
      </c>
      <c r="J38" s="2048" t="s">
        <v>936</v>
      </c>
      <c r="K38" s="2064" t="s">
        <v>936</v>
      </c>
      <c r="L38" s="1726"/>
    </row>
    <row r="39" spans="1:12">
      <c r="A39" s="1162" t="s">
        <v>79</v>
      </c>
      <c r="B39" s="1168" t="s">
        <v>80</v>
      </c>
      <c r="C39" s="1160">
        <v>0</v>
      </c>
      <c r="D39" s="1173">
        <v>0</v>
      </c>
      <c r="E39" s="1160">
        <v>0</v>
      </c>
      <c r="F39" s="2065" t="s">
        <v>936</v>
      </c>
      <c r="G39" s="2065" t="s">
        <v>936</v>
      </c>
      <c r="H39" s="1161">
        <v>0</v>
      </c>
      <c r="I39" s="1161">
        <v>0</v>
      </c>
      <c r="J39" s="2048" t="s">
        <v>936</v>
      </c>
      <c r="K39" s="2064" t="s">
        <v>936</v>
      </c>
      <c r="L39" s="1726"/>
    </row>
    <row r="40" spans="1:12" ht="26.4">
      <c r="A40" s="1162" t="s">
        <v>81</v>
      </c>
      <c r="B40" s="1168" t="s">
        <v>82</v>
      </c>
      <c r="C40" s="1160">
        <v>0</v>
      </c>
      <c r="D40" s="1173">
        <v>0</v>
      </c>
      <c r="E40" s="1160">
        <v>0</v>
      </c>
      <c r="F40" s="2065" t="s">
        <v>936</v>
      </c>
      <c r="G40" s="2065" t="s">
        <v>936</v>
      </c>
      <c r="H40" s="1161">
        <v>0</v>
      </c>
      <c r="I40" s="1161">
        <v>0</v>
      </c>
      <c r="J40" s="2048" t="s">
        <v>936</v>
      </c>
      <c r="K40" s="2064" t="s">
        <v>936</v>
      </c>
      <c r="L40" s="1726"/>
    </row>
    <row r="41" spans="1:12">
      <c r="A41" s="1163" t="s">
        <v>83</v>
      </c>
      <c r="B41" s="1169" t="s">
        <v>84</v>
      </c>
      <c r="C41" s="1396">
        <v>0</v>
      </c>
      <c r="D41" s="1396">
        <v>0</v>
      </c>
      <c r="E41" s="1685">
        <v>0</v>
      </c>
      <c r="F41" s="2066" t="s">
        <v>936</v>
      </c>
      <c r="G41" s="2066" t="s">
        <v>936</v>
      </c>
      <c r="H41" s="1716">
        <v>0</v>
      </c>
      <c r="I41" s="1716">
        <v>0</v>
      </c>
      <c r="J41" s="2067" t="s">
        <v>936</v>
      </c>
      <c r="K41" s="2068" t="s">
        <v>936</v>
      </c>
      <c r="L41" s="1726"/>
    </row>
    <row r="42" spans="1:12">
      <c r="A42" s="1170"/>
      <c r="B42" s="1167" t="s">
        <v>154</v>
      </c>
      <c r="C42" s="1166">
        <v>2458884414.5</v>
      </c>
      <c r="D42" s="1175">
        <v>3108759140.0999999</v>
      </c>
      <c r="E42" s="1166">
        <v>3075498807.5999999</v>
      </c>
      <c r="F42" s="1172">
        <v>98.9</v>
      </c>
      <c r="G42" s="1172">
        <v>125.1</v>
      </c>
      <c r="H42" s="1166">
        <v>2789019083.3800001</v>
      </c>
      <c r="I42" s="1166">
        <v>2772460382.7599998</v>
      </c>
      <c r="J42" s="1172">
        <v>99.4</v>
      </c>
      <c r="K42" s="1176">
        <v>90.1</v>
      </c>
      <c r="L42" s="1726"/>
    </row>
    <row r="43" spans="1:12">
      <c r="A43" s="1162" t="s">
        <v>19</v>
      </c>
      <c r="B43" s="1168" t="s">
        <v>20</v>
      </c>
      <c r="C43" s="1160">
        <v>1402028.33</v>
      </c>
      <c r="D43" s="1173">
        <v>1659245.13</v>
      </c>
      <c r="E43" s="1160">
        <v>1602698.54</v>
      </c>
      <c r="F43" s="1171">
        <v>96.6</v>
      </c>
      <c r="G43" s="1171">
        <v>114.3</v>
      </c>
      <c r="H43" s="1161">
        <v>1659245.13</v>
      </c>
      <c r="I43" s="1161">
        <v>1602698.54</v>
      </c>
      <c r="J43" s="1161">
        <v>96.6</v>
      </c>
      <c r="K43" s="1177">
        <v>100</v>
      </c>
      <c r="L43" s="1726"/>
    </row>
    <row r="44" spans="1:12">
      <c r="A44" s="1162" t="s">
        <v>21</v>
      </c>
      <c r="B44" s="1168" t="s">
        <v>22</v>
      </c>
      <c r="C44" s="1160">
        <v>104701.75</v>
      </c>
      <c r="D44" s="1173">
        <v>170577.65</v>
      </c>
      <c r="E44" s="1160">
        <v>120327.45</v>
      </c>
      <c r="F44" s="1171">
        <v>70.5</v>
      </c>
      <c r="G44" s="1171">
        <v>114.9</v>
      </c>
      <c r="H44" s="1161">
        <v>170577.65</v>
      </c>
      <c r="I44" s="1161">
        <v>120327.45</v>
      </c>
      <c r="J44" s="1161">
        <v>70.5</v>
      </c>
      <c r="K44" s="1177">
        <v>100</v>
      </c>
      <c r="L44" s="1726"/>
    </row>
    <row r="45" spans="1:12">
      <c r="A45" s="1162" t="s">
        <v>23</v>
      </c>
      <c r="B45" s="1168" t="s">
        <v>24</v>
      </c>
      <c r="C45" s="1160">
        <v>0</v>
      </c>
      <c r="D45" s="1173">
        <v>0</v>
      </c>
      <c r="E45" s="1160">
        <v>0</v>
      </c>
      <c r="F45" s="1171" t="s">
        <v>135</v>
      </c>
      <c r="G45" s="1171" t="s">
        <v>135</v>
      </c>
      <c r="H45" s="1161">
        <v>0</v>
      </c>
      <c r="I45" s="1161">
        <v>0</v>
      </c>
      <c r="J45" s="1161" t="s">
        <v>135</v>
      </c>
      <c r="K45" s="1177" t="s">
        <v>135</v>
      </c>
      <c r="L45" s="1726"/>
    </row>
    <row r="46" spans="1:12">
      <c r="A46" s="1162" t="s">
        <v>25</v>
      </c>
      <c r="B46" s="1168" t="s">
        <v>26</v>
      </c>
      <c r="C46" s="1160">
        <v>353781</v>
      </c>
      <c r="D46" s="1173">
        <v>1019799.04</v>
      </c>
      <c r="E46" s="1160">
        <v>1013820.11</v>
      </c>
      <c r="F46" s="1171">
        <v>99.4</v>
      </c>
      <c r="G46" s="1171">
        <v>286.60000000000002</v>
      </c>
      <c r="H46" s="1161">
        <v>1019799.04</v>
      </c>
      <c r="I46" s="1161">
        <v>1013820.11</v>
      </c>
      <c r="J46" s="1161">
        <v>99.4</v>
      </c>
      <c r="K46" s="1177">
        <v>100</v>
      </c>
      <c r="L46" s="1726"/>
    </row>
    <row r="47" spans="1:12">
      <c r="A47" s="1162" t="s">
        <v>27</v>
      </c>
      <c r="B47" s="1168" t="s">
        <v>28</v>
      </c>
      <c r="C47" s="1160">
        <v>0</v>
      </c>
      <c r="D47" s="1173">
        <v>0</v>
      </c>
      <c r="E47" s="1160">
        <v>0</v>
      </c>
      <c r="F47" s="2065" t="s">
        <v>936</v>
      </c>
      <c r="G47" s="2065" t="s">
        <v>936</v>
      </c>
      <c r="H47" s="1161">
        <v>0</v>
      </c>
      <c r="I47" s="1161">
        <v>0</v>
      </c>
      <c r="J47" s="2048" t="s">
        <v>936</v>
      </c>
      <c r="K47" s="2064" t="s">
        <v>936</v>
      </c>
      <c r="L47" s="1726"/>
    </row>
    <row r="48" spans="1:12" ht="26.4">
      <c r="A48" s="1162" t="s">
        <v>29</v>
      </c>
      <c r="B48" s="1168" t="s">
        <v>30</v>
      </c>
      <c r="C48" s="1160">
        <v>0</v>
      </c>
      <c r="D48" s="1173">
        <v>0</v>
      </c>
      <c r="E48" s="1160">
        <v>0</v>
      </c>
      <c r="F48" s="2065" t="s">
        <v>936</v>
      </c>
      <c r="G48" s="2065" t="s">
        <v>936</v>
      </c>
      <c r="H48" s="1161">
        <v>0</v>
      </c>
      <c r="I48" s="1161">
        <v>0</v>
      </c>
      <c r="J48" s="2048" t="s">
        <v>936</v>
      </c>
      <c r="K48" s="2064" t="s">
        <v>936</v>
      </c>
      <c r="L48" s="1726"/>
    </row>
    <row r="49" spans="1:12">
      <c r="A49" s="1162" t="s">
        <v>31</v>
      </c>
      <c r="B49" s="1168" t="s">
        <v>32</v>
      </c>
      <c r="C49" s="1160">
        <v>0</v>
      </c>
      <c r="D49" s="1173">
        <v>0</v>
      </c>
      <c r="E49" s="1160">
        <v>0</v>
      </c>
      <c r="F49" s="2065" t="s">
        <v>936</v>
      </c>
      <c r="G49" s="2065" t="s">
        <v>936</v>
      </c>
      <c r="H49" s="1161">
        <v>0</v>
      </c>
      <c r="I49" s="1161">
        <v>0</v>
      </c>
      <c r="J49" s="2048" t="s">
        <v>936</v>
      </c>
      <c r="K49" s="2064" t="s">
        <v>936</v>
      </c>
      <c r="L49" s="1726"/>
    </row>
    <row r="50" spans="1:12">
      <c r="A50" s="1162" t="s">
        <v>33</v>
      </c>
      <c r="B50" s="1168" t="s">
        <v>34</v>
      </c>
      <c r="C50" s="1160">
        <v>0</v>
      </c>
      <c r="D50" s="1173">
        <v>0</v>
      </c>
      <c r="E50" s="1160">
        <v>0</v>
      </c>
      <c r="F50" s="2065" t="s">
        <v>936</v>
      </c>
      <c r="G50" s="2065" t="s">
        <v>936</v>
      </c>
      <c r="H50" s="1161">
        <v>0</v>
      </c>
      <c r="I50" s="1161">
        <v>0</v>
      </c>
      <c r="J50" s="2048" t="s">
        <v>936</v>
      </c>
      <c r="K50" s="2064" t="s">
        <v>936</v>
      </c>
      <c r="L50" s="1726"/>
    </row>
    <row r="51" spans="1:12">
      <c r="A51" s="1162" t="s">
        <v>35</v>
      </c>
      <c r="B51" s="1168" t="s">
        <v>36</v>
      </c>
      <c r="C51" s="1160">
        <v>861251.16</v>
      </c>
      <c r="D51" s="1173">
        <v>1045383.12</v>
      </c>
      <c r="E51" s="1160">
        <v>1026353.28</v>
      </c>
      <c r="F51" s="1171">
        <v>98.2</v>
      </c>
      <c r="G51" s="1171">
        <v>119.2</v>
      </c>
      <c r="H51" s="1161">
        <v>1045383.12</v>
      </c>
      <c r="I51" s="1161">
        <v>1026353.28</v>
      </c>
      <c r="J51" s="1161">
        <v>98.2</v>
      </c>
      <c r="K51" s="1177">
        <v>100</v>
      </c>
      <c r="L51" s="1726"/>
    </row>
    <row r="52" spans="1:12">
      <c r="A52" s="1162" t="s">
        <v>37</v>
      </c>
      <c r="B52" s="1168" t="s">
        <v>38</v>
      </c>
      <c r="C52" s="1160">
        <v>0</v>
      </c>
      <c r="D52" s="1173">
        <v>0</v>
      </c>
      <c r="E52" s="1160">
        <v>0</v>
      </c>
      <c r="F52" s="2065" t="s">
        <v>936</v>
      </c>
      <c r="G52" s="2065" t="s">
        <v>936</v>
      </c>
      <c r="H52" s="1161">
        <v>0</v>
      </c>
      <c r="I52" s="1161">
        <v>0</v>
      </c>
      <c r="J52" s="2048" t="s">
        <v>936</v>
      </c>
      <c r="K52" s="2064" t="s">
        <v>936</v>
      </c>
      <c r="L52" s="1726"/>
    </row>
    <row r="53" spans="1:12">
      <c r="A53" s="1162" t="s">
        <v>39</v>
      </c>
      <c r="B53" s="1168" t="s">
        <v>40</v>
      </c>
      <c r="C53" s="1160">
        <v>89665099.670000002</v>
      </c>
      <c r="D53" s="1173">
        <v>173513652.78</v>
      </c>
      <c r="E53" s="1160">
        <v>169526234.81999999</v>
      </c>
      <c r="F53" s="1171">
        <v>97.7</v>
      </c>
      <c r="G53" s="1171">
        <v>189.1</v>
      </c>
      <c r="H53" s="1161">
        <v>172794414</v>
      </c>
      <c r="I53" s="1161">
        <v>168935444.04999998</v>
      </c>
      <c r="J53" s="1161">
        <v>97.8</v>
      </c>
      <c r="K53" s="1177">
        <v>99.7</v>
      </c>
      <c r="L53" s="1726"/>
    </row>
    <row r="54" spans="1:12">
      <c r="A54" s="1162" t="s">
        <v>41</v>
      </c>
      <c r="B54" s="1168" t="s">
        <v>42</v>
      </c>
      <c r="C54" s="1160">
        <v>131915336.09</v>
      </c>
      <c r="D54" s="1173">
        <v>140579047.72</v>
      </c>
      <c r="E54" s="1160">
        <v>139346025.61000001</v>
      </c>
      <c r="F54" s="1171">
        <v>99.1</v>
      </c>
      <c r="G54" s="1171">
        <v>105.6</v>
      </c>
      <c r="H54" s="1161">
        <v>137222273.52000001</v>
      </c>
      <c r="I54" s="1161">
        <v>136015903.21000001</v>
      </c>
      <c r="J54" s="1161">
        <v>99.1</v>
      </c>
      <c r="K54" s="1177">
        <v>97.6</v>
      </c>
      <c r="L54" s="1726"/>
    </row>
    <row r="55" spans="1:12">
      <c r="A55" s="1162" t="s">
        <v>43</v>
      </c>
      <c r="B55" s="1168" t="s">
        <v>44</v>
      </c>
      <c r="C55" s="1160">
        <v>0</v>
      </c>
      <c r="D55" s="1173">
        <v>0</v>
      </c>
      <c r="E55" s="1160">
        <v>0</v>
      </c>
      <c r="F55" s="2065" t="s">
        <v>936</v>
      </c>
      <c r="G55" s="2065" t="s">
        <v>936</v>
      </c>
      <c r="H55" s="1161">
        <v>0</v>
      </c>
      <c r="I55" s="1161">
        <v>0</v>
      </c>
      <c r="J55" s="2048" t="s">
        <v>936</v>
      </c>
      <c r="K55" s="2064" t="s">
        <v>936</v>
      </c>
      <c r="L55" s="1726"/>
    </row>
    <row r="56" spans="1:12">
      <c r="A56" s="1162" t="s">
        <v>45</v>
      </c>
      <c r="B56" s="1168" t="s">
        <v>46</v>
      </c>
      <c r="C56" s="1160">
        <v>0</v>
      </c>
      <c r="D56" s="1173">
        <v>0</v>
      </c>
      <c r="E56" s="1160">
        <v>0</v>
      </c>
      <c r="F56" s="2065" t="s">
        <v>936</v>
      </c>
      <c r="G56" s="2065" t="s">
        <v>936</v>
      </c>
      <c r="H56" s="1161">
        <v>0</v>
      </c>
      <c r="I56" s="1161">
        <v>0</v>
      </c>
      <c r="J56" s="2048" t="s">
        <v>936</v>
      </c>
      <c r="K56" s="2064" t="s">
        <v>936</v>
      </c>
      <c r="L56" s="1726"/>
    </row>
    <row r="57" spans="1:12">
      <c r="A57" s="1162" t="s">
        <v>47</v>
      </c>
      <c r="B57" s="1168" t="s">
        <v>48</v>
      </c>
      <c r="C57" s="1160">
        <v>10731858.01</v>
      </c>
      <c r="D57" s="1173">
        <v>9447984.0199999996</v>
      </c>
      <c r="E57" s="1160">
        <v>9394781.5199999996</v>
      </c>
      <c r="F57" s="1171">
        <v>99.4</v>
      </c>
      <c r="G57" s="1171">
        <v>87.5</v>
      </c>
      <c r="H57" s="1161">
        <v>9447984.0199999996</v>
      </c>
      <c r="I57" s="1161">
        <v>9394781.5199999996</v>
      </c>
      <c r="J57" s="1161">
        <v>99.4</v>
      </c>
      <c r="K57" s="1177">
        <v>100</v>
      </c>
      <c r="L57" s="1726"/>
    </row>
    <row r="58" spans="1:12" ht="26.4">
      <c r="A58" s="1162" t="s">
        <v>49</v>
      </c>
      <c r="B58" s="1168" t="s">
        <v>50</v>
      </c>
      <c r="C58" s="1160">
        <v>0</v>
      </c>
      <c r="D58" s="1173">
        <v>0</v>
      </c>
      <c r="E58" s="1160">
        <v>0</v>
      </c>
      <c r="F58" s="2065" t="s">
        <v>936</v>
      </c>
      <c r="G58" s="2065" t="s">
        <v>936</v>
      </c>
      <c r="H58" s="1161">
        <v>0</v>
      </c>
      <c r="I58" s="1161">
        <v>0</v>
      </c>
      <c r="J58" s="2048" t="s">
        <v>936</v>
      </c>
      <c r="K58" s="2064" t="s">
        <v>936</v>
      </c>
      <c r="L58" s="1726"/>
    </row>
    <row r="59" spans="1:12">
      <c r="A59" s="1162" t="s">
        <v>51</v>
      </c>
      <c r="B59" s="1168" t="s">
        <v>52</v>
      </c>
      <c r="C59" s="1160">
        <v>4308477.0199999996</v>
      </c>
      <c r="D59" s="1173">
        <v>332622449.67000002</v>
      </c>
      <c r="E59" s="1160">
        <v>313853129.24000001</v>
      </c>
      <c r="F59" s="1171">
        <v>94.4</v>
      </c>
      <c r="G59" s="1171">
        <v>7284.5</v>
      </c>
      <c r="H59" s="1161">
        <v>102680625.54000002</v>
      </c>
      <c r="I59" s="1161">
        <v>98493952.420000017</v>
      </c>
      <c r="J59" s="1161">
        <v>95.9</v>
      </c>
      <c r="K59" s="1177">
        <v>31.4</v>
      </c>
      <c r="L59" s="1726"/>
    </row>
    <row r="60" spans="1:12">
      <c r="A60" s="1162" t="s">
        <v>53</v>
      </c>
      <c r="B60" s="1168" t="s">
        <v>54</v>
      </c>
      <c r="C60" s="1160">
        <v>0</v>
      </c>
      <c r="D60" s="1173">
        <v>0</v>
      </c>
      <c r="E60" s="1160">
        <v>0</v>
      </c>
      <c r="F60" s="2065" t="s">
        <v>936</v>
      </c>
      <c r="G60" s="2065" t="s">
        <v>936</v>
      </c>
      <c r="H60" s="1161">
        <v>0</v>
      </c>
      <c r="I60" s="1161">
        <v>0</v>
      </c>
      <c r="J60" s="2048" t="s">
        <v>936</v>
      </c>
      <c r="K60" s="2064" t="s">
        <v>936</v>
      </c>
      <c r="L60" s="1726"/>
    </row>
    <row r="61" spans="1:12" ht="26.4">
      <c r="A61" s="1162" t="s">
        <v>55</v>
      </c>
      <c r="B61" s="1168" t="s">
        <v>56</v>
      </c>
      <c r="C61" s="1160">
        <v>1920475259.49</v>
      </c>
      <c r="D61" s="1173">
        <v>2102973746.0899999</v>
      </c>
      <c r="E61" s="1160">
        <v>2097618416.9300001</v>
      </c>
      <c r="F61" s="1171">
        <v>99.7</v>
      </c>
      <c r="G61" s="1171">
        <v>109.2</v>
      </c>
      <c r="H61" s="1161">
        <v>2017341408.0899999</v>
      </c>
      <c r="I61" s="1161">
        <v>2013949963.6900001</v>
      </c>
      <c r="J61" s="1161">
        <v>99.8</v>
      </c>
      <c r="K61" s="1177">
        <v>96</v>
      </c>
      <c r="L61" s="1726"/>
    </row>
    <row r="62" spans="1:12">
      <c r="A62" s="1162" t="s">
        <v>57</v>
      </c>
      <c r="B62" s="1168" t="s">
        <v>58</v>
      </c>
      <c r="C62" s="1160">
        <v>31924750.359999999</v>
      </c>
      <c r="D62" s="1173">
        <v>33314192.66</v>
      </c>
      <c r="E62" s="1160">
        <v>33074422.379999999</v>
      </c>
      <c r="F62" s="1171">
        <v>99.3</v>
      </c>
      <c r="G62" s="1171">
        <v>103.6</v>
      </c>
      <c r="H62" s="1161">
        <v>33314192.66</v>
      </c>
      <c r="I62" s="1161">
        <v>33074422.379999999</v>
      </c>
      <c r="J62" s="1161">
        <v>99.3</v>
      </c>
      <c r="K62" s="1177">
        <v>100</v>
      </c>
      <c r="L62" s="1726"/>
    </row>
    <row r="63" spans="1:12" ht="52.8">
      <c r="A63" s="1162" t="s">
        <v>59</v>
      </c>
      <c r="B63" s="1168" t="s">
        <v>60</v>
      </c>
      <c r="C63" s="1160">
        <v>0</v>
      </c>
      <c r="D63" s="1173">
        <v>0</v>
      </c>
      <c r="E63" s="1160">
        <v>0</v>
      </c>
      <c r="F63" s="2065" t="s">
        <v>936</v>
      </c>
      <c r="G63" s="2065" t="s">
        <v>936</v>
      </c>
      <c r="H63" s="1161">
        <v>0</v>
      </c>
      <c r="I63" s="1161">
        <v>0</v>
      </c>
      <c r="J63" s="2048" t="s">
        <v>936</v>
      </c>
      <c r="K63" s="2064" t="s">
        <v>936</v>
      </c>
      <c r="L63" s="1726"/>
    </row>
    <row r="64" spans="1:12">
      <c r="A64" s="1162" t="s">
        <v>61</v>
      </c>
      <c r="B64" s="1168" t="s">
        <v>62</v>
      </c>
      <c r="C64" s="1160">
        <v>0</v>
      </c>
      <c r="D64" s="1173">
        <v>0</v>
      </c>
      <c r="E64" s="1160">
        <v>0</v>
      </c>
      <c r="F64" s="2065" t="s">
        <v>936</v>
      </c>
      <c r="G64" s="2065" t="s">
        <v>936</v>
      </c>
      <c r="H64" s="1161">
        <v>0</v>
      </c>
      <c r="I64" s="1161">
        <v>0</v>
      </c>
      <c r="J64" s="2048" t="s">
        <v>936</v>
      </c>
      <c r="K64" s="2064" t="s">
        <v>936</v>
      </c>
      <c r="L64" s="1726"/>
    </row>
    <row r="65" spans="1:12">
      <c r="A65" s="1162" t="s">
        <v>63</v>
      </c>
      <c r="B65" s="1168" t="s">
        <v>64</v>
      </c>
      <c r="C65" s="1160">
        <v>2873732.22</v>
      </c>
      <c r="D65" s="1173">
        <v>3400048.1</v>
      </c>
      <c r="E65" s="1160">
        <v>3400047.79</v>
      </c>
      <c r="F65" s="1171">
        <v>100</v>
      </c>
      <c r="G65" s="1171">
        <v>118.3</v>
      </c>
      <c r="H65" s="1161">
        <v>3400048.1</v>
      </c>
      <c r="I65" s="1161">
        <v>3400047.79</v>
      </c>
      <c r="J65" s="1161">
        <v>100</v>
      </c>
      <c r="K65" s="1177">
        <v>100</v>
      </c>
      <c r="L65" s="1726"/>
    </row>
    <row r="66" spans="1:12">
      <c r="A66" s="1162" t="s">
        <v>65</v>
      </c>
      <c r="B66" s="1168" t="s">
        <v>66</v>
      </c>
      <c r="C66" s="1160">
        <v>8479097.4100000001</v>
      </c>
      <c r="D66" s="1173">
        <v>6949848.96</v>
      </c>
      <c r="E66" s="1160">
        <v>6444138.25</v>
      </c>
      <c r="F66" s="1171">
        <v>92.7</v>
      </c>
      <c r="G66" s="1171">
        <v>76</v>
      </c>
      <c r="H66" s="1161">
        <v>6949848.96</v>
      </c>
      <c r="I66" s="1161">
        <v>6444138.25</v>
      </c>
      <c r="J66" s="1161">
        <v>92.7</v>
      </c>
      <c r="K66" s="1177">
        <v>100</v>
      </c>
      <c r="L66" s="1726"/>
    </row>
    <row r="67" spans="1:12">
      <c r="A67" s="1162" t="s">
        <v>67</v>
      </c>
      <c r="B67" s="1168" t="s">
        <v>68</v>
      </c>
      <c r="C67" s="1160">
        <v>39123.4</v>
      </c>
      <c r="D67" s="1173">
        <v>114933</v>
      </c>
      <c r="E67" s="1160">
        <v>114932.04</v>
      </c>
      <c r="F67" s="1171">
        <v>100</v>
      </c>
      <c r="G67" s="1171">
        <v>293.8</v>
      </c>
      <c r="H67" s="1161">
        <v>114933</v>
      </c>
      <c r="I67" s="1161">
        <v>114932.04</v>
      </c>
      <c r="J67" s="1161">
        <v>100</v>
      </c>
      <c r="K67" s="1177">
        <v>100</v>
      </c>
      <c r="L67" s="1726"/>
    </row>
    <row r="68" spans="1:12">
      <c r="A68" s="1162" t="s">
        <v>69</v>
      </c>
      <c r="B68" s="1168" t="s">
        <v>70</v>
      </c>
      <c r="C68" s="1160">
        <v>111608052.34</v>
      </c>
      <c r="D68" s="1173">
        <v>137607101.41</v>
      </c>
      <c r="E68" s="1160">
        <v>136622466.16</v>
      </c>
      <c r="F68" s="1171">
        <v>99.3</v>
      </c>
      <c r="G68" s="1171">
        <v>122.4</v>
      </c>
      <c r="H68" s="1161">
        <v>137561723.41</v>
      </c>
      <c r="I68" s="1161">
        <v>136577088.16</v>
      </c>
      <c r="J68" s="1161">
        <v>99.3</v>
      </c>
      <c r="K68" s="1177">
        <v>100</v>
      </c>
      <c r="L68" s="1726"/>
    </row>
    <row r="69" spans="1:12">
      <c r="A69" s="1162" t="s">
        <v>71</v>
      </c>
      <c r="B69" s="1168" t="s">
        <v>72</v>
      </c>
      <c r="C69" s="1160">
        <v>137136845.27000001</v>
      </c>
      <c r="D69" s="1173">
        <v>156364338.13999999</v>
      </c>
      <c r="E69" s="1160">
        <v>154809347.41999999</v>
      </c>
      <c r="F69" s="1171">
        <v>99</v>
      </c>
      <c r="G69" s="1171">
        <v>112.9</v>
      </c>
      <c r="H69" s="1161">
        <v>156319834.52999997</v>
      </c>
      <c r="I69" s="1161">
        <v>154764843.80999997</v>
      </c>
      <c r="J69" s="1161">
        <v>99</v>
      </c>
      <c r="K69" s="1177">
        <v>100</v>
      </c>
      <c r="L69" s="1726"/>
    </row>
    <row r="70" spans="1:12">
      <c r="A70" s="1162" t="s">
        <v>73</v>
      </c>
      <c r="B70" s="1168" t="s">
        <v>74</v>
      </c>
      <c r="C70" s="1160">
        <v>0</v>
      </c>
      <c r="D70" s="1173">
        <v>0</v>
      </c>
      <c r="E70" s="1160">
        <v>0</v>
      </c>
      <c r="F70" s="2065" t="s">
        <v>936</v>
      </c>
      <c r="G70" s="2065" t="s">
        <v>936</v>
      </c>
      <c r="H70" s="1161">
        <v>0</v>
      </c>
      <c r="I70" s="1161">
        <v>0</v>
      </c>
      <c r="J70" s="2048" t="s">
        <v>936</v>
      </c>
      <c r="K70" s="2064" t="s">
        <v>936</v>
      </c>
      <c r="L70" s="1726"/>
    </row>
    <row r="71" spans="1:12">
      <c r="A71" s="1162" t="s">
        <v>75</v>
      </c>
      <c r="B71" s="1168" t="s">
        <v>76</v>
      </c>
      <c r="C71" s="1160">
        <v>7005020.9800000004</v>
      </c>
      <c r="D71" s="1173">
        <v>7976792.6100000003</v>
      </c>
      <c r="E71" s="1160">
        <v>7531666.0599999996</v>
      </c>
      <c r="F71" s="1171">
        <v>94.4</v>
      </c>
      <c r="G71" s="1171">
        <v>107.5</v>
      </c>
      <c r="H71" s="1161">
        <v>7976792.6100000003</v>
      </c>
      <c r="I71" s="1161">
        <v>7531666.0599999996</v>
      </c>
      <c r="J71" s="1161">
        <v>94.4</v>
      </c>
      <c r="K71" s="1177">
        <v>100</v>
      </c>
      <c r="L71" s="1726"/>
    </row>
    <row r="72" spans="1:12">
      <c r="A72" s="1162" t="s">
        <v>77</v>
      </c>
      <c r="B72" s="1168" t="s">
        <v>78</v>
      </c>
      <c r="C72" s="1160">
        <v>0</v>
      </c>
      <c r="D72" s="1173">
        <v>0</v>
      </c>
      <c r="E72" s="1160">
        <v>0</v>
      </c>
      <c r="F72" s="2065" t="s">
        <v>936</v>
      </c>
      <c r="G72" s="2065" t="s">
        <v>936</v>
      </c>
      <c r="H72" s="1161">
        <v>0</v>
      </c>
      <c r="I72" s="1161">
        <v>0</v>
      </c>
      <c r="J72" s="2048" t="s">
        <v>936</v>
      </c>
      <c r="K72" s="2064" t="s">
        <v>936</v>
      </c>
      <c r="L72" s="1726"/>
    </row>
    <row r="73" spans="1:12">
      <c r="A73" s="1162" t="s">
        <v>79</v>
      </c>
      <c r="B73" s="1168" t="s">
        <v>80</v>
      </c>
      <c r="C73" s="1160">
        <v>0</v>
      </c>
      <c r="D73" s="1173">
        <v>0</v>
      </c>
      <c r="E73" s="1160">
        <v>0</v>
      </c>
      <c r="F73" s="2065" t="s">
        <v>936</v>
      </c>
      <c r="G73" s="2065" t="s">
        <v>936</v>
      </c>
      <c r="H73" s="1161">
        <v>0</v>
      </c>
      <c r="I73" s="1161">
        <v>0</v>
      </c>
      <c r="J73" s="2048" t="s">
        <v>936</v>
      </c>
      <c r="K73" s="2064" t="s">
        <v>936</v>
      </c>
      <c r="L73" s="1726"/>
    </row>
    <row r="74" spans="1:12" ht="26.4">
      <c r="A74" s="1162" t="s">
        <v>81</v>
      </c>
      <c r="B74" s="1168" t="s">
        <v>82</v>
      </c>
      <c r="C74" s="1160">
        <v>0</v>
      </c>
      <c r="D74" s="1173">
        <v>0</v>
      </c>
      <c r="E74" s="1160">
        <v>0</v>
      </c>
      <c r="F74" s="2065" t="s">
        <v>936</v>
      </c>
      <c r="G74" s="2065" t="s">
        <v>936</v>
      </c>
      <c r="H74" s="1161">
        <v>0</v>
      </c>
      <c r="I74" s="1161">
        <v>0</v>
      </c>
      <c r="J74" s="2048" t="s">
        <v>936</v>
      </c>
      <c r="K74" s="2064" t="s">
        <v>936</v>
      </c>
      <c r="L74" s="1726"/>
    </row>
    <row r="75" spans="1:12">
      <c r="A75" s="1163" t="s">
        <v>83</v>
      </c>
      <c r="B75" s="1169" t="s">
        <v>84</v>
      </c>
      <c r="C75" s="1164">
        <v>0</v>
      </c>
      <c r="D75" s="1174">
        <v>0</v>
      </c>
      <c r="E75" s="1164">
        <v>0</v>
      </c>
      <c r="F75" s="2066" t="s">
        <v>936</v>
      </c>
      <c r="G75" s="2066" t="s">
        <v>936</v>
      </c>
      <c r="H75" s="1165">
        <v>0</v>
      </c>
      <c r="I75" s="1165">
        <v>0</v>
      </c>
      <c r="J75" s="2067" t="s">
        <v>936</v>
      </c>
      <c r="K75" s="2068" t="s">
        <v>936</v>
      </c>
      <c r="L75" s="1726"/>
    </row>
    <row r="76" spans="1:12">
      <c r="A76" s="1170"/>
      <c r="B76" s="1167" t="s">
        <v>155</v>
      </c>
      <c r="C76" s="1166">
        <v>0</v>
      </c>
      <c r="D76" s="1175">
        <v>0</v>
      </c>
      <c r="E76" s="1166">
        <v>0</v>
      </c>
      <c r="F76" s="2069" t="s">
        <v>936</v>
      </c>
      <c r="G76" s="2069" t="s">
        <v>936</v>
      </c>
      <c r="H76" s="1166">
        <v>0</v>
      </c>
      <c r="I76" s="1166">
        <v>0</v>
      </c>
      <c r="J76" s="2069" t="s">
        <v>936</v>
      </c>
      <c r="K76" s="2070" t="s">
        <v>936</v>
      </c>
      <c r="L76" s="1726"/>
    </row>
    <row r="77" spans="1:12">
      <c r="A77" s="1162" t="s">
        <v>19</v>
      </c>
      <c r="B77" s="1168" t="s">
        <v>20</v>
      </c>
      <c r="C77" s="1160">
        <v>0</v>
      </c>
      <c r="D77" s="1173">
        <v>0</v>
      </c>
      <c r="E77" s="1160">
        <v>0</v>
      </c>
      <c r="F77" s="2065" t="s">
        <v>936</v>
      </c>
      <c r="G77" s="2065" t="s">
        <v>936</v>
      </c>
      <c r="H77" s="1161">
        <v>0</v>
      </c>
      <c r="I77" s="1161">
        <v>0</v>
      </c>
      <c r="J77" s="2048" t="s">
        <v>936</v>
      </c>
      <c r="K77" s="2064" t="s">
        <v>936</v>
      </c>
      <c r="L77" s="1726"/>
    </row>
    <row r="78" spans="1:12">
      <c r="A78" s="1162" t="s">
        <v>21</v>
      </c>
      <c r="B78" s="1168" t="s">
        <v>22</v>
      </c>
      <c r="C78" s="1160">
        <v>0</v>
      </c>
      <c r="D78" s="1173">
        <v>0</v>
      </c>
      <c r="E78" s="1160">
        <v>0</v>
      </c>
      <c r="F78" s="2065" t="s">
        <v>936</v>
      </c>
      <c r="G78" s="2065" t="s">
        <v>936</v>
      </c>
      <c r="H78" s="1161">
        <v>0</v>
      </c>
      <c r="I78" s="1161">
        <v>0</v>
      </c>
      <c r="J78" s="2048" t="s">
        <v>936</v>
      </c>
      <c r="K78" s="2064" t="s">
        <v>936</v>
      </c>
      <c r="L78" s="1726"/>
    </row>
    <row r="79" spans="1:12">
      <c r="A79" s="1162" t="s">
        <v>23</v>
      </c>
      <c r="B79" s="1168" t="s">
        <v>24</v>
      </c>
      <c r="C79" s="1160">
        <v>0</v>
      </c>
      <c r="D79" s="1173">
        <v>0</v>
      </c>
      <c r="E79" s="1160">
        <v>0</v>
      </c>
      <c r="F79" s="2065" t="s">
        <v>936</v>
      </c>
      <c r="G79" s="2065" t="s">
        <v>936</v>
      </c>
      <c r="H79" s="1161">
        <v>0</v>
      </c>
      <c r="I79" s="1161">
        <v>0</v>
      </c>
      <c r="J79" s="2048" t="s">
        <v>936</v>
      </c>
      <c r="K79" s="2064" t="s">
        <v>936</v>
      </c>
      <c r="L79" s="1726"/>
    </row>
    <row r="80" spans="1:12">
      <c r="A80" s="1162" t="s">
        <v>25</v>
      </c>
      <c r="B80" s="1168" t="s">
        <v>26</v>
      </c>
      <c r="C80" s="1160">
        <v>0</v>
      </c>
      <c r="D80" s="1173">
        <v>0</v>
      </c>
      <c r="E80" s="1160">
        <v>0</v>
      </c>
      <c r="F80" s="2065" t="s">
        <v>936</v>
      </c>
      <c r="G80" s="2065" t="s">
        <v>936</v>
      </c>
      <c r="H80" s="1161">
        <v>0</v>
      </c>
      <c r="I80" s="1161">
        <v>0</v>
      </c>
      <c r="J80" s="2048" t="s">
        <v>936</v>
      </c>
      <c r="K80" s="2064" t="s">
        <v>936</v>
      </c>
      <c r="L80" s="1726"/>
    </row>
    <row r="81" spans="1:12">
      <c r="A81" s="1162" t="s">
        <v>27</v>
      </c>
      <c r="B81" s="1168" t="s">
        <v>28</v>
      </c>
      <c r="C81" s="1160">
        <v>0</v>
      </c>
      <c r="D81" s="1173">
        <v>0</v>
      </c>
      <c r="E81" s="1160">
        <v>0</v>
      </c>
      <c r="F81" s="2065" t="s">
        <v>936</v>
      </c>
      <c r="G81" s="2065" t="s">
        <v>936</v>
      </c>
      <c r="H81" s="1161">
        <v>0</v>
      </c>
      <c r="I81" s="1161">
        <v>0</v>
      </c>
      <c r="J81" s="2048" t="s">
        <v>936</v>
      </c>
      <c r="K81" s="2064" t="s">
        <v>936</v>
      </c>
      <c r="L81" s="1726"/>
    </row>
    <row r="82" spans="1:12" ht="26.4">
      <c r="A82" s="1162" t="s">
        <v>29</v>
      </c>
      <c r="B82" s="1168" t="s">
        <v>30</v>
      </c>
      <c r="C82" s="1160">
        <v>0</v>
      </c>
      <c r="D82" s="1173">
        <v>0</v>
      </c>
      <c r="E82" s="1160">
        <v>0</v>
      </c>
      <c r="F82" s="2065" t="s">
        <v>936</v>
      </c>
      <c r="G82" s="2065" t="s">
        <v>936</v>
      </c>
      <c r="H82" s="1161">
        <v>0</v>
      </c>
      <c r="I82" s="1161">
        <v>0</v>
      </c>
      <c r="J82" s="2048" t="s">
        <v>936</v>
      </c>
      <c r="K82" s="2064" t="s">
        <v>936</v>
      </c>
      <c r="L82" s="1726"/>
    </row>
    <row r="83" spans="1:12">
      <c r="A83" s="1162" t="s">
        <v>31</v>
      </c>
      <c r="B83" s="1168" t="s">
        <v>32</v>
      </c>
      <c r="C83" s="1160">
        <v>0</v>
      </c>
      <c r="D83" s="1173">
        <v>0</v>
      </c>
      <c r="E83" s="1160">
        <v>0</v>
      </c>
      <c r="F83" s="2065" t="s">
        <v>936</v>
      </c>
      <c r="G83" s="2065" t="s">
        <v>936</v>
      </c>
      <c r="H83" s="1161">
        <v>0</v>
      </c>
      <c r="I83" s="1161">
        <v>0</v>
      </c>
      <c r="J83" s="2048" t="s">
        <v>936</v>
      </c>
      <c r="K83" s="2064" t="s">
        <v>936</v>
      </c>
      <c r="L83" s="1726"/>
    </row>
    <row r="84" spans="1:12">
      <c r="A84" s="1162" t="s">
        <v>33</v>
      </c>
      <c r="B84" s="1168" t="s">
        <v>34</v>
      </c>
      <c r="C84" s="1160">
        <v>0</v>
      </c>
      <c r="D84" s="1173">
        <v>0</v>
      </c>
      <c r="E84" s="1160">
        <v>0</v>
      </c>
      <c r="F84" s="2065" t="s">
        <v>936</v>
      </c>
      <c r="G84" s="2065" t="s">
        <v>936</v>
      </c>
      <c r="H84" s="1161">
        <v>0</v>
      </c>
      <c r="I84" s="1161">
        <v>0</v>
      </c>
      <c r="J84" s="2048" t="s">
        <v>936</v>
      </c>
      <c r="K84" s="2064" t="s">
        <v>936</v>
      </c>
      <c r="L84" s="1726"/>
    </row>
    <row r="85" spans="1:12">
      <c r="A85" s="1162" t="s">
        <v>35</v>
      </c>
      <c r="B85" s="1168" t="s">
        <v>36</v>
      </c>
      <c r="C85" s="1160">
        <v>0</v>
      </c>
      <c r="D85" s="1173">
        <v>0</v>
      </c>
      <c r="E85" s="1160">
        <v>0</v>
      </c>
      <c r="F85" s="2065" t="s">
        <v>936</v>
      </c>
      <c r="G85" s="2065" t="s">
        <v>936</v>
      </c>
      <c r="H85" s="1161">
        <v>0</v>
      </c>
      <c r="I85" s="1161">
        <v>0</v>
      </c>
      <c r="J85" s="2048" t="s">
        <v>936</v>
      </c>
      <c r="K85" s="2064" t="s">
        <v>936</v>
      </c>
      <c r="L85" s="1726"/>
    </row>
    <row r="86" spans="1:12">
      <c r="A86" s="1162" t="s">
        <v>37</v>
      </c>
      <c r="B86" s="1168" t="s">
        <v>38</v>
      </c>
      <c r="C86" s="1160">
        <v>0</v>
      </c>
      <c r="D86" s="1173">
        <v>0</v>
      </c>
      <c r="E86" s="1160">
        <v>0</v>
      </c>
      <c r="F86" s="2065" t="s">
        <v>936</v>
      </c>
      <c r="G86" s="2065" t="s">
        <v>936</v>
      </c>
      <c r="H86" s="1161">
        <v>0</v>
      </c>
      <c r="I86" s="1161">
        <v>0</v>
      </c>
      <c r="J86" s="2048" t="s">
        <v>936</v>
      </c>
      <c r="K86" s="2064" t="s">
        <v>936</v>
      </c>
      <c r="L86" s="1726"/>
    </row>
    <row r="87" spans="1:12">
      <c r="A87" s="1162" t="s">
        <v>39</v>
      </c>
      <c r="B87" s="1168" t="s">
        <v>40</v>
      </c>
      <c r="C87" s="1160">
        <v>0</v>
      </c>
      <c r="D87" s="1173">
        <v>0</v>
      </c>
      <c r="E87" s="1160">
        <v>0</v>
      </c>
      <c r="F87" s="2065" t="s">
        <v>936</v>
      </c>
      <c r="G87" s="2065" t="s">
        <v>936</v>
      </c>
      <c r="H87" s="1161">
        <v>0</v>
      </c>
      <c r="I87" s="1161">
        <v>0</v>
      </c>
      <c r="J87" s="2048" t="s">
        <v>936</v>
      </c>
      <c r="K87" s="2064" t="s">
        <v>936</v>
      </c>
      <c r="L87" s="1726"/>
    </row>
    <row r="88" spans="1:12">
      <c r="A88" s="1162" t="s">
        <v>41</v>
      </c>
      <c r="B88" s="1168" t="s">
        <v>42</v>
      </c>
      <c r="C88" s="1160">
        <v>0</v>
      </c>
      <c r="D88" s="1173">
        <v>0</v>
      </c>
      <c r="E88" s="1160">
        <v>0</v>
      </c>
      <c r="F88" s="2065" t="s">
        <v>936</v>
      </c>
      <c r="G88" s="2065" t="s">
        <v>936</v>
      </c>
      <c r="H88" s="1161">
        <v>0</v>
      </c>
      <c r="I88" s="1161">
        <v>0</v>
      </c>
      <c r="J88" s="2048" t="s">
        <v>936</v>
      </c>
      <c r="K88" s="2064" t="s">
        <v>936</v>
      </c>
      <c r="L88" s="1726"/>
    </row>
    <row r="89" spans="1:12">
      <c r="A89" s="1162" t="s">
        <v>43</v>
      </c>
      <c r="B89" s="1168" t="s">
        <v>44</v>
      </c>
      <c r="C89" s="1160">
        <v>0</v>
      </c>
      <c r="D89" s="1173">
        <v>0</v>
      </c>
      <c r="E89" s="1160">
        <v>0</v>
      </c>
      <c r="F89" s="2065" t="s">
        <v>936</v>
      </c>
      <c r="G89" s="2065" t="s">
        <v>936</v>
      </c>
      <c r="H89" s="1161">
        <v>0</v>
      </c>
      <c r="I89" s="1161">
        <v>0</v>
      </c>
      <c r="J89" s="2048" t="s">
        <v>936</v>
      </c>
      <c r="K89" s="2064" t="s">
        <v>936</v>
      </c>
      <c r="L89" s="1726"/>
    </row>
    <row r="90" spans="1:12">
      <c r="A90" s="1162" t="s">
        <v>45</v>
      </c>
      <c r="B90" s="1168" t="s">
        <v>46</v>
      </c>
      <c r="C90" s="1160">
        <v>0</v>
      </c>
      <c r="D90" s="1173">
        <v>0</v>
      </c>
      <c r="E90" s="1160">
        <v>0</v>
      </c>
      <c r="F90" s="2065" t="s">
        <v>936</v>
      </c>
      <c r="G90" s="2065" t="s">
        <v>936</v>
      </c>
      <c r="H90" s="1161">
        <v>0</v>
      </c>
      <c r="I90" s="1161">
        <v>0</v>
      </c>
      <c r="J90" s="2048" t="s">
        <v>936</v>
      </c>
      <c r="K90" s="2064" t="s">
        <v>936</v>
      </c>
      <c r="L90" s="1726"/>
    </row>
    <row r="91" spans="1:12">
      <c r="A91" s="1162" t="s">
        <v>47</v>
      </c>
      <c r="B91" s="1168" t="s">
        <v>48</v>
      </c>
      <c r="C91" s="1160">
        <v>0</v>
      </c>
      <c r="D91" s="1173">
        <v>0</v>
      </c>
      <c r="E91" s="1160">
        <v>0</v>
      </c>
      <c r="F91" s="2065" t="s">
        <v>936</v>
      </c>
      <c r="G91" s="2065" t="s">
        <v>936</v>
      </c>
      <c r="H91" s="1161">
        <v>0</v>
      </c>
      <c r="I91" s="1161">
        <v>0</v>
      </c>
      <c r="J91" s="2048" t="s">
        <v>936</v>
      </c>
      <c r="K91" s="2064" t="s">
        <v>936</v>
      </c>
      <c r="L91" s="1726"/>
    </row>
    <row r="92" spans="1:12" ht="26.4">
      <c r="A92" s="1162" t="s">
        <v>49</v>
      </c>
      <c r="B92" s="1168" t="s">
        <v>50</v>
      </c>
      <c r="C92" s="1160">
        <v>0</v>
      </c>
      <c r="D92" s="1173">
        <v>0</v>
      </c>
      <c r="E92" s="1160">
        <v>0</v>
      </c>
      <c r="F92" s="2065" t="s">
        <v>936</v>
      </c>
      <c r="G92" s="2065" t="s">
        <v>936</v>
      </c>
      <c r="H92" s="1161">
        <v>0</v>
      </c>
      <c r="I92" s="1161">
        <v>0</v>
      </c>
      <c r="J92" s="2048" t="s">
        <v>936</v>
      </c>
      <c r="K92" s="2064" t="s">
        <v>936</v>
      </c>
      <c r="L92" s="1726"/>
    </row>
    <row r="93" spans="1:12">
      <c r="A93" s="1162" t="s">
        <v>51</v>
      </c>
      <c r="B93" s="1168" t="s">
        <v>52</v>
      </c>
      <c r="C93" s="1160">
        <v>0</v>
      </c>
      <c r="D93" s="1173">
        <v>0</v>
      </c>
      <c r="E93" s="1160">
        <v>0</v>
      </c>
      <c r="F93" s="2065" t="s">
        <v>936</v>
      </c>
      <c r="G93" s="2065" t="s">
        <v>936</v>
      </c>
      <c r="H93" s="1161">
        <v>0</v>
      </c>
      <c r="I93" s="1161">
        <v>0</v>
      </c>
      <c r="J93" s="2048" t="s">
        <v>936</v>
      </c>
      <c r="K93" s="2064" t="s">
        <v>936</v>
      </c>
      <c r="L93" s="1726"/>
    </row>
    <row r="94" spans="1:12">
      <c r="A94" s="1162" t="s">
        <v>53</v>
      </c>
      <c r="B94" s="1168" t="s">
        <v>54</v>
      </c>
      <c r="C94" s="1160">
        <v>0</v>
      </c>
      <c r="D94" s="1173">
        <v>0</v>
      </c>
      <c r="E94" s="1160">
        <v>0</v>
      </c>
      <c r="F94" s="2065" t="s">
        <v>936</v>
      </c>
      <c r="G94" s="2065" t="s">
        <v>936</v>
      </c>
      <c r="H94" s="1161">
        <v>0</v>
      </c>
      <c r="I94" s="1161">
        <v>0</v>
      </c>
      <c r="J94" s="2048" t="s">
        <v>936</v>
      </c>
      <c r="K94" s="2064" t="s">
        <v>936</v>
      </c>
      <c r="L94" s="1726"/>
    </row>
    <row r="95" spans="1:12" ht="26.4">
      <c r="A95" s="1162" t="s">
        <v>55</v>
      </c>
      <c r="B95" s="1168" t="s">
        <v>56</v>
      </c>
      <c r="C95" s="1160">
        <v>0</v>
      </c>
      <c r="D95" s="1173">
        <v>0</v>
      </c>
      <c r="E95" s="1160">
        <v>0</v>
      </c>
      <c r="F95" s="2065" t="s">
        <v>936</v>
      </c>
      <c r="G95" s="2065" t="s">
        <v>936</v>
      </c>
      <c r="H95" s="1161">
        <v>0</v>
      </c>
      <c r="I95" s="1161">
        <v>0</v>
      </c>
      <c r="J95" s="2048" t="s">
        <v>936</v>
      </c>
      <c r="K95" s="2064" t="s">
        <v>936</v>
      </c>
      <c r="L95" s="1726"/>
    </row>
    <row r="96" spans="1:12">
      <c r="A96" s="1162" t="s">
        <v>57</v>
      </c>
      <c r="B96" s="1168" t="s">
        <v>58</v>
      </c>
      <c r="C96" s="1160">
        <v>0</v>
      </c>
      <c r="D96" s="1173">
        <v>0</v>
      </c>
      <c r="E96" s="1160">
        <v>0</v>
      </c>
      <c r="F96" s="2065" t="s">
        <v>936</v>
      </c>
      <c r="G96" s="2065" t="s">
        <v>936</v>
      </c>
      <c r="H96" s="1161">
        <v>0</v>
      </c>
      <c r="I96" s="1161">
        <v>0</v>
      </c>
      <c r="J96" s="2048" t="s">
        <v>936</v>
      </c>
      <c r="K96" s="2064" t="s">
        <v>936</v>
      </c>
      <c r="L96" s="1726"/>
    </row>
    <row r="97" spans="1:12" ht="52.8">
      <c r="A97" s="1162" t="s">
        <v>59</v>
      </c>
      <c r="B97" s="1168" t="s">
        <v>60</v>
      </c>
      <c r="C97" s="1160">
        <v>0</v>
      </c>
      <c r="D97" s="1173">
        <v>0</v>
      </c>
      <c r="E97" s="1160">
        <v>0</v>
      </c>
      <c r="F97" s="2065" t="s">
        <v>936</v>
      </c>
      <c r="G97" s="2065" t="s">
        <v>936</v>
      </c>
      <c r="H97" s="1161">
        <v>0</v>
      </c>
      <c r="I97" s="1161">
        <v>0</v>
      </c>
      <c r="J97" s="2048" t="s">
        <v>936</v>
      </c>
      <c r="K97" s="2064" t="s">
        <v>936</v>
      </c>
      <c r="L97" s="1726"/>
    </row>
    <row r="98" spans="1:12">
      <c r="A98" s="1162" t="s">
        <v>61</v>
      </c>
      <c r="B98" s="1168" t="s">
        <v>62</v>
      </c>
      <c r="C98" s="1160">
        <v>0</v>
      </c>
      <c r="D98" s="1173">
        <v>0</v>
      </c>
      <c r="E98" s="1160">
        <v>0</v>
      </c>
      <c r="F98" s="2065" t="s">
        <v>936</v>
      </c>
      <c r="G98" s="2065" t="s">
        <v>936</v>
      </c>
      <c r="H98" s="1161">
        <v>0</v>
      </c>
      <c r="I98" s="1161">
        <v>0</v>
      </c>
      <c r="J98" s="2048" t="s">
        <v>936</v>
      </c>
      <c r="K98" s="2064" t="s">
        <v>936</v>
      </c>
      <c r="L98" s="1726"/>
    </row>
    <row r="99" spans="1:12">
      <c r="A99" s="1162" t="s">
        <v>63</v>
      </c>
      <c r="B99" s="1168" t="s">
        <v>64</v>
      </c>
      <c r="C99" s="1160">
        <v>0</v>
      </c>
      <c r="D99" s="1173">
        <v>0</v>
      </c>
      <c r="E99" s="1160">
        <v>0</v>
      </c>
      <c r="F99" s="2065" t="s">
        <v>936</v>
      </c>
      <c r="G99" s="2065" t="s">
        <v>936</v>
      </c>
      <c r="H99" s="1161">
        <v>0</v>
      </c>
      <c r="I99" s="1161">
        <v>0</v>
      </c>
      <c r="J99" s="2048" t="s">
        <v>936</v>
      </c>
      <c r="K99" s="2064" t="s">
        <v>936</v>
      </c>
      <c r="L99" s="1726"/>
    </row>
    <row r="100" spans="1:12">
      <c r="A100" s="1162" t="s">
        <v>65</v>
      </c>
      <c r="B100" s="1168" t="s">
        <v>66</v>
      </c>
      <c r="C100" s="1160">
        <v>0</v>
      </c>
      <c r="D100" s="1173">
        <v>0</v>
      </c>
      <c r="E100" s="1160">
        <v>0</v>
      </c>
      <c r="F100" s="2065" t="s">
        <v>936</v>
      </c>
      <c r="G100" s="2065" t="s">
        <v>936</v>
      </c>
      <c r="H100" s="1161">
        <v>0</v>
      </c>
      <c r="I100" s="1161">
        <v>0</v>
      </c>
      <c r="J100" s="2048" t="s">
        <v>936</v>
      </c>
      <c r="K100" s="2064" t="s">
        <v>936</v>
      </c>
      <c r="L100" s="1726"/>
    </row>
    <row r="101" spans="1:12">
      <c r="A101" s="1162" t="s">
        <v>67</v>
      </c>
      <c r="B101" s="1168" t="s">
        <v>68</v>
      </c>
      <c r="C101" s="1160">
        <v>0</v>
      </c>
      <c r="D101" s="1173">
        <v>0</v>
      </c>
      <c r="E101" s="1160">
        <v>0</v>
      </c>
      <c r="F101" s="2065" t="s">
        <v>936</v>
      </c>
      <c r="G101" s="2065" t="s">
        <v>936</v>
      </c>
      <c r="H101" s="1161">
        <v>0</v>
      </c>
      <c r="I101" s="1161">
        <v>0</v>
      </c>
      <c r="J101" s="2048" t="s">
        <v>936</v>
      </c>
      <c r="K101" s="2064" t="s">
        <v>936</v>
      </c>
      <c r="L101" s="1726"/>
    </row>
    <row r="102" spans="1:12">
      <c r="A102" s="1162" t="s">
        <v>69</v>
      </c>
      <c r="B102" s="1168" t="s">
        <v>70</v>
      </c>
      <c r="C102" s="1160">
        <v>0</v>
      </c>
      <c r="D102" s="1173">
        <v>0</v>
      </c>
      <c r="E102" s="1160">
        <v>0</v>
      </c>
      <c r="F102" s="2065" t="s">
        <v>936</v>
      </c>
      <c r="G102" s="2065" t="s">
        <v>936</v>
      </c>
      <c r="H102" s="1161">
        <v>0</v>
      </c>
      <c r="I102" s="1161">
        <v>0</v>
      </c>
      <c r="J102" s="2048" t="s">
        <v>936</v>
      </c>
      <c r="K102" s="2064" t="s">
        <v>936</v>
      </c>
      <c r="L102" s="1726"/>
    </row>
    <row r="103" spans="1:12">
      <c r="A103" s="1162" t="s">
        <v>71</v>
      </c>
      <c r="B103" s="1168" t="s">
        <v>72</v>
      </c>
      <c r="C103" s="1160">
        <v>0</v>
      </c>
      <c r="D103" s="1173">
        <v>0</v>
      </c>
      <c r="E103" s="1160">
        <v>0</v>
      </c>
      <c r="F103" s="2065" t="s">
        <v>936</v>
      </c>
      <c r="G103" s="2065" t="s">
        <v>936</v>
      </c>
      <c r="H103" s="1161">
        <v>0</v>
      </c>
      <c r="I103" s="1161">
        <v>0</v>
      </c>
      <c r="J103" s="2048" t="s">
        <v>936</v>
      </c>
      <c r="K103" s="2064" t="s">
        <v>936</v>
      </c>
      <c r="L103" s="1726"/>
    </row>
    <row r="104" spans="1:12">
      <c r="A104" s="1162" t="s">
        <v>73</v>
      </c>
      <c r="B104" s="1168" t="s">
        <v>74</v>
      </c>
      <c r="C104" s="1160">
        <v>0</v>
      </c>
      <c r="D104" s="1173">
        <v>0</v>
      </c>
      <c r="E104" s="1160">
        <v>0</v>
      </c>
      <c r="F104" s="2065" t="s">
        <v>936</v>
      </c>
      <c r="G104" s="2065" t="s">
        <v>936</v>
      </c>
      <c r="H104" s="1161">
        <v>0</v>
      </c>
      <c r="I104" s="1161">
        <v>0</v>
      </c>
      <c r="J104" s="2048" t="s">
        <v>936</v>
      </c>
      <c r="K104" s="2064" t="s">
        <v>936</v>
      </c>
      <c r="L104" s="1726"/>
    </row>
    <row r="105" spans="1:12">
      <c r="A105" s="1162" t="s">
        <v>75</v>
      </c>
      <c r="B105" s="1168" t="s">
        <v>76</v>
      </c>
      <c r="C105" s="1160">
        <v>0</v>
      </c>
      <c r="D105" s="1173">
        <v>0</v>
      </c>
      <c r="E105" s="1160">
        <v>0</v>
      </c>
      <c r="F105" s="2065" t="s">
        <v>936</v>
      </c>
      <c r="G105" s="2065" t="s">
        <v>936</v>
      </c>
      <c r="H105" s="1161">
        <v>0</v>
      </c>
      <c r="I105" s="1161">
        <v>0</v>
      </c>
      <c r="J105" s="2048" t="s">
        <v>936</v>
      </c>
      <c r="K105" s="2064" t="s">
        <v>936</v>
      </c>
      <c r="L105" s="1726"/>
    </row>
    <row r="106" spans="1:12">
      <c r="A106" s="1162" t="s">
        <v>77</v>
      </c>
      <c r="B106" s="1168" t="s">
        <v>78</v>
      </c>
      <c r="C106" s="1160">
        <v>0</v>
      </c>
      <c r="D106" s="1173">
        <v>0</v>
      </c>
      <c r="E106" s="1160">
        <v>0</v>
      </c>
      <c r="F106" s="2065" t="s">
        <v>936</v>
      </c>
      <c r="G106" s="2065" t="s">
        <v>936</v>
      </c>
      <c r="H106" s="1161">
        <v>0</v>
      </c>
      <c r="I106" s="1161">
        <v>0</v>
      </c>
      <c r="J106" s="2048" t="s">
        <v>936</v>
      </c>
      <c r="K106" s="2064" t="s">
        <v>936</v>
      </c>
      <c r="L106" s="1726"/>
    </row>
    <row r="107" spans="1:12">
      <c r="A107" s="1162" t="s">
        <v>79</v>
      </c>
      <c r="B107" s="1168" t="s">
        <v>80</v>
      </c>
      <c r="C107" s="1160">
        <v>0</v>
      </c>
      <c r="D107" s="1173">
        <v>0</v>
      </c>
      <c r="E107" s="1160">
        <v>0</v>
      </c>
      <c r="F107" s="2065" t="s">
        <v>936</v>
      </c>
      <c r="G107" s="2065" t="s">
        <v>936</v>
      </c>
      <c r="H107" s="1161">
        <v>0</v>
      </c>
      <c r="I107" s="1161">
        <v>0</v>
      </c>
      <c r="J107" s="2048" t="s">
        <v>936</v>
      </c>
      <c r="K107" s="2064" t="s">
        <v>936</v>
      </c>
      <c r="L107" s="1726"/>
    </row>
    <row r="108" spans="1:12" ht="26.4">
      <c r="A108" s="1162" t="s">
        <v>81</v>
      </c>
      <c r="B108" s="1168" t="s">
        <v>82</v>
      </c>
      <c r="C108" s="1160">
        <v>0</v>
      </c>
      <c r="D108" s="1173">
        <v>0</v>
      </c>
      <c r="E108" s="1160">
        <v>0</v>
      </c>
      <c r="F108" s="2065" t="s">
        <v>936</v>
      </c>
      <c r="G108" s="2065" t="s">
        <v>936</v>
      </c>
      <c r="H108" s="1161">
        <v>0</v>
      </c>
      <c r="I108" s="1161">
        <v>0</v>
      </c>
      <c r="J108" s="2048" t="s">
        <v>936</v>
      </c>
      <c r="K108" s="2064" t="s">
        <v>936</v>
      </c>
      <c r="L108" s="1726"/>
    </row>
    <row r="109" spans="1:12">
      <c r="A109" s="1163" t="s">
        <v>83</v>
      </c>
      <c r="B109" s="1169" t="s">
        <v>84</v>
      </c>
      <c r="C109" s="1164">
        <v>0</v>
      </c>
      <c r="D109" s="1174">
        <v>0</v>
      </c>
      <c r="E109" s="1164">
        <v>0</v>
      </c>
      <c r="F109" s="2066" t="s">
        <v>936</v>
      </c>
      <c r="G109" s="2066" t="s">
        <v>936</v>
      </c>
      <c r="H109" s="1165">
        <v>0</v>
      </c>
      <c r="I109" s="1165">
        <v>0</v>
      </c>
      <c r="J109" s="2067" t="s">
        <v>936</v>
      </c>
      <c r="K109" s="2068" t="s">
        <v>936</v>
      </c>
      <c r="L109" s="1726"/>
    </row>
    <row r="111" spans="1:12">
      <c r="A111" s="172" t="s">
        <v>908</v>
      </c>
    </row>
  </sheetData>
  <mergeCells count="7">
    <mergeCell ref="A3:A5"/>
    <mergeCell ref="B3:B5"/>
    <mergeCell ref="H3:J3"/>
    <mergeCell ref="H5:I5"/>
    <mergeCell ref="J5:K5"/>
    <mergeCell ref="C3:G3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8" max="10" man="1"/>
    <brk id="52" max="16383" man="1"/>
    <brk id="75" max="10" man="1"/>
    <brk id="97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C32E-AFDF-4923-BDDD-D50E0640350B}">
  <dimension ref="A1:L111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7" customWidth="1"/>
    <col min="2" max="2" width="23.21875" customWidth="1"/>
    <col min="3" max="5" width="11.77734375" bestFit="1" customWidth="1"/>
    <col min="8" max="9" width="11.77734375" bestFit="1" customWidth="1"/>
  </cols>
  <sheetData>
    <row r="1" spans="1:12">
      <c r="A1" s="445" t="s">
        <v>1027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>
      <c r="A3" s="2138" t="s">
        <v>0</v>
      </c>
      <c r="B3" s="2140" t="s">
        <v>1</v>
      </c>
      <c r="C3" s="793"/>
      <c r="D3" s="2392" t="s">
        <v>129</v>
      </c>
      <c r="E3" s="2215"/>
      <c r="F3" s="2215"/>
      <c r="G3" s="2215"/>
      <c r="H3" s="2224" t="s">
        <v>130</v>
      </c>
      <c r="I3" s="2224"/>
      <c r="J3" s="2224"/>
      <c r="K3" s="2047" t="s">
        <v>131</v>
      </c>
    </row>
    <row r="4" spans="1:12" ht="24">
      <c r="A4" s="2139"/>
      <c r="B4" s="2141"/>
      <c r="C4" s="626" t="s">
        <v>843</v>
      </c>
      <c r="D4" s="792" t="s">
        <v>916</v>
      </c>
      <c r="E4" s="625" t="s">
        <v>917</v>
      </c>
      <c r="F4" s="231" t="s">
        <v>7</v>
      </c>
      <c r="G4" s="231" t="s">
        <v>8</v>
      </c>
      <c r="H4" s="2045" t="s">
        <v>3</v>
      </c>
      <c r="I4" s="2045" t="s">
        <v>2</v>
      </c>
      <c r="J4" s="231" t="s">
        <v>845</v>
      </c>
      <c r="K4" s="230" t="s">
        <v>846</v>
      </c>
    </row>
    <row r="5" spans="1:12">
      <c r="A5" s="2139"/>
      <c r="B5" s="2141"/>
      <c r="C5" s="2449" t="s">
        <v>93</v>
      </c>
      <c r="D5" s="2447"/>
      <c r="E5" s="2448"/>
      <c r="F5" s="2045" t="s">
        <v>134</v>
      </c>
      <c r="G5" s="2045" t="s">
        <v>134</v>
      </c>
      <c r="H5" s="2226" t="s">
        <v>93</v>
      </c>
      <c r="I5" s="2226"/>
      <c r="J5" s="2226" t="s">
        <v>134</v>
      </c>
      <c r="K5" s="2227"/>
    </row>
    <row r="6" spans="1:12">
      <c r="A6" s="367" t="s">
        <v>10</v>
      </c>
      <c r="B6" s="296" t="s">
        <v>11</v>
      </c>
      <c r="C6" s="367" t="s">
        <v>12</v>
      </c>
      <c r="D6" s="370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8" t="s">
        <v>94</v>
      </c>
      <c r="J6" s="368" t="s">
        <v>150</v>
      </c>
      <c r="K6" s="369" t="s">
        <v>170</v>
      </c>
    </row>
    <row r="7" spans="1:12">
      <c r="A7" s="1188"/>
      <c r="B7" s="1185" t="s">
        <v>151</v>
      </c>
      <c r="C7" s="1184">
        <v>3003687025</v>
      </c>
      <c r="D7" s="1194">
        <v>2853843663.5700002</v>
      </c>
      <c r="E7" s="1184">
        <v>2630431218.7800002</v>
      </c>
      <c r="F7" s="1191">
        <v>92.2</v>
      </c>
      <c r="G7" s="1191">
        <v>87.6</v>
      </c>
      <c r="H7" s="1184">
        <v>2223036509.9300003</v>
      </c>
      <c r="I7" s="1184">
        <v>2143203536.0100002</v>
      </c>
      <c r="J7" s="1191">
        <v>96.4</v>
      </c>
      <c r="K7" s="1195">
        <v>81.5</v>
      </c>
      <c r="L7" s="1726"/>
    </row>
    <row r="8" spans="1:12">
      <c r="A8" s="1188"/>
      <c r="B8" s="1185" t="s">
        <v>153</v>
      </c>
      <c r="C8" s="1184">
        <v>2676036383.8699999</v>
      </c>
      <c r="D8" s="1194">
        <v>2090033060.0599999</v>
      </c>
      <c r="E8" s="1184">
        <v>1970301125.25</v>
      </c>
      <c r="F8" s="1191">
        <v>94.3</v>
      </c>
      <c r="G8" s="1191">
        <v>73.599999999999994</v>
      </c>
      <c r="H8" s="1184">
        <v>1692257291.4299998</v>
      </c>
      <c r="I8" s="1184">
        <v>1642365986.5899999</v>
      </c>
      <c r="J8" s="1191">
        <v>97.1</v>
      </c>
      <c r="K8" s="1195">
        <v>83.4</v>
      </c>
      <c r="L8" s="1726"/>
    </row>
    <row r="9" spans="1:12">
      <c r="A9" s="1180" t="s">
        <v>19</v>
      </c>
      <c r="B9" s="1186" t="s">
        <v>20</v>
      </c>
      <c r="C9" s="1178">
        <v>0</v>
      </c>
      <c r="D9" s="1192">
        <v>0</v>
      </c>
      <c r="E9" s="1178">
        <v>0</v>
      </c>
      <c r="F9" s="2065" t="s">
        <v>936</v>
      </c>
      <c r="G9" s="2065" t="s">
        <v>936</v>
      </c>
      <c r="H9" s="1179">
        <v>0</v>
      </c>
      <c r="I9" s="1179">
        <v>0</v>
      </c>
      <c r="J9" s="2048" t="s">
        <v>936</v>
      </c>
      <c r="K9" s="2064" t="s">
        <v>936</v>
      </c>
      <c r="L9" s="1726"/>
    </row>
    <row r="10" spans="1:12">
      <c r="A10" s="1180" t="s">
        <v>21</v>
      </c>
      <c r="B10" s="1186" t="s">
        <v>22</v>
      </c>
      <c r="C10" s="1178">
        <v>0</v>
      </c>
      <c r="D10" s="1192">
        <v>0</v>
      </c>
      <c r="E10" s="1178">
        <v>0</v>
      </c>
      <c r="F10" s="2065" t="s">
        <v>936</v>
      </c>
      <c r="G10" s="2065" t="s">
        <v>936</v>
      </c>
      <c r="H10" s="1179">
        <v>0</v>
      </c>
      <c r="I10" s="1179">
        <v>0</v>
      </c>
      <c r="J10" s="2048" t="s">
        <v>936</v>
      </c>
      <c r="K10" s="2064" t="s">
        <v>936</v>
      </c>
      <c r="L10" s="1726"/>
    </row>
    <row r="11" spans="1:12">
      <c r="A11" s="1180" t="s">
        <v>23</v>
      </c>
      <c r="B11" s="1186" t="s">
        <v>24</v>
      </c>
      <c r="C11" s="1178">
        <v>0</v>
      </c>
      <c r="D11" s="1192">
        <v>0</v>
      </c>
      <c r="E11" s="1178">
        <v>0</v>
      </c>
      <c r="F11" s="2065" t="s">
        <v>936</v>
      </c>
      <c r="G11" s="2065" t="s">
        <v>936</v>
      </c>
      <c r="H11" s="1179">
        <v>0</v>
      </c>
      <c r="I11" s="1179">
        <v>0</v>
      </c>
      <c r="J11" s="2048" t="s">
        <v>936</v>
      </c>
      <c r="K11" s="2064" t="s">
        <v>936</v>
      </c>
      <c r="L11" s="1726"/>
    </row>
    <row r="12" spans="1:12">
      <c r="A12" s="1180" t="s">
        <v>25</v>
      </c>
      <c r="B12" s="1186" t="s">
        <v>26</v>
      </c>
      <c r="C12" s="1178">
        <v>0</v>
      </c>
      <c r="D12" s="1192">
        <v>0</v>
      </c>
      <c r="E12" s="1178">
        <v>0</v>
      </c>
      <c r="F12" s="2065" t="s">
        <v>936</v>
      </c>
      <c r="G12" s="2065" t="s">
        <v>936</v>
      </c>
      <c r="H12" s="1179">
        <v>0</v>
      </c>
      <c r="I12" s="1179">
        <v>0</v>
      </c>
      <c r="J12" s="2048" t="s">
        <v>936</v>
      </c>
      <c r="K12" s="2064" t="s">
        <v>936</v>
      </c>
      <c r="L12" s="1726"/>
    </row>
    <row r="13" spans="1:12">
      <c r="A13" s="1180" t="s">
        <v>27</v>
      </c>
      <c r="B13" s="1186" t="s">
        <v>28</v>
      </c>
      <c r="C13" s="1178">
        <v>0</v>
      </c>
      <c r="D13" s="1192">
        <v>0</v>
      </c>
      <c r="E13" s="1178">
        <v>0</v>
      </c>
      <c r="F13" s="2065" t="s">
        <v>936</v>
      </c>
      <c r="G13" s="2065" t="s">
        <v>936</v>
      </c>
      <c r="H13" s="1179">
        <v>0</v>
      </c>
      <c r="I13" s="1179">
        <v>0</v>
      </c>
      <c r="J13" s="2048" t="s">
        <v>936</v>
      </c>
      <c r="K13" s="2064" t="s">
        <v>936</v>
      </c>
      <c r="L13" s="1726"/>
    </row>
    <row r="14" spans="1:12" ht="26.4">
      <c r="A14" s="1180" t="s">
        <v>29</v>
      </c>
      <c r="B14" s="1186" t="s">
        <v>30</v>
      </c>
      <c r="C14" s="1178">
        <v>0</v>
      </c>
      <c r="D14" s="1192">
        <v>0</v>
      </c>
      <c r="E14" s="1178">
        <v>0</v>
      </c>
      <c r="F14" s="2065" t="s">
        <v>936</v>
      </c>
      <c r="G14" s="2065" t="s">
        <v>936</v>
      </c>
      <c r="H14" s="1179">
        <v>0</v>
      </c>
      <c r="I14" s="1179">
        <v>0</v>
      </c>
      <c r="J14" s="2048" t="s">
        <v>936</v>
      </c>
      <c r="K14" s="2064" t="s">
        <v>936</v>
      </c>
      <c r="L14" s="1726"/>
    </row>
    <row r="15" spans="1:12">
      <c r="A15" s="1180" t="s">
        <v>31</v>
      </c>
      <c r="B15" s="1186" t="s">
        <v>32</v>
      </c>
      <c r="C15" s="1178">
        <v>0</v>
      </c>
      <c r="D15" s="1192">
        <v>0</v>
      </c>
      <c r="E15" s="1178">
        <v>0</v>
      </c>
      <c r="F15" s="2065" t="s">
        <v>936</v>
      </c>
      <c r="G15" s="2065" t="s">
        <v>936</v>
      </c>
      <c r="H15" s="1179">
        <v>0</v>
      </c>
      <c r="I15" s="1179">
        <v>0</v>
      </c>
      <c r="J15" s="2048" t="s">
        <v>936</v>
      </c>
      <c r="K15" s="2064" t="s">
        <v>936</v>
      </c>
      <c r="L15" s="1726"/>
    </row>
    <row r="16" spans="1:12">
      <c r="A16" s="1180" t="s">
        <v>33</v>
      </c>
      <c r="B16" s="1186" t="s">
        <v>34</v>
      </c>
      <c r="C16" s="1178">
        <v>0</v>
      </c>
      <c r="D16" s="1192">
        <v>0</v>
      </c>
      <c r="E16" s="1178">
        <v>0</v>
      </c>
      <c r="F16" s="2065" t="s">
        <v>936</v>
      </c>
      <c r="G16" s="2065" t="s">
        <v>936</v>
      </c>
      <c r="H16" s="1179">
        <v>0</v>
      </c>
      <c r="I16" s="1179">
        <v>0</v>
      </c>
      <c r="J16" s="2048" t="s">
        <v>936</v>
      </c>
      <c r="K16" s="2064" t="s">
        <v>936</v>
      </c>
      <c r="L16" s="1726"/>
    </row>
    <row r="17" spans="1:12">
      <c r="A17" s="1180" t="s">
        <v>35</v>
      </c>
      <c r="B17" s="1186" t="s">
        <v>36</v>
      </c>
      <c r="C17" s="1178">
        <v>53109901.829999998</v>
      </c>
      <c r="D17" s="1192">
        <v>60995623.869999997</v>
      </c>
      <c r="E17" s="1178">
        <v>63209805.32</v>
      </c>
      <c r="F17" s="1190">
        <v>103.6</v>
      </c>
      <c r="G17" s="1190">
        <v>119</v>
      </c>
      <c r="H17" s="1179">
        <v>2572143.8699999973</v>
      </c>
      <c r="I17" s="1179">
        <v>1775028.9100000039</v>
      </c>
      <c r="J17" s="1179">
        <v>69</v>
      </c>
      <c r="K17" s="1196">
        <v>2.8</v>
      </c>
      <c r="L17" s="1726"/>
    </row>
    <row r="18" spans="1:12">
      <c r="A18" s="1180" t="s">
        <v>37</v>
      </c>
      <c r="B18" s="1186" t="s">
        <v>38</v>
      </c>
      <c r="C18" s="1178">
        <v>0</v>
      </c>
      <c r="D18" s="1192">
        <v>0</v>
      </c>
      <c r="E18" s="1178">
        <v>0</v>
      </c>
      <c r="F18" s="2065" t="s">
        <v>936</v>
      </c>
      <c r="G18" s="2065" t="s">
        <v>936</v>
      </c>
      <c r="H18" s="1179">
        <v>0</v>
      </c>
      <c r="I18" s="1179">
        <v>0</v>
      </c>
      <c r="J18" s="2048" t="s">
        <v>936</v>
      </c>
      <c r="K18" s="2064" t="s">
        <v>936</v>
      </c>
      <c r="L18" s="1726"/>
    </row>
    <row r="19" spans="1:12">
      <c r="A19" s="1180" t="s">
        <v>39</v>
      </c>
      <c r="B19" s="1186" t="s">
        <v>40</v>
      </c>
      <c r="C19" s="1178">
        <v>0</v>
      </c>
      <c r="D19" s="1192">
        <v>167750</v>
      </c>
      <c r="E19" s="1178">
        <v>58048.74</v>
      </c>
      <c r="F19" s="1190">
        <v>34.6</v>
      </c>
      <c r="G19" s="2065" t="s">
        <v>936</v>
      </c>
      <c r="H19" s="1179">
        <v>0</v>
      </c>
      <c r="I19" s="1179">
        <v>0</v>
      </c>
      <c r="J19" s="2048" t="s">
        <v>936</v>
      </c>
      <c r="K19" s="1196">
        <v>0</v>
      </c>
      <c r="L19" s="1726"/>
    </row>
    <row r="20" spans="1:12">
      <c r="A20" s="1180" t="s">
        <v>41</v>
      </c>
      <c r="B20" s="1186" t="s">
        <v>42</v>
      </c>
      <c r="C20" s="1178">
        <v>21999.78</v>
      </c>
      <c r="D20" s="1192">
        <v>8450</v>
      </c>
      <c r="E20" s="1178">
        <v>8450</v>
      </c>
      <c r="F20" s="1190">
        <v>100</v>
      </c>
      <c r="G20" s="1190">
        <v>38.4</v>
      </c>
      <c r="H20" s="1179">
        <v>8450</v>
      </c>
      <c r="I20" s="1179">
        <v>8450</v>
      </c>
      <c r="J20" s="1179">
        <v>100</v>
      </c>
      <c r="K20" s="1196">
        <v>100</v>
      </c>
      <c r="L20" s="1726"/>
    </row>
    <row r="21" spans="1:12">
      <c r="A21" s="1180" t="s">
        <v>43</v>
      </c>
      <c r="B21" s="1186" t="s">
        <v>44</v>
      </c>
      <c r="C21" s="1178">
        <v>0</v>
      </c>
      <c r="D21" s="1192">
        <v>0</v>
      </c>
      <c r="E21" s="1178">
        <v>0</v>
      </c>
      <c r="F21" s="2065" t="s">
        <v>936</v>
      </c>
      <c r="G21" s="2065" t="s">
        <v>936</v>
      </c>
      <c r="H21" s="1179">
        <v>0</v>
      </c>
      <c r="I21" s="1179">
        <v>0</v>
      </c>
      <c r="J21" s="2048" t="s">
        <v>936</v>
      </c>
      <c r="K21" s="2064" t="s">
        <v>936</v>
      </c>
      <c r="L21" s="1726"/>
    </row>
    <row r="22" spans="1:12">
      <c r="A22" s="1180" t="s">
        <v>45</v>
      </c>
      <c r="B22" s="1186" t="s">
        <v>46</v>
      </c>
      <c r="C22" s="1178">
        <v>0</v>
      </c>
      <c r="D22" s="1192">
        <v>0</v>
      </c>
      <c r="E22" s="1178">
        <v>0</v>
      </c>
      <c r="F22" s="2065" t="s">
        <v>936</v>
      </c>
      <c r="G22" s="2065" t="s">
        <v>936</v>
      </c>
      <c r="H22" s="1179">
        <v>0</v>
      </c>
      <c r="I22" s="1179">
        <v>0</v>
      </c>
      <c r="J22" s="2048" t="s">
        <v>936</v>
      </c>
      <c r="K22" s="2064" t="s">
        <v>936</v>
      </c>
      <c r="L22" s="1726"/>
    </row>
    <row r="23" spans="1:12">
      <c r="A23" s="1180" t="s">
        <v>47</v>
      </c>
      <c r="B23" s="1186" t="s">
        <v>48</v>
      </c>
      <c r="C23" s="1178">
        <v>54910</v>
      </c>
      <c r="D23" s="1192">
        <v>18263</v>
      </c>
      <c r="E23" s="1178">
        <v>90622.21</v>
      </c>
      <c r="F23" s="1190">
        <v>496.2</v>
      </c>
      <c r="G23" s="1190">
        <v>165</v>
      </c>
      <c r="H23" s="1179">
        <v>18263</v>
      </c>
      <c r="I23" s="1179">
        <v>90622.21</v>
      </c>
      <c r="J23" s="1179">
        <v>496.2</v>
      </c>
      <c r="K23" s="1196">
        <v>100</v>
      </c>
      <c r="L23" s="1726"/>
    </row>
    <row r="24" spans="1:12" ht="39.6">
      <c r="A24" s="1180" t="s">
        <v>49</v>
      </c>
      <c r="B24" s="1186" t="s">
        <v>50</v>
      </c>
      <c r="C24" s="1178">
        <v>0</v>
      </c>
      <c r="D24" s="1192">
        <v>0</v>
      </c>
      <c r="E24" s="1178">
        <v>0</v>
      </c>
      <c r="F24" s="2065" t="s">
        <v>936</v>
      </c>
      <c r="G24" s="2065" t="s">
        <v>936</v>
      </c>
      <c r="H24" s="1179">
        <v>0</v>
      </c>
      <c r="I24" s="1179">
        <v>0</v>
      </c>
      <c r="J24" s="2048" t="s">
        <v>936</v>
      </c>
      <c r="K24" s="2064" t="s">
        <v>936</v>
      </c>
      <c r="L24" s="1726"/>
    </row>
    <row r="25" spans="1:12">
      <c r="A25" s="1180" t="s">
        <v>51</v>
      </c>
      <c r="B25" s="1186" t="s">
        <v>52</v>
      </c>
      <c r="C25" s="1178">
        <v>0</v>
      </c>
      <c r="D25" s="1192">
        <v>265907056.78999999</v>
      </c>
      <c r="E25" s="1178">
        <v>183729938.16</v>
      </c>
      <c r="F25" s="1190">
        <v>69.099999999999994</v>
      </c>
      <c r="G25" s="1190" t="s">
        <v>135</v>
      </c>
      <c r="H25" s="1179">
        <v>41580517.48999998</v>
      </c>
      <c r="I25" s="1179">
        <v>26544323.079999983</v>
      </c>
      <c r="J25" s="1179">
        <v>63.8</v>
      </c>
      <c r="K25" s="1196">
        <v>14.4</v>
      </c>
      <c r="L25" s="1726"/>
    </row>
    <row r="26" spans="1:12" ht="26.4">
      <c r="A26" s="1180" t="s">
        <v>53</v>
      </c>
      <c r="B26" s="1186" t="s">
        <v>54</v>
      </c>
      <c r="C26" s="1178">
        <v>0</v>
      </c>
      <c r="D26" s="1192">
        <v>0</v>
      </c>
      <c r="E26" s="1178">
        <v>0</v>
      </c>
      <c r="F26" s="2065" t="s">
        <v>936</v>
      </c>
      <c r="G26" s="2065" t="s">
        <v>936</v>
      </c>
      <c r="H26" s="1179">
        <v>0</v>
      </c>
      <c r="I26" s="1179">
        <v>0</v>
      </c>
      <c r="J26" s="2048" t="s">
        <v>936</v>
      </c>
      <c r="K26" s="2064" t="s">
        <v>936</v>
      </c>
      <c r="L26" s="1726"/>
    </row>
    <row r="27" spans="1:12" ht="26.4">
      <c r="A27" s="1180" t="s">
        <v>55</v>
      </c>
      <c r="B27" s="1186" t="s">
        <v>56</v>
      </c>
      <c r="C27" s="1178">
        <v>206820</v>
      </c>
      <c r="D27" s="1192">
        <v>2648438.6</v>
      </c>
      <c r="E27" s="1178">
        <v>2404479.6</v>
      </c>
      <c r="F27" s="1190">
        <v>90.8</v>
      </c>
      <c r="G27" s="1190">
        <v>1162.5999999999999</v>
      </c>
      <c r="H27" s="1179">
        <v>2648438.6</v>
      </c>
      <c r="I27" s="1179">
        <v>2404479.6</v>
      </c>
      <c r="J27" s="1179">
        <v>90.8</v>
      </c>
      <c r="K27" s="1196">
        <v>100</v>
      </c>
      <c r="L27" s="1726"/>
    </row>
    <row r="28" spans="1:12">
      <c r="A28" s="1180" t="s">
        <v>57</v>
      </c>
      <c r="B28" s="1186" t="s">
        <v>58</v>
      </c>
      <c r="C28" s="1178">
        <v>0</v>
      </c>
      <c r="D28" s="1192">
        <v>0</v>
      </c>
      <c r="E28" s="1178">
        <v>0</v>
      </c>
      <c r="F28" s="2065" t="s">
        <v>936</v>
      </c>
      <c r="G28" s="2065" t="s">
        <v>936</v>
      </c>
      <c r="H28" s="1179">
        <v>0</v>
      </c>
      <c r="I28" s="1179">
        <v>0</v>
      </c>
      <c r="J28" s="2048" t="s">
        <v>936</v>
      </c>
      <c r="K28" s="2064" t="s">
        <v>936</v>
      </c>
      <c r="L28" s="1726"/>
    </row>
    <row r="29" spans="1:12" ht="66">
      <c r="A29" s="1180" t="s">
        <v>59</v>
      </c>
      <c r="B29" s="1186" t="s">
        <v>60</v>
      </c>
      <c r="C29" s="1178">
        <v>0</v>
      </c>
      <c r="D29" s="1192">
        <v>0</v>
      </c>
      <c r="E29" s="1178">
        <v>0</v>
      </c>
      <c r="F29" s="2065" t="s">
        <v>936</v>
      </c>
      <c r="G29" s="2065" t="s">
        <v>936</v>
      </c>
      <c r="H29" s="1179">
        <v>0</v>
      </c>
      <c r="I29" s="1179">
        <v>0</v>
      </c>
      <c r="J29" s="2048" t="s">
        <v>936</v>
      </c>
      <c r="K29" s="2064" t="s">
        <v>936</v>
      </c>
      <c r="L29" s="1726"/>
    </row>
    <row r="30" spans="1:12">
      <c r="A30" s="1180" t="s">
        <v>61</v>
      </c>
      <c r="B30" s="1186" t="s">
        <v>62</v>
      </c>
      <c r="C30" s="1178">
        <v>0</v>
      </c>
      <c r="D30" s="1192">
        <v>0</v>
      </c>
      <c r="E30" s="1178">
        <v>0</v>
      </c>
      <c r="F30" s="2065" t="s">
        <v>936</v>
      </c>
      <c r="G30" s="2065" t="s">
        <v>936</v>
      </c>
      <c r="H30" s="1179">
        <v>0</v>
      </c>
      <c r="I30" s="1179">
        <v>0</v>
      </c>
      <c r="J30" s="2048" t="s">
        <v>936</v>
      </c>
      <c r="K30" s="2064" t="s">
        <v>936</v>
      </c>
      <c r="L30" s="1726"/>
    </row>
    <row r="31" spans="1:12">
      <c r="A31" s="1180" t="s">
        <v>63</v>
      </c>
      <c r="B31" s="1186" t="s">
        <v>64</v>
      </c>
      <c r="C31" s="1178">
        <v>17113075.199999999</v>
      </c>
      <c r="D31" s="1192">
        <v>25620907.5</v>
      </c>
      <c r="E31" s="1178">
        <v>25620902.850000001</v>
      </c>
      <c r="F31" s="1190">
        <v>100</v>
      </c>
      <c r="G31" s="1190">
        <v>149.69999999999999</v>
      </c>
      <c r="H31" s="1179">
        <v>20311453.490000002</v>
      </c>
      <c r="I31" s="1179">
        <v>20311452.57</v>
      </c>
      <c r="J31" s="1179">
        <v>100</v>
      </c>
      <c r="K31" s="1196">
        <v>79.3</v>
      </c>
      <c r="L31" s="1726"/>
    </row>
    <row r="32" spans="1:12">
      <c r="A32" s="1180" t="s">
        <v>65</v>
      </c>
      <c r="B32" s="1186" t="s">
        <v>66</v>
      </c>
      <c r="C32" s="1178">
        <v>1460380877.8199999</v>
      </c>
      <c r="D32" s="1192">
        <v>81037569.299999997</v>
      </c>
      <c r="E32" s="1178">
        <v>78395356.709999993</v>
      </c>
      <c r="F32" s="1190">
        <v>96.7</v>
      </c>
      <c r="G32" s="1190">
        <v>5.4</v>
      </c>
      <c r="H32" s="1179">
        <v>21368261.979999997</v>
      </c>
      <c r="I32" s="1179">
        <v>21097450.149999991</v>
      </c>
      <c r="J32" s="1179">
        <v>98.7</v>
      </c>
      <c r="K32" s="1196">
        <v>26.9</v>
      </c>
      <c r="L32" s="1726"/>
    </row>
    <row r="33" spans="1:12">
      <c r="A33" s="1180" t="s">
        <v>67</v>
      </c>
      <c r="B33" s="1186" t="s">
        <v>68</v>
      </c>
      <c r="C33" s="1178">
        <v>0</v>
      </c>
      <c r="D33" s="1192">
        <v>0</v>
      </c>
      <c r="E33" s="1178">
        <v>0</v>
      </c>
      <c r="F33" s="2065" t="s">
        <v>936</v>
      </c>
      <c r="G33" s="2065" t="s">
        <v>936</v>
      </c>
      <c r="H33" s="1179">
        <v>0</v>
      </c>
      <c r="I33" s="1179">
        <v>0</v>
      </c>
      <c r="J33" s="2048" t="s">
        <v>936</v>
      </c>
      <c r="K33" s="2064" t="s">
        <v>936</v>
      </c>
      <c r="L33" s="1726"/>
    </row>
    <row r="34" spans="1:12">
      <c r="A34" s="1180" t="s">
        <v>69</v>
      </c>
      <c r="B34" s="1186" t="s">
        <v>70</v>
      </c>
      <c r="C34" s="1178">
        <v>981295311.20000005</v>
      </c>
      <c r="D34" s="1192">
        <v>1328290953.2</v>
      </c>
      <c r="E34" s="1178">
        <v>1309734532.8599999</v>
      </c>
      <c r="F34" s="1190">
        <v>98.6</v>
      </c>
      <c r="G34" s="1190">
        <v>133.5</v>
      </c>
      <c r="H34" s="1179">
        <v>1325907362.2</v>
      </c>
      <c r="I34" s="1179">
        <v>1307532773.0999999</v>
      </c>
      <c r="J34" s="1179">
        <v>98.6</v>
      </c>
      <c r="K34" s="1196">
        <v>99.8</v>
      </c>
      <c r="L34" s="1726"/>
    </row>
    <row r="35" spans="1:12" ht="26.4">
      <c r="A35" s="1180" t="s">
        <v>71</v>
      </c>
      <c r="B35" s="1186" t="s">
        <v>72</v>
      </c>
      <c r="C35" s="1178">
        <v>0</v>
      </c>
      <c r="D35" s="1192">
        <v>0</v>
      </c>
      <c r="E35" s="1178">
        <v>0</v>
      </c>
      <c r="F35" s="2065" t="s">
        <v>936</v>
      </c>
      <c r="G35" s="2065" t="s">
        <v>936</v>
      </c>
      <c r="H35" s="1179">
        <v>0</v>
      </c>
      <c r="I35" s="1179">
        <v>0</v>
      </c>
      <c r="J35" s="2048" t="s">
        <v>936</v>
      </c>
      <c r="K35" s="2064" t="s">
        <v>936</v>
      </c>
      <c r="L35" s="1726"/>
    </row>
    <row r="36" spans="1:12">
      <c r="A36" s="1180" t="s">
        <v>73</v>
      </c>
      <c r="B36" s="1186" t="s">
        <v>74</v>
      </c>
      <c r="C36" s="1178">
        <v>23623667.149999999</v>
      </c>
      <c r="D36" s="1192">
        <v>36490914.700000003</v>
      </c>
      <c r="E36" s="1178">
        <v>28652560.039999999</v>
      </c>
      <c r="F36" s="1190">
        <v>78.5</v>
      </c>
      <c r="G36" s="1190">
        <v>121.3</v>
      </c>
      <c r="H36" s="1179">
        <v>31502379.700000003</v>
      </c>
      <c r="I36" s="1179">
        <v>23721768.039999999</v>
      </c>
      <c r="J36" s="1179">
        <v>75.3</v>
      </c>
      <c r="K36" s="1196">
        <v>82.8</v>
      </c>
      <c r="L36" s="1726"/>
    </row>
    <row r="37" spans="1:12">
      <c r="A37" s="1180" t="s">
        <v>75</v>
      </c>
      <c r="B37" s="1186" t="s">
        <v>76</v>
      </c>
      <c r="C37" s="1178">
        <v>80503492.180000007</v>
      </c>
      <c r="D37" s="1192">
        <v>166419974.75</v>
      </c>
      <c r="E37" s="1178">
        <v>159344164.78999999</v>
      </c>
      <c r="F37" s="1190">
        <v>95.7</v>
      </c>
      <c r="G37" s="1190">
        <v>197.9</v>
      </c>
      <c r="H37" s="1179">
        <v>166419974.75</v>
      </c>
      <c r="I37" s="1179">
        <v>159344164.78999999</v>
      </c>
      <c r="J37" s="1179">
        <v>95.7</v>
      </c>
      <c r="K37" s="1196">
        <v>100</v>
      </c>
      <c r="L37" s="1726"/>
    </row>
    <row r="38" spans="1:12" ht="26.4">
      <c r="A38" s="1180" t="s">
        <v>77</v>
      </c>
      <c r="B38" s="1186" t="s">
        <v>78</v>
      </c>
      <c r="C38" s="1178">
        <v>8150811.5300000003</v>
      </c>
      <c r="D38" s="1192">
        <v>80316523.349999994</v>
      </c>
      <c r="E38" s="1178">
        <v>79829601.540000007</v>
      </c>
      <c r="F38" s="1190">
        <v>99.4</v>
      </c>
      <c r="G38" s="1190">
        <v>979.4</v>
      </c>
      <c r="H38" s="1179">
        <v>79905232.349999994</v>
      </c>
      <c r="I38" s="1179">
        <v>79520660.540000007</v>
      </c>
      <c r="J38" s="1179">
        <v>99.5</v>
      </c>
      <c r="K38" s="1196">
        <v>99.6</v>
      </c>
      <c r="L38" s="1726"/>
    </row>
    <row r="39" spans="1:12" ht="26.4">
      <c r="A39" s="1180" t="s">
        <v>79</v>
      </c>
      <c r="B39" s="1186" t="s">
        <v>80</v>
      </c>
      <c r="C39" s="1178">
        <v>4837354.54</v>
      </c>
      <c r="D39" s="1192">
        <v>5214594</v>
      </c>
      <c r="E39" s="1178">
        <v>6239155.8099999996</v>
      </c>
      <c r="F39" s="1190">
        <v>119.6</v>
      </c>
      <c r="G39" s="1190">
        <v>129</v>
      </c>
      <c r="H39" s="1179">
        <v>0</v>
      </c>
      <c r="I39" s="1179">
        <v>0</v>
      </c>
      <c r="J39" s="2048" t="s">
        <v>936</v>
      </c>
      <c r="K39" s="1196">
        <v>0</v>
      </c>
      <c r="L39" s="1726"/>
    </row>
    <row r="40" spans="1:12" ht="39.6">
      <c r="A40" s="1180" t="s">
        <v>81</v>
      </c>
      <c r="B40" s="1186" t="s">
        <v>82</v>
      </c>
      <c r="C40" s="1178">
        <v>19368</v>
      </c>
      <c r="D40" s="1192">
        <v>14814</v>
      </c>
      <c r="E40" s="1178">
        <v>14813.6</v>
      </c>
      <c r="F40" s="1190">
        <v>100</v>
      </c>
      <c r="G40" s="1190">
        <v>76.5</v>
      </c>
      <c r="H40" s="1179">
        <v>14814</v>
      </c>
      <c r="I40" s="1179">
        <v>14813.6</v>
      </c>
      <c r="J40" s="1179">
        <v>100</v>
      </c>
      <c r="K40" s="1196">
        <v>100</v>
      </c>
      <c r="L40" s="1726"/>
    </row>
    <row r="41" spans="1:12">
      <c r="A41" s="1181" t="s">
        <v>83</v>
      </c>
      <c r="B41" s="1187" t="s">
        <v>84</v>
      </c>
      <c r="C41" s="1182">
        <v>46718794.640000001</v>
      </c>
      <c r="D41" s="1193">
        <v>36881227</v>
      </c>
      <c r="E41" s="1182">
        <v>32968693.02</v>
      </c>
      <c r="F41" s="1189">
        <v>89.4</v>
      </c>
      <c r="G41" s="1189">
        <v>70.599999999999994</v>
      </c>
      <c r="H41" s="1183">
        <v>0</v>
      </c>
      <c r="I41" s="1183">
        <v>0</v>
      </c>
      <c r="J41" s="1183" t="s">
        <v>135</v>
      </c>
      <c r="K41" s="1197">
        <v>0</v>
      </c>
      <c r="L41" s="1726"/>
    </row>
    <row r="42" spans="1:12">
      <c r="A42" s="1188"/>
      <c r="B42" s="1185" t="s">
        <v>154</v>
      </c>
      <c r="C42" s="1184">
        <v>327418441.05000001</v>
      </c>
      <c r="D42" s="1194">
        <v>763810603.50999999</v>
      </c>
      <c r="E42" s="1184">
        <v>660130093.52999997</v>
      </c>
      <c r="F42" s="1191">
        <v>86.4</v>
      </c>
      <c r="G42" s="1191">
        <v>201.6</v>
      </c>
      <c r="H42" s="1184">
        <v>530779218.5</v>
      </c>
      <c r="I42" s="1184">
        <v>500837549.41999996</v>
      </c>
      <c r="J42" s="1191">
        <v>94.4</v>
      </c>
      <c r="K42" s="1195">
        <v>75.900000000000006</v>
      </c>
      <c r="L42" s="1726"/>
    </row>
    <row r="43" spans="1:12">
      <c r="A43" s="1180" t="s">
        <v>19</v>
      </c>
      <c r="B43" s="1186" t="s">
        <v>20</v>
      </c>
      <c r="C43" s="1178">
        <v>0</v>
      </c>
      <c r="D43" s="1192">
        <v>0</v>
      </c>
      <c r="E43" s="1178">
        <v>0</v>
      </c>
      <c r="F43" s="2065" t="s">
        <v>936</v>
      </c>
      <c r="G43" s="2065" t="s">
        <v>936</v>
      </c>
      <c r="H43" s="1179">
        <v>0</v>
      </c>
      <c r="I43" s="1179">
        <v>0</v>
      </c>
      <c r="J43" s="2048" t="s">
        <v>936</v>
      </c>
      <c r="K43" s="2064" t="s">
        <v>936</v>
      </c>
      <c r="L43" s="1726"/>
    </row>
    <row r="44" spans="1:12">
      <c r="A44" s="1180" t="s">
        <v>21</v>
      </c>
      <c r="B44" s="1186" t="s">
        <v>22</v>
      </c>
      <c r="C44" s="1178">
        <v>0</v>
      </c>
      <c r="D44" s="1192">
        <v>0</v>
      </c>
      <c r="E44" s="1178">
        <v>0</v>
      </c>
      <c r="F44" s="2065" t="s">
        <v>936</v>
      </c>
      <c r="G44" s="2065" t="s">
        <v>936</v>
      </c>
      <c r="H44" s="1179">
        <v>0</v>
      </c>
      <c r="I44" s="1179">
        <v>0</v>
      </c>
      <c r="J44" s="2048" t="s">
        <v>936</v>
      </c>
      <c r="K44" s="2064" t="s">
        <v>936</v>
      </c>
      <c r="L44" s="1726"/>
    </row>
    <row r="45" spans="1:12">
      <c r="A45" s="1180" t="s">
        <v>23</v>
      </c>
      <c r="B45" s="1186" t="s">
        <v>24</v>
      </c>
      <c r="C45" s="1178">
        <v>0</v>
      </c>
      <c r="D45" s="1192">
        <v>0</v>
      </c>
      <c r="E45" s="1178">
        <v>0</v>
      </c>
      <c r="F45" s="2065" t="s">
        <v>936</v>
      </c>
      <c r="G45" s="2065" t="s">
        <v>936</v>
      </c>
      <c r="H45" s="1179">
        <v>0</v>
      </c>
      <c r="I45" s="1179">
        <v>0</v>
      </c>
      <c r="J45" s="2048" t="s">
        <v>936</v>
      </c>
      <c r="K45" s="2064" t="s">
        <v>936</v>
      </c>
      <c r="L45" s="1726"/>
    </row>
    <row r="46" spans="1:12">
      <c r="A46" s="1180" t="s">
        <v>25</v>
      </c>
      <c r="B46" s="1186" t="s">
        <v>26</v>
      </c>
      <c r="C46" s="1178">
        <v>0</v>
      </c>
      <c r="D46" s="1192">
        <v>0</v>
      </c>
      <c r="E46" s="1178">
        <v>0</v>
      </c>
      <c r="F46" s="2065" t="s">
        <v>936</v>
      </c>
      <c r="G46" s="2065" t="s">
        <v>936</v>
      </c>
      <c r="H46" s="1179">
        <v>0</v>
      </c>
      <c r="I46" s="1179">
        <v>0</v>
      </c>
      <c r="J46" s="2048" t="s">
        <v>936</v>
      </c>
      <c r="K46" s="2064" t="s">
        <v>936</v>
      </c>
      <c r="L46" s="1726"/>
    </row>
    <row r="47" spans="1:12">
      <c r="A47" s="1180" t="s">
        <v>27</v>
      </c>
      <c r="B47" s="1186" t="s">
        <v>28</v>
      </c>
      <c r="C47" s="1178">
        <v>0</v>
      </c>
      <c r="D47" s="1192">
        <v>0</v>
      </c>
      <c r="E47" s="1178">
        <v>0</v>
      </c>
      <c r="F47" s="2065" t="s">
        <v>936</v>
      </c>
      <c r="G47" s="2065" t="s">
        <v>936</v>
      </c>
      <c r="H47" s="1179">
        <v>0</v>
      </c>
      <c r="I47" s="1179">
        <v>0</v>
      </c>
      <c r="J47" s="2048" t="s">
        <v>936</v>
      </c>
      <c r="K47" s="2064" t="s">
        <v>936</v>
      </c>
      <c r="L47" s="1726"/>
    </row>
    <row r="48" spans="1:12" ht="26.4">
      <c r="A48" s="1180" t="s">
        <v>29</v>
      </c>
      <c r="B48" s="1186" t="s">
        <v>30</v>
      </c>
      <c r="C48" s="1178">
        <v>0</v>
      </c>
      <c r="D48" s="1192">
        <v>0</v>
      </c>
      <c r="E48" s="1178">
        <v>0</v>
      </c>
      <c r="F48" s="2065" t="s">
        <v>936</v>
      </c>
      <c r="G48" s="2065" t="s">
        <v>936</v>
      </c>
      <c r="H48" s="1179">
        <v>0</v>
      </c>
      <c r="I48" s="1179">
        <v>0</v>
      </c>
      <c r="J48" s="2048" t="s">
        <v>936</v>
      </c>
      <c r="K48" s="2064" t="s">
        <v>936</v>
      </c>
      <c r="L48" s="1726"/>
    </row>
    <row r="49" spans="1:12">
      <c r="A49" s="1180" t="s">
        <v>31</v>
      </c>
      <c r="B49" s="1186" t="s">
        <v>32</v>
      </c>
      <c r="C49" s="1178">
        <v>0</v>
      </c>
      <c r="D49" s="1192">
        <v>0</v>
      </c>
      <c r="E49" s="1178">
        <v>0</v>
      </c>
      <c r="F49" s="2065" t="s">
        <v>936</v>
      </c>
      <c r="G49" s="2065" t="s">
        <v>936</v>
      </c>
      <c r="H49" s="1179">
        <v>0</v>
      </c>
      <c r="I49" s="1179">
        <v>0</v>
      </c>
      <c r="J49" s="2048" t="s">
        <v>936</v>
      </c>
      <c r="K49" s="2064" t="s">
        <v>936</v>
      </c>
      <c r="L49" s="1726"/>
    </row>
    <row r="50" spans="1:12">
      <c r="A50" s="1180" t="s">
        <v>33</v>
      </c>
      <c r="B50" s="1186" t="s">
        <v>34</v>
      </c>
      <c r="C50" s="1178">
        <v>0</v>
      </c>
      <c r="D50" s="1192">
        <v>0</v>
      </c>
      <c r="E50" s="1178">
        <v>0</v>
      </c>
      <c r="F50" s="2065" t="s">
        <v>936</v>
      </c>
      <c r="G50" s="2065" t="s">
        <v>936</v>
      </c>
      <c r="H50" s="1179">
        <v>0</v>
      </c>
      <c r="I50" s="1179">
        <v>0</v>
      </c>
      <c r="J50" s="2048" t="s">
        <v>936</v>
      </c>
      <c r="K50" s="2064" t="s">
        <v>936</v>
      </c>
      <c r="L50" s="1726"/>
    </row>
    <row r="51" spans="1:12">
      <c r="A51" s="1180" t="s">
        <v>35</v>
      </c>
      <c r="B51" s="1186" t="s">
        <v>36</v>
      </c>
      <c r="C51" s="1178">
        <v>666060.65</v>
      </c>
      <c r="D51" s="1192">
        <v>18661592</v>
      </c>
      <c r="E51" s="1178">
        <v>4055009.85</v>
      </c>
      <c r="F51" s="1190">
        <v>21.7</v>
      </c>
      <c r="G51" s="1190">
        <v>608.79999999999995</v>
      </c>
      <c r="H51" s="1179">
        <v>0</v>
      </c>
      <c r="I51" s="1179">
        <v>0</v>
      </c>
      <c r="J51" s="2048" t="s">
        <v>936</v>
      </c>
      <c r="K51" s="1196">
        <v>0</v>
      </c>
      <c r="L51" s="1726"/>
    </row>
    <row r="52" spans="1:12">
      <c r="A52" s="1180" t="s">
        <v>37</v>
      </c>
      <c r="B52" s="1186" t="s">
        <v>38</v>
      </c>
      <c r="C52" s="1178">
        <v>0</v>
      </c>
      <c r="D52" s="1192">
        <v>0</v>
      </c>
      <c r="E52" s="1178">
        <v>0</v>
      </c>
      <c r="F52" s="2065" t="s">
        <v>936</v>
      </c>
      <c r="G52" s="2065" t="s">
        <v>936</v>
      </c>
      <c r="H52" s="1179">
        <v>0</v>
      </c>
      <c r="I52" s="1179">
        <v>0</v>
      </c>
      <c r="J52" s="2048" t="s">
        <v>936</v>
      </c>
      <c r="K52" s="2064" t="s">
        <v>936</v>
      </c>
      <c r="L52" s="1726"/>
    </row>
    <row r="53" spans="1:12">
      <c r="A53" s="1180" t="s">
        <v>39</v>
      </c>
      <c r="B53" s="1186" t="s">
        <v>40</v>
      </c>
      <c r="C53" s="1178">
        <v>0</v>
      </c>
      <c r="D53" s="1192">
        <v>0</v>
      </c>
      <c r="E53" s="1178">
        <v>0</v>
      </c>
      <c r="F53" s="2065" t="s">
        <v>936</v>
      </c>
      <c r="G53" s="2065" t="s">
        <v>936</v>
      </c>
      <c r="H53" s="1179">
        <v>0</v>
      </c>
      <c r="I53" s="1179">
        <v>0</v>
      </c>
      <c r="J53" s="2048" t="s">
        <v>936</v>
      </c>
      <c r="K53" s="2064" t="s">
        <v>936</v>
      </c>
      <c r="L53" s="1726"/>
    </row>
    <row r="54" spans="1:12">
      <c r="A54" s="1180" t="s">
        <v>41</v>
      </c>
      <c r="B54" s="1186" t="s">
        <v>42</v>
      </c>
      <c r="C54" s="1178">
        <v>0</v>
      </c>
      <c r="D54" s="1192">
        <v>0</v>
      </c>
      <c r="E54" s="1178">
        <v>0</v>
      </c>
      <c r="F54" s="2065" t="s">
        <v>936</v>
      </c>
      <c r="G54" s="2065" t="s">
        <v>936</v>
      </c>
      <c r="H54" s="1179">
        <v>0</v>
      </c>
      <c r="I54" s="1179">
        <v>0</v>
      </c>
      <c r="J54" s="2048" t="s">
        <v>936</v>
      </c>
      <c r="K54" s="2064" t="s">
        <v>936</v>
      </c>
      <c r="L54" s="1726"/>
    </row>
    <row r="55" spans="1:12">
      <c r="A55" s="1180" t="s">
        <v>43</v>
      </c>
      <c r="B55" s="1186" t="s">
        <v>44</v>
      </c>
      <c r="C55" s="1178">
        <v>0</v>
      </c>
      <c r="D55" s="1192">
        <v>0</v>
      </c>
      <c r="E55" s="1178">
        <v>0</v>
      </c>
      <c r="F55" s="2065" t="s">
        <v>936</v>
      </c>
      <c r="G55" s="2065" t="s">
        <v>936</v>
      </c>
      <c r="H55" s="1179">
        <v>0</v>
      </c>
      <c r="I55" s="1179">
        <v>0</v>
      </c>
      <c r="J55" s="2048" t="s">
        <v>936</v>
      </c>
      <c r="K55" s="2064" t="s">
        <v>936</v>
      </c>
      <c r="L55" s="1726"/>
    </row>
    <row r="56" spans="1:12">
      <c r="A56" s="1180" t="s">
        <v>45</v>
      </c>
      <c r="B56" s="1186" t="s">
        <v>46</v>
      </c>
      <c r="C56" s="1178">
        <v>0</v>
      </c>
      <c r="D56" s="1192">
        <v>0</v>
      </c>
      <c r="E56" s="1178">
        <v>0</v>
      </c>
      <c r="F56" s="2065" t="s">
        <v>936</v>
      </c>
      <c r="G56" s="2065" t="s">
        <v>936</v>
      </c>
      <c r="H56" s="1179">
        <v>0</v>
      </c>
      <c r="I56" s="1179">
        <v>0</v>
      </c>
      <c r="J56" s="2048" t="s">
        <v>936</v>
      </c>
      <c r="K56" s="2064" t="s">
        <v>936</v>
      </c>
      <c r="L56" s="1726"/>
    </row>
    <row r="57" spans="1:12">
      <c r="A57" s="1180" t="s">
        <v>47</v>
      </c>
      <c r="B57" s="1186" t="s">
        <v>48</v>
      </c>
      <c r="C57" s="1178">
        <v>0</v>
      </c>
      <c r="D57" s="1192">
        <v>0</v>
      </c>
      <c r="E57" s="1178">
        <v>0</v>
      </c>
      <c r="F57" s="2065" t="s">
        <v>936</v>
      </c>
      <c r="G57" s="2065" t="s">
        <v>936</v>
      </c>
      <c r="H57" s="1179">
        <v>0</v>
      </c>
      <c r="I57" s="1179">
        <v>0</v>
      </c>
      <c r="J57" s="2048" t="s">
        <v>936</v>
      </c>
      <c r="K57" s="2064" t="s">
        <v>936</v>
      </c>
      <c r="L57" s="1726"/>
    </row>
    <row r="58" spans="1:12" ht="39.6">
      <c r="A58" s="1180" t="s">
        <v>49</v>
      </c>
      <c r="B58" s="1186" t="s">
        <v>50</v>
      </c>
      <c r="C58" s="1178">
        <v>0</v>
      </c>
      <c r="D58" s="1192">
        <v>0</v>
      </c>
      <c r="E58" s="1178">
        <v>0</v>
      </c>
      <c r="F58" s="2065" t="s">
        <v>936</v>
      </c>
      <c r="G58" s="2065" t="s">
        <v>936</v>
      </c>
      <c r="H58" s="1179">
        <v>0</v>
      </c>
      <c r="I58" s="1179">
        <v>0</v>
      </c>
      <c r="J58" s="2048" t="s">
        <v>936</v>
      </c>
      <c r="K58" s="2064" t="s">
        <v>936</v>
      </c>
      <c r="L58" s="1726"/>
    </row>
    <row r="59" spans="1:12">
      <c r="A59" s="1180" t="s">
        <v>51</v>
      </c>
      <c r="B59" s="1186" t="s">
        <v>52</v>
      </c>
      <c r="C59" s="1178">
        <v>461241.57</v>
      </c>
      <c r="D59" s="1192">
        <v>232881824.58000001</v>
      </c>
      <c r="E59" s="1178">
        <v>155583544.13</v>
      </c>
      <c r="F59" s="1190">
        <v>66.8</v>
      </c>
      <c r="G59" s="1190">
        <v>33731.5</v>
      </c>
      <c r="H59" s="1179">
        <v>51934400.380000025</v>
      </c>
      <c r="I59" s="1179">
        <v>33768082.060000002</v>
      </c>
      <c r="J59" s="1179">
        <v>65</v>
      </c>
      <c r="K59" s="1196">
        <v>21.7</v>
      </c>
      <c r="L59" s="1726"/>
    </row>
    <row r="60" spans="1:12" ht="26.4">
      <c r="A60" s="1180" t="s">
        <v>53</v>
      </c>
      <c r="B60" s="1186" t="s">
        <v>54</v>
      </c>
      <c r="C60" s="1178">
        <v>0</v>
      </c>
      <c r="D60" s="1192">
        <v>0</v>
      </c>
      <c r="E60" s="1178">
        <v>0</v>
      </c>
      <c r="F60" s="2065" t="s">
        <v>936</v>
      </c>
      <c r="G60" s="2065" t="s">
        <v>936</v>
      </c>
      <c r="H60" s="1179">
        <v>0</v>
      </c>
      <c r="I60" s="1179">
        <v>0</v>
      </c>
      <c r="J60" s="2048" t="s">
        <v>936</v>
      </c>
      <c r="K60" s="2064" t="s">
        <v>936</v>
      </c>
      <c r="L60" s="1726"/>
    </row>
    <row r="61" spans="1:12" ht="26.4">
      <c r="A61" s="1180" t="s">
        <v>55</v>
      </c>
      <c r="B61" s="1186" t="s">
        <v>56</v>
      </c>
      <c r="C61" s="1178">
        <v>707605.94</v>
      </c>
      <c r="D61" s="1192">
        <v>205000</v>
      </c>
      <c r="E61" s="1178">
        <v>204231.67999999999</v>
      </c>
      <c r="F61" s="1190">
        <v>99.6</v>
      </c>
      <c r="G61" s="1190">
        <v>28.9</v>
      </c>
      <c r="H61" s="1179">
        <v>205000</v>
      </c>
      <c r="I61" s="1179">
        <v>204231.67999999999</v>
      </c>
      <c r="J61" s="1179">
        <v>99.6</v>
      </c>
      <c r="K61" s="1196">
        <v>100</v>
      </c>
      <c r="L61" s="1726"/>
    </row>
    <row r="62" spans="1:12">
      <c r="A62" s="1180" t="s">
        <v>57</v>
      </c>
      <c r="B62" s="1186" t="s">
        <v>58</v>
      </c>
      <c r="C62" s="1178">
        <v>0</v>
      </c>
      <c r="D62" s="1192">
        <v>0</v>
      </c>
      <c r="E62" s="1178">
        <v>0</v>
      </c>
      <c r="F62" s="2065" t="s">
        <v>936</v>
      </c>
      <c r="G62" s="2065" t="s">
        <v>936</v>
      </c>
      <c r="H62" s="1179">
        <v>0</v>
      </c>
      <c r="I62" s="1179">
        <v>0</v>
      </c>
      <c r="J62" s="2048" t="s">
        <v>936</v>
      </c>
      <c r="K62" s="2064" t="s">
        <v>936</v>
      </c>
      <c r="L62" s="1726"/>
    </row>
    <row r="63" spans="1:12" ht="66">
      <c r="A63" s="1180" t="s">
        <v>59</v>
      </c>
      <c r="B63" s="1186" t="s">
        <v>60</v>
      </c>
      <c r="C63" s="1178">
        <v>0</v>
      </c>
      <c r="D63" s="1192">
        <v>0</v>
      </c>
      <c r="E63" s="1178">
        <v>0</v>
      </c>
      <c r="F63" s="2065" t="s">
        <v>936</v>
      </c>
      <c r="G63" s="2065" t="s">
        <v>936</v>
      </c>
      <c r="H63" s="1179">
        <v>0</v>
      </c>
      <c r="I63" s="1179">
        <v>0</v>
      </c>
      <c r="J63" s="2048" t="s">
        <v>936</v>
      </c>
      <c r="K63" s="2064" t="s">
        <v>936</v>
      </c>
      <c r="L63" s="1726"/>
    </row>
    <row r="64" spans="1:12">
      <c r="A64" s="1180" t="s">
        <v>61</v>
      </c>
      <c r="B64" s="1186" t="s">
        <v>62</v>
      </c>
      <c r="C64" s="1178">
        <v>0</v>
      </c>
      <c r="D64" s="1192">
        <v>0</v>
      </c>
      <c r="E64" s="1178">
        <v>0</v>
      </c>
      <c r="F64" s="2065" t="s">
        <v>936</v>
      </c>
      <c r="G64" s="2065" t="s">
        <v>936</v>
      </c>
      <c r="H64" s="1179">
        <v>0</v>
      </c>
      <c r="I64" s="1179">
        <v>0</v>
      </c>
      <c r="J64" s="2048" t="s">
        <v>936</v>
      </c>
      <c r="K64" s="2064" t="s">
        <v>936</v>
      </c>
      <c r="L64" s="1726"/>
    </row>
    <row r="65" spans="1:12">
      <c r="A65" s="1180" t="s">
        <v>63</v>
      </c>
      <c r="B65" s="1186" t="s">
        <v>64</v>
      </c>
      <c r="C65" s="1178">
        <v>0</v>
      </c>
      <c r="D65" s="1192">
        <v>0</v>
      </c>
      <c r="E65" s="1178">
        <v>0</v>
      </c>
      <c r="F65" s="2065" t="s">
        <v>936</v>
      </c>
      <c r="G65" s="2065" t="s">
        <v>936</v>
      </c>
      <c r="H65" s="1179">
        <v>0</v>
      </c>
      <c r="I65" s="1179">
        <v>0</v>
      </c>
      <c r="J65" s="2048" t="s">
        <v>936</v>
      </c>
      <c r="K65" s="2064" t="s">
        <v>936</v>
      </c>
      <c r="L65" s="1726"/>
    </row>
    <row r="66" spans="1:12">
      <c r="A66" s="1180" t="s">
        <v>65</v>
      </c>
      <c r="B66" s="1186" t="s">
        <v>66</v>
      </c>
      <c r="C66" s="1178">
        <v>9398292.3100000005</v>
      </c>
      <c r="D66" s="1192">
        <v>18645011.059999999</v>
      </c>
      <c r="E66" s="1178">
        <v>18198550.399999999</v>
      </c>
      <c r="F66" s="1190">
        <v>97.6</v>
      </c>
      <c r="G66" s="1190">
        <v>193.6</v>
      </c>
      <c r="H66" s="1179">
        <v>6209043.879999999</v>
      </c>
      <c r="I66" s="1179">
        <v>5762583.2199999988</v>
      </c>
      <c r="J66" s="1179">
        <v>92.8</v>
      </c>
      <c r="K66" s="1196">
        <v>31.7</v>
      </c>
      <c r="L66" s="1726"/>
    </row>
    <row r="67" spans="1:12">
      <c r="A67" s="1180" t="s">
        <v>67</v>
      </c>
      <c r="B67" s="1186" t="s">
        <v>68</v>
      </c>
      <c r="C67" s="1178">
        <v>14519460</v>
      </c>
      <c r="D67" s="1192">
        <v>17620602.629999999</v>
      </c>
      <c r="E67" s="1178">
        <v>17620602.609999999</v>
      </c>
      <c r="F67" s="1190">
        <v>100</v>
      </c>
      <c r="G67" s="1190">
        <v>121.4</v>
      </c>
      <c r="H67" s="1179">
        <v>0</v>
      </c>
      <c r="I67" s="1179">
        <v>0</v>
      </c>
      <c r="J67" s="2048" t="s">
        <v>936</v>
      </c>
      <c r="K67" s="1196">
        <v>0</v>
      </c>
      <c r="L67" s="1726"/>
    </row>
    <row r="68" spans="1:12">
      <c r="A68" s="1180" t="s">
        <v>69</v>
      </c>
      <c r="B68" s="1186" t="s">
        <v>70</v>
      </c>
      <c r="C68" s="1178">
        <v>253759004.59</v>
      </c>
      <c r="D68" s="1192">
        <v>379098238.13</v>
      </c>
      <c r="E68" s="1178">
        <v>371802344.26999998</v>
      </c>
      <c r="F68" s="1190">
        <v>98.1</v>
      </c>
      <c r="G68" s="1190">
        <v>146.5</v>
      </c>
      <c r="H68" s="1179">
        <v>378077416.13</v>
      </c>
      <c r="I68" s="1179">
        <v>370781818.87</v>
      </c>
      <c r="J68" s="1179">
        <v>98.1</v>
      </c>
      <c r="K68" s="1196">
        <v>99.7</v>
      </c>
      <c r="L68" s="1726"/>
    </row>
    <row r="69" spans="1:12" ht="26.4">
      <c r="A69" s="1180" t="s">
        <v>71</v>
      </c>
      <c r="B69" s="1186" t="s">
        <v>72</v>
      </c>
      <c r="C69" s="1178">
        <v>0</v>
      </c>
      <c r="D69" s="1192">
        <v>0</v>
      </c>
      <c r="E69" s="1178">
        <v>0</v>
      </c>
      <c r="F69" s="2065" t="s">
        <v>936</v>
      </c>
      <c r="G69" s="2065" t="s">
        <v>936</v>
      </c>
      <c r="H69" s="1179">
        <v>0</v>
      </c>
      <c r="I69" s="1179">
        <v>0</v>
      </c>
      <c r="J69" s="2048" t="s">
        <v>936</v>
      </c>
      <c r="K69" s="2064" t="s">
        <v>936</v>
      </c>
      <c r="L69" s="1726"/>
    </row>
    <row r="70" spans="1:12">
      <c r="A70" s="1180" t="s">
        <v>73</v>
      </c>
      <c r="B70" s="1186" t="s">
        <v>74</v>
      </c>
      <c r="C70" s="1178">
        <v>0</v>
      </c>
      <c r="D70" s="1192">
        <v>3931311.4</v>
      </c>
      <c r="E70" s="1178">
        <v>3877407.8</v>
      </c>
      <c r="F70" s="1190">
        <v>98.6</v>
      </c>
      <c r="G70" s="2065" t="s">
        <v>936</v>
      </c>
      <c r="H70" s="1179">
        <v>1586334.4</v>
      </c>
      <c r="I70" s="1179">
        <v>1532430.7999999998</v>
      </c>
      <c r="J70" s="1179">
        <v>96.6</v>
      </c>
      <c r="K70" s="1196">
        <v>39.5</v>
      </c>
      <c r="L70" s="1726"/>
    </row>
    <row r="71" spans="1:12">
      <c r="A71" s="1180" t="s">
        <v>75</v>
      </c>
      <c r="B71" s="1186" t="s">
        <v>76</v>
      </c>
      <c r="C71" s="1178">
        <v>42683336.719999999</v>
      </c>
      <c r="D71" s="1192">
        <v>92767023.709999993</v>
      </c>
      <c r="E71" s="1178">
        <v>88788402.790000007</v>
      </c>
      <c r="F71" s="1190">
        <v>95.7</v>
      </c>
      <c r="G71" s="1190">
        <v>208</v>
      </c>
      <c r="H71" s="1179">
        <v>92767023.709999993</v>
      </c>
      <c r="I71" s="1179">
        <v>88788402.790000007</v>
      </c>
      <c r="J71" s="1179">
        <v>95.7</v>
      </c>
      <c r="K71" s="1196">
        <v>100</v>
      </c>
      <c r="L71" s="1726"/>
    </row>
    <row r="72" spans="1:12" ht="26.4">
      <c r="A72" s="1180" t="s">
        <v>77</v>
      </c>
      <c r="B72" s="1186" t="s">
        <v>78</v>
      </c>
      <c r="C72" s="1178">
        <v>0</v>
      </c>
      <c r="D72" s="1192">
        <v>0</v>
      </c>
      <c r="E72" s="1178">
        <v>0</v>
      </c>
      <c r="F72" s="2065" t="s">
        <v>936</v>
      </c>
      <c r="G72" s="2065" t="s">
        <v>936</v>
      </c>
      <c r="H72" s="1179">
        <v>0</v>
      </c>
      <c r="I72" s="1179">
        <v>0</v>
      </c>
      <c r="J72" s="2048" t="s">
        <v>936</v>
      </c>
      <c r="K72" s="2064" t="s">
        <v>936</v>
      </c>
      <c r="L72" s="1726"/>
    </row>
    <row r="73" spans="1:12" ht="26.4">
      <c r="A73" s="1180" t="s">
        <v>79</v>
      </c>
      <c r="B73" s="1186" t="s">
        <v>80</v>
      </c>
      <c r="C73" s="1178">
        <v>0</v>
      </c>
      <c r="D73" s="1192">
        <v>0</v>
      </c>
      <c r="E73" s="1178">
        <v>0</v>
      </c>
      <c r="F73" s="2065" t="s">
        <v>936</v>
      </c>
      <c r="G73" s="2065" t="s">
        <v>936</v>
      </c>
      <c r="H73" s="1179">
        <v>0</v>
      </c>
      <c r="I73" s="1179">
        <v>0</v>
      </c>
      <c r="J73" s="2048" t="s">
        <v>936</v>
      </c>
      <c r="K73" s="2064" t="s">
        <v>936</v>
      </c>
      <c r="L73" s="1726"/>
    </row>
    <row r="74" spans="1:12" ht="39.6">
      <c r="A74" s="1180" t="s">
        <v>81</v>
      </c>
      <c r="B74" s="1186" t="s">
        <v>82</v>
      </c>
      <c r="C74" s="1178">
        <v>0</v>
      </c>
      <c r="D74" s="1192">
        <v>0</v>
      </c>
      <c r="E74" s="1178">
        <v>0</v>
      </c>
      <c r="F74" s="2065" t="s">
        <v>936</v>
      </c>
      <c r="G74" s="2065" t="s">
        <v>936</v>
      </c>
      <c r="H74" s="1179">
        <v>0</v>
      </c>
      <c r="I74" s="1179">
        <v>0</v>
      </c>
      <c r="J74" s="2048" t="s">
        <v>936</v>
      </c>
      <c r="K74" s="2064" t="s">
        <v>936</v>
      </c>
      <c r="L74" s="1726"/>
    </row>
    <row r="75" spans="1:12">
      <c r="A75" s="1181" t="s">
        <v>83</v>
      </c>
      <c r="B75" s="1187" t="s">
        <v>84</v>
      </c>
      <c r="C75" s="1182">
        <v>5223439.2699999996</v>
      </c>
      <c r="D75" s="1193">
        <v>0</v>
      </c>
      <c r="E75" s="1182">
        <v>0</v>
      </c>
      <c r="F75" s="2066" t="s">
        <v>936</v>
      </c>
      <c r="G75" s="1189">
        <v>0</v>
      </c>
      <c r="H75" s="1183">
        <v>0</v>
      </c>
      <c r="I75" s="1183">
        <v>0</v>
      </c>
      <c r="J75" s="2067" t="s">
        <v>936</v>
      </c>
      <c r="K75" s="2068" t="s">
        <v>936</v>
      </c>
      <c r="L75" s="1726"/>
    </row>
    <row r="76" spans="1:12">
      <c r="A76" s="1188"/>
      <c r="B76" s="1185" t="s">
        <v>156</v>
      </c>
      <c r="C76" s="1184">
        <v>232200.08</v>
      </c>
      <c r="D76" s="1194">
        <v>0</v>
      </c>
      <c r="E76" s="1184">
        <v>0</v>
      </c>
      <c r="F76" s="2069" t="s">
        <v>936</v>
      </c>
      <c r="G76" s="1191">
        <v>0</v>
      </c>
      <c r="H76" s="1184">
        <v>0</v>
      </c>
      <c r="I76" s="1184">
        <v>0</v>
      </c>
      <c r="J76" s="2069" t="s">
        <v>936</v>
      </c>
      <c r="K76" s="2070" t="s">
        <v>936</v>
      </c>
      <c r="L76" s="1726"/>
    </row>
    <row r="77" spans="1:12">
      <c r="A77" s="1180" t="s">
        <v>19</v>
      </c>
      <c r="B77" s="1186" t="s">
        <v>20</v>
      </c>
      <c r="C77" s="1178">
        <v>0</v>
      </c>
      <c r="D77" s="1192">
        <v>0</v>
      </c>
      <c r="E77" s="1178">
        <v>0</v>
      </c>
      <c r="F77" s="2065" t="s">
        <v>936</v>
      </c>
      <c r="G77" s="2065" t="s">
        <v>936</v>
      </c>
      <c r="H77" s="1179">
        <v>0</v>
      </c>
      <c r="I77" s="1179">
        <v>0</v>
      </c>
      <c r="J77" s="2048" t="s">
        <v>936</v>
      </c>
      <c r="K77" s="2064" t="s">
        <v>936</v>
      </c>
      <c r="L77" s="1726"/>
    </row>
    <row r="78" spans="1:12">
      <c r="A78" s="1180" t="s">
        <v>21</v>
      </c>
      <c r="B78" s="1186" t="s">
        <v>22</v>
      </c>
      <c r="C78" s="1178">
        <v>0</v>
      </c>
      <c r="D78" s="1192">
        <v>0</v>
      </c>
      <c r="E78" s="1178">
        <v>0</v>
      </c>
      <c r="F78" s="2065" t="s">
        <v>936</v>
      </c>
      <c r="G78" s="2065" t="s">
        <v>936</v>
      </c>
      <c r="H78" s="1179">
        <v>0</v>
      </c>
      <c r="I78" s="1179">
        <v>0</v>
      </c>
      <c r="J78" s="2048" t="s">
        <v>936</v>
      </c>
      <c r="K78" s="2064" t="s">
        <v>936</v>
      </c>
      <c r="L78" s="1726"/>
    </row>
    <row r="79" spans="1:12">
      <c r="A79" s="1180" t="s">
        <v>23</v>
      </c>
      <c r="B79" s="1186" t="s">
        <v>24</v>
      </c>
      <c r="C79" s="1178">
        <v>0</v>
      </c>
      <c r="D79" s="1192">
        <v>0</v>
      </c>
      <c r="E79" s="1178">
        <v>0</v>
      </c>
      <c r="F79" s="2065" t="s">
        <v>936</v>
      </c>
      <c r="G79" s="2065" t="s">
        <v>936</v>
      </c>
      <c r="H79" s="1179">
        <v>0</v>
      </c>
      <c r="I79" s="1179">
        <v>0</v>
      </c>
      <c r="J79" s="2048" t="s">
        <v>936</v>
      </c>
      <c r="K79" s="2064" t="s">
        <v>936</v>
      </c>
      <c r="L79" s="1726"/>
    </row>
    <row r="80" spans="1:12">
      <c r="A80" s="1180" t="s">
        <v>25</v>
      </c>
      <c r="B80" s="1186" t="s">
        <v>26</v>
      </c>
      <c r="C80" s="1178">
        <v>0</v>
      </c>
      <c r="D80" s="1192">
        <v>0</v>
      </c>
      <c r="E80" s="1178">
        <v>0</v>
      </c>
      <c r="F80" s="2065" t="s">
        <v>936</v>
      </c>
      <c r="G80" s="2065" t="s">
        <v>936</v>
      </c>
      <c r="H80" s="1179">
        <v>0</v>
      </c>
      <c r="I80" s="1179">
        <v>0</v>
      </c>
      <c r="J80" s="2048" t="s">
        <v>936</v>
      </c>
      <c r="K80" s="2064" t="s">
        <v>936</v>
      </c>
      <c r="L80" s="1726"/>
    </row>
    <row r="81" spans="1:12">
      <c r="A81" s="1180" t="s">
        <v>27</v>
      </c>
      <c r="B81" s="1186" t="s">
        <v>28</v>
      </c>
      <c r="C81" s="1178">
        <v>0</v>
      </c>
      <c r="D81" s="1192">
        <v>0</v>
      </c>
      <c r="E81" s="1178">
        <v>0</v>
      </c>
      <c r="F81" s="2065" t="s">
        <v>936</v>
      </c>
      <c r="G81" s="2065" t="s">
        <v>936</v>
      </c>
      <c r="H81" s="1179">
        <v>0</v>
      </c>
      <c r="I81" s="1179">
        <v>0</v>
      </c>
      <c r="J81" s="2048" t="s">
        <v>936</v>
      </c>
      <c r="K81" s="2064" t="s">
        <v>936</v>
      </c>
      <c r="L81" s="1726"/>
    </row>
    <row r="82" spans="1:12" ht="26.4">
      <c r="A82" s="1180" t="s">
        <v>29</v>
      </c>
      <c r="B82" s="1186" t="s">
        <v>30</v>
      </c>
      <c r="C82" s="1178">
        <v>0</v>
      </c>
      <c r="D82" s="1192">
        <v>0</v>
      </c>
      <c r="E82" s="1178">
        <v>0</v>
      </c>
      <c r="F82" s="2065" t="s">
        <v>936</v>
      </c>
      <c r="G82" s="2065" t="s">
        <v>936</v>
      </c>
      <c r="H82" s="1179">
        <v>0</v>
      </c>
      <c r="I82" s="1179">
        <v>0</v>
      </c>
      <c r="J82" s="2048" t="s">
        <v>936</v>
      </c>
      <c r="K82" s="2064" t="s">
        <v>936</v>
      </c>
      <c r="L82" s="1726"/>
    </row>
    <row r="83" spans="1:12">
      <c r="A83" s="1180" t="s">
        <v>31</v>
      </c>
      <c r="B83" s="1186" t="s">
        <v>32</v>
      </c>
      <c r="C83" s="1178">
        <v>0</v>
      </c>
      <c r="D83" s="1192">
        <v>0</v>
      </c>
      <c r="E83" s="1178">
        <v>0</v>
      </c>
      <c r="F83" s="2065" t="s">
        <v>936</v>
      </c>
      <c r="G83" s="2065" t="s">
        <v>936</v>
      </c>
      <c r="H83" s="1179">
        <v>0</v>
      </c>
      <c r="I83" s="1179">
        <v>0</v>
      </c>
      <c r="J83" s="2048" t="s">
        <v>936</v>
      </c>
      <c r="K83" s="2064" t="s">
        <v>936</v>
      </c>
      <c r="L83" s="1726"/>
    </row>
    <row r="84" spans="1:12">
      <c r="A84" s="1180" t="s">
        <v>33</v>
      </c>
      <c r="B84" s="1186" t="s">
        <v>34</v>
      </c>
      <c r="C84" s="1178">
        <v>0</v>
      </c>
      <c r="D84" s="1192">
        <v>0</v>
      </c>
      <c r="E84" s="1178">
        <v>0</v>
      </c>
      <c r="F84" s="2065" t="s">
        <v>936</v>
      </c>
      <c r="G84" s="2065" t="s">
        <v>936</v>
      </c>
      <c r="H84" s="1179">
        <v>0</v>
      </c>
      <c r="I84" s="1179">
        <v>0</v>
      </c>
      <c r="J84" s="2048" t="s">
        <v>936</v>
      </c>
      <c r="K84" s="2064" t="s">
        <v>936</v>
      </c>
      <c r="L84" s="1726"/>
    </row>
    <row r="85" spans="1:12">
      <c r="A85" s="1180" t="s">
        <v>35</v>
      </c>
      <c r="B85" s="1186" t="s">
        <v>36</v>
      </c>
      <c r="C85" s="1178">
        <v>0</v>
      </c>
      <c r="D85" s="1192">
        <v>0</v>
      </c>
      <c r="E85" s="1178">
        <v>0</v>
      </c>
      <c r="F85" s="2065" t="s">
        <v>936</v>
      </c>
      <c r="G85" s="2065" t="s">
        <v>936</v>
      </c>
      <c r="H85" s="1179">
        <v>0</v>
      </c>
      <c r="I85" s="1179">
        <v>0</v>
      </c>
      <c r="J85" s="2048" t="s">
        <v>936</v>
      </c>
      <c r="K85" s="2064" t="s">
        <v>936</v>
      </c>
      <c r="L85" s="1726"/>
    </row>
    <row r="86" spans="1:12">
      <c r="A86" s="1180" t="s">
        <v>37</v>
      </c>
      <c r="B86" s="1186" t="s">
        <v>38</v>
      </c>
      <c r="C86" s="1178">
        <v>0</v>
      </c>
      <c r="D86" s="1192">
        <v>0</v>
      </c>
      <c r="E86" s="1178">
        <v>0</v>
      </c>
      <c r="F86" s="2065" t="s">
        <v>936</v>
      </c>
      <c r="G86" s="2065" t="s">
        <v>936</v>
      </c>
      <c r="H86" s="1179">
        <v>0</v>
      </c>
      <c r="I86" s="1179">
        <v>0</v>
      </c>
      <c r="J86" s="2048" t="s">
        <v>936</v>
      </c>
      <c r="K86" s="2064" t="s">
        <v>936</v>
      </c>
      <c r="L86" s="1726"/>
    </row>
    <row r="87" spans="1:12">
      <c r="A87" s="1180" t="s">
        <v>39</v>
      </c>
      <c r="B87" s="1186" t="s">
        <v>40</v>
      </c>
      <c r="C87" s="1178">
        <v>0</v>
      </c>
      <c r="D87" s="1192">
        <v>0</v>
      </c>
      <c r="E87" s="1178">
        <v>0</v>
      </c>
      <c r="F87" s="2065" t="s">
        <v>936</v>
      </c>
      <c r="G87" s="2065" t="s">
        <v>936</v>
      </c>
      <c r="H87" s="1179">
        <v>0</v>
      </c>
      <c r="I87" s="1179">
        <v>0</v>
      </c>
      <c r="J87" s="2048" t="s">
        <v>936</v>
      </c>
      <c r="K87" s="2064" t="s">
        <v>936</v>
      </c>
      <c r="L87" s="1726"/>
    </row>
    <row r="88" spans="1:12">
      <c r="A88" s="1180" t="s">
        <v>41</v>
      </c>
      <c r="B88" s="1186" t="s">
        <v>42</v>
      </c>
      <c r="C88" s="1178">
        <v>0</v>
      </c>
      <c r="D88" s="1192">
        <v>0</v>
      </c>
      <c r="E88" s="1178">
        <v>0</v>
      </c>
      <c r="F88" s="2065" t="s">
        <v>936</v>
      </c>
      <c r="G88" s="2065" t="s">
        <v>936</v>
      </c>
      <c r="H88" s="1179">
        <v>0</v>
      </c>
      <c r="I88" s="1179">
        <v>0</v>
      </c>
      <c r="J88" s="2048" t="s">
        <v>936</v>
      </c>
      <c r="K88" s="2064" t="s">
        <v>936</v>
      </c>
      <c r="L88" s="1726"/>
    </row>
    <row r="89" spans="1:12">
      <c r="A89" s="1180" t="s">
        <v>43</v>
      </c>
      <c r="B89" s="1186" t="s">
        <v>44</v>
      </c>
      <c r="C89" s="1178">
        <v>0</v>
      </c>
      <c r="D89" s="1192">
        <v>0</v>
      </c>
      <c r="E89" s="1178">
        <v>0</v>
      </c>
      <c r="F89" s="2065" t="s">
        <v>936</v>
      </c>
      <c r="G89" s="2065" t="s">
        <v>936</v>
      </c>
      <c r="H89" s="1179">
        <v>0</v>
      </c>
      <c r="I89" s="1179">
        <v>0</v>
      </c>
      <c r="J89" s="2048" t="s">
        <v>936</v>
      </c>
      <c r="K89" s="2064" t="s">
        <v>936</v>
      </c>
      <c r="L89" s="1726"/>
    </row>
    <row r="90" spans="1:12">
      <c r="A90" s="1180" t="s">
        <v>45</v>
      </c>
      <c r="B90" s="1186" t="s">
        <v>46</v>
      </c>
      <c r="C90" s="1178">
        <v>0</v>
      </c>
      <c r="D90" s="1192">
        <v>0</v>
      </c>
      <c r="E90" s="1178">
        <v>0</v>
      </c>
      <c r="F90" s="2065" t="s">
        <v>936</v>
      </c>
      <c r="G90" s="2065" t="s">
        <v>936</v>
      </c>
      <c r="H90" s="1179">
        <v>0</v>
      </c>
      <c r="I90" s="1179">
        <v>0</v>
      </c>
      <c r="J90" s="2048" t="s">
        <v>936</v>
      </c>
      <c r="K90" s="2064" t="s">
        <v>936</v>
      </c>
      <c r="L90" s="1726"/>
    </row>
    <row r="91" spans="1:12">
      <c r="A91" s="1180" t="s">
        <v>47</v>
      </c>
      <c r="B91" s="1186" t="s">
        <v>48</v>
      </c>
      <c r="C91" s="1178">
        <v>0</v>
      </c>
      <c r="D91" s="1192">
        <v>0</v>
      </c>
      <c r="E91" s="1178">
        <v>0</v>
      </c>
      <c r="F91" s="2065" t="s">
        <v>936</v>
      </c>
      <c r="G91" s="2065" t="s">
        <v>936</v>
      </c>
      <c r="H91" s="1179">
        <v>0</v>
      </c>
      <c r="I91" s="1179">
        <v>0</v>
      </c>
      <c r="J91" s="2048" t="s">
        <v>936</v>
      </c>
      <c r="K91" s="2064" t="s">
        <v>936</v>
      </c>
      <c r="L91" s="1726"/>
    </row>
    <row r="92" spans="1:12" ht="39.6">
      <c r="A92" s="1180" t="s">
        <v>49</v>
      </c>
      <c r="B92" s="1186" t="s">
        <v>50</v>
      </c>
      <c r="C92" s="1178">
        <v>0</v>
      </c>
      <c r="D92" s="1192">
        <v>0</v>
      </c>
      <c r="E92" s="1178">
        <v>0</v>
      </c>
      <c r="F92" s="2065" t="s">
        <v>936</v>
      </c>
      <c r="G92" s="2065" t="s">
        <v>936</v>
      </c>
      <c r="H92" s="1179">
        <v>0</v>
      </c>
      <c r="I92" s="1179">
        <v>0</v>
      </c>
      <c r="J92" s="2048" t="s">
        <v>936</v>
      </c>
      <c r="K92" s="2064" t="s">
        <v>936</v>
      </c>
      <c r="L92" s="1726"/>
    </row>
    <row r="93" spans="1:12">
      <c r="A93" s="1180" t="s">
        <v>51</v>
      </c>
      <c r="B93" s="1186" t="s">
        <v>52</v>
      </c>
      <c r="C93" s="1178">
        <v>0</v>
      </c>
      <c r="D93" s="1192">
        <v>0</v>
      </c>
      <c r="E93" s="1178">
        <v>0</v>
      </c>
      <c r="F93" s="2065" t="s">
        <v>936</v>
      </c>
      <c r="G93" s="2065" t="s">
        <v>936</v>
      </c>
      <c r="H93" s="1179">
        <v>0</v>
      </c>
      <c r="I93" s="1179">
        <v>0</v>
      </c>
      <c r="J93" s="2048" t="s">
        <v>936</v>
      </c>
      <c r="K93" s="2064" t="s">
        <v>936</v>
      </c>
      <c r="L93" s="1726"/>
    </row>
    <row r="94" spans="1:12" ht="26.4">
      <c r="A94" s="1180" t="s">
        <v>53</v>
      </c>
      <c r="B94" s="1186" t="s">
        <v>54</v>
      </c>
      <c r="C94" s="1178">
        <v>0</v>
      </c>
      <c r="D94" s="1192">
        <v>0</v>
      </c>
      <c r="E94" s="1178">
        <v>0</v>
      </c>
      <c r="F94" s="2065" t="s">
        <v>936</v>
      </c>
      <c r="G94" s="2065" t="s">
        <v>936</v>
      </c>
      <c r="H94" s="1179">
        <v>0</v>
      </c>
      <c r="I94" s="1179">
        <v>0</v>
      </c>
      <c r="J94" s="2048" t="s">
        <v>936</v>
      </c>
      <c r="K94" s="2064" t="s">
        <v>936</v>
      </c>
      <c r="L94" s="1726"/>
    </row>
    <row r="95" spans="1:12" ht="26.4">
      <c r="A95" s="1180" t="s">
        <v>55</v>
      </c>
      <c r="B95" s="1186" t="s">
        <v>56</v>
      </c>
      <c r="C95" s="1178">
        <v>0</v>
      </c>
      <c r="D95" s="1192">
        <v>0</v>
      </c>
      <c r="E95" s="1178">
        <v>0</v>
      </c>
      <c r="F95" s="2065" t="s">
        <v>936</v>
      </c>
      <c r="G95" s="2065" t="s">
        <v>936</v>
      </c>
      <c r="H95" s="1179">
        <v>0</v>
      </c>
      <c r="I95" s="1179">
        <v>0</v>
      </c>
      <c r="J95" s="2048" t="s">
        <v>936</v>
      </c>
      <c r="K95" s="2064" t="s">
        <v>936</v>
      </c>
      <c r="L95" s="1726"/>
    </row>
    <row r="96" spans="1:12">
      <c r="A96" s="1180" t="s">
        <v>57</v>
      </c>
      <c r="B96" s="1186" t="s">
        <v>58</v>
      </c>
      <c r="C96" s="1178">
        <v>0</v>
      </c>
      <c r="D96" s="1192">
        <v>0</v>
      </c>
      <c r="E96" s="1178">
        <v>0</v>
      </c>
      <c r="F96" s="2065" t="s">
        <v>936</v>
      </c>
      <c r="G96" s="2065" t="s">
        <v>936</v>
      </c>
      <c r="H96" s="1179">
        <v>0</v>
      </c>
      <c r="I96" s="1179">
        <v>0</v>
      </c>
      <c r="J96" s="2048" t="s">
        <v>936</v>
      </c>
      <c r="K96" s="2064" t="s">
        <v>936</v>
      </c>
      <c r="L96" s="1726"/>
    </row>
    <row r="97" spans="1:12" ht="66">
      <c r="A97" s="1180" t="s">
        <v>59</v>
      </c>
      <c r="B97" s="1186" t="s">
        <v>60</v>
      </c>
      <c r="C97" s="1178">
        <v>0</v>
      </c>
      <c r="D97" s="1192">
        <v>0</v>
      </c>
      <c r="E97" s="1178">
        <v>0</v>
      </c>
      <c r="F97" s="2065" t="s">
        <v>936</v>
      </c>
      <c r="G97" s="2065" t="s">
        <v>936</v>
      </c>
      <c r="H97" s="1179">
        <v>0</v>
      </c>
      <c r="I97" s="1179">
        <v>0</v>
      </c>
      <c r="J97" s="2048" t="s">
        <v>936</v>
      </c>
      <c r="K97" s="2064" t="s">
        <v>936</v>
      </c>
      <c r="L97" s="1726"/>
    </row>
    <row r="98" spans="1:12">
      <c r="A98" s="1180" t="s">
        <v>61</v>
      </c>
      <c r="B98" s="1186" t="s">
        <v>62</v>
      </c>
      <c r="C98" s="1178">
        <v>0</v>
      </c>
      <c r="D98" s="1192">
        <v>0</v>
      </c>
      <c r="E98" s="1178">
        <v>0</v>
      </c>
      <c r="F98" s="2065" t="s">
        <v>936</v>
      </c>
      <c r="G98" s="2065" t="s">
        <v>936</v>
      </c>
      <c r="H98" s="1179">
        <v>0</v>
      </c>
      <c r="I98" s="1179">
        <v>0</v>
      </c>
      <c r="J98" s="2048" t="s">
        <v>936</v>
      </c>
      <c r="K98" s="2064" t="s">
        <v>936</v>
      </c>
      <c r="L98" s="1726"/>
    </row>
    <row r="99" spans="1:12">
      <c r="A99" s="1180" t="s">
        <v>63</v>
      </c>
      <c r="B99" s="1186" t="s">
        <v>64</v>
      </c>
      <c r="C99" s="1178">
        <v>0</v>
      </c>
      <c r="D99" s="1192">
        <v>0</v>
      </c>
      <c r="E99" s="1178">
        <v>0</v>
      </c>
      <c r="F99" s="2065" t="s">
        <v>936</v>
      </c>
      <c r="G99" s="2065" t="s">
        <v>936</v>
      </c>
      <c r="H99" s="1179">
        <v>0</v>
      </c>
      <c r="I99" s="1179">
        <v>0</v>
      </c>
      <c r="J99" s="2048" t="s">
        <v>936</v>
      </c>
      <c r="K99" s="2064" t="s">
        <v>936</v>
      </c>
      <c r="L99" s="1726"/>
    </row>
    <row r="100" spans="1:12">
      <c r="A100" s="1180" t="s">
        <v>65</v>
      </c>
      <c r="B100" s="1186" t="s">
        <v>66</v>
      </c>
      <c r="C100" s="1178">
        <v>232200.08</v>
      </c>
      <c r="D100" s="1192">
        <v>0</v>
      </c>
      <c r="E100" s="1178">
        <v>0</v>
      </c>
      <c r="F100" s="2065" t="s">
        <v>936</v>
      </c>
      <c r="G100" s="2065" t="s">
        <v>936</v>
      </c>
      <c r="H100" s="1179">
        <v>0</v>
      </c>
      <c r="I100" s="1179">
        <v>0</v>
      </c>
      <c r="J100" s="2048" t="s">
        <v>936</v>
      </c>
      <c r="K100" s="2064" t="s">
        <v>936</v>
      </c>
      <c r="L100" s="1726"/>
    </row>
    <row r="101" spans="1:12">
      <c r="A101" s="1180" t="s">
        <v>67</v>
      </c>
      <c r="B101" s="1186" t="s">
        <v>68</v>
      </c>
      <c r="C101" s="1178">
        <v>0</v>
      </c>
      <c r="D101" s="1192">
        <v>0</v>
      </c>
      <c r="E101" s="1178">
        <v>0</v>
      </c>
      <c r="F101" s="2065" t="s">
        <v>936</v>
      </c>
      <c r="G101" s="2065" t="s">
        <v>936</v>
      </c>
      <c r="H101" s="1179">
        <v>0</v>
      </c>
      <c r="I101" s="1179">
        <v>0</v>
      </c>
      <c r="J101" s="2048" t="s">
        <v>936</v>
      </c>
      <c r="K101" s="2064" t="s">
        <v>936</v>
      </c>
      <c r="L101" s="1726"/>
    </row>
    <row r="102" spans="1:12">
      <c r="A102" s="1180" t="s">
        <v>69</v>
      </c>
      <c r="B102" s="1186" t="s">
        <v>70</v>
      </c>
      <c r="C102" s="1178">
        <v>0</v>
      </c>
      <c r="D102" s="1192">
        <v>0</v>
      </c>
      <c r="E102" s="1178">
        <v>0</v>
      </c>
      <c r="F102" s="2065" t="s">
        <v>936</v>
      </c>
      <c r="G102" s="2065" t="s">
        <v>936</v>
      </c>
      <c r="H102" s="1179">
        <v>0</v>
      </c>
      <c r="I102" s="1179">
        <v>0</v>
      </c>
      <c r="J102" s="2048" t="s">
        <v>936</v>
      </c>
      <c r="K102" s="2064" t="s">
        <v>936</v>
      </c>
      <c r="L102" s="1726"/>
    </row>
    <row r="103" spans="1:12" ht="26.4">
      <c r="A103" s="1180" t="s">
        <v>71</v>
      </c>
      <c r="B103" s="1186" t="s">
        <v>72</v>
      </c>
      <c r="C103" s="1178">
        <v>0</v>
      </c>
      <c r="D103" s="1192">
        <v>0</v>
      </c>
      <c r="E103" s="1178">
        <v>0</v>
      </c>
      <c r="F103" s="2065" t="s">
        <v>936</v>
      </c>
      <c r="G103" s="2065" t="s">
        <v>936</v>
      </c>
      <c r="H103" s="1179">
        <v>0</v>
      </c>
      <c r="I103" s="1179">
        <v>0</v>
      </c>
      <c r="J103" s="2048" t="s">
        <v>936</v>
      </c>
      <c r="K103" s="2064" t="s">
        <v>936</v>
      </c>
      <c r="L103" s="1726"/>
    </row>
    <row r="104" spans="1:12">
      <c r="A104" s="1180" t="s">
        <v>73</v>
      </c>
      <c r="B104" s="1186" t="s">
        <v>74</v>
      </c>
      <c r="C104" s="1178">
        <v>0</v>
      </c>
      <c r="D104" s="1192">
        <v>0</v>
      </c>
      <c r="E104" s="1178">
        <v>0</v>
      </c>
      <c r="F104" s="2065" t="s">
        <v>936</v>
      </c>
      <c r="G104" s="2065" t="s">
        <v>936</v>
      </c>
      <c r="H104" s="1179">
        <v>0</v>
      </c>
      <c r="I104" s="1179">
        <v>0</v>
      </c>
      <c r="J104" s="2048" t="s">
        <v>936</v>
      </c>
      <c r="K104" s="2064" t="s">
        <v>936</v>
      </c>
      <c r="L104" s="1726"/>
    </row>
    <row r="105" spans="1:12">
      <c r="A105" s="1180" t="s">
        <v>75</v>
      </c>
      <c r="B105" s="1186" t="s">
        <v>76</v>
      </c>
      <c r="C105" s="1178">
        <v>0</v>
      </c>
      <c r="D105" s="1192">
        <v>0</v>
      </c>
      <c r="E105" s="1178">
        <v>0</v>
      </c>
      <c r="F105" s="2065" t="s">
        <v>936</v>
      </c>
      <c r="G105" s="2065" t="s">
        <v>936</v>
      </c>
      <c r="H105" s="1179">
        <v>0</v>
      </c>
      <c r="I105" s="1179">
        <v>0</v>
      </c>
      <c r="J105" s="2048" t="s">
        <v>936</v>
      </c>
      <c r="K105" s="2064" t="s">
        <v>936</v>
      </c>
      <c r="L105" s="1726"/>
    </row>
    <row r="106" spans="1:12" ht="26.4">
      <c r="A106" s="1180" t="s">
        <v>77</v>
      </c>
      <c r="B106" s="1186" t="s">
        <v>78</v>
      </c>
      <c r="C106" s="1178">
        <v>0</v>
      </c>
      <c r="D106" s="1192">
        <v>0</v>
      </c>
      <c r="E106" s="1178">
        <v>0</v>
      </c>
      <c r="F106" s="2065" t="s">
        <v>936</v>
      </c>
      <c r="G106" s="2065" t="s">
        <v>936</v>
      </c>
      <c r="H106" s="1179">
        <v>0</v>
      </c>
      <c r="I106" s="1179">
        <v>0</v>
      </c>
      <c r="J106" s="2048" t="s">
        <v>936</v>
      </c>
      <c r="K106" s="2064" t="s">
        <v>936</v>
      </c>
      <c r="L106" s="1726"/>
    </row>
    <row r="107" spans="1:12" ht="26.4">
      <c r="A107" s="1180" t="s">
        <v>79</v>
      </c>
      <c r="B107" s="1186" t="s">
        <v>80</v>
      </c>
      <c r="C107" s="1178">
        <v>0</v>
      </c>
      <c r="D107" s="1192">
        <v>0</v>
      </c>
      <c r="E107" s="1178">
        <v>0</v>
      </c>
      <c r="F107" s="2065" t="s">
        <v>936</v>
      </c>
      <c r="G107" s="2065" t="s">
        <v>936</v>
      </c>
      <c r="H107" s="1179">
        <v>0</v>
      </c>
      <c r="I107" s="1179">
        <v>0</v>
      </c>
      <c r="J107" s="2048" t="s">
        <v>936</v>
      </c>
      <c r="K107" s="2064" t="s">
        <v>936</v>
      </c>
      <c r="L107" s="1726"/>
    </row>
    <row r="108" spans="1:12" ht="39.6">
      <c r="A108" s="1180" t="s">
        <v>81</v>
      </c>
      <c r="B108" s="1186" t="s">
        <v>82</v>
      </c>
      <c r="C108" s="1178">
        <v>0</v>
      </c>
      <c r="D108" s="1192">
        <v>0</v>
      </c>
      <c r="E108" s="1178">
        <v>0</v>
      </c>
      <c r="F108" s="2065" t="s">
        <v>936</v>
      </c>
      <c r="G108" s="2065" t="s">
        <v>936</v>
      </c>
      <c r="H108" s="1179">
        <v>0</v>
      </c>
      <c r="I108" s="1179">
        <v>0</v>
      </c>
      <c r="J108" s="2048" t="s">
        <v>936</v>
      </c>
      <c r="K108" s="2064" t="s">
        <v>936</v>
      </c>
      <c r="L108" s="1726"/>
    </row>
    <row r="109" spans="1:12">
      <c r="A109" s="1181" t="s">
        <v>83</v>
      </c>
      <c r="B109" s="1187" t="s">
        <v>84</v>
      </c>
      <c r="C109" s="1182">
        <v>0</v>
      </c>
      <c r="D109" s="1193">
        <v>0</v>
      </c>
      <c r="E109" s="1182">
        <v>0</v>
      </c>
      <c r="F109" s="2066" t="s">
        <v>936</v>
      </c>
      <c r="G109" s="2066" t="s">
        <v>936</v>
      </c>
      <c r="H109" s="1183">
        <v>0</v>
      </c>
      <c r="I109" s="1183">
        <v>0</v>
      </c>
      <c r="J109" s="2067" t="s">
        <v>936</v>
      </c>
      <c r="K109" s="2068" t="s">
        <v>936</v>
      </c>
      <c r="L109" s="1726"/>
    </row>
    <row r="111" spans="1:12">
      <c r="A111" s="178" t="s">
        <v>908</v>
      </c>
    </row>
  </sheetData>
  <mergeCells count="7">
    <mergeCell ref="A3:A5"/>
    <mergeCell ref="B3:B5"/>
    <mergeCell ref="D3:G3"/>
    <mergeCell ref="H3:J3"/>
    <mergeCell ref="H5:I5"/>
    <mergeCell ref="J5:K5"/>
    <mergeCell ref="C5:E5"/>
  </mergeCells>
  <pageMargins left="0.70866141732283472" right="0.70866141732283472" top="0.55118110236220474" bottom="0.55118110236220474" header="0.31496062992125984" footer="0.31496062992125984"/>
  <pageSetup paperSize="9" scale="9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7DD4-4A61-4D20-AD77-CE8C4EFCF24C}">
  <dimension ref="A1:J44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5.21875" customWidth="1"/>
    <col min="2" max="2" width="21.21875" customWidth="1"/>
    <col min="3" max="10" width="14.77734375" customWidth="1"/>
  </cols>
  <sheetData>
    <row r="1" spans="1:10">
      <c r="A1" s="445" t="s">
        <v>1028</v>
      </c>
      <c r="B1" s="318"/>
      <c r="C1" s="318"/>
      <c r="D1" s="318"/>
      <c r="E1" s="318"/>
      <c r="F1" s="318"/>
      <c r="G1" s="318"/>
      <c r="H1" s="318"/>
      <c r="I1" s="318"/>
      <c r="J1" s="318"/>
    </row>
    <row r="3" spans="1:10">
      <c r="A3" s="2138" t="s">
        <v>0</v>
      </c>
      <c r="B3" s="2140" t="s">
        <v>1</v>
      </c>
      <c r="C3" s="2392" t="s">
        <v>152</v>
      </c>
      <c r="D3" s="2215" t="s">
        <v>88</v>
      </c>
      <c r="E3" s="2215"/>
      <c r="F3" s="2215"/>
      <c r="G3" s="2215"/>
      <c r="H3" s="2215"/>
      <c r="I3" s="2215"/>
      <c r="J3" s="2393"/>
    </row>
    <row r="4" spans="1:10">
      <c r="A4" s="2139"/>
      <c r="B4" s="2141"/>
      <c r="C4" s="2221"/>
      <c r="D4" s="2394" t="s">
        <v>136</v>
      </c>
      <c r="E4" s="2222" t="s">
        <v>569</v>
      </c>
      <c r="F4" s="2220"/>
      <c r="G4" s="2220"/>
      <c r="H4" s="2221"/>
      <c r="I4" s="2395" t="s">
        <v>137</v>
      </c>
      <c r="J4" s="714" t="s">
        <v>569</v>
      </c>
    </row>
    <row r="5" spans="1:10">
      <c r="A5" s="2139"/>
      <c r="B5" s="2141"/>
      <c r="C5" s="2221"/>
      <c r="D5" s="2394"/>
      <c r="E5" s="2390" t="s">
        <v>570</v>
      </c>
      <c r="F5" s="2394" t="s">
        <v>571</v>
      </c>
      <c r="G5" s="2394" t="s">
        <v>572</v>
      </c>
      <c r="H5" s="2390" t="s">
        <v>573</v>
      </c>
      <c r="I5" s="2395"/>
      <c r="J5" s="2141" t="s">
        <v>574</v>
      </c>
    </row>
    <row r="6" spans="1:10" ht="37.200000000000003" customHeight="1">
      <c r="A6" s="2139"/>
      <c r="B6" s="2141"/>
      <c r="C6" s="2221"/>
      <c r="D6" s="2394"/>
      <c r="E6" s="2391"/>
      <c r="F6" s="2394"/>
      <c r="G6" s="2394"/>
      <c r="H6" s="2391"/>
      <c r="I6" s="2395"/>
      <c r="J6" s="2141"/>
    </row>
    <row r="7" spans="1:10">
      <c r="A7" s="2139"/>
      <c r="B7" s="2141"/>
      <c r="C7" s="2220" t="s">
        <v>93</v>
      </c>
      <c r="D7" s="2220"/>
      <c r="E7" s="2220"/>
      <c r="F7" s="2220"/>
      <c r="G7" s="2220"/>
      <c r="H7" s="2220"/>
      <c r="I7" s="2220"/>
      <c r="J7" s="2223"/>
    </row>
    <row r="8" spans="1:10">
      <c r="A8" s="746" t="s">
        <v>10</v>
      </c>
      <c r="B8" s="369" t="s">
        <v>11</v>
      </c>
      <c r="C8" s="746" t="s">
        <v>12</v>
      </c>
      <c r="D8" s="368" t="s">
        <v>13</v>
      </c>
      <c r="E8" s="747" t="s">
        <v>14</v>
      </c>
      <c r="F8" s="368" t="s">
        <v>15</v>
      </c>
      <c r="G8" s="747" t="s">
        <v>16</v>
      </c>
      <c r="H8" s="368" t="s">
        <v>17</v>
      </c>
      <c r="I8" s="368" t="s">
        <v>94</v>
      </c>
      <c r="J8" s="748" t="s">
        <v>150</v>
      </c>
    </row>
    <row r="9" spans="1:10">
      <c r="A9" s="1537"/>
      <c r="B9" s="1538" t="s">
        <v>562</v>
      </c>
      <c r="C9" s="1541">
        <v>152198102694.42001</v>
      </c>
      <c r="D9" s="1542">
        <v>133123017212.83</v>
      </c>
      <c r="E9" s="1542">
        <v>58308364248.599998</v>
      </c>
      <c r="F9" s="1542">
        <v>20574155870.860001</v>
      </c>
      <c r="G9" s="1542">
        <v>7024312148.3199997</v>
      </c>
      <c r="H9" s="1542">
        <v>771214418.87</v>
      </c>
      <c r="I9" s="1542">
        <v>19075085481.59</v>
      </c>
      <c r="J9" s="1547">
        <v>2915529450.96</v>
      </c>
    </row>
    <row r="10" spans="1:10">
      <c r="A10" s="1535" t="s">
        <v>19</v>
      </c>
      <c r="B10" s="1539" t="s">
        <v>20</v>
      </c>
      <c r="C10" s="1543">
        <v>33670587.68</v>
      </c>
      <c r="D10" s="1544">
        <v>28011713.640000001</v>
      </c>
      <c r="E10" s="1544">
        <v>2287231.7799999998</v>
      </c>
      <c r="F10" s="1544">
        <v>833522.51</v>
      </c>
      <c r="G10" s="1544">
        <v>23717.05</v>
      </c>
      <c r="H10" s="1544">
        <v>0</v>
      </c>
      <c r="I10" s="1544">
        <v>5658874.04</v>
      </c>
      <c r="J10" s="1548">
        <v>757380.15</v>
      </c>
    </row>
    <row r="11" spans="1:10">
      <c r="A11" s="1535" t="s">
        <v>21</v>
      </c>
      <c r="B11" s="1539" t="s">
        <v>22</v>
      </c>
      <c r="C11" s="1543">
        <v>37516140.289999999</v>
      </c>
      <c r="D11" s="1544">
        <v>33466579.5</v>
      </c>
      <c r="E11" s="1544">
        <v>10894496.66</v>
      </c>
      <c r="F11" s="1544">
        <v>1485</v>
      </c>
      <c r="G11" s="1544">
        <v>267994.14</v>
      </c>
      <c r="H11" s="1544">
        <v>0</v>
      </c>
      <c r="I11" s="1544">
        <v>4049560.79</v>
      </c>
      <c r="J11" s="1548">
        <v>0</v>
      </c>
    </row>
    <row r="12" spans="1:10">
      <c r="A12" s="1535" t="s">
        <v>23</v>
      </c>
      <c r="B12" s="1539" t="s">
        <v>24</v>
      </c>
      <c r="C12" s="1543">
        <v>10171.51</v>
      </c>
      <c r="D12" s="1544">
        <v>10171.51</v>
      </c>
      <c r="E12" s="1544">
        <v>0</v>
      </c>
      <c r="F12" s="1544">
        <v>0</v>
      </c>
      <c r="G12" s="1544">
        <v>0</v>
      </c>
      <c r="H12" s="1544">
        <v>0</v>
      </c>
      <c r="I12" s="1544">
        <v>0</v>
      </c>
      <c r="J12" s="1548">
        <v>0</v>
      </c>
    </row>
    <row r="13" spans="1:10">
      <c r="A13" s="1535" t="s">
        <v>25</v>
      </c>
      <c r="B13" s="1539" t="s">
        <v>26</v>
      </c>
      <c r="C13" s="1543">
        <v>1419202.22</v>
      </c>
      <c r="D13" s="1544">
        <v>1419202.22</v>
      </c>
      <c r="E13" s="1544">
        <v>1318076.6499999999</v>
      </c>
      <c r="F13" s="1544">
        <v>0</v>
      </c>
      <c r="G13" s="1544">
        <v>174.15</v>
      </c>
      <c r="H13" s="1544">
        <v>0</v>
      </c>
      <c r="I13" s="1544">
        <v>0</v>
      </c>
      <c r="J13" s="1548">
        <v>0</v>
      </c>
    </row>
    <row r="14" spans="1:10">
      <c r="A14" s="1535" t="s">
        <v>27</v>
      </c>
      <c r="B14" s="1539" t="s">
        <v>28</v>
      </c>
      <c r="C14" s="1543">
        <v>35636126.560000002</v>
      </c>
      <c r="D14" s="1544">
        <v>35390890.560000002</v>
      </c>
      <c r="E14" s="1544">
        <v>12763213.34</v>
      </c>
      <c r="F14" s="1544">
        <v>199573</v>
      </c>
      <c r="G14" s="1544">
        <v>19718.97</v>
      </c>
      <c r="H14" s="1544">
        <v>0</v>
      </c>
      <c r="I14" s="1544">
        <v>245236</v>
      </c>
      <c r="J14" s="1548">
        <v>0</v>
      </c>
    </row>
    <row r="15" spans="1:10" ht="26.4">
      <c r="A15" s="1535" t="s">
        <v>29</v>
      </c>
      <c r="B15" s="1539" t="s">
        <v>30</v>
      </c>
      <c r="C15" s="1543">
        <v>91320378.670000002</v>
      </c>
      <c r="D15" s="1544">
        <v>31155165.739999998</v>
      </c>
      <c r="E15" s="1544">
        <v>464249.93</v>
      </c>
      <c r="F15" s="1544">
        <v>0</v>
      </c>
      <c r="G15" s="1544">
        <v>0</v>
      </c>
      <c r="H15" s="1544">
        <v>235393.38</v>
      </c>
      <c r="I15" s="1544">
        <v>60165212.93</v>
      </c>
      <c r="J15" s="1548">
        <v>11685</v>
      </c>
    </row>
    <row r="16" spans="1:10">
      <c r="A16" s="1535" t="s">
        <v>31</v>
      </c>
      <c r="B16" s="1539" t="s">
        <v>32</v>
      </c>
      <c r="C16" s="1543">
        <v>7071064.7999999998</v>
      </c>
      <c r="D16" s="1544">
        <v>6093417.7300000004</v>
      </c>
      <c r="E16" s="1544">
        <v>451774.78</v>
      </c>
      <c r="F16" s="1544">
        <v>0</v>
      </c>
      <c r="G16" s="1544">
        <v>36091.120000000003</v>
      </c>
      <c r="H16" s="1544">
        <v>0</v>
      </c>
      <c r="I16" s="1544">
        <v>977647.07</v>
      </c>
      <c r="J16" s="1548">
        <v>0</v>
      </c>
    </row>
    <row r="17" spans="1:10">
      <c r="A17" s="1535" t="s">
        <v>33</v>
      </c>
      <c r="B17" s="1539" t="s">
        <v>34</v>
      </c>
      <c r="C17" s="1543">
        <v>0</v>
      </c>
      <c r="D17" s="1544">
        <v>0</v>
      </c>
      <c r="E17" s="1544">
        <v>0</v>
      </c>
      <c r="F17" s="1544">
        <v>0</v>
      </c>
      <c r="G17" s="1544">
        <v>0</v>
      </c>
      <c r="H17" s="1544">
        <v>0</v>
      </c>
      <c r="I17" s="1544">
        <v>0</v>
      </c>
      <c r="J17" s="1548">
        <v>0</v>
      </c>
    </row>
    <row r="18" spans="1:10">
      <c r="A18" s="1535" t="s">
        <v>35</v>
      </c>
      <c r="B18" s="1539" t="s">
        <v>36</v>
      </c>
      <c r="C18" s="1543">
        <v>24894524400.82</v>
      </c>
      <c r="D18" s="1544">
        <v>16903028309.35</v>
      </c>
      <c r="E18" s="1544">
        <v>393418374.30000001</v>
      </c>
      <c r="F18" s="1544">
        <v>1146923656.0699999</v>
      </c>
      <c r="G18" s="1544">
        <v>3286478.32</v>
      </c>
      <c r="H18" s="1544">
        <v>9946976.8100000005</v>
      </c>
      <c r="I18" s="1544">
        <v>7991496091.4700003</v>
      </c>
      <c r="J18" s="1548">
        <v>1657096560.97</v>
      </c>
    </row>
    <row r="19" spans="1:10">
      <c r="A19" s="1535" t="s">
        <v>37</v>
      </c>
      <c r="B19" s="1539" t="s">
        <v>38</v>
      </c>
      <c r="C19" s="1543">
        <v>74176878.650000006</v>
      </c>
      <c r="D19" s="1544">
        <v>67673406.439999998</v>
      </c>
      <c r="E19" s="1544">
        <v>13599550.24</v>
      </c>
      <c r="F19" s="1544">
        <v>5574415.1900000004</v>
      </c>
      <c r="G19" s="1544">
        <v>44519.54</v>
      </c>
      <c r="H19" s="1544">
        <v>693028.61</v>
      </c>
      <c r="I19" s="1544">
        <v>6503472.21</v>
      </c>
      <c r="J19" s="1548">
        <v>586518.36</v>
      </c>
    </row>
    <row r="20" spans="1:10">
      <c r="A20" s="1535" t="s">
        <v>39</v>
      </c>
      <c r="B20" s="1539" t="s">
        <v>40</v>
      </c>
      <c r="C20" s="1543">
        <v>7137012367.4499998</v>
      </c>
      <c r="D20" s="1544">
        <v>4743261990.5900002</v>
      </c>
      <c r="E20" s="1544">
        <v>781637986.05999994</v>
      </c>
      <c r="F20" s="1544">
        <v>150620150.87</v>
      </c>
      <c r="G20" s="1544">
        <v>9333937.9900000002</v>
      </c>
      <c r="H20" s="1544">
        <v>975207.11</v>
      </c>
      <c r="I20" s="1544">
        <v>2393750376.8600001</v>
      </c>
      <c r="J20" s="1548">
        <v>144170355.09</v>
      </c>
    </row>
    <row r="21" spans="1:10">
      <c r="A21" s="1535" t="s">
        <v>41</v>
      </c>
      <c r="B21" s="1539" t="s">
        <v>42</v>
      </c>
      <c r="C21" s="1543">
        <v>995980072.42999995</v>
      </c>
      <c r="D21" s="1544">
        <v>793323671.66999996</v>
      </c>
      <c r="E21" s="1544">
        <v>403033957.27999997</v>
      </c>
      <c r="F21" s="1544">
        <v>15735251.5</v>
      </c>
      <c r="G21" s="1544">
        <v>1636199.87</v>
      </c>
      <c r="H21" s="1544">
        <v>15127986.84</v>
      </c>
      <c r="I21" s="1544">
        <v>202656400.75999999</v>
      </c>
      <c r="J21" s="1548">
        <v>47015044.469999999</v>
      </c>
    </row>
    <row r="22" spans="1:10">
      <c r="A22" s="1535" t="s">
        <v>43</v>
      </c>
      <c r="B22" s="1539" t="s">
        <v>44</v>
      </c>
      <c r="C22" s="1543">
        <v>22893396.059999999</v>
      </c>
      <c r="D22" s="1544">
        <v>7034231.4100000001</v>
      </c>
      <c r="E22" s="1544">
        <v>0</v>
      </c>
      <c r="F22" s="1544">
        <v>0</v>
      </c>
      <c r="G22" s="1544">
        <v>0</v>
      </c>
      <c r="H22" s="1544">
        <v>1091540.1499999999</v>
      </c>
      <c r="I22" s="1544">
        <v>15859164.65</v>
      </c>
      <c r="J22" s="1548">
        <v>3414398.97</v>
      </c>
    </row>
    <row r="23" spans="1:10">
      <c r="A23" s="1535" t="s">
        <v>45</v>
      </c>
      <c r="B23" s="1539" t="s">
        <v>46</v>
      </c>
      <c r="C23" s="1543">
        <v>32523152.420000002</v>
      </c>
      <c r="D23" s="1544">
        <v>23506600.190000001</v>
      </c>
      <c r="E23" s="1544">
        <v>2079661.16</v>
      </c>
      <c r="F23" s="1544">
        <v>8079245.5</v>
      </c>
      <c r="G23" s="1544">
        <v>5755128.1600000001</v>
      </c>
      <c r="H23" s="1544">
        <v>2154799.71</v>
      </c>
      <c r="I23" s="1544">
        <v>9016552.2300000004</v>
      </c>
      <c r="J23" s="1548">
        <v>160000</v>
      </c>
    </row>
    <row r="24" spans="1:10">
      <c r="A24" s="1535" t="s">
        <v>47</v>
      </c>
      <c r="B24" s="1539" t="s">
        <v>48</v>
      </c>
      <c r="C24" s="1543">
        <v>10723164731.02</v>
      </c>
      <c r="D24" s="1544">
        <v>10360932732.98</v>
      </c>
      <c r="E24" s="1544">
        <v>7696337079.3800001</v>
      </c>
      <c r="F24" s="1544">
        <v>43222740.369999997</v>
      </c>
      <c r="G24" s="1544">
        <v>118056716.40000001</v>
      </c>
      <c r="H24" s="1544">
        <v>38000599.030000001</v>
      </c>
      <c r="I24" s="1544">
        <v>362231998.04000002</v>
      </c>
      <c r="J24" s="1548">
        <v>57537270.479999997</v>
      </c>
    </row>
    <row r="25" spans="1:10" ht="52.8">
      <c r="A25" s="1535" t="s">
        <v>49</v>
      </c>
      <c r="B25" s="1539" t="s">
        <v>50</v>
      </c>
      <c r="C25" s="1543">
        <v>103292311.13</v>
      </c>
      <c r="D25" s="1544">
        <v>103292311.13</v>
      </c>
      <c r="E25" s="1544">
        <v>32771249.129999999</v>
      </c>
      <c r="F25" s="1544">
        <v>0</v>
      </c>
      <c r="G25" s="1544">
        <v>62719029.200000003</v>
      </c>
      <c r="H25" s="1544">
        <v>0</v>
      </c>
      <c r="I25" s="1544">
        <v>0</v>
      </c>
      <c r="J25" s="1548">
        <v>0</v>
      </c>
    </row>
    <row r="26" spans="1:10">
      <c r="A26" s="1535" t="s">
        <v>51</v>
      </c>
      <c r="B26" s="1539" t="s">
        <v>52</v>
      </c>
      <c r="C26" s="1543">
        <v>819483936.09000003</v>
      </c>
      <c r="D26" s="1544">
        <v>184297337.38999999</v>
      </c>
      <c r="E26" s="1544">
        <v>8172059.8499999996</v>
      </c>
      <c r="F26" s="1544">
        <v>9760172.9900000002</v>
      </c>
      <c r="G26" s="1544">
        <v>438741.85</v>
      </c>
      <c r="H26" s="1544">
        <v>0</v>
      </c>
      <c r="I26" s="1544">
        <v>635186598.70000005</v>
      </c>
      <c r="J26" s="1548">
        <v>0</v>
      </c>
    </row>
    <row r="27" spans="1:10" ht="26.4">
      <c r="A27" s="1535" t="s">
        <v>53</v>
      </c>
      <c r="B27" s="1539" t="s">
        <v>54</v>
      </c>
      <c r="C27" s="1543">
        <v>0</v>
      </c>
      <c r="D27" s="1544">
        <v>0</v>
      </c>
      <c r="E27" s="1544">
        <v>0</v>
      </c>
      <c r="F27" s="1544">
        <v>0</v>
      </c>
      <c r="G27" s="1544">
        <v>0</v>
      </c>
      <c r="H27" s="1544">
        <v>0</v>
      </c>
      <c r="I27" s="1544">
        <v>0</v>
      </c>
      <c r="J27" s="1548">
        <v>0</v>
      </c>
    </row>
    <row r="28" spans="1:10" ht="26.4">
      <c r="A28" s="1535" t="s">
        <v>55</v>
      </c>
      <c r="B28" s="1539" t="s">
        <v>56</v>
      </c>
      <c r="C28" s="1543">
        <v>3522569972.54</v>
      </c>
      <c r="D28" s="1544">
        <v>3289003935.1999998</v>
      </c>
      <c r="E28" s="1544">
        <v>2650190742.0100002</v>
      </c>
      <c r="F28" s="1544">
        <v>11597116.960000001</v>
      </c>
      <c r="G28" s="1544">
        <v>137401850.65000001</v>
      </c>
      <c r="H28" s="1544">
        <v>894940.27</v>
      </c>
      <c r="I28" s="1544">
        <v>233566037.34</v>
      </c>
      <c r="J28" s="1548">
        <v>10709757.619999999</v>
      </c>
    </row>
    <row r="29" spans="1:10">
      <c r="A29" s="1535" t="s">
        <v>57</v>
      </c>
      <c r="B29" s="1539" t="s">
        <v>58</v>
      </c>
      <c r="C29" s="1543">
        <v>33395770.800000001</v>
      </c>
      <c r="D29" s="1544">
        <v>33395770.800000001</v>
      </c>
      <c r="E29" s="1544">
        <v>1982431.15</v>
      </c>
      <c r="F29" s="1544">
        <v>16524161.76</v>
      </c>
      <c r="G29" s="1544">
        <v>0</v>
      </c>
      <c r="H29" s="1544">
        <v>0</v>
      </c>
      <c r="I29" s="1544">
        <v>0</v>
      </c>
      <c r="J29" s="1548">
        <v>0</v>
      </c>
    </row>
    <row r="30" spans="1:10" ht="66">
      <c r="A30" s="1535" t="s">
        <v>59</v>
      </c>
      <c r="B30" s="1539" t="s">
        <v>60</v>
      </c>
      <c r="C30" s="1543">
        <v>198389</v>
      </c>
      <c r="D30" s="1544">
        <v>198389</v>
      </c>
      <c r="E30" s="1544">
        <v>0</v>
      </c>
      <c r="F30" s="1544">
        <v>0</v>
      </c>
      <c r="G30" s="1544">
        <v>0</v>
      </c>
      <c r="H30" s="1544">
        <v>0</v>
      </c>
      <c r="I30" s="1544">
        <v>0</v>
      </c>
      <c r="J30" s="1548">
        <v>0</v>
      </c>
    </row>
    <row r="31" spans="1:10">
      <c r="A31" s="1535" t="s">
        <v>61</v>
      </c>
      <c r="B31" s="1539" t="s">
        <v>62</v>
      </c>
      <c r="C31" s="1543">
        <v>3181284109.9099998</v>
      </c>
      <c r="D31" s="1544">
        <v>3181284109.9099998</v>
      </c>
      <c r="E31" s="1544">
        <v>0</v>
      </c>
      <c r="F31" s="1544">
        <v>0</v>
      </c>
      <c r="G31" s="1544">
        <v>0</v>
      </c>
      <c r="H31" s="1544">
        <v>0</v>
      </c>
      <c r="I31" s="1544">
        <v>0</v>
      </c>
      <c r="J31" s="1548">
        <v>0</v>
      </c>
    </row>
    <row r="32" spans="1:10">
      <c r="A32" s="1535" t="s">
        <v>63</v>
      </c>
      <c r="B32" s="1539" t="s">
        <v>64</v>
      </c>
      <c r="C32" s="1543">
        <v>75667019.409999996</v>
      </c>
      <c r="D32" s="1544">
        <v>69566124.890000001</v>
      </c>
      <c r="E32" s="1544">
        <v>943.74</v>
      </c>
      <c r="F32" s="1544">
        <v>0</v>
      </c>
      <c r="G32" s="1544">
        <v>26928</v>
      </c>
      <c r="H32" s="1544">
        <v>0</v>
      </c>
      <c r="I32" s="1544">
        <v>6100894.5199999996</v>
      </c>
      <c r="J32" s="1548">
        <v>0</v>
      </c>
    </row>
    <row r="33" spans="1:10">
      <c r="A33" s="1535" t="s">
        <v>65</v>
      </c>
      <c r="B33" s="1539" t="s">
        <v>66</v>
      </c>
      <c r="C33" s="1543">
        <v>55961125116.07</v>
      </c>
      <c r="D33" s="1544">
        <v>54128885885.169998</v>
      </c>
      <c r="E33" s="1544">
        <v>35246157972.010002</v>
      </c>
      <c r="F33" s="1544">
        <v>11905969813.379999</v>
      </c>
      <c r="G33" s="1544">
        <v>128783495.98</v>
      </c>
      <c r="H33" s="1544">
        <v>440619488.36000001</v>
      </c>
      <c r="I33" s="1544">
        <v>1832239230.9000001</v>
      </c>
      <c r="J33" s="1548">
        <v>387879928.85000002</v>
      </c>
    </row>
    <row r="34" spans="1:10">
      <c r="A34" s="1535" t="s">
        <v>67</v>
      </c>
      <c r="B34" s="1539" t="s">
        <v>68</v>
      </c>
      <c r="C34" s="1543">
        <v>1347645654.03</v>
      </c>
      <c r="D34" s="1544">
        <v>926277711.38</v>
      </c>
      <c r="E34" s="1544">
        <v>233829806.41999999</v>
      </c>
      <c r="F34" s="1544">
        <v>413776082.91000003</v>
      </c>
      <c r="G34" s="1544">
        <v>2071861.6</v>
      </c>
      <c r="H34" s="1544">
        <v>3733405.52</v>
      </c>
      <c r="I34" s="1544">
        <v>421367942.64999998</v>
      </c>
      <c r="J34" s="1548">
        <v>11091450.34</v>
      </c>
    </row>
    <row r="35" spans="1:10">
      <c r="A35" s="1535" t="s">
        <v>69</v>
      </c>
      <c r="B35" s="1539" t="s">
        <v>70</v>
      </c>
      <c r="C35" s="1543">
        <v>9032023880.4799995</v>
      </c>
      <c r="D35" s="1544">
        <v>8828126157.5900002</v>
      </c>
      <c r="E35" s="1544">
        <v>3896420508.1799998</v>
      </c>
      <c r="F35" s="1544">
        <v>1015442709.46</v>
      </c>
      <c r="G35" s="1544">
        <v>1739551483</v>
      </c>
      <c r="H35" s="1544">
        <v>87664408.260000005</v>
      </c>
      <c r="I35" s="1544">
        <v>203897722.88999999</v>
      </c>
      <c r="J35" s="1548">
        <v>6771693.4299999997</v>
      </c>
    </row>
    <row r="36" spans="1:10" ht="26.4">
      <c r="A36" s="1535" t="s">
        <v>71</v>
      </c>
      <c r="B36" s="1539" t="s">
        <v>72</v>
      </c>
      <c r="C36" s="1543">
        <v>1214985434.8699999</v>
      </c>
      <c r="D36" s="1544">
        <v>1179671610.1700001</v>
      </c>
      <c r="E36" s="1544">
        <v>553425536.13</v>
      </c>
      <c r="F36" s="1544">
        <v>250730412.97</v>
      </c>
      <c r="G36" s="1544">
        <v>96454503.859999999</v>
      </c>
      <c r="H36" s="1544">
        <v>79497762.200000003</v>
      </c>
      <c r="I36" s="1544">
        <v>35313824.700000003</v>
      </c>
      <c r="J36" s="1548">
        <v>15056614.82</v>
      </c>
    </row>
    <row r="37" spans="1:10" ht="26.4">
      <c r="A37" s="1535" t="s">
        <v>73</v>
      </c>
      <c r="B37" s="1539" t="s">
        <v>74</v>
      </c>
      <c r="C37" s="1543">
        <v>3284455975.98</v>
      </c>
      <c r="D37" s="1544">
        <v>3197864807.9200001</v>
      </c>
      <c r="E37" s="1544">
        <v>1992151028.8699999</v>
      </c>
      <c r="F37" s="1544">
        <v>698503271.17999995</v>
      </c>
      <c r="G37" s="1544">
        <v>68873925.040000007</v>
      </c>
      <c r="H37" s="1544">
        <v>4543658.82</v>
      </c>
      <c r="I37" s="1544">
        <v>86591168.060000002</v>
      </c>
      <c r="J37" s="1548">
        <v>64780</v>
      </c>
    </row>
    <row r="38" spans="1:10">
      <c r="A38" s="1535" t="s">
        <v>75</v>
      </c>
      <c r="B38" s="1539" t="s">
        <v>76</v>
      </c>
      <c r="C38" s="1543">
        <v>8862452874.8700008</v>
      </c>
      <c r="D38" s="1544">
        <v>8508775411.8299999</v>
      </c>
      <c r="E38" s="1544">
        <v>2737107261.1100001</v>
      </c>
      <c r="F38" s="1544">
        <v>386432362.63</v>
      </c>
      <c r="G38" s="1544">
        <v>4579108283.0900002</v>
      </c>
      <c r="H38" s="1544">
        <v>37442557.409999996</v>
      </c>
      <c r="I38" s="1544">
        <v>353677463.04000002</v>
      </c>
      <c r="J38" s="1548">
        <v>191781775.47999999</v>
      </c>
    </row>
    <row r="39" spans="1:10" ht="26.4">
      <c r="A39" s="1535" t="s">
        <v>77</v>
      </c>
      <c r="B39" s="1539" t="s">
        <v>78</v>
      </c>
      <c r="C39" s="1543">
        <v>11271427307.82</v>
      </c>
      <c r="D39" s="1544">
        <v>9785141929.3999996</v>
      </c>
      <c r="E39" s="1544">
        <v>832177185.73000002</v>
      </c>
      <c r="F39" s="1544">
        <v>87442460.159999996</v>
      </c>
      <c r="G39" s="1544">
        <v>6076602.6799999997</v>
      </c>
      <c r="H39" s="1544">
        <v>39234792.030000001</v>
      </c>
      <c r="I39" s="1544">
        <v>1486285378.4200001</v>
      </c>
      <c r="J39" s="1548">
        <v>267300594.56999999</v>
      </c>
    </row>
    <row r="40" spans="1:10" ht="26.4">
      <c r="A40" s="1535" t="s">
        <v>79</v>
      </c>
      <c r="B40" s="1539" t="s">
        <v>80</v>
      </c>
      <c r="C40" s="1543">
        <v>4865899352.8000002</v>
      </c>
      <c r="D40" s="1544">
        <v>3919771618.4400001</v>
      </c>
      <c r="E40" s="1544">
        <v>25378239.25</v>
      </c>
      <c r="F40" s="1544">
        <v>3727738139.8899999</v>
      </c>
      <c r="G40" s="1544">
        <v>16490875.5</v>
      </c>
      <c r="H40" s="1544">
        <v>8450030.2100000009</v>
      </c>
      <c r="I40" s="1544">
        <v>946127734.36000001</v>
      </c>
      <c r="J40" s="1548">
        <v>100033746.88</v>
      </c>
    </row>
    <row r="41" spans="1:10" ht="39.6">
      <c r="A41" s="1535" t="s">
        <v>81</v>
      </c>
      <c r="B41" s="1539" t="s">
        <v>82</v>
      </c>
      <c r="C41" s="1543">
        <v>324113951.38</v>
      </c>
      <c r="D41" s="1544">
        <v>235817343.36000001</v>
      </c>
      <c r="E41" s="1544">
        <v>82696568.969999999</v>
      </c>
      <c r="F41" s="1544">
        <v>270000</v>
      </c>
      <c r="G41" s="1544">
        <v>1122927.8</v>
      </c>
      <c r="H41" s="1544">
        <v>59839.16</v>
      </c>
      <c r="I41" s="1544">
        <v>88296608.019999996</v>
      </c>
      <c r="J41" s="1548">
        <v>5745372.8399999999</v>
      </c>
    </row>
    <row r="42" spans="1:10">
      <c r="A42" s="1536" t="s">
        <v>83</v>
      </c>
      <c r="B42" s="1540" t="s">
        <v>84</v>
      </c>
      <c r="C42" s="1545">
        <v>4211162966.6599998</v>
      </c>
      <c r="D42" s="1546">
        <v>2517338675.7199998</v>
      </c>
      <c r="E42" s="1546">
        <v>697617064.49000001</v>
      </c>
      <c r="F42" s="1546">
        <v>678779126.55999994</v>
      </c>
      <c r="G42" s="1546">
        <v>46730964.359999999</v>
      </c>
      <c r="H42" s="1546">
        <v>848004.99</v>
      </c>
      <c r="I42" s="1546">
        <v>1693824290.9400001</v>
      </c>
      <c r="J42" s="1549">
        <v>8344522.6399999997</v>
      </c>
    </row>
    <row r="44" spans="1:10">
      <c r="A44" s="319" t="s">
        <v>911</v>
      </c>
      <c r="B44" s="318"/>
      <c r="C44" s="318"/>
      <c r="D44" s="318"/>
      <c r="E44" s="318"/>
      <c r="F44" s="318"/>
      <c r="G44" s="318"/>
      <c r="H44" s="318"/>
      <c r="I44" s="318"/>
      <c r="J44" s="318"/>
    </row>
  </sheetData>
  <mergeCells count="13">
    <mergeCell ref="H5:H6"/>
    <mergeCell ref="J5:J6"/>
    <mergeCell ref="C7:J7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</mergeCells>
  <pageMargins left="0.70866141732283472" right="0.70866141732283472" top="0.74803149606299213" bottom="0.55118110236220474" header="0.31496062992125984" footer="0.31496062992125984"/>
  <pageSetup paperSize="9" scale="90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E6CB-8703-429A-A79C-152585889D1D}">
  <dimension ref="A1:M77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5.5546875" customWidth="1"/>
    <col min="2" max="2" width="5.44140625" customWidth="1"/>
    <col min="3" max="3" width="18.21875" customWidth="1"/>
    <col min="4" max="4" width="13.44140625" bestFit="1" customWidth="1"/>
    <col min="5" max="5" width="14.21875" customWidth="1"/>
    <col min="6" max="6" width="12.5546875" bestFit="1" customWidth="1"/>
    <col min="7" max="7" width="12.77734375" customWidth="1"/>
    <col min="8" max="8" width="10.44140625" customWidth="1"/>
    <col min="9" max="9" width="10.77734375" bestFit="1" customWidth="1"/>
    <col min="10" max="10" width="10.77734375" customWidth="1"/>
    <col min="11" max="11" width="8.21875" customWidth="1"/>
    <col min="12" max="12" width="7.77734375" customWidth="1"/>
    <col min="13" max="13" width="8.21875" customWidth="1"/>
  </cols>
  <sheetData>
    <row r="1" spans="1:13" ht="27.6" customHeight="1">
      <c r="A1" s="2214" t="s">
        <v>1046</v>
      </c>
      <c r="B1" s="2214"/>
      <c r="C1" s="2214"/>
      <c r="D1" s="2214"/>
      <c r="E1" s="2214"/>
      <c r="F1" s="2214"/>
      <c r="G1" s="2214"/>
      <c r="H1" s="2214"/>
      <c r="I1" s="2214"/>
      <c r="J1" s="2214"/>
      <c r="K1" s="2214"/>
      <c r="L1" s="2214"/>
      <c r="M1" s="2214"/>
    </row>
    <row r="3" spans="1:13">
      <c r="A3" s="2138" t="s">
        <v>87</v>
      </c>
      <c r="B3" s="2234" t="s">
        <v>171</v>
      </c>
      <c r="C3" s="2140" t="s">
        <v>172</v>
      </c>
      <c r="D3" s="2396" t="s">
        <v>577</v>
      </c>
      <c r="E3" s="2396" t="s">
        <v>578</v>
      </c>
      <c r="F3" s="2215" t="s">
        <v>88</v>
      </c>
      <c r="G3" s="2215"/>
      <c r="H3" s="2215"/>
      <c r="I3" s="2215"/>
      <c r="J3" s="2400"/>
      <c r="K3" s="2138" t="s">
        <v>575</v>
      </c>
      <c r="L3" s="2215"/>
      <c r="M3" s="2393"/>
    </row>
    <row r="4" spans="1:13">
      <c r="A4" s="2139"/>
      <c r="B4" s="2436"/>
      <c r="C4" s="2141"/>
      <c r="D4" s="2397"/>
      <c r="E4" s="2397"/>
      <c r="F4" s="2394" t="s">
        <v>136</v>
      </c>
      <c r="G4" s="2395" t="s">
        <v>569</v>
      </c>
      <c r="H4" s="2395"/>
      <c r="I4" s="2395" t="s">
        <v>137</v>
      </c>
      <c r="J4" s="362" t="s">
        <v>569</v>
      </c>
      <c r="K4" s="2139"/>
      <c r="L4" s="2395"/>
      <c r="M4" s="2399"/>
    </row>
    <row r="5" spans="1:13" ht="25.95" customHeight="1">
      <c r="A5" s="2139"/>
      <c r="B5" s="2436"/>
      <c r="C5" s="2141"/>
      <c r="D5" s="2397"/>
      <c r="E5" s="2397"/>
      <c r="F5" s="2394"/>
      <c r="G5" s="2394" t="s">
        <v>570</v>
      </c>
      <c r="H5" s="2394" t="s">
        <v>579</v>
      </c>
      <c r="I5" s="2395"/>
      <c r="J5" s="2398" t="s">
        <v>580</v>
      </c>
      <c r="K5" s="2139"/>
      <c r="L5" s="2395"/>
      <c r="M5" s="2399"/>
    </row>
    <row r="6" spans="1:13">
      <c r="A6" s="2139"/>
      <c r="B6" s="2436"/>
      <c r="C6" s="2141"/>
      <c r="D6" s="2397"/>
      <c r="E6" s="2397"/>
      <c r="F6" s="2394"/>
      <c r="G6" s="2394"/>
      <c r="H6" s="2394"/>
      <c r="I6" s="2395"/>
      <c r="J6" s="2398"/>
      <c r="K6" s="359" t="s">
        <v>7</v>
      </c>
      <c r="L6" s="361" t="s">
        <v>581</v>
      </c>
      <c r="M6" s="360" t="s">
        <v>582</v>
      </c>
    </row>
    <row r="7" spans="1:13">
      <c r="A7" s="2139"/>
      <c r="B7" s="2235"/>
      <c r="C7" s="2141"/>
      <c r="D7" s="363"/>
      <c r="E7" s="2221" t="s">
        <v>93</v>
      </c>
      <c r="F7" s="2395"/>
      <c r="G7" s="2395"/>
      <c r="H7" s="2395"/>
      <c r="I7" s="2395"/>
      <c r="J7" s="2222"/>
      <c r="K7" s="2139" t="s">
        <v>169</v>
      </c>
      <c r="L7" s="2395"/>
      <c r="M7" s="2399"/>
    </row>
    <row r="8" spans="1:13">
      <c r="A8" s="356" t="s">
        <v>10</v>
      </c>
      <c r="B8" s="342" t="s">
        <v>11</v>
      </c>
      <c r="C8" s="369" t="s">
        <v>12</v>
      </c>
      <c r="D8" s="342" t="s">
        <v>13</v>
      </c>
      <c r="E8" s="368" t="s">
        <v>14</v>
      </c>
      <c r="F8" s="747" t="s">
        <v>15</v>
      </c>
      <c r="G8" s="368" t="s">
        <v>16</v>
      </c>
      <c r="H8" s="747" t="s">
        <v>17</v>
      </c>
      <c r="I8" s="368" t="s">
        <v>94</v>
      </c>
      <c r="J8" s="748" t="s">
        <v>150</v>
      </c>
      <c r="K8" s="356" t="s">
        <v>170</v>
      </c>
      <c r="L8" s="357" t="s">
        <v>173</v>
      </c>
      <c r="M8" s="358" t="s">
        <v>583</v>
      </c>
    </row>
    <row r="9" spans="1:13">
      <c r="A9" s="1642"/>
      <c r="B9" s="1643"/>
      <c r="C9" s="1638" t="s">
        <v>562</v>
      </c>
      <c r="D9" s="1646">
        <v>152198102694.42001</v>
      </c>
      <c r="E9" s="1646">
        <v>10723164731.02</v>
      </c>
      <c r="F9" s="1646">
        <v>10360932732.98</v>
      </c>
      <c r="G9" s="1646">
        <v>7696337079.3800001</v>
      </c>
      <c r="H9" s="1647">
        <v>38000599.030000001</v>
      </c>
      <c r="I9" s="1647">
        <v>362231998.04000002</v>
      </c>
      <c r="J9" s="1647">
        <v>57537270.479999997</v>
      </c>
      <c r="K9" s="1640">
        <v>7</v>
      </c>
      <c r="L9" s="1636">
        <v>96.6</v>
      </c>
      <c r="M9" s="1637">
        <v>71.8</v>
      </c>
    </row>
    <row r="10" spans="1:13">
      <c r="A10" s="1644">
        <v>2</v>
      </c>
      <c r="B10" s="1645">
        <v>61</v>
      </c>
      <c r="C10" s="1639" t="s">
        <v>479</v>
      </c>
      <c r="D10" s="1648">
        <v>919774706.85000002</v>
      </c>
      <c r="E10" s="1648">
        <v>65688654.149999999</v>
      </c>
      <c r="F10" s="1648">
        <v>64637671.159999996</v>
      </c>
      <c r="G10" s="1648">
        <v>48605586.509999998</v>
      </c>
      <c r="H10" s="1648">
        <v>753286.75</v>
      </c>
      <c r="I10" s="1648">
        <v>1050982.99</v>
      </c>
      <c r="J10" s="1648">
        <v>569589.9</v>
      </c>
      <c r="K10" s="1641">
        <v>7.1</v>
      </c>
      <c r="L10" s="1634">
        <v>98.4</v>
      </c>
      <c r="M10" s="1635">
        <v>74</v>
      </c>
    </row>
    <row r="11" spans="1:13">
      <c r="A11" s="1644">
        <v>2</v>
      </c>
      <c r="B11" s="1645">
        <v>62</v>
      </c>
      <c r="C11" s="1639" t="s">
        <v>480</v>
      </c>
      <c r="D11" s="1648">
        <v>1003927967.59</v>
      </c>
      <c r="E11" s="1648">
        <v>63646424.18</v>
      </c>
      <c r="F11" s="1648">
        <v>60431738.75</v>
      </c>
      <c r="G11" s="1648">
        <v>46350336.18</v>
      </c>
      <c r="H11" s="1648">
        <v>736132.01</v>
      </c>
      <c r="I11" s="1648">
        <v>3214685.43</v>
      </c>
      <c r="J11" s="1648">
        <v>653056.19999999995</v>
      </c>
      <c r="K11" s="1641">
        <v>6.3</v>
      </c>
      <c r="L11" s="1634">
        <v>94.9</v>
      </c>
      <c r="M11" s="1635">
        <v>72.8</v>
      </c>
    </row>
    <row r="12" spans="1:13">
      <c r="A12" s="1644">
        <v>2</v>
      </c>
      <c r="B12" s="1645">
        <v>64</v>
      </c>
      <c r="C12" s="1639" t="s">
        <v>481</v>
      </c>
      <c r="D12" s="1648">
        <v>8595041413.7399998</v>
      </c>
      <c r="E12" s="1648">
        <v>564053829.20000005</v>
      </c>
      <c r="F12" s="1648">
        <v>544745221.45000005</v>
      </c>
      <c r="G12" s="1648">
        <v>410579076.24000001</v>
      </c>
      <c r="H12" s="1648">
        <v>911656.06</v>
      </c>
      <c r="I12" s="1648">
        <v>19308607.75</v>
      </c>
      <c r="J12" s="1648">
        <v>350550</v>
      </c>
      <c r="K12" s="1641">
        <v>6.6</v>
      </c>
      <c r="L12" s="1634">
        <v>96.6</v>
      </c>
      <c r="M12" s="1635">
        <v>72.8</v>
      </c>
    </row>
    <row r="13" spans="1:13">
      <c r="A13" s="1644">
        <v>2</v>
      </c>
      <c r="B13" s="1645">
        <v>65</v>
      </c>
      <c r="C13" s="1639" t="s">
        <v>482</v>
      </c>
      <c r="D13" s="1648">
        <v>1210692268.8699999</v>
      </c>
      <c r="E13" s="1648">
        <v>89306216</v>
      </c>
      <c r="F13" s="1648">
        <v>85154689.439999998</v>
      </c>
      <c r="G13" s="1648">
        <v>61226665.810000002</v>
      </c>
      <c r="H13" s="1648">
        <v>6285984.7699999996</v>
      </c>
      <c r="I13" s="1648">
        <v>4151526.56</v>
      </c>
      <c r="J13" s="1648">
        <v>4034922.6</v>
      </c>
      <c r="K13" s="1641">
        <v>7.4</v>
      </c>
      <c r="L13" s="1634">
        <v>95.4</v>
      </c>
      <c r="M13" s="1635">
        <v>68.599999999999994</v>
      </c>
    </row>
    <row r="14" spans="1:13">
      <c r="A14" s="1644">
        <v>4</v>
      </c>
      <c r="B14" s="1645">
        <v>61</v>
      </c>
      <c r="C14" s="1639" t="s">
        <v>483</v>
      </c>
      <c r="D14" s="1648">
        <v>3696082398.52</v>
      </c>
      <c r="E14" s="1648">
        <v>177899658.25</v>
      </c>
      <c r="F14" s="1648">
        <v>173964289.22</v>
      </c>
      <c r="G14" s="1648">
        <v>131619491.53</v>
      </c>
      <c r="H14" s="1648">
        <v>3680796.15</v>
      </c>
      <c r="I14" s="1648">
        <v>3935369.03</v>
      </c>
      <c r="J14" s="1648">
        <v>468468.86</v>
      </c>
      <c r="K14" s="1641">
        <v>4.8</v>
      </c>
      <c r="L14" s="1634">
        <v>97.8</v>
      </c>
      <c r="M14" s="1635">
        <v>74</v>
      </c>
    </row>
    <row r="15" spans="1:13">
      <c r="A15" s="1644">
        <v>4</v>
      </c>
      <c r="B15" s="1645">
        <v>62</v>
      </c>
      <c r="C15" s="1639" t="s">
        <v>484</v>
      </c>
      <c r="D15" s="1648">
        <v>1122786259.3499999</v>
      </c>
      <c r="E15" s="1648">
        <v>74656440.489999995</v>
      </c>
      <c r="F15" s="1648">
        <v>70092291.189999998</v>
      </c>
      <c r="G15" s="1648">
        <v>53237837.549999997</v>
      </c>
      <c r="H15" s="1648">
        <v>0</v>
      </c>
      <c r="I15" s="1648">
        <v>4564149.3</v>
      </c>
      <c r="J15" s="1648">
        <v>14760</v>
      </c>
      <c r="K15" s="1641">
        <v>6.6</v>
      </c>
      <c r="L15" s="1634">
        <v>93.9</v>
      </c>
      <c r="M15" s="1635">
        <v>71.3</v>
      </c>
    </row>
    <row r="16" spans="1:13">
      <c r="A16" s="1644">
        <v>4</v>
      </c>
      <c r="B16" s="1645">
        <v>63</v>
      </c>
      <c r="C16" s="1639" t="s">
        <v>485</v>
      </c>
      <c r="D16" s="1648">
        <v>2154685299.75</v>
      </c>
      <c r="E16" s="1648">
        <v>120459327.31999999</v>
      </c>
      <c r="F16" s="1648">
        <v>118727163.41</v>
      </c>
      <c r="G16" s="1648">
        <v>89038594.579999998</v>
      </c>
      <c r="H16" s="1648">
        <v>1432826</v>
      </c>
      <c r="I16" s="1648">
        <v>1732163.91</v>
      </c>
      <c r="J16" s="1648">
        <v>670149</v>
      </c>
      <c r="K16" s="1641">
        <v>5.6</v>
      </c>
      <c r="L16" s="1634">
        <v>98.6</v>
      </c>
      <c r="M16" s="1635">
        <v>73.900000000000006</v>
      </c>
    </row>
    <row r="17" spans="1:13">
      <c r="A17" s="1644">
        <v>4</v>
      </c>
      <c r="B17" s="1645">
        <v>64</v>
      </c>
      <c r="C17" s="1639" t="s">
        <v>486</v>
      </c>
      <c r="D17" s="1648">
        <v>1228786091.22</v>
      </c>
      <c r="E17" s="1648">
        <v>93562156.5</v>
      </c>
      <c r="F17" s="1648">
        <v>60592161.369999997</v>
      </c>
      <c r="G17" s="1648">
        <v>46602390.560000002</v>
      </c>
      <c r="H17" s="1648">
        <v>168693.45</v>
      </c>
      <c r="I17" s="1648">
        <v>32969995.129999999</v>
      </c>
      <c r="J17" s="1648">
        <v>26537133.129999999</v>
      </c>
      <c r="K17" s="1641">
        <v>7.6</v>
      </c>
      <c r="L17" s="1634">
        <v>64.8</v>
      </c>
      <c r="M17" s="1635">
        <v>49.8</v>
      </c>
    </row>
    <row r="18" spans="1:13">
      <c r="A18" s="1644">
        <v>6</v>
      </c>
      <c r="B18" s="1645">
        <v>61</v>
      </c>
      <c r="C18" s="1639" t="s">
        <v>487</v>
      </c>
      <c r="D18" s="1648">
        <v>630148236.89999998</v>
      </c>
      <c r="E18" s="1648">
        <v>29026194.140000001</v>
      </c>
      <c r="F18" s="1648">
        <v>28835506.600000001</v>
      </c>
      <c r="G18" s="1648">
        <v>22763155.510000002</v>
      </c>
      <c r="H18" s="1648">
        <v>0</v>
      </c>
      <c r="I18" s="1648">
        <v>190687.54</v>
      </c>
      <c r="J18" s="1648">
        <v>0</v>
      </c>
      <c r="K18" s="1641">
        <v>4.5999999999999996</v>
      </c>
      <c r="L18" s="1634">
        <v>99.3</v>
      </c>
      <c r="M18" s="1635">
        <v>78.400000000000006</v>
      </c>
    </row>
    <row r="19" spans="1:13">
      <c r="A19" s="1644">
        <v>6</v>
      </c>
      <c r="B19" s="1645">
        <v>62</v>
      </c>
      <c r="C19" s="1639" t="s">
        <v>488</v>
      </c>
      <c r="D19" s="1648">
        <v>819022039.63</v>
      </c>
      <c r="E19" s="1648">
        <v>30630517.719999999</v>
      </c>
      <c r="F19" s="1648">
        <v>29329636.530000001</v>
      </c>
      <c r="G19" s="1648">
        <v>23047676.969999999</v>
      </c>
      <c r="H19" s="1648">
        <v>0</v>
      </c>
      <c r="I19" s="1648">
        <v>1300881.19</v>
      </c>
      <c r="J19" s="1648">
        <v>0</v>
      </c>
      <c r="K19" s="1641">
        <v>3.7</v>
      </c>
      <c r="L19" s="1634">
        <v>95.8</v>
      </c>
      <c r="M19" s="1635">
        <v>75.2</v>
      </c>
    </row>
    <row r="20" spans="1:13">
      <c r="A20" s="1644">
        <v>6</v>
      </c>
      <c r="B20" s="1645">
        <v>63</v>
      </c>
      <c r="C20" s="1639" t="s">
        <v>489</v>
      </c>
      <c r="D20" s="1648">
        <v>3684334041.3600001</v>
      </c>
      <c r="E20" s="1648">
        <v>274460859.07999998</v>
      </c>
      <c r="F20" s="1648">
        <v>270150867.35000002</v>
      </c>
      <c r="G20" s="1648">
        <v>204619910.83000001</v>
      </c>
      <c r="H20" s="1648">
        <v>1546596.4</v>
      </c>
      <c r="I20" s="1648">
        <v>4309991.7300000004</v>
      </c>
      <c r="J20" s="1648">
        <v>0</v>
      </c>
      <c r="K20" s="1641">
        <v>7.4</v>
      </c>
      <c r="L20" s="1634">
        <v>98.4</v>
      </c>
      <c r="M20" s="1635">
        <v>74.599999999999994</v>
      </c>
    </row>
    <row r="21" spans="1:13">
      <c r="A21" s="1644">
        <v>6</v>
      </c>
      <c r="B21" s="1645">
        <v>64</v>
      </c>
      <c r="C21" s="1639" t="s">
        <v>490</v>
      </c>
      <c r="D21" s="1648">
        <v>719184606.08000004</v>
      </c>
      <c r="E21" s="1648">
        <v>35042089.829999998</v>
      </c>
      <c r="F21" s="1648">
        <v>35001499.829999998</v>
      </c>
      <c r="G21" s="1648">
        <v>27067090.52</v>
      </c>
      <c r="H21" s="1648">
        <v>206457.62</v>
      </c>
      <c r="I21" s="1648">
        <v>40590</v>
      </c>
      <c r="J21" s="1648">
        <v>0</v>
      </c>
      <c r="K21" s="1641">
        <v>4.9000000000000004</v>
      </c>
      <c r="L21" s="1634">
        <v>99.9</v>
      </c>
      <c r="M21" s="1635">
        <v>77.2</v>
      </c>
    </row>
    <row r="22" spans="1:13">
      <c r="A22" s="1644">
        <v>8</v>
      </c>
      <c r="B22" s="1645">
        <v>61</v>
      </c>
      <c r="C22" s="1639" t="s">
        <v>491</v>
      </c>
      <c r="D22" s="1648">
        <v>1266733208.95</v>
      </c>
      <c r="E22" s="1648">
        <v>104393022.98</v>
      </c>
      <c r="F22" s="1648">
        <v>98095972.349999994</v>
      </c>
      <c r="G22" s="1648">
        <v>77186067.379999995</v>
      </c>
      <c r="H22" s="1648">
        <v>1104820.8999999999</v>
      </c>
      <c r="I22" s="1648">
        <v>6297050.6299999999</v>
      </c>
      <c r="J22" s="1648">
        <v>2514858</v>
      </c>
      <c r="K22" s="1641">
        <v>8.1999999999999993</v>
      </c>
      <c r="L22" s="1634">
        <v>94</v>
      </c>
      <c r="M22" s="1635">
        <v>73.900000000000006</v>
      </c>
    </row>
    <row r="23" spans="1:13">
      <c r="A23" s="1644">
        <v>8</v>
      </c>
      <c r="B23" s="1645">
        <v>62</v>
      </c>
      <c r="C23" s="1639" t="s">
        <v>492</v>
      </c>
      <c r="D23" s="1648">
        <v>1738718771.0599999</v>
      </c>
      <c r="E23" s="1648">
        <v>128959424.18000001</v>
      </c>
      <c r="F23" s="1648">
        <v>125972852.51000001</v>
      </c>
      <c r="G23" s="1648">
        <v>97947573.430000007</v>
      </c>
      <c r="H23" s="1648">
        <v>445156.88</v>
      </c>
      <c r="I23" s="1648">
        <v>2986571.67</v>
      </c>
      <c r="J23" s="1648">
        <v>1107121</v>
      </c>
      <c r="K23" s="1641">
        <v>7.4</v>
      </c>
      <c r="L23" s="1634">
        <v>97.7</v>
      </c>
      <c r="M23" s="1635">
        <v>76</v>
      </c>
    </row>
    <row r="24" spans="1:13">
      <c r="A24" s="1644">
        <v>10</v>
      </c>
      <c r="B24" s="1645">
        <v>61</v>
      </c>
      <c r="C24" s="1639" t="s">
        <v>493</v>
      </c>
      <c r="D24" s="1648">
        <v>7666536660.2700005</v>
      </c>
      <c r="E24" s="1648">
        <v>410037877.98000002</v>
      </c>
      <c r="F24" s="1648">
        <v>397857661.38999999</v>
      </c>
      <c r="G24" s="1648">
        <v>277497844.25999999</v>
      </c>
      <c r="H24" s="1648">
        <v>15424.2</v>
      </c>
      <c r="I24" s="1648">
        <v>12180216.59</v>
      </c>
      <c r="J24" s="1648">
        <v>1340700.8999999999</v>
      </c>
      <c r="K24" s="1641">
        <v>5.3</v>
      </c>
      <c r="L24" s="1634">
        <v>97</v>
      </c>
      <c r="M24" s="1635">
        <v>67.7</v>
      </c>
    </row>
    <row r="25" spans="1:13">
      <c r="A25" s="1644">
        <v>10</v>
      </c>
      <c r="B25" s="1645">
        <v>62</v>
      </c>
      <c r="C25" s="1639" t="s">
        <v>494</v>
      </c>
      <c r="D25" s="1648">
        <v>786723686.21000004</v>
      </c>
      <c r="E25" s="1648">
        <v>54194027.310000002</v>
      </c>
      <c r="F25" s="1648">
        <v>53624821.090000004</v>
      </c>
      <c r="G25" s="1648">
        <v>43213415.240000002</v>
      </c>
      <c r="H25" s="1648">
        <v>96231.64</v>
      </c>
      <c r="I25" s="1648">
        <v>569206.22</v>
      </c>
      <c r="J25" s="1648">
        <v>0</v>
      </c>
      <c r="K25" s="1641">
        <v>6.9</v>
      </c>
      <c r="L25" s="1634">
        <v>98.9</v>
      </c>
      <c r="M25" s="1635">
        <v>79.7</v>
      </c>
    </row>
    <row r="26" spans="1:13">
      <c r="A26" s="1644">
        <v>10</v>
      </c>
      <c r="B26" s="1645">
        <v>63</v>
      </c>
      <c r="C26" s="1639" t="s">
        <v>495</v>
      </c>
      <c r="D26" s="1648">
        <v>541029224.49000001</v>
      </c>
      <c r="E26" s="1648">
        <v>31466777.34</v>
      </c>
      <c r="F26" s="1648">
        <v>30745438.440000001</v>
      </c>
      <c r="G26" s="1648">
        <v>23848328.5</v>
      </c>
      <c r="H26" s="1648">
        <v>0</v>
      </c>
      <c r="I26" s="1648">
        <v>721338.9</v>
      </c>
      <c r="J26" s="1648">
        <v>0</v>
      </c>
      <c r="K26" s="1641">
        <v>5.8</v>
      </c>
      <c r="L26" s="1634">
        <v>97.7</v>
      </c>
      <c r="M26" s="1635">
        <v>75.8</v>
      </c>
    </row>
    <row r="27" spans="1:13">
      <c r="A27" s="1644">
        <v>12</v>
      </c>
      <c r="B27" s="1645">
        <v>61</v>
      </c>
      <c r="C27" s="1639" t="s">
        <v>496</v>
      </c>
      <c r="D27" s="1648">
        <v>10619193988.74</v>
      </c>
      <c r="E27" s="1648">
        <v>750430039.57000005</v>
      </c>
      <c r="F27" s="1648">
        <v>732715912.91999996</v>
      </c>
      <c r="G27" s="1648">
        <v>542020858.89999998</v>
      </c>
      <c r="H27" s="1648">
        <v>2389563.64</v>
      </c>
      <c r="I27" s="1648">
        <v>17714126.649999999</v>
      </c>
      <c r="J27" s="1648">
        <v>0</v>
      </c>
      <c r="K27" s="1641">
        <v>7.1</v>
      </c>
      <c r="L27" s="1634">
        <v>97.6</v>
      </c>
      <c r="M27" s="1635">
        <v>72.2</v>
      </c>
    </row>
    <row r="28" spans="1:13">
      <c r="A28" s="1644">
        <v>12</v>
      </c>
      <c r="B28" s="1645">
        <v>62</v>
      </c>
      <c r="C28" s="1639" t="s">
        <v>497</v>
      </c>
      <c r="D28" s="1648">
        <v>1045473006.5</v>
      </c>
      <c r="E28" s="1648">
        <v>65856639.990000002</v>
      </c>
      <c r="F28" s="1648">
        <v>64543686.039999999</v>
      </c>
      <c r="G28" s="1648">
        <v>42755253.090000004</v>
      </c>
      <c r="H28" s="1648">
        <v>18450</v>
      </c>
      <c r="I28" s="1648">
        <v>1312953.95</v>
      </c>
      <c r="J28" s="1648">
        <v>524696.77</v>
      </c>
      <c r="K28" s="1641">
        <v>6.3</v>
      </c>
      <c r="L28" s="1634">
        <v>98</v>
      </c>
      <c r="M28" s="1635">
        <v>64.900000000000006</v>
      </c>
    </row>
    <row r="29" spans="1:13">
      <c r="A29" s="1644">
        <v>12</v>
      </c>
      <c r="B29" s="1645">
        <v>63</v>
      </c>
      <c r="C29" s="1639" t="s">
        <v>498</v>
      </c>
      <c r="D29" s="1648">
        <v>1146386648.6099999</v>
      </c>
      <c r="E29" s="1648">
        <v>65687756.350000001</v>
      </c>
      <c r="F29" s="1648">
        <v>64521120.68</v>
      </c>
      <c r="G29" s="1648">
        <v>50620910.020000003</v>
      </c>
      <c r="H29" s="1648">
        <v>12000</v>
      </c>
      <c r="I29" s="1648">
        <v>1166635.67</v>
      </c>
      <c r="J29" s="1648">
        <v>726930</v>
      </c>
      <c r="K29" s="1641">
        <v>5.7</v>
      </c>
      <c r="L29" s="1634">
        <v>98.2</v>
      </c>
      <c r="M29" s="1635">
        <v>77.099999999999994</v>
      </c>
    </row>
    <row r="30" spans="1:13">
      <c r="A30" s="1644">
        <v>14</v>
      </c>
      <c r="B30" s="1645">
        <v>61</v>
      </c>
      <c r="C30" s="1639" t="s">
        <v>499</v>
      </c>
      <c r="D30" s="1648">
        <v>647637780.47000003</v>
      </c>
      <c r="E30" s="1648">
        <v>35597084.539999999</v>
      </c>
      <c r="F30" s="1648">
        <v>35033885.909999996</v>
      </c>
      <c r="G30" s="1648">
        <v>28375006.039999999</v>
      </c>
      <c r="H30" s="1648">
        <v>29756.16</v>
      </c>
      <c r="I30" s="1648">
        <v>563198.63</v>
      </c>
      <c r="J30" s="1648">
        <v>256923.63</v>
      </c>
      <c r="K30" s="1641">
        <v>5.5</v>
      </c>
      <c r="L30" s="1634">
        <v>98.4</v>
      </c>
      <c r="M30" s="1635">
        <v>79.7</v>
      </c>
    </row>
    <row r="31" spans="1:13">
      <c r="A31" s="1644">
        <v>14</v>
      </c>
      <c r="B31" s="1645">
        <v>62</v>
      </c>
      <c r="C31" s="1639" t="s">
        <v>500</v>
      </c>
      <c r="D31" s="1648">
        <v>1493585788.55</v>
      </c>
      <c r="E31" s="1648">
        <v>111527337.59</v>
      </c>
      <c r="F31" s="1648">
        <v>109494716.89</v>
      </c>
      <c r="G31" s="1648">
        <v>79141556.019999996</v>
      </c>
      <c r="H31" s="1648">
        <v>304058.84999999998</v>
      </c>
      <c r="I31" s="1648">
        <v>2032620.7</v>
      </c>
      <c r="J31" s="1648">
        <v>0</v>
      </c>
      <c r="K31" s="1641">
        <v>7.5</v>
      </c>
      <c r="L31" s="1634">
        <v>98.2</v>
      </c>
      <c r="M31" s="1635">
        <v>71</v>
      </c>
    </row>
    <row r="32" spans="1:13">
      <c r="A32" s="1644">
        <v>14</v>
      </c>
      <c r="B32" s="1645">
        <v>63</v>
      </c>
      <c r="C32" s="1639" t="s">
        <v>501</v>
      </c>
      <c r="D32" s="1648">
        <v>2452899639.6700001</v>
      </c>
      <c r="E32" s="1648">
        <v>134229256.06</v>
      </c>
      <c r="F32" s="1648">
        <v>131904002.27</v>
      </c>
      <c r="G32" s="1648">
        <v>109951291.02</v>
      </c>
      <c r="H32" s="1648">
        <v>92133.2</v>
      </c>
      <c r="I32" s="1648">
        <v>2325253.79</v>
      </c>
      <c r="J32" s="1648">
        <v>225793.1</v>
      </c>
      <c r="K32" s="1641">
        <v>5.5</v>
      </c>
      <c r="L32" s="1634">
        <v>98.3</v>
      </c>
      <c r="M32" s="1635">
        <v>81.900000000000006</v>
      </c>
    </row>
    <row r="33" spans="1:13">
      <c r="A33" s="1644">
        <v>14</v>
      </c>
      <c r="B33" s="1645">
        <v>64</v>
      </c>
      <c r="C33" s="1639" t="s">
        <v>502</v>
      </c>
      <c r="D33" s="1648">
        <v>978567409.14999998</v>
      </c>
      <c r="E33" s="1648">
        <v>47106462.149999999</v>
      </c>
      <c r="F33" s="1648">
        <v>46542502.520000003</v>
      </c>
      <c r="G33" s="1648">
        <v>36402630.090000004</v>
      </c>
      <c r="H33" s="1648">
        <v>72161.649999999994</v>
      </c>
      <c r="I33" s="1648">
        <v>563959.63</v>
      </c>
      <c r="J33" s="1648">
        <v>18000</v>
      </c>
      <c r="K33" s="1641">
        <v>4.8</v>
      </c>
      <c r="L33" s="1634">
        <v>98.8</v>
      </c>
      <c r="M33" s="1635">
        <v>77.3</v>
      </c>
    </row>
    <row r="34" spans="1:13">
      <c r="A34" s="1644">
        <v>14</v>
      </c>
      <c r="B34" s="1645">
        <v>65</v>
      </c>
      <c r="C34" s="1639" t="s">
        <v>503</v>
      </c>
      <c r="D34" s="1648">
        <v>28362577274.970001</v>
      </c>
      <c r="E34" s="1648">
        <v>2330340762.48</v>
      </c>
      <c r="F34" s="1648">
        <v>2279861720.4400001</v>
      </c>
      <c r="G34" s="1648">
        <v>1715912888.5899999</v>
      </c>
      <c r="H34" s="1648">
        <v>4715126.5199999996</v>
      </c>
      <c r="I34" s="1648">
        <v>50479042.039999999</v>
      </c>
      <c r="J34" s="1648">
        <v>22518.84</v>
      </c>
      <c r="K34" s="1641">
        <v>8.1999999999999993</v>
      </c>
      <c r="L34" s="1634">
        <v>97.8</v>
      </c>
      <c r="M34" s="1635">
        <v>73.599999999999994</v>
      </c>
    </row>
    <row r="35" spans="1:13">
      <c r="A35" s="1644">
        <v>16</v>
      </c>
      <c r="B35" s="1645">
        <v>61</v>
      </c>
      <c r="C35" s="1639" t="s">
        <v>504</v>
      </c>
      <c r="D35" s="1648">
        <v>1735846871.78</v>
      </c>
      <c r="E35" s="1648">
        <v>140587756.16999999</v>
      </c>
      <c r="F35" s="1648">
        <v>132838626.51000001</v>
      </c>
      <c r="G35" s="1648">
        <v>98322003.209999993</v>
      </c>
      <c r="H35" s="1648">
        <v>357436.38</v>
      </c>
      <c r="I35" s="1648">
        <v>7749129.6600000001</v>
      </c>
      <c r="J35" s="1648">
        <v>1244036.01</v>
      </c>
      <c r="K35" s="1641">
        <v>8.1</v>
      </c>
      <c r="L35" s="1634">
        <v>94.5</v>
      </c>
      <c r="M35" s="1635">
        <v>69.900000000000006</v>
      </c>
    </row>
    <row r="36" spans="1:13">
      <c r="A36" s="1644">
        <v>18</v>
      </c>
      <c r="B36" s="1645">
        <v>61</v>
      </c>
      <c r="C36" s="1639" t="s">
        <v>505</v>
      </c>
      <c r="D36" s="1648">
        <v>687051596.10000002</v>
      </c>
      <c r="E36" s="1648">
        <v>33441732.039999999</v>
      </c>
      <c r="F36" s="1648">
        <v>32402847.170000002</v>
      </c>
      <c r="G36" s="1648">
        <v>25805068.879999999</v>
      </c>
      <c r="H36" s="1648">
        <v>200041.86</v>
      </c>
      <c r="I36" s="1648">
        <v>1038884.87</v>
      </c>
      <c r="J36" s="1648">
        <v>811646.48</v>
      </c>
      <c r="K36" s="1641">
        <v>4.9000000000000004</v>
      </c>
      <c r="L36" s="1634">
        <v>96.9</v>
      </c>
      <c r="M36" s="1635">
        <v>77.2</v>
      </c>
    </row>
    <row r="37" spans="1:13">
      <c r="A37" s="1644">
        <v>18</v>
      </c>
      <c r="B37" s="1645">
        <v>62</v>
      </c>
      <c r="C37" s="1639" t="s">
        <v>506</v>
      </c>
      <c r="D37" s="1648">
        <v>735200527.66999996</v>
      </c>
      <c r="E37" s="1648">
        <v>47005099.979999997</v>
      </c>
      <c r="F37" s="1648">
        <v>44432866.289999999</v>
      </c>
      <c r="G37" s="1648">
        <v>35387930.810000002</v>
      </c>
      <c r="H37" s="1648">
        <v>114099.99</v>
      </c>
      <c r="I37" s="1648">
        <v>2572233.69</v>
      </c>
      <c r="J37" s="1648">
        <v>846117.37</v>
      </c>
      <c r="K37" s="1641">
        <v>6.4</v>
      </c>
      <c r="L37" s="1634">
        <v>94.5</v>
      </c>
      <c r="M37" s="1635">
        <v>75.3</v>
      </c>
    </row>
    <row r="38" spans="1:13">
      <c r="A38" s="1644">
        <v>18</v>
      </c>
      <c r="B38" s="1645">
        <v>63</v>
      </c>
      <c r="C38" s="1639" t="s">
        <v>507</v>
      </c>
      <c r="D38" s="1648">
        <v>2523121818.3400002</v>
      </c>
      <c r="E38" s="1648">
        <v>177135869.94</v>
      </c>
      <c r="F38" s="1648">
        <v>169926629.31999999</v>
      </c>
      <c r="G38" s="1648">
        <v>118563391.84999999</v>
      </c>
      <c r="H38" s="1648">
        <v>378660.38</v>
      </c>
      <c r="I38" s="1648">
        <v>7209240.6200000001</v>
      </c>
      <c r="J38" s="1648">
        <v>1135950.81</v>
      </c>
      <c r="K38" s="1641">
        <v>7</v>
      </c>
      <c r="L38" s="1634">
        <v>95.9</v>
      </c>
      <c r="M38" s="1635">
        <v>66.900000000000006</v>
      </c>
    </row>
    <row r="39" spans="1:13">
      <c r="A39" s="1644">
        <v>18</v>
      </c>
      <c r="B39" s="1645">
        <v>64</v>
      </c>
      <c r="C39" s="1639" t="s">
        <v>508</v>
      </c>
      <c r="D39" s="1648">
        <v>511306186.07999998</v>
      </c>
      <c r="E39" s="1648">
        <v>37082359.670000002</v>
      </c>
      <c r="F39" s="1648">
        <v>34964605.93</v>
      </c>
      <c r="G39" s="1648">
        <v>28229646.559999999</v>
      </c>
      <c r="H39" s="1648">
        <v>0</v>
      </c>
      <c r="I39" s="1648">
        <v>2117753.7400000002</v>
      </c>
      <c r="J39" s="1648">
        <v>736355.86</v>
      </c>
      <c r="K39" s="1641">
        <v>7.3</v>
      </c>
      <c r="L39" s="1634">
        <v>94.3</v>
      </c>
      <c r="M39" s="1635">
        <v>76.099999999999994</v>
      </c>
    </row>
    <row r="40" spans="1:13">
      <c r="A40" s="1644">
        <v>20</v>
      </c>
      <c r="B40" s="1645">
        <v>61</v>
      </c>
      <c r="C40" s="1639" t="s">
        <v>509</v>
      </c>
      <c r="D40" s="1648">
        <v>3191581946.5599999</v>
      </c>
      <c r="E40" s="1648">
        <v>208776054.03</v>
      </c>
      <c r="F40" s="1648">
        <v>193721002.13</v>
      </c>
      <c r="G40" s="1648">
        <v>148470748</v>
      </c>
      <c r="H40" s="1648">
        <v>506753.83</v>
      </c>
      <c r="I40" s="1648">
        <v>15055051.9</v>
      </c>
      <c r="J40" s="1648">
        <v>4814788.68</v>
      </c>
      <c r="K40" s="1641">
        <v>6.5</v>
      </c>
      <c r="L40" s="1634">
        <v>92.8</v>
      </c>
      <c r="M40" s="1635">
        <v>71.099999999999994</v>
      </c>
    </row>
    <row r="41" spans="1:13">
      <c r="A41" s="1644">
        <v>20</v>
      </c>
      <c r="B41" s="1645">
        <v>62</v>
      </c>
      <c r="C41" s="1639" t="s">
        <v>510</v>
      </c>
      <c r="D41" s="1648">
        <v>630512706.20000005</v>
      </c>
      <c r="E41" s="1648">
        <v>36301952.850000001</v>
      </c>
      <c r="F41" s="1648">
        <v>34215076.520000003</v>
      </c>
      <c r="G41" s="1648">
        <v>26461239.59</v>
      </c>
      <c r="H41" s="1648">
        <v>296382.92</v>
      </c>
      <c r="I41" s="1648">
        <v>2086876.33</v>
      </c>
      <c r="J41" s="1648">
        <v>710185.06</v>
      </c>
      <c r="K41" s="1641">
        <v>5.8</v>
      </c>
      <c r="L41" s="1634">
        <v>94.3</v>
      </c>
      <c r="M41" s="1635">
        <v>72.900000000000006</v>
      </c>
    </row>
    <row r="42" spans="1:13">
      <c r="A42" s="1644">
        <v>20</v>
      </c>
      <c r="B42" s="1645">
        <v>63</v>
      </c>
      <c r="C42" s="1639" t="s">
        <v>511</v>
      </c>
      <c r="D42" s="1648">
        <v>778652974.75</v>
      </c>
      <c r="E42" s="1648">
        <v>53554013.030000001</v>
      </c>
      <c r="F42" s="1648">
        <v>53032296.710000001</v>
      </c>
      <c r="G42" s="1648">
        <v>40938603.640000001</v>
      </c>
      <c r="H42" s="1648">
        <v>23837.98</v>
      </c>
      <c r="I42" s="1648">
        <v>521716.32</v>
      </c>
      <c r="J42" s="1648">
        <v>0</v>
      </c>
      <c r="K42" s="1641">
        <v>6.9</v>
      </c>
      <c r="L42" s="1634">
        <v>99</v>
      </c>
      <c r="M42" s="1635">
        <v>76.400000000000006</v>
      </c>
    </row>
    <row r="43" spans="1:13">
      <c r="A43" s="1644">
        <v>22</v>
      </c>
      <c r="B43" s="1645">
        <v>61</v>
      </c>
      <c r="C43" s="1639" t="s">
        <v>512</v>
      </c>
      <c r="D43" s="1648">
        <v>6023471305.4099998</v>
      </c>
      <c r="E43" s="1648">
        <v>387192449.44</v>
      </c>
      <c r="F43" s="1648">
        <v>371469003.35000002</v>
      </c>
      <c r="G43" s="1648">
        <v>237098958.46000001</v>
      </c>
      <c r="H43" s="1648">
        <v>754578.52</v>
      </c>
      <c r="I43" s="1648">
        <v>15723446.09</v>
      </c>
      <c r="J43" s="1648">
        <v>174973.65</v>
      </c>
      <c r="K43" s="1641">
        <v>6.4</v>
      </c>
      <c r="L43" s="1634">
        <v>95.9</v>
      </c>
      <c r="M43" s="1635">
        <v>61.2</v>
      </c>
    </row>
    <row r="44" spans="1:13">
      <c r="A44" s="1644">
        <v>22</v>
      </c>
      <c r="B44" s="1645">
        <v>62</v>
      </c>
      <c r="C44" s="1639" t="s">
        <v>513</v>
      </c>
      <c r="D44" s="1648">
        <v>2565486818.0500002</v>
      </c>
      <c r="E44" s="1648">
        <v>205909640.56999999</v>
      </c>
      <c r="F44" s="1648">
        <v>200530024.22999999</v>
      </c>
      <c r="G44" s="1648">
        <v>149101422.94999999</v>
      </c>
      <c r="H44" s="1648">
        <v>0</v>
      </c>
      <c r="I44" s="1648">
        <v>5379616.3399999999</v>
      </c>
      <c r="J44" s="1648">
        <v>0</v>
      </c>
      <c r="K44" s="1641">
        <v>8</v>
      </c>
      <c r="L44" s="1634">
        <v>97.4</v>
      </c>
      <c r="M44" s="1635">
        <v>72.400000000000006</v>
      </c>
    </row>
    <row r="45" spans="1:13">
      <c r="A45" s="1644">
        <v>22</v>
      </c>
      <c r="B45" s="1645">
        <v>63</v>
      </c>
      <c r="C45" s="1639" t="s">
        <v>514</v>
      </c>
      <c r="D45" s="1648">
        <v>1020969917.75</v>
      </c>
      <c r="E45" s="1648">
        <v>66853207.509999998</v>
      </c>
      <c r="F45" s="1648">
        <v>65755404.640000001</v>
      </c>
      <c r="G45" s="1648">
        <v>52476125.950000003</v>
      </c>
      <c r="H45" s="1648">
        <v>169162.13</v>
      </c>
      <c r="I45" s="1648">
        <v>1097802.8700000001</v>
      </c>
      <c r="J45" s="1648">
        <v>10240.98</v>
      </c>
      <c r="K45" s="1641">
        <v>6.5</v>
      </c>
      <c r="L45" s="1634">
        <v>98.4</v>
      </c>
      <c r="M45" s="1635">
        <v>78.5</v>
      </c>
    </row>
    <row r="46" spans="1:13">
      <c r="A46" s="1644">
        <v>22</v>
      </c>
      <c r="B46" s="1645">
        <v>64</v>
      </c>
      <c r="C46" s="1639" t="s">
        <v>515</v>
      </c>
      <c r="D46" s="1648">
        <v>553225800.49000001</v>
      </c>
      <c r="E46" s="1648">
        <v>52307873.219999999</v>
      </c>
      <c r="F46" s="1648">
        <v>52129744.869999997</v>
      </c>
      <c r="G46" s="1648">
        <v>40285020.670000002</v>
      </c>
      <c r="H46" s="1648">
        <v>103276.61</v>
      </c>
      <c r="I46" s="1648">
        <v>178128.35</v>
      </c>
      <c r="J46" s="1648">
        <v>0</v>
      </c>
      <c r="K46" s="1641">
        <v>9.5</v>
      </c>
      <c r="L46" s="1634">
        <v>99.7</v>
      </c>
      <c r="M46" s="1635">
        <v>77</v>
      </c>
    </row>
    <row r="47" spans="1:13">
      <c r="A47" s="1644">
        <v>24</v>
      </c>
      <c r="B47" s="1645">
        <v>61</v>
      </c>
      <c r="C47" s="1639" t="s">
        <v>516</v>
      </c>
      <c r="D47" s="1648">
        <v>2025224327.76</v>
      </c>
      <c r="E47" s="1648">
        <v>156931502.71000001</v>
      </c>
      <c r="F47" s="1648">
        <v>153515637.66</v>
      </c>
      <c r="G47" s="1648">
        <v>116332205.28</v>
      </c>
      <c r="H47" s="1648">
        <v>214688.39</v>
      </c>
      <c r="I47" s="1648">
        <v>3415865.05</v>
      </c>
      <c r="J47" s="1648">
        <v>473858</v>
      </c>
      <c r="K47" s="1641">
        <v>7.7</v>
      </c>
      <c r="L47" s="1634">
        <v>97.8</v>
      </c>
      <c r="M47" s="1635">
        <v>74.099999999999994</v>
      </c>
    </row>
    <row r="48" spans="1:13">
      <c r="A48" s="1644">
        <v>24</v>
      </c>
      <c r="B48" s="1645">
        <v>62</v>
      </c>
      <c r="C48" s="1639" t="s">
        <v>517</v>
      </c>
      <c r="D48" s="1648">
        <v>1386577166.1600001</v>
      </c>
      <c r="E48" s="1648">
        <v>86131380.670000002</v>
      </c>
      <c r="F48" s="1648">
        <v>85572783.129999995</v>
      </c>
      <c r="G48" s="1648">
        <v>64316734.5</v>
      </c>
      <c r="H48" s="1648">
        <v>0</v>
      </c>
      <c r="I48" s="1648">
        <v>558597.54</v>
      </c>
      <c r="J48" s="1648">
        <v>0</v>
      </c>
      <c r="K48" s="1641">
        <v>6.2</v>
      </c>
      <c r="L48" s="1634">
        <v>99.4</v>
      </c>
      <c r="M48" s="1635">
        <v>74.7</v>
      </c>
    </row>
    <row r="49" spans="1:13">
      <c r="A49" s="1644">
        <v>24</v>
      </c>
      <c r="B49" s="1645">
        <v>63</v>
      </c>
      <c r="C49" s="1639" t="s">
        <v>518</v>
      </c>
      <c r="D49" s="1648">
        <v>1007233566.6900001</v>
      </c>
      <c r="E49" s="1648">
        <v>70453335.659999996</v>
      </c>
      <c r="F49" s="1648">
        <v>69699787.230000004</v>
      </c>
      <c r="G49" s="1648">
        <v>55789582.960000001</v>
      </c>
      <c r="H49" s="1648">
        <v>8000</v>
      </c>
      <c r="I49" s="1648">
        <v>753548.43</v>
      </c>
      <c r="J49" s="1648">
        <v>443582</v>
      </c>
      <c r="K49" s="1641">
        <v>7</v>
      </c>
      <c r="L49" s="1634">
        <v>98.9</v>
      </c>
      <c r="M49" s="1635">
        <v>79.2</v>
      </c>
    </row>
    <row r="50" spans="1:13">
      <c r="A50" s="1644">
        <v>24</v>
      </c>
      <c r="B50" s="1645">
        <v>64</v>
      </c>
      <c r="C50" s="1639" t="s">
        <v>519</v>
      </c>
      <c r="D50" s="1648">
        <v>2337482484.9400001</v>
      </c>
      <c r="E50" s="1648">
        <v>154231561.86000001</v>
      </c>
      <c r="F50" s="1648">
        <v>149657175.41999999</v>
      </c>
      <c r="G50" s="1648">
        <v>113679330.73999999</v>
      </c>
      <c r="H50" s="1648">
        <v>10486</v>
      </c>
      <c r="I50" s="1648">
        <v>4574386.4400000004</v>
      </c>
      <c r="J50" s="1648">
        <v>1115604.44</v>
      </c>
      <c r="K50" s="1641">
        <v>6.6</v>
      </c>
      <c r="L50" s="1634">
        <v>97</v>
      </c>
      <c r="M50" s="1635">
        <v>73.7</v>
      </c>
    </row>
    <row r="51" spans="1:13">
      <c r="A51" s="1644">
        <v>24</v>
      </c>
      <c r="B51" s="1645">
        <v>65</v>
      </c>
      <c r="C51" s="1639" t="s">
        <v>520</v>
      </c>
      <c r="D51" s="1648">
        <v>1257669871.8299999</v>
      </c>
      <c r="E51" s="1648">
        <v>140412398.68000001</v>
      </c>
      <c r="F51" s="1648">
        <v>139810314.91</v>
      </c>
      <c r="G51" s="1648">
        <v>95060983.269999996</v>
      </c>
      <c r="H51" s="1648">
        <v>445041.39</v>
      </c>
      <c r="I51" s="1648">
        <v>602083.77</v>
      </c>
      <c r="J51" s="1648">
        <v>0</v>
      </c>
      <c r="K51" s="1641">
        <v>11.2</v>
      </c>
      <c r="L51" s="1634">
        <v>99.6</v>
      </c>
      <c r="M51" s="1635">
        <v>67.7</v>
      </c>
    </row>
    <row r="52" spans="1:13">
      <c r="A52" s="1644">
        <v>24</v>
      </c>
      <c r="B52" s="1645">
        <v>66</v>
      </c>
      <c r="C52" s="1639" t="s">
        <v>521</v>
      </c>
      <c r="D52" s="1648">
        <v>2010368765.0899999</v>
      </c>
      <c r="E52" s="1648">
        <v>161912145.88</v>
      </c>
      <c r="F52" s="1648">
        <v>152644315.34</v>
      </c>
      <c r="G52" s="1648">
        <v>100161091.65000001</v>
      </c>
      <c r="H52" s="1648">
        <v>7035</v>
      </c>
      <c r="I52" s="1648">
        <v>9267830.5399999991</v>
      </c>
      <c r="J52" s="1648">
        <v>99015</v>
      </c>
      <c r="K52" s="1641">
        <v>8.1</v>
      </c>
      <c r="L52" s="1634">
        <v>94.3</v>
      </c>
      <c r="M52" s="1635">
        <v>61.9</v>
      </c>
    </row>
    <row r="53" spans="1:13">
      <c r="A53" s="1644">
        <v>24</v>
      </c>
      <c r="B53" s="1645">
        <v>67</v>
      </c>
      <c r="C53" s="1639" t="s">
        <v>522</v>
      </c>
      <c r="D53" s="1648">
        <v>823813009.69000006</v>
      </c>
      <c r="E53" s="1648">
        <v>59012531.509999998</v>
      </c>
      <c r="F53" s="1648">
        <v>58022542.359999999</v>
      </c>
      <c r="G53" s="1648">
        <v>45130126.149999999</v>
      </c>
      <c r="H53" s="1648">
        <v>138489.29999999999</v>
      </c>
      <c r="I53" s="1648">
        <v>989989.15</v>
      </c>
      <c r="J53" s="1648">
        <v>363426.63</v>
      </c>
      <c r="K53" s="1641">
        <v>7.2</v>
      </c>
      <c r="L53" s="1634">
        <v>98.3</v>
      </c>
      <c r="M53" s="1635">
        <v>76.5</v>
      </c>
    </row>
    <row r="54" spans="1:13">
      <c r="A54" s="1644">
        <v>24</v>
      </c>
      <c r="B54" s="1645">
        <v>68</v>
      </c>
      <c r="C54" s="1639" t="s">
        <v>523</v>
      </c>
      <c r="D54" s="1648">
        <v>958824532.95000005</v>
      </c>
      <c r="E54" s="1648">
        <v>100228438.39</v>
      </c>
      <c r="F54" s="1648">
        <v>94532832.200000003</v>
      </c>
      <c r="G54" s="1648">
        <v>76941555.590000004</v>
      </c>
      <c r="H54" s="1648">
        <v>264000.01</v>
      </c>
      <c r="I54" s="1648">
        <v>5695606.1900000004</v>
      </c>
      <c r="J54" s="1648">
        <v>500393.9</v>
      </c>
      <c r="K54" s="1641">
        <v>10.5</v>
      </c>
      <c r="L54" s="1634">
        <v>94.3</v>
      </c>
      <c r="M54" s="1635">
        <v>76.8</v>
      </c>
    </row>
    <row r="55" spans="1:13">
      <c r="A55" s="1644">
        <v>24</v>
      </c>
      <c r="B55" s="1645">
        <v>69</v>
      </c>
      <c r="C55" s="1639" t="s">
        <v>524</v>
      </c>
      <c r="D55" s="1648">
        <v>3726747671.1799998</v>
      </c>
      <c r="E55" s="1648">
        <v>266442813.37</v>
      </c>
      <c r="F55" s="1648">
        <v>251443896.84</v>
      </c>
      <c r="G55" s="1648">
        <v>164308929.06</v>
      </c>
      <c r="H55" s="1648">
        <v>1136082.77</v>
      </c>
      <c r="I55" s="1648">
        <v>14998916.529999999</v>
      </c>
      <c r="J55" s="1648">
        <v>0</v>
      </c>
      <c r="K55" s="1641">
        <v>7.1</v>
      </c>
      <c r="L55" s="1634">
        <v>94.4</v>
      </c>
      <c r="M55" s="1635">
        <v>61.7</v>
      </c>
    </row>
    <row r="56" spans="1:13">
      <c r="A56" s="1644">
        <v>24</v>
      </c>
      <c r="B56" s="1645">
        <v>70</v>
      </c>
      <c r="C56" s="1639" t="s">
        <v>525</v>
      </c>
      <c r="D56" s="1648">
        <v>677695061.44000006</v>
      </c>
      <c r="E56" s="1648">
        <v>54585717.149999999</v>
      </c>
      <c r="F56" s="1648">
        <v>51627811.020000003</v>
      </c>
      <c r="G56" s="1648">
        <v>39886546.060000002</v>
      </c>
      <c r="H56" s="1648">
        <v>180572.86</v>
      </c>
      <c r="I56" s="1648">
        <v>2957906.13</v>
      </c>
      <c r="J56" s="1648">
        <v>148230.99</v>
      </c>
      <c r="K56" s="1641">
        <v>8.1</v>
      </c>
      <c r="L56" s="1634">
        <v>94.6</v>
      </c>
      <c r="M56" s="1635">
        <v>73.099999999999994</v>
      </c>
    </row>
    <row r="57" spans="1:13">
      <c r="A57" s="1644">
        <v>24</v>
      </c>
      <c r="B57" s="1645">
        <v>71</v>
      </c>
      <c r="C57" s="1639" t="s">
        <v>526</v>
      </c>
      <c r="D57" s="1648">
        <v>463451752.91000003</v>
      </c>
      <c r="E57" s="1648">
        <v>44769490.740000002</v>
      </c>
      <c r="F57" s="1648">
        <v>44062445.520000003</v>
      </c>
      <c r="G57" s="1648">
        <v>35562763.700000003</v>
      </c>
      <c r="H57" s="1648">
        <v>0</v>
      </c>
      <c r="I57" s="1648">
        <v>707045.22</v>
      </c>
      <c r="J57" s="1648">
        <v>0</v>
      </c>
      <c r="K57" s="1641">
        <v>9.6999999999999993</v>
      </c>
      <c r="L57" s="1634">
        <v>98.4</v>
      </c>
      <c r="M57" s="1635">
        <v>79.400000000000006</v>
      </c>
    </row>
    <row r="58" spans="1:13">
      <c r="A58" s="1644">
        <v>24</v>
      </c>
      <c r="B58" s="1645">
        <v>72</v>
      </c>
      <c r="C58" s="1639" t="s">
        <v>527</v>
      </c>
      <c r="D58" s="1648">
        <v>1359620368.3099999</v>
      </c>
      <c r="E58" s="1648">
        <v>79363770.040000007</v>
      </c>
      <c r="F58" s="1648">
        <v>77287863.049999997</v>
      </c>
      <c r="G58" s="1648">
        <v>62088491.810000002</v>
      </c>
      <c r="H58" s="1648">
        <v>242600.14</v>
      </c>
      <c r="I58" s="1648">
        <v>2075906.99</v>
      </c>
      <c r="J58" s="1648">
        <v>0</v>
      </c>
      <c r="K58" s="1641">
        <v>5.8</v>
      </c>
      <c r="L58" s="1634">
        <v>97.4</v>
      </c>
      <c r="M58" s="1635">
        <v>78.2</v>
      </c>
    </row>
    <row r="59" spans="1:13">
      <c r="A59" s="1644">
        <v>24</v>
      </c>
      <c r="B59" s="1645">
        <v>73</v>
      </c>
      <c r="C59" s="1639" t="s">
        <v>528</v>
      </c>
      <c r="D59" s="1648">
        <v>1511299652.71</v>
      </c>
      <c r="E59" s="1648">
        <v>121787050.73999999</v>
      </c>
      <c r="F59" s="1648">
        <v>116577179.84</v>
      </c>
      <c r="G59" s="1648">
        <v>94108248.299999997</v>
      </c>
      <c r="H59" s="1648">
        <v>535261.69999999995</v>
      </c>
      <c r="I59" s="1648">
        <v>5209870.9000000004</v>
      </c>
      <c r="J59" s="1648">
        <v>67479.12</v>
      </c>
      <c r="K59" s="1641">
        <v>8.1</v>
      </c>
      <c r="L59" s="1634">
        <v>95.7</v>
      </c>
      <c r="M59" s="1635">
        <v>77.3</v>
      </c>
    </row>
    <row r="60" spans="1:13">
      <c r="A60" s="1644">
        <v>24</v>
      </c>
      <c r="B60" s="1645">
        <v>74</v>
      </c>
      <c r="C60" s="1639" t="s">
        <v>529</v>
      </c>
      <c r="D60" s="1648">
        <v>648000202.27999997</v>
      </c>
      <c r="E60" s="1648">
        <v>53142982.869999997</v>
      </c>
      <c r="F60" s="1648">
        <v>51380906.020000003</v>
      </c>
      <c r="G60" s="1648">
        <v>39321824.299999997</v>
      </c>
      <c r="H60" s="1648">
        <v>70737.3</v>
      </c>
      <c r="I60" s="1648">
        <v>1762076.85</v>
      </c>
      <c r="J60" s="1648">
        <v>48179.03</v>
      </c>
      <c r="K60" s="1641">
        <v>8.1999999999999993</v>
      </c>
      <c r="L60" s="1634">
        <v>96.7</v>
      </c>
      <c r="M60" s="1635">
        <v>74</v>
      </c>
    </row>
    <row r="61" spans="1:13">
      <c r="A61" s="1644">
        <v>24</v>
      </c>
      <c r="B61" s="1645">
        <v>75</v>
      </c>
      <c r="C61" s="1639" t="s">
        <v>530</v>
      </c>
      <c r="D61" s="1648">
        <v>1753632041.29</v>
      </c>
      <c r="E61" s="1648">
        <v>120255494.92</v>
      </c>
      <c r="F61" s="1648">
        <v>118766849.42</v>
      </c>
      <c r="G61" s="1648">
        <v>87602583.299999997</v>
      </c>
      <c r="H61" s="1648">
        <v>117510.69</v>
      </c>
      <c r="I61" s="1648">
        <v>1488645.5</v>
      </c>
      <c r="J61" s="1648">
        <v>523799.91</v>
      </c>
      <c r="K61" s="1641">
        <v>6.9</v>
      </c>
      <c r="L61" s="1634">
        <v>98.8</v>
      </c>
      <c r="M61" s="1635">
        <v>72.8</v>
      </c>
    </row>
    <row r="62" spans="1:13">
      <c r="A62" s="1644">
        <v>24</v>
      </c>
      <c r="B62" s="1645">
        <v>76</v>
      </c>
      <c r="C62" s="1639" t="s">
        <v>531</v>
      </c>
      <c r="D62" s="1648">
        <v>473156478.18000001</v>
      </c>
      <c r="E62" s="1648">
        <v>31745616.710000001</v>
      </c>
      <c r="F62" s="1648">
        <v>31177356.710000001</v>
      </c>
      <c r="G62" s="1648">
        <v>23512813.079999998</v>
      </c>
      <c r="H62" s="1648">
        <v>183889.05</v>
      </c>
      <c r="I62" s="1648">
        <v>568260</v>
      </c>
      <c r="J62" s="1648">
        <v>367770</v>
      </c>
      <c r="K62" s="1641">
        <v>6.7</v>
      </c>
      <c r="L62" s="1634">
        <v>98.2</v>
      </c>
      <c r="M62" s="1635">
        <v>74.099999999999994</v>
      </c>
    </row>
    <row r="63" spans="1:13">
      <c r="A63" s="1644">
        <v>24</v>
      </c>
      <c r="B63" s="1645">
        <v>77</v>
      </c>
      <c r="C63" s="1639" t="s">
        <v>532</v>
      </c>
      <c r="D63" s="1648">
        <v>1309750187.53</v>
      </c>
      <c r="E63" s="1648">
        <v>95564015.670000002</v>
      </c>
      <c r="F63" s="1648">
        <v>93500917.5</v>
      </c>
      <c r="G63" s="1648">
        <v>69378115.109999999</v>
      </c>
      <c r="H63" s="1648">
        <v>92852.44</v>
      </c>
      <c r="I63" s="1648">
        <v>2063098.17</v>
      </c>
      <c r="J63" s="1648">
        <v>0</v>
      </c>
      <c r="K63" s="1641">
        <v>7.3</v>
      </c>
      <c r="L63" s="1634">
        <v>97.8</v>
      </c>
      <c r="M63" s="1635">
        <v>72.599999999999994</v>
      </c>
    </row>
    <row r="64" spans="1:13">
      <c r="A64" s="1644">
        <v>24</v>
      </c>
      <c r="B64" s="1645">
        <v>78</v>
      </c>
      <c r="C64" s="1639" t="s">
        <v>533</v>
      </c>
      <c r="D64" s="1648">
        <v>1483410201.74</v>
      </c>
      <c r="E64" s="1648">
        <v>85859268.829999998</v>
      </c>
      <c r="F64" s="1648">
        <v>84063621.090000004</v>
      </c>
      <c r="G64" s="1648">
        <v>63624393.420000002</v>
      </c>
      <c r="H64" s="1648">
        <v>226138.39</v>
      </c>
      <c r="I64" s="1648">
        <v>1795647.74</v>
      </c>
      <c r="J64" s="1648">
        <v>136208.71</v>
      </c>
      <c r="K64" s="1641">
        <v>5.8</v>
      </c>
      <c r="L64" s="1634">
        <v>97.9</v>
      </c>
      <c r="M64" s="1635">
        <v>74.099999999999994</v>
      </c>
    </row>
    <row r="65" spans="1:13">
      <c r="A65" s="1644">
        <v>24</v>
      </c>
      <c r="B65" s="1645">
        <v>79</v>
      </c>
      <c r="C65" s="1639" t="s">
        <v>534</v>
      </c>
      <c r="D65" s="1648">
        <v>674048739.15999997</v>
      </c>
      <c r="E65" s="1648">
        <v>41168055.479999997</v>
      </c>
      <c r="F65" s="1648">
        <v>39768860.119999997</v>
      </c>
      <c r="G65" s="1648">
        <v>30108929.699999999</v>
      </c>
      <c r="H65" s="1648">
        <v>25702.82</v>
      </c>
      <c r="I65" s="1648">
        <v>1399195.36</v>
      </c>
      <c r="J65" s="1648">
        <v>209970.58</v>
      </c>
      <c r="K65" s="1641">
        <v>6.1</v>
      </c>
      <c r="L65" s="1634">
        <v>96.6</v>
      </c>
      <c r="M65" s="1635">
        <v>73.099999999999994</v>
      </c>
    </row>
    <row r="66" spans="1:13">
      <c r="A66" s="1644">
        <v>26</v>
      </c>
      <c r="B66" s="1645">
        <v>61</v>
      </c>
      <c r="C66" s="1639" t="s">
        <v>535</v>
      </c>
      <c r="D66" s="1648">
        <v>2261314781.2199998</v>
      </c>
      <c r="E66" s="1648">
        <v>133019756.90000001</v>
      </c>
      <c r="F66" s="1648">
        <v>129347994.41</v>
      </c>
      <c r="G66" s="1648">
        <v>98628550.549999997</v>
      </c>
      <c r="H66" s="1648">
        <v>328564.43</v>
      </c>
      <c r="I66" s="1648">
        <v>3671762.49</v>
      </c>
      <c r="J66" s="1648">
        <v>824087.7</v>
      </c>
      <c r="K66" s="1641">
        <v>5.9</v>
      </c>
      <c r="L66" s="1634">
        <v>97.2</v>
      </c>
      <c r="M66" s="1635">
        <v>74.099999999999994</v>
      </c>
    </row>
    <row r="67" spans="1:13">
      <c r="A67" s="1644">
        <v>28</v>
      </c>
      <c r="B67" s="1645">
        <v>61</v>
      </c>
      <c r="C67" s="1639" t="s">
        <v>536</v>
      </c>
      <c r="D67" s="1648">
        <v>1125208632.6300001</v>
      </c>
      <c r="E67" s="1648">
        <v>92293556.769999996</v>
      </c>
      <c r="F67" s="1648">
        <v>86066889.730000004</v>
      </c>
      <c r="G67" s="1648">
        <v>58569591.75</v>
      </c>
      <c r="H67" s="1648">
        <v>126690</v>
      </c>
      <c r="I67" s="1648">
        <v>6226667.04</v>
      </c>
      <c r="J67" s="1648">
        <v>417377.38</v>
      </c>
      <c r="K67" s="1641">
        <v>8.1999999999999993</v>
      </c>
      <c r="L67" s="1634">
        <v>93.3</v>
      </c>
      <c r="M67" s="1635">
        <v>63.5</v>
      </c>
    </row>
    <row r="68" spans="1:13">
      <c r="A68" s="1644">
        <v>28</v>
      </c>
      <c r="B68" s="1645">
        <v>62</v>
      </c>
      <c r="C68" s="1639" t="s">
        <v>537</v>
      </c>
      <c r="D68" s="1648">
        <v>1925452870.73</v>
      </c>
      <c r="E68" s="1648">
        <v>143248094.34999999</v>
      </c>
      <c r="F68" s="1648">
        <v>124021522.52</v>
      </c>
      <c r="G68" s="1648">
        <v>90468509.480000004</v>
      </c>
      <c r="H68" s="1648">
        <v>332406.7</v>
      </c>
      <c r="I68" s="1648">
        <v>19226571.829999998</v>
      </c>
      <c r="J68" s="1648">
        <v>50885</v>
      </c>
      <c r="K68" s="1641">
        <v>7.4</v>
      </c>
      <c r="L68" s="1634">
        <v>86.6</v>
      </c>
      <c r="M68" s="1635">
        <v>63.2</v>
      </c>
    </row>
    <row r="69" spans="1:13">
      <c r="A69" s="1644">
        <v>30</v>
      </c>
      <c r="B69" s="1645">
        <v>61</v>
      </c>
      <c r="C69" s="1639" t="s">
        <v>538</v>
      </c>
      <c r="D69" s="1648">
        <v>1108527539.97</v>
      </c>
      <c r="E69" s="1648">
        <v>77439825.890000001</v>
      </c>
      <c r="F69" s="1648">
        <v>77051005.049999997</v>
      </c>
      <c r="G69" s="1648">
        <v>62932916.829999998</v>
      </c>
      <c r="H69" s="1648">
        <v>74897.5</v>
      </c>
      <c r="I69" s="1648">
        <v>388820.84</v>
      </c>
      <c r="J69" s="1648">
        <v>0</v>
      </c>
      <c r="K69" s="1641">
        <v>7</v>
      </c>
      <c r="L69" s="1634">
        <v>99.5</v>
      </c>
      <c r="M69" s="1635">
        <v>81.3</v>
      </c>
    </row>
    <row r="70" spans="1:13">
      <c r="A70" s="1644">
        <v>30</v>
      </c>
      <c r="B70" s="1645">
        <v>62</v>
      </c>
      <c r="C70" s="1639" t="s">
        <v>539</v>
      </c>
      <c r="D70" s="1648">
        <v>893256382.85000002</v>
      </c>
      <c r="E70" s="1648">
        <v>58378593.439999998</v>
      </c>
      <c r="F70" s="1648">
        <v>57298358.57</v>
      </c>
      <c r="G70" s="1648">
        <v>45243433.560000002</v>
      </c>
      <c r="H70" s="1648">
        <v>442866.58</v>
      </c>
      <c r="I70" s="1648">
        <v>1080234.8700000001</v>
      </c>
      <c r="J70" s="1648">
        <v>279674.21000000002</v>
      </c>
      <c r="K70" s="1641">
        <v>6.5</v>
      </c>
      <c r="L70" s="1634">
        <v>98.1</v>
      </c>
      <c r="M70" s="1635">
        <v>77.5</v>
      </c>
    </row>
    <row r="71" spans="1:13">
      <c r="A71" s="1644">
        <v>30</v>
      </c>
      <c r="B71" s="1645">
        <v>63</v>
      </c>
      <c r="C71" s="1639" t="s">
        <v>540</v>
      </c>
      <c r="D71" s="1648">
        <v>680903309.63999999</v>
      </c>
      <c r="E71" s="1648">
        <v>49284569.68</v>
      </c>
      <c r="F71" s="1648">
        <v>47931477.409999996</v>
      </c>
      <c r="G71" s="1648">
        <v>37762268.280000001</v>
      </c>
      <c r="H71" s="1648">
        <v>25709.67</v>
      </c>
      <c r="I71" s="1648">
        <v>1353092.27</v>
      </c>
      <c r="J71" s="1648">
        <v>453000</v>
      </c>
      <c r="K71" s="1641">
        <v>7.2</v>
      </c>
      <c r="L71" s="1634">
        <v>97.3</v>
      </c>
      <c r="M71" s="1635">
        <v>76.599999999999994</v>
      </c>
    </row>
    <row r="72" spans="1:13">
      <c r="A72" s="1644">
        <v>30</v>
      </c>
      <c r="B72" s="1645">
        <v>64</v>
      </c>
      <c r="C72" s="1639" t="s">
        <v>541</v>
      </c>
      <c r="D72" s="1648">
        <v>6661264613.9899998</v>
      </c>
      <c r="E72" s="1648">
        <v>533858082.75</v>
      </c>
      <c r="F72" s="1648">
        <v>514865900.77999997</v>
      </c>
      <c r="G72" s="1648">
        <v>362546294.57999998</v>
      </c>
      <c r="H72" s="1648">
        <v>3378705.03</v>
      </c>
      <c r="I72" s="1648">
        <v>18992181.969999999</v>
      </c>
      <c r="J72" s="1648">
        <v>67669.679999999993</v>
      </c>
      <c r="K72" s="1641">
        <v>8</v>
      </c>
      <c r="L72" s="1634">
        <v>96.4</v>
      </c>
      <c r="M72" s="1635">
        <v>67.900000000000006</v>
      </c>
    </row>
    <row r="73" spans="1:13">
      <c r="A73" s="1644">
        <v>32</v>
      </c>
      <c r="B73" s="1645">
        <v>61</v>
      </c>
      <c r="C73" s="1639" t="s">
        <v>542</v>
      </c>
      <c r="D73" s="1648">
        <v>1143425826.3</v>
      </c>
      <c r="E73" s="1648">
        <v>78087452.189999998</v>
      </c>
      <c r="F73" s="1648">
        <v>77714015.489999995</v>
      </c>
      <c r="G73" s="1648">
        <v>58801000.609999999</v>
      </c>
      <c r="H73" s="1648">
        <v>1122306.45</v>
      </c>
      <c r="I73" s="1648">
        <v>373436.7</v>
      </c>
      <c r="J73" s="1648">
        <v>51900</v>
      </c>
      <c r="K73" s="1641">
        <v>6.8</v>
      </c>
      <c r="L73" s="1634">
        <v>99.5</v>
      </c>
      <c r="M73" s="1635">
        <v>75.3</v>
      </c>
    </row>
    <row r="74" spans="1:13">
      <c r="A74" s="1644">
        <v>32</v>
      </c>
      <c r="B74" s="1645">
        <v>62</v>
      </c>
      <c r="C74" s="1639" t="s">
        <v>543</v>
      </c>
      <c r="D74" s="1648">
        <v>4508145535.5100002</v>
      </c>
      <c r="E74" s="1648">
        <v>247431434.31999999</v>
      </c>
      <c r="F74" s="1648">
        <v>234025282.90000001</v>
      </c>
      <c r="G74" s="1648">
        <v>173297139.72999999</v>
      </c>
      <c r="H74" s="1648">
        <v>0</v>
      </c>
      <c r="I74" s="1648">
        <v>13406151.42</v>
      </c>
      <c r="J74" s="1648">
        <v>350461</v>
      </c>
      <c r="K74" s="1641">
        <v>5.5</v>
      </c>
      <c r="L74" s="1634">
        <v>94.6</v>
      </c>
      <c r="M74" s="1635">
        <v>70</v>
      </c>
    </row>
    <row r="75" spans="1:13">
      <c r="A75" s="1644">
        <v>32</v>
      </c>
      <c r="B75" s="1645">
        <v>63</v>
      </c>
      <c r="C75" s="1639" t="s">
        <v>544</v>
      </c>
      <c r="D75" s="1648">
        <v>515640233.06</v>
      </c>
      <c r="E75" s="1648">
        <v>51718949.020000003</v>
      </c>
      <c r="F75" s="1648">
        <v>51502033.32</v>
      </c>
      <c r="G75" s="1648">
        <v>40400530.090000004</v>
      </c>
      <c r="H75" s="1648">
        <v>347820.97</v>
      </c>
      <c r="I75" s="1648">
        <v>216915.7</v>
      </c>
      <c r="J75" s="1648">
        <v>24230.37</v>
      </c>
      <c r="K75" s="1641">
        <v>10</v>
      </c>
      <c r="L75" s="1634">
        <v>99.6</v>
      </c>
      <c r="M75" s="1635">
        <v>78.099999999999994</v>
      </c>
    </row>
    <row r="77" spans="1:13">
      <c r="A77" s="365" t="s">
        <v>911</v>
      </c>
    </row>
  </sheetData>
  <mergeCells count="16">
    <mergeCell ref="A1:M1"/>
    <mergeCell ref="B3:B7"/>
    <mergeCell ref="A3:A7"/>
    <mergeCell ref="C3:C7"/>
    <mergeCell ref="D3:D6"/>
    <mergeCell ref="E3:E6"/>
    <mergeCell ref="K3:M5"/>
    <mergeCell ref="K7:M7"/>
    <mergeCell ref="F3:J3"/>
    <mergeCell ref="E7:J7"/>
    <mergeCell ref="F4:F6"/>
    <mergeCell ref="G4:H4"/>
    <mergeCell ref="I4:I6"/>
    <mergeCell ref="G5:G6"/>
    <mergeCell ref="H5:H6"/>
    <mergeCell ref="J5:J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C711D-1680-4353-BC40-2E37F6EDA768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21875" style="441" customWidth="1"/>
    <col min="2" max="2" width="15" style="441" customWidth="1"/>
    <col min="3" max="3" width="11.21875" style="441" customWidth="1"/>
    <col min="4" max="4" width="12.77734375" style="441" customWidth="1"/>
    <col min="5" max="5" width="10.5546875" style="441" customWidth="1"/>
    <col min="6" max="6" width="12.77734375" style="441" customWidth="1"/>
    <col min="7" max="7" width="12.5546875" style="441" bestFit="1" customWidth="1"/>
    <col min="8" max="8" width="11.5546875" style="441" customWidth="1"/>
    <col min="9" max="9" width="14.21875" style="441" customWidth="1"/>
    <col min="10" max="16384" width="9.21875" style="441"/>
  </cols>
  <sheetData>
    <row r="1" spans="1:9" ht="14.4">
      <c r="A1" s="280" t="s">
        <v>1029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2142" t="s">
        <v>157</v>
      </c>
      <c r="D3" s="2239" t="s">
        <v>563</v>
      </c>
      <c r="E3" s="2239" t="s">
        <v>564</v>
      </c>
      <c r="F3" s="2239" t="s">
        <v>565</v>
      </c>
      <c r="G3" s="2239" t="s">
        <v>566</v>
      </c>
      <c r="H3" s="2239" t="s">
        <v>567</v>
      </c>
      <c r="I3" s="2236" t="s">
        <v>568</v>
      </c>
    </row>
    <row r="4" spans="1:9" ht="43.2" customHeight="1">
      <c r="A4" s="2139"/>
      <c r="B4" s="2141"/>
      <c r="C4" s="2143"/>
      <c r="D4" s="2240"/>
      <c r="E4" s="2240"/>
      <c r="F4" s="2240"/>
      <c r="G4" s="2240"/>
      <c r="H4" s="2240"/>
      <c r="I4" s="2237"/>
    </row>
    <row r="5" spans="1:9" ht="14.4">
      <c r="A5" s="2139"/>
      <c r="B5" s="2141"/>
      <c r="C5" s="297"/>
      <c r="D5" s="2238" t="s">
        <v>163</v>
      </c>
      <c r="E5" s="2238"/>
      <c r="F5" s="713" t="s">
        <v>169</v>
      </c>
      <c r="G5" s="2238" t="s">
        <v>163</v>
      </c>
      <c r="H5" s="2238"/>
      <c r="I5" s="298" t="s">
        <v>169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456"/>
      <c r="B7" s="1457" t="s">
        <v>129</v>
      </c>
      <c r="C7" s="1460">
        <v>12250830</v>
      </c>
      <c r="D7" s="1469">
        <v>19075085481.59</v>
      </c>
      <c r="E7" s="1466">
        <v>1557</v>
      </c>
      <c r="F7" s="1466">
        <v>12.5</v>
      </c>
      <c r="G7" s="1469">
        <v>16652393782.42</v>
      </c>
      <c r="H7" s="1466">
        <v>1359.3</v>
      </c>
      <c r="I7" s="1463">
        <v>10.9</v>
      </c>
    </row>
    <row r="8" spans="1:9">
      <c r="A8" s="1454" t="s">
        <v>96</v>
      </c>
      <c r="B8" s="1458" t="s">
        <v>97</v>
      </c>
      <c r="C8" s="1461">
        <v>936647</v>
      </c>
      <c r="D8" s="1470">
        <v>1423890473.75</v>
      </c>
      <c r="E8" s="1467">
        <v>1520.2</v>
      </c>
      <c r="F8" s="1467">
        <v>12.1</v>
      </c>
      <c r="G8" s="1470">
        <v>1280274467.01</v>
      </c>
      <c r="H8" s="1467">
        <v>1366.9</v>
      </c>
      <c r="I8" s="1464">
        <v>10.9</v>
      </c>
    </row>
    <row r="9" spans="1:9">
      <c r="A9" s="1454" t="s">
        <v>98</v>
      </c>
      <c r="B9" s="1458" t="s">
        <v>99</v>
      </c>
      <c r="C9" s="1461">
        <v>704930</v>
      </c>
      <c r="D9" s="1470">
        <v>1516137113.9000001</v>
      </c>
      <c r="E9" s="1467">
        <v>2150.7600000000002</v>
      </c>
      <c r="F9" s="1467">
        <v>18.5</v>
      </c>
      <c r="G9" s="1470">
        <v>1254762398.3499999</v>
      </c>
      <c r="H9" s="1467">
        <v>1780</v>
      </c>
      <c r="I9" s="1464">
        <v>15.3</v>
      </c>
    </row>
    <row r="10" spans="1:9">
      <c r="A10" s="1454" t="s">
        <v>100</v>
      </c>
      <c r="B10" s="1458" t="s">
        <v>101</v>
      </c>
      <c r="C10" s="1461">
        <v>496143</v>
      </c>
      <c r="D10" s="1470">
        <v>863549896.77999997</v>
      </c>
      <c r="E10" s="1467">
        <v>1740.53</v>
      </c>
      <c r="F10" s="1467">
        <v>14.8</v>
      </c>
      <c r="G10" s="1470">
        <v>747882021.63</v>
      </c>
      <c r="H10" s="1467">
        <v>1507.4</v>
      </c>
      <c r="I10" s="1464">
        <v>12.8</v>
      </c>
    </row>
    <row r="11" spans="1:9">
      <c r="A11" s="1454" t="s">
        <v>102</v>
      </c>
      <c r="B11" s="1458" t="s">
        <v>103</v>
      </c>
      <c r="C11" s="1461">
        <v>253569</v>
      </c>
      <c r="D11" s="1470">
        <v>367627504.20999998</v>
      </c>
      <c r="E11" s="1467">
        <v>1449.81</v>
      </c>
      <c r="F11" s="1467">
        <v>12.2</v>
      </c>
      <c r="G11" s="1470">
        <v>343869164.38</v>
      </c>
      <c r="H11" s="1467">
        <v>1356.1</v>
      </c>
      <c r="I11" s="1464">
        <v>11.4</v>
      </c>
    </row>
    <row r="12" spans="1:9">
      <c r="A12" s="1454" t="s">
        <v>104</v>
      </c>
      <c r="B12" s="1458" t="s">
        <v>105</v>
      </c>
      <c r="C12" s="1461">
        <v>756836</v>
      </c>
      <c r="D12" s="1470">
        <v>1180298252.0599999</v>
      </c>
      <c r="E12" s="1467">
        <v>1559.52</v>
      </c>
      <c r="F12" s="1467">
        <v>13.1</v>
      </c>
      <c r="G12" s="1470">
        <v>1051171783.41</v>
      </c>
      <c r="H12" s="1467">
        <v>1388.9</v>
      </c>
      <c r="I12" s="1464">
        <v>11.7</v>
      </c>
    </row>
    <row r="13" spans="1:9">
      <c r="A13" s="1454" t="s">
        <v>106</v>
      </c>
      <c r="B13" s="1458" t="s">
        <v>107</v>
      </c>
      <c r="C13" s="1461">
        <v>991112</v>
      </c>
      <c r="D13" s="1470">
        <v>1255625249.5899999</v>
      </c>
      <c r="E13" s="1467">
        <v>1266.8900000000001</v>
      </c>
      <c r="F13" s="1467">
        <v>9.8000000000000007</v>
      </c>
      <c r="G13" s="1470">
        <v>977932490.91999996</v>
      </c>
      <c r="H13" s="1467">
        <v>986.7</v>
      </c>
      <c r="I13" s="1464">
        <v>7.6</v>
      </c>
    </row>
    <row r="14" spans="1:9">
      <c r="A14" s="1454" t="s">
        <v>108</v>
      </c>
      <c r="B14" s="1458" t="s">
        <v>109</v>
      </c>
      <c r="C14" s="1461">
        <v>2290113</v>
      </c>
      <c r="D14" s="1470">
        <v>3969231016.1799998</v>
      </c>
      <c r="E14" s="1467">
        <v>1733.2</v>
      </c>
      <c r="F14" s="1467">
        <v>11.7</v>
      </c>
      <c r="G14" s="1470">
        <v>3347505866.1799998</v>
      </c>
      <c r="H14" s="1467">
        <v>1461.7</v>
      </c>
      <c r="I14" s="1464">
        <v>9.9</v>
      </c>
    </row>
    <row r="15" spans="1:9">
      <c r="A15" s="1454" t="s">
        <v>110</v>
      </c>
      <c r="B15" s="1458" t="s">
        <v>111</v>
      </c>
      <c r="C15" s="1461">
        <v>125492</v>
      </c>
      <c r="D15" s="1470">
        <v>231334544.5</v>
      </c>
      <c r="E15" s="1467">
        <v>1843.42</v>
      </c>
      <c r="F15" s="1467">
        <v>13.3</v>
      </c>
      <c r="G15" s="1470">
        <v>206032944.5</v>
      </c>
      <c r="H15" s="1467">
        <v>1641.8</v>
      </c>
      <c r="I15" s="1464">
        <v>11.9</v>
      </c>
    </row>
    <row r="16" spans="1:9">
      <c r="A16" s="1454" t="s">
        <v>112</v>
      </c>
      <c r="B16" s="1458" t="s">
        <v>113</v>
      </c>
      <c r="C16" s="1461">
        <v>340427</v>
      </c>
      <c r="D16" s="1470">
        <v>721768039.70000005</v>
      </c>
      <c r="E16" s="1467">
        <v>2120.1799999999998</v>
      </c>
      <c r="F16" s="1467">
        <v>16.2</v>
      </c>
      <c r="G16" s="1470">
        <v>697930432.52999997</v>
      </c>
      <c r="H16" s="1467">
        <v>2050.1999999999998</v>
      </c>
      <c r="I16" s="1464">
        <v>15.7</v>
      </c>
    </row>
    <row r="17" spans="1:9">
      <c r="A17" s="1454" t="s">
        <v>114</v>
      </c>
      <c r="B17" s="1458" t="s">
        <v>115</v>
      </c>
      <c r="C17" s="1461">
        <v>417792</v>
      </c>
      <c r="D17" s="1470">
        <v>488951703.63</v>
      </c>
      <c r="E17" s="1467">
        <v>1170.32</v>
      </c>
      <c r="F17" s="1467">
        <v>10.6</v>
      </c>
      <c r="G17" s="1470">
        <v>472818053.63</v>
      </c>
      <c r="H17" s="1467">
        <v>1131.7</v>
      </c>
      <c r="I17" s="1464">
        <v>10.3</v>
      </c>
    </row>
    <row r="18" spans="1:9">
      <c r="A18" s="1454" t="s">
        <v>116</v>
      </c>
      <c r="B18" s="1458" t="s">
        <v>117</v>
      </c>
      <c r="C18" s="1461">
        <v>844946</v>
      </c>
      <c r="D18" s="1470">
        <v>1029495257.03</v>
      </c>
      <c r="E18" s="1467">
        <v>1218.42</v>
      </c>
      <c r="F18" s="1467">
        <v>10.1</v>
      </c>
      <c r="G18" s="1470">
        <v>947142801.02999997</v>
      </c>
      <c r="H18" s="1467">
        <v>1121</v>
      </c>
      <c r="I18" s="1464">
        <v>9.3000000000000007</v>
      </c>
    </row>
    <row r="19" spans="1:9">
      <c r="A19" s="1454" t="s">
        <v>118</v>
      </c>
      <c r="B19" s="1458" t="s">
        <v>119</v>
      </c>
      <c r="C19" s="1461">
        <v>2349594</v>
      </c>
      <c r="D19" s="1470">
        <v>3415634941.4899998</v>
      </c>
      <c r="E19" s="1467">
        <v>1453.71</v>
      </c>
      <c r="F19" s="1467">
        <v>13.2</v>
      </c>
      <c r="G19" s="1470">
        <v>2948837323.1900001</v>
      </c>
      <c r="H19" s="1467">
        <v>1255</v>
      </c>
      <c r="I19" s="1464">
        <v>11.4</v>
      </c>
    </row>
    <row r="20" spans="1:9">
      <c r="A20" s="1454" t="s">
        <v>120</v>
      </c>
      <c r="B20" s="1458" t="s">
        <v>121</v>
      </c>
      <c r="C20" s="1461">
        <v>180537</v>
      </c>
      <c r="D20" s="1470">
        <v>192913165.31</v>
      </c>
      <c r="E20" s="1467">
        <v>1068.55</v>
      </c>
      <c r="F20" s="1467">
        <v>8.5</v>
      </c>
      <c r="G20" s="1470">
        <v>185113165.31</v>
      </c>
      <c r="H20" s="1467">
        <v>1025.3</v>
      </c>
      <c r="I20" s="1464">
        <v>8.1999999999999993</v>
      </c>
    </row>
    <row r="21" spans="1:9">
      <c r="A21" s="1454" t="s">
        <v>122</v>
      </c>
      <c r="B21" s="1458" t="s">
        <v>123</v>
      </c>
      <c r="C21" s="1461">
        <v>278444</v>
      </c>
      <c r="D21" s="1470">
        <v>245517812.62</v>
      </c>
      <c r="E21" s="1467">
        <v>881.75</v>
      </c>
      <c r="F21" s="1467">
        <v>8</v>
      </c>
      <c r="G21" s="1470">
        <v>200129506.63999999</v>
      </c>
      <c r="H21" s="1467">
        <v>718.7</v>
      </c>
      <c r="I21" s="1464">
        <v>6.6</v>
      </c>
    </row>
    <row r="22" spans="1:9">
      <c r="A22" s="1454" t="s">
        <v>124</v>
      </c>
      <c r="B22" s="1458" t="s">
        <v>125</v>
      </c>
      <c r="C22" s="1461">
        <v>753738</v>
      </c>
      <c r="D22" s="1470">
        <v>1115745086.96</v>
      </c>
      <c r="E22" s="1467">
        <v>1480.28</v>
      </c>
      <c r="F22" s="1467">
        <v>11.9</v>
      </c>
      <c r="G22" s="1470">
        <v>1035707716.96</v>
      </c>
      <c r="H22" s="1467">
        <v>1374.1</v>
      </c>
      <c r="I22" s="1464">
        <v>11.1</v>
      </c>
    </row>
    <row r="23" spans="1:9">
      <c r="A23" s="1455" t="s">
        <v>126</v>
      </c>
      <c r="B23" s="1459" t="s">
        <v>127</v>
      </c>
      <c r="C23" s="1462">
        <v>530510</v>
      </c>
      <c r="D23" s="1471">
        <v>1057365423.88</v>
      </c>
      <c r="E23" s="1468">
        <v>1993.11</v>
      </c>
      <c r="F23" s="1468">
        <v>17.100000000000001</v>
      </c>
      <c r="G23" s="1471">
        <v>955283646.75</v>
      </c>
      <c r="H23" s="1468">
        <v>1800.7</v>
      </c>
      <c r="I23" s="1465">
        <v>15.5</v>
      </c>
    </row>
    <row r="25" spans="1:9" ht="14.4">
      <c r="A25" s="295" t="s">
        <v>128</v>
      </c>
      <c r="B25" s="295" t="s">
        <v>909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295" t="s">
        <v>910</v>
      </c>
      <c r="C26" s="295"/>
      <c r="D26" s="295"/>
      <c r="E26" s="295"/>
      <c r="F26" s="295"/>
      <c r="G26" s="295"/>
      <c r="H26" s="295"/>
      <c r="I26" s="295"/>
    </row>
  </sheetData>
  <mergeCells count="11">
    <mergeCell ref="A3:A5"/>
    <mergeCell ref="B3:B5"/>
    <mergeCell ref="C3:C4"/>
    <mergeCell ref="D3:D4"/>
    <mergeCell ref="E3:E4"/>
    <mergeCell ref="G3:G4"/>
    <mergeCell ref="H3:H4"/>
    <mergeCell ref="I3:I4"/>
    <mergeCell ref="D5:E5"/>
    <mergeCell ref="G5:H5"/>
    <mergeCell ref="F3:F4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271F-7A9E-44FC-B52B-20EAC9D4B7E1}">
  <dimension ref="A1:P113"/>
  <sheetViews>
    <sheetView view="pageBreakPreview" zoomScaleNormal="100" zoomScaleSheetLayoutView="100" workbookViewId="0">
      <selection activeCell="A28" sqref="A28"/>
    </sheetView>
  </sheetViews>
  <sheetFormatPr defaultColWidth="9.21875" defaultRowHeight="13.8"/>
  <cols>
    <col min="1" max="1" width="30.77734375" style="383" customWidth="1"/>
    <col min="2" max="4" width="14.5546875" style="383" customWidth="1"/>
    <col min="5" max="5" width="13.21875" style="383" customWidth="1"/>
    <col min="6" max="7" width="13" style="383" customWidth="1"/>
    <col min="8" max="8" width="12" style="383" bestFit="1" customWidth="1"/>
    <col min="9" max="9" width="7.77734375" style="383" customWidth="1"/>
    <col min="10" max="10" width="7.44140625" style="383" customWidth="1"/>
    <col min="11" max="11" width="8.44140625" style="383" customWidth="1"/>
    <col min="12" max="12" width="8.5546875" style="383" customWidth="1"/>
    <col min="13" max="16384" width="9.21875" style="383"/>
  </cols>
  <sheetData>
    <row r="1" spans="1:16" ht="15.6">
      <c r="A1" s="444" t="s">
        <v>1030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</row>
    <row r="2" spans="1:16" ht="54">
      <c r="A2" s="2293" t="s">
        <v>584</v>
      </c>
      <c r="B2" s="1805" t="s">
        <v>885</v>
      </c>
      <c r="C2" s="1805" t="s">
        <v>886</v>
      </c>
      <c r="D2" s="1805" t="s">
        <v>887</v>
      </c>
      <c r="E2" s="1805" t="s">
        <v>888</v>
      </c>
      <c r="F2" s="1805" t="s">
        <v>889</v>
      </c>
      <c r="G2" s="1805" t="s">
        <v>890</v>
      </c>
      <c r="H2" s="1805" t="s">
        <v>891</v>
      </c>
      <c r="I2" s="1778" t="s">
        <v>585</v>
      </c>
      <c r="J2" s="1805" t="s">
        <v>586</v>
      </c>
      <c r="K2" s="1805" t="s">
        <v>587</v>
      </c>
      <c r="L2" s="490"/>
    </row>
    <row r="3" spans="1:16">
      <c r="A3" s="2293"/>
      <c r="B3" s="2290" t="s">
        <v>163</v>
      </c>
      <c r="C3" s="2292"/>
      <c r="D3" s="2403" t="s">
        <v>597</v>
      </c>
      <c r="E3" s="2404"/>
      <c r="F3" s="2404"/>
      <c r="G3" s="2404"/>
      <c r="H3" s="2405"/>
      <c r="I3" s="2290" t="s">
        <v>169</v>
      </c>
      <c r="J3" s="2291"/>
      <c r="K3" s="2292"/>
    </row>
    <row r="4" spans="1:16">
      <c r="A4" s="1778">
        <v>1</v>
      </c>
      <c r="B4" s="1807">
        <v>2</v>
      </c>
      <c r="C4" s="1807">
        <v>3</v>
      </c>
      <c r="D4" s="2406"/>
      <c r="E4" s="2407"/>
      <c r="F4" s="2407"/>
      <c r="G4" s="2407"/>
      <c r="H4" s="2408"/>
      <c r="I4" s="1807">
        <v>4</v>
      </c>
      <c r="J4" s="1807">
        <v>5</v>
      </c>
      <c r="K4" s="1807">
        <v>6</v>
      </c>
    </row>
    <row r="5" spans="1:16">
      <c r="A5" s="1864" t="s">
        <v>588</v>
      </c>
      <c r="B5" s="1781">
        <f>38801709302.11</f>
        <v>38801709302.110001</v>
      </c>
      <c r="C5" s="1781">
        <f>38682459297.77</f>
        <v>38682459297.769997</v>
      </c>
      <c r="D5" s="1954" t="s">
        <v>597</v>
      </c>
      <c r="E5" s="1954" t="s">
        <v>597</v>
      </c>
      <c r="F5" s="1954" t="s">
        <v>597</v>
      </c>
      <c r="G5" s="1954" t="s">
        <v>597</v>
      </c>
      <c r="H5" s="1954" t="s">
        <v>597</v>
      </c>
      <c r="I5" s="1782">
        <f t="shared" ref="I5:I38" si="0">IF($C$5=0,"",100*$C5/$C$5)</f>
        <v>100</v>
      </c>
      <c r="J5" s="1782">
        <f t="shared" ref="J5:J41" si="1">IF(B5=0,"",100*C5/B5)</f>
        <v>99.692668167240967</v>
      </c>
      <c r="K5" s="1782"/>
      <c r="L5" s="481"/>
      <c r="M5" s="481"/>
      <c r="N5" s="481"/>
      <c r="O5" s="481"/>
      <c r="P5" s="481"/>
    </row>
    <row r="6" spans="1:16" ht="26.4">
      <c r="A6" s="1783" t="s">
        <v>589</v>
      </c>
      <c r="B6" s="1781">
        <f>B5-B11-B35</f>
        <v>21967158428.059998</v>
      </c>
      <c r="C6" s="1781">
        <f>C5-C11-C35</f>
        <v>22310476992.459995</v>
      </c>
      <c r="D6" s="1954" t="s">
        <v>597</v>
      </c>
      <c r="E6" s="1954" t="s">
        <v>597</v>
      </c>
      <c r="F6" s="1954" t="s">
        <v>597</v>
      </c>
      <c r="G6" s="1954" t="s">
        <v>597</v>
      </c>
      <c r="H6" s="1954" t="s">
        <v>597</v>
      </c>
      <c r="I6" s="1782">
        <f t="shared" si="0"/>
        <v>57.675952867211237</v>
      </c>
      <c r="J6" s="1782">
        <f t="shared" si="1"/>
        <v>101.56287198239283</v>
      </c>
      <c r="K6" s="1782">
        <f>IF($C$6=0,"",100*$C6/$C$6)</f>
        <v>100</v>
      </c>
      <c r="L6" s="481"/>
      <c r="M6" s="481"/>
      <c r="N6" s="481"/>
      <c r="O6" s="481"/>
      <c r="P6" s="481"/>
    </row>
    <row r="7" spans="1:16">
      <c r="A7" s="1784" t="s">
        <v>786</v>
      </c>
      <c r="B7" s="1785">
        <f>6766158728.51</f>
        <v>6766158728.5100002</v>
      </c>
      <c r="C7" s="1785">
        <f>6766158727.83</f>
        <v>6766158727.8299999</v>
      </c>
      <c r="D7" s="1954" t="s">
        <v>597</v>
      </c>
      <c r="E7" s="1954" t="s">
        <v>597</v>
      </c>
      <c r="F7" s="1954" t="s">
        <v>597</v>
      </c>
      <c r="G7" s="1954" t="s">
        <v>597</v>
      </c>
      <c r="H7" s="1954" t="s">
        <v>597</v>
      </c>
      <c r="I7" s="1786">
        <f t="shared" si="0"/>
        <v>17.491542292452078</v>
      </c>
      <c r="J7" s="1786">
        <f t="shared" si="1"/>
        <v>99.999999989949984</v>
      </c>
      <c r="K7" s="1786">
        <f>IF($C$6=0,"",100*$C7/$C$6)</f>
        <v>30.327270591824092</v>
      </c>
      <c r="L7" s="481"/>
      <c r="M7" s="481"/>
      <c r="N7" s="481"/>
      <c r="O7" s="481"/>
      <c r="P7" s="481"/>
    </row>
    <row r="8" spans="1:16">
      <c r="A8" s="1784" t="s">
        <v>785</v>
      </c>
      <c r="B8" s="1785">
        <f>12401133775.08</f>
        <v>12401133775.08</v>
      </c>
      <c r="C8" s="1785">
        <f>12401133775.95</f>
        <v>12401133775.950001</v>
      </c>
      <c r="D8" s="1954" t="s">
        <v>597</v>
      </c>
      <c r="E8" s="1954" t="s">
        <v>597</v>
      </c>
      <c r="F8" s="1954" t="s">
        <v>597</v>
      </c>
      <c r="G8" s="1954" t="s">
        <v>597</v>
      </c>
      <c r="H8" s="1954" t="s">
        <v>597</v>
      </c>
      <c r="I8" s="1786">
        <f t="shared" si="0"/>
        <v>32.05880391546075</v>
      </c>
      <c r="J8" s="1786">
        <f t="shared" si="1"/>
        <v>100.00000000701549</v>
      </c>
      <c r="K8" s="1786">
        <f>IF($C$6=0,"",100*$C8/$C$6)</f>
        <v>55.584350707253201</v>
      </c>
      <c r="L8" s="481"/>
      <c r="M8" s="481"/>
      <c r="N8" s="481"/>
      <c r="O8" s="481"/>
      <c r="P8" s="481"/>
    </row>
    <row r="9" spans="1:16">
      <c r="A9" s="1784" t="s">
        <v>594</v>
      </c>
      <c r="B9" s="1785">
        <f>184368873</f>
        <v>184368873</v>
      </c>
      <c r="C9" s="1787">
        <f>264914576.67</f>
        <v>264914576.66999999</v>
      </c>
      <c r="D9" s="1954" t="s">
        <v>597</v>
      </c>
      <c r="E9" s="1954" t="s">
        <v>597</v>
      </c>
      <c r="F9" s="1954" t="s">
        <v>597</v>
      </c>
      <c r="G9" s="1954" t="s">
        <v>597</v>
      </c>
      <c r="H9" s="1954" t="s">
        <v>597</v>
      </c>
      <c r="I9" s="1786">
        <f t="shared" si="0"/>
        <v>0.68484419418822229</v>
      </c>
      <c r="J9" s="1786">
        <f t="shared" si="1"/>
        <v>143.68725715972673</v>
      </c>
      <c r="K9" s="1786">
        <f>IF($C$6=0,"",100*$C9/$C$6)</f>
        <v>1.1873998783599742</v>
      </c>
      <c r="L9" s="481"/>
      <c r="M9" s="481"/>
      <c r="N9" s="481"/>
      <c r="O9" s="481"/>
      <c r="P9" s="481"/>
    </row>
    <row r="10" spans="1:16">
      <c r="A10" s="1784" t="s">
        <v>595</v>
      </c>
      <c r="B10" s="1785">
        <f>B6-B7-B8-B9</f>
        <v>2615497051.4699974</v>
      </c>
      <c r="C10" s="1785">
        <f>C6-C7-C8-C9</f>
        <v>2878269912.0099945</v>
      </c>
      <c r="D10" s="1954" t="s">
        <v>597</v>
      </c>
      <c r="E10" s="1954" t="s">
        <v>597</v>
      </c>
      <c r="F10" s="1954" t="s">
        <v>597</v>
      </c>
      <c r="G10" s="1954" t="s">
        <v>597</v>
      </c>
      <c r="H10" s="1954" t="s">
        <v>597</v>
      </c>
      <c r="I10" s="1786">
        <f t="shared" si="0"/>
        <v>7.4407624651101845</v>
      </c>
      <c r="J10" s="1786">
        <f t="shared" si="1"/>
        <v>110.04676569573304</v>
      </c>
      <c r="K10" s="1786">
        <f>IF($C$6=0,"",100*$C10/$C$6)</f>
        <v>12.900978822562731</v>
      </c>
      <c r="L10" s="481"/>
      <c r="M10" s="481"/>
      <c r="N10" s="481"/>
      <c r="O10" s="481"/>
      <c r="P10" s="481"/>
    </row>
    <row r="11" spans="1:16" ht="26.4">
      <c r="A11" s="1783" t="s">
        <v>596</v>
      </c>
      <c r="B11" s="1781">
        <f>B12+B31+B33</f>
        <v>11150754228.220001</v>
      </c>
      <c r="C11" s="1781">
        <f>C12+C31+C33</f>
        <v>10688185659.950001</v>
      </c>
      <c r="D11" s="1954" t="s">
        <v>597</v>
      </c>
      <c r="E11" s="1954" t="s">
        <v>597</v>
      </c>
      <c r="F11" s="1954" t="s">
        <v>597</v>
      </c>
      <c r="G11" s="1954" t="s">
        <v>597</v>
      </c>
      <c r="H11" s="1954" t="s">
        <v>597</v>
      </c>
      <c r="I11" s="1782">
        <f t="shared" si="0"/>
        <v>27.630574306753459</v>
      </c>
      <c r="J11" s="1782">
        <f t="shared" si="1"/>
        <v>95.851683582987192</v>
      </c>
      <c r="K11" s="1955"/>
      <c r="L11" s="481"/>
      <c r="M11" s="481"/>
      <c r="N11" s="481"/>
      <c r="O11" s="481"/>
      <c r="P11" s="481"/>
    </row>
    <row r="12" spans="1:16" ht="26.4">
      <c r="A12" s="1789" t="s">
        <v>598</v>
      </c>
      <c r="B12" s="1781">
        <f>B13+B15+B17+B19+B21+B23+B25+B27+B29</f>
        <v>4033861331.7399998</v>
      </c>
      <c r="C12" s="1781">
        <f>C13+C15+C17+C19+C21+C23+C25+C27+C29</f>
        <v>3848020852.0700002</v>
      </c>
      <c r="D12" s="1954" t="s">
        <v>597</v>
      </c>
      <c r="E12" s="1954" t="s">
        <v>597</v>
      </c>
      <c r="F12" s="1954" t="s">
        <v>597</v>
      </c>
      <c r="G12" s="1954" t="s">
        <v>597</v>
      </c>
      <c r="H12" s="1954" t="s">
        <v>597</v>
      </c>
      <c r="I12" s="1782">
        <f t="shared" si="0"/>
        <v>9.9477151192706987</v>
      </c>
      <c r="J12" s="1782">
        <f t="shared" si="1"/>
        <v>95.392987899516172</v>
      </c>
      <c r="K12" s="1788"/>
      <c r="L12" s="481"/>
      <c r="M12" s="481"/>
      <c r="N12" s="481"/>
      <c r="O12" s="481"/>
      <c r="P12" s="481"/>
    </row>
    <row r="13" spans="1:16">
      <c r="A13" s="1790" t="s">
        <v>599</v>
      </c>
      <c r="B13" s="1785">
        <f>2245325421.89</f>
        <v>2245325421.8899999</v>
      </c>
      <c r="C13" s="1785">
        <f>2203607132.09</f>
        <v>2203607132.0900002</v>
      </c>
      <c r="D13" s="1954" t="s">
        <v>597</v>
      </c>
      <c r="E13" s="1954" t="s">
        <v>597</v>
      </c>
      <c r="F13" s="1954" t="s">
        <v>597</v>
      </c>
      <c r="G13" s="1954" t="s">
        <v>597</v>
      </c>
      <c r="H13" s="1954" t="s">
        <v>597</v>
      </c>
      <c r="I13" s="1786">
        <f t="shared" si="0"/>
        <v>5.6966572759168796</v>
      </c>
      <c r="J13" s="1786">
        <f t="shared" si="1"/>
        <v>98.141993610668536</v>
      </c>
      <c r="K13" s="1788"/>
      <c r="L13" s="481"/>
      <c r="M13" s="481"/>
      <c r="N13" s="481"/>
      <c r="O13" s="481"/>
      <c r="P13" s="481"/>
    </row>
    <row r="14" spans="1:16">
      <c r="A14" s="1791" t="s">
        <v>600</v>
      </c>
      <c r="B14" s="1785">
        <f>41534166</f>
        <v>41534166</v>
      </c>
      <c r="C14" s="1785">
        <f>36252489.66</f>
        <v>36252489.659999996</v>
      </c>
      <c r="D14" s="1954" t="s">
        <v>597</v>
      </c>
      <c r="E14" s="1954" t="s">
        <v>597</v>
      </c>
      <c r="F14" s="1954" t="s">
        <v>597</v>
      </c>
      <c r="G14" s="1954" t="s">
        <v>597</v>
      </c>
      <c r="H14" s="1954" t="s">
        <v>597</v>
      </c>
      <c r="I14" s="1786">
        <f t="shared" si="0"/>
        <v>9.3718161456425073E-2</v>
      </c>
      <c r="J14" s="1786">
        <f t="shared" si="1"/>
        <v>87.283538232114722</v>
      </c>
      <c r="K14" s="1788"/>
      <c r="L14" s="481"/>
      <c r="M14" s="481"/>
      <c r="N14" s="481"/>
      <c r="O14" s="481"/>
      <c r="P14" s="481"/>
    </row>
    <row r="15" spans="1:16">
      <c r="A15" s="1790" t="s">
        <v>601</v>
      </c>
      <c r="B15" s="1785">
        <f>414808492.09</f>
        <v>414808492.08999997</v>
      </c>
      <c r="C15" s="1785">
        <f>366906434.22</f>
        <v>366906434.22000003</v>
      </c>
      <c r="D15" s="1954" t="s">
        <v>597</v>
      </c>
      <c r="E15" s="1954" t="s">
        <v>597</v>
      </c>
      <c r="F15" s="1954" t="s">
        <v>597</v>
      </c>
      <c r="G15" s="1954" t="s">
        <v>597</v>
      </c>
      <c r="H15" s="1954" t="s">
        <v>597</v>
      </c>
      <c r="I15" s="1786">
        <f t="shared" si="0"/>
        <v>0.94850855111260146</v>
      </c>
      <c r="J15" s="1786">
        <f t="shared" si="1"/>
        <v>88.452006459981831</v>
      </c>
      <c r="K15" s="1788"/>
      <c r="L15" s="481"/>
      <c r="M15" s="481"/>
      <c r="N15" s="481"/>
      <c r="O15" s="481"/>
      <c r="P15" s="481"/>
    </row>
    <row r="16" spans="1:16">
      <c r="A16" s="1791" t="s">
        <v>600</v>
      </c>
      <c r="B16" s="1785">
        <f>356183155.97</f>
        <v>356183155.97000003</v>
      </c>
      <c r="C16" s="1785">
        <f>315505065.11</f>
        <v>315505065.11000001</v>
      </c>
      <c r="D16" s="1954" t="s">
        <v>597</v>
      </c>
      <c r="E16" s="1954" t="s">
        <v>597</v>
      </c>
      <c r="F16" s="1954" t="s">
        <v>597</v>
      </c>
      <c r="G16" s="1954" t="s">
        <v>597</v>
      </c>
      <c r="H16" s="1954" t="s">
        <v>597</v>
      </c>
      <c r="I16" s="1786">
        <f t="shared" si="0"/>
        <v>0.8156282481455065</v>
      </c>
      <c r="J16" s="1786">
        <f t="shared" si="1"/>
        <v>88.579445664907809</v>
      </c>
      <c r="K16" s="1788"/>
      <c r="L16" s="481"/>
      <c r="M16" s="481"/>
      <c r="N16" s="481"/>
      <c r="O16" s="481"/>
      <c r="P16" s="481"/>
    </row>
    <row r="17" spans="1:16" ht="20.399999999999999">
      <c r="A17" s="1790" t="s">
        <v>602</v>
      </c>
      <c r="B17" s="1785">
        <f>91298831.25</f>
        <v>91298831.25</v>
      </c>
      <c r="C17" s="1785">
        <f>65737734.2</f>
        <v>65737734.200000003</v>
      </c>
      <c r="D17" s="1954" t="s">
        <v>597</v>
      </c>
      <c r="E17" s="1954" t="s">
        <v>597</v>
      </c>
      <c r="F17" s="1954" t="s">
        <v>597</v>
      </c>
      <c r="G17" s="1954" t="s">
        <v>597</v>
      </c>
      <c r="H17" s="1954" t="s">
        <v>597</v>
      </c>
      <c r="I17" s="1786">
        <f t="shared" si="0"/>
        <v>0.16994197213254669</v>
      </c>
      <c r="J17" s="1786">
        <f t="shared" si="1"/>
        <v>72.002821175216297</v>
      </c>
      <c r="K17" s="1788"/>
      <c r="L17" s="481"/>
      <c r="M17" s="481"/>
      <c r="N17" s="481"/>
      <c r="O17" s="481"/>
      <c r="P17" s="481"/>
    </row>
    <row r="18" spans="1:16">
      <c r="A18" s="1791" t="s">
        <v>600</v>
      </c>
      <c r="B18" s="1785">
        <f>47059533.25</f>
        <v>47059533.25</v>
      </c>
      <c r="C18" s="1785">
        <f>22393649.12</f>
        <v>22393649.120000001</v>
      </c>
      <c r="D18" s="1954" t="s">
        <v>597</v>
      </c>
      <c r="E18" s="1954" t="s">
        <v>597</v>
      </c>
      <c r="F18" s="1954" t="s">
        <v>597</v>
      </c>
      <c r="G18" s="1954" t="s">
        <v>597</v>
      </c>
      <c r="H18" s="1954" t="s">
        <v>597</v>
      </c>
      <c r="I18" s="1786">
        <f t="shared" si="0"/>
        <v>5.7890965379471027E-2</v>
      </c>
      <c r="J18" s="1786">
        <f t="shared" si="1"/>
        <v>47.585786711983594</v>
      </c>
      <c r="K18" s="1788"/>
      <c r="L18" s="481"/>
      <c r="M18" s="481"/>
      <c r="N18" s="481"/>
      <c r="O18" s="481"/>
      <c r="P18" s="481"/>
    </row>
    <row r="19" spans="1:16" ht="20.399999999999999">
      <c r="A19" s="1790" t="s">
        <v>603</v>
      </c>
      <c r="B19" s="1785">
        <f>74145877.91</f>
        <v>74145877.909999996</v>
      </c>
      <c r="C19" s="1785">
        <f>73760896.36</f>
        <v>73760896.359999999</v>
      </c>
      <c r="D19" s="1954" t="s">
        <v>597</v>
      </c>
      <c r="E19" s="1954" t="s">
        <v>597</v>
      </c>
      <c r="F19" s="1954" t="s">
        <v>597</v>
      </c>
      <c r="G19" s="1954" t="s">
        <v>597</v>
      </c>
      <c r="H19" s="1954" t="s">
        <v>597</v>
      </c>
      <c r="I19" s="1786">
        <f t="shared" si="0"/>
        <v>0.19068305815874598</v>
      </c>
      <c r="J19" s="1786">
        <f t="shared" si="1"/>
        <v>99.480778216063072</v>
      </c>
      <c r="K19" s="1788"/>
      <c r="L19" s="481"/>
      <c r="M19" s="481"/>
      <c r="N19" s="481"/>
      <c r="O19" s="481"/>
      <c r="P19" s="481"/>
    </row>
    <row r="20" spans="1:16">
      <c r="A20" s="1791" t="s">
        <v>600</v>
      </c>
      <c r="B20" s="1785">
        <f>1994647</f>
        <v>1994647</v>
      </c>
      <c r="C20" s="1785">
        <f>1981340.64</f>
        <v>1981340.64</v>
      </c>
      <c r="D20" s="1954" t="s">
        <v>597</v>
      </c>
      <c r="E20" s="1954" t="s">
        <v>597</v>
      </c>
      <c r="F20" s="1954" t="s">
        <v>597</v>
      </c>
      <c r="G20" s="1954" t="s">
        <v>597</v>
      </c>
      <c r="H20" s="1954" t="s">
        <v>597</v>
      </c>
      <c r="I20" s="1786">
        <f t="shared" si="0"/>
        <v>5.1220648220632195E-3</v>
      </c>
      <c r="J20" s="1786">
        <f t="shared" si="1"/>
        <v>99.332896497475488</v>
      </c>
      <c r="K20" s="1788"/>
      <c r="L20" s="481"/>
      <c r="M20" s="481"/>
      <c r="N20" s="481"/>
      <c r="O20" s="481"/>
      <c r="P20" s="481"/>
    </row>
    <row r="21" spans="1:16" ht="30.6">
      <c r="A21" s="1790" t="s">
        <v>604</v>
      </c>
      <c r="B21" s="1785">
        <f>274636850.44</f>
        <v>274636850.44</v>
      </c>
      <c r="C21" s="1785">
        <f>247484154.87</f>
        <v>247484154.87</v>
      </c>
      <c r="D21" s="1954" t="s">
        <v>597</v>
      </c>
      <c r="E21" s="1954" t="s">
        <v>597</v>
      </c>
      <c r="F21" s="1954" t="s">
        <v>597</v>
      </c>
      <c r="G21" s="1954" t="s">
        <v>597</v>
      </c>
      <c r="H21" s="1954" t="s">
        <v>597</v>
      </c>
      <c r="I21" s="1786">
        <f t="shared" si="0"/>
        <v>0.63978392109176785</v>
      </c>
      <c r="J21" s="1786">
        <f t="shared" si="1"/>
        <v>90.113236615371079</v>
      </c>
      <c r="K21" s="1788"/>
      <c r="L21" s="481"/>
      <c r="M21" s="481"/>
      <c r="N21" s="481"/>
      <c r="O21" s="481"/>
      <c r="P21" s="481"/>
    </row>
    <row r="22" spans="1:16">
      <c r="A22" s="1791" t="s">
        <v>600</v>
      </c>
      <c r="B22" s="1785">
        <f>154274420.82</f>
        <v>154274420.81999999</v>
      </c>
      <c r="C22" s="1785">
        <f>128506555.25</f>
        <v>128506555.25</v>
      </c>
      <c r="D22" s="1954" t="s">
        <v>597</v>
      </c>
      <c r="E22" s="1954" t="s">
        <v>597</v>
      </c>
      <c r="F22" s="1954" t="s">
        <v>597</v>
      </c>
      <c r="G22" s="1954" t="s">
        <v>597</v>
      </c>
      <c r="H22" s="1954" t="s">
        <v>597</v>
      </c>
      <c r="I22" s="1786">
        <f t="shared" si="0"/>
        <v>0.33220885533875111</v>
      </c>
      <c r="J22" s="1786">
        <f t="shared" si="1"/>
        <v>83.297383044422702</v>
      </c>
      <c r="K22" s="1788"/>
      <c r="L22" s="481"/>
      <c r="M22" s="481"/>
      <c r="N22" s="481"/>
      <c r="O22" s="481"/>
      <c r="P22" s="481"/>
    </row>
    <row r="23" spans="1:16">
      <c r="A23" s="1790" t="s">
        <v>605</v>
      </c>
      <c r="B23" s="1785">
        <f>38683800</f>
        <v>38683800</v>
      </c>
      <c r="C23" s="1785">
        <f>38538879.3</f>
        <v>38538879.299999997</v>
      </c>
      <c r="D23" s="1954" t="s">
        <v>597</v>
      </c>
      <c r="E23" s="1954" t="s">
        <v>597</v>
      </c>
      <c r="F23" s="1954" t="s">
        <v>597</v>
      </c>
      <c r="G23" s="1954" t="s">
        <v>597</v>
      </c>
      <c r="H23" s="1954" t="s">
        <v>597</v>
      </c>
      <c r="I23" s="1786">
        <f t="shared" si="0"/>
        <v>9.9628824019008841E-2</v>
      </c>
      <c r="J23" s="1786">
        <f t="shared" si="1"/>
        <v>99.625371085570691</v>
      </c>
      <c r="K23" s="1788"/>
      <c r="L23" s="481"/>
      <c r="M23" s="481"/>
      <c r="N23" s="481"/>
      <c r="O23" s="481"/>
      <c r="P23" s="481"/>
    </row>
    <row r="24" spans="1:16">
      <c r="A24" s="1791" t="s">
        <v>600</v>
      </c>
      <c r="B24" s="1785">
        <f>6875000</f>
        <v>6875000</v>
      </c>
      <c r="C24" s="1785">
        <f>6875000</f>
        <v>6875000</v>
      </c>
      <c r="D24" s="1954" t="s">
        <v>597</v>
      </c>
      <c r="E24" s="1954" t="s">
        <v>597</v>
      </c>
      <c r="F24" s="1954" t="s">
        <v>597</v>
      </c>
      <c r="G24" s="1954" t="s">
        <v>597</v>
      </c>
      <c r="H24" s="1954" t="s">
        <v>597</v>
      </c>
      <c r="I24" s="1786">
        <f t="shared" si="0"/>
        <v>1.777291342072539E-2</v>
      </c>
      <c r="J24" s="1786">
        <f t="shared" si="1"/>
        <v>100</v>
      </c>
      <c r="K24" s="1788"/>
      <c r="L24" s="481"/>
      <c r="M24" s="481"/>
      <c r="N24" s="481"/>
      <c r="O24" s="481"/>
      <c r="P24" s="481"/>
    </row>
    <row r="25" spans="1:16" ht="40.799999999999997">
      <c r="A25" s="1790" t="s">
        <v>606</v>
      </c>
      <c r="B25" s="1785">
        <f>0</f>
        <v>0</v>
      </c>
      <c r="C25" s="1785">
        <f>0</f>
        <v>0</v>
      </c>
      <c r="D25" s="1954" t="s">
        <v>597</v>
      </c>
      <c r="E25" s="1954" t="s">
        <v>597</v>
      </c>
      <c r="F25" s="1954" t="s">
        <v>597</v>
      </c>
      <c r="G25" s="1954" t="s">
        <v>597</v>
      </c>
      <c r="H25" s="1954" t="s">
        <v>597</v>
      </c>
      <c r="I25" s="1786">
        <f t="shared" si="0"/>
        <v>0</v>
      </c>
      <c r="J25" s="1786" t="str">
        <f t="shared" si="1"/>
        <v/>
      </c>
      <c r="K25" s="1788"/>
      <c r="L25" s="481"/>
      <c r="M25" s="481"/>
      <c r="N25" s="481"/>
      <c r="O25" s="481"/>
      <c r="P25" s="481"/>
    </row>
    <row r="26" spans="1:16">
      <c r="A26" s="1791" t="s">
        <v>607</v>
      </c>
      <c r="B26" s="1785">
        <f>0</f>
        <v>0</v>
      </c>
      <c r="C26" s="1785">
        <f>0</f>
        <v>0</v>
      </c>
      <c r="D26" s="1954" t="s">
        <v>597</v>
      </c>
      <c r="E26" s="1954" t="s">
        <v>597</v>
      </c>
      <c r="F26" s="1954" t="s">
        <v>597</v>
      </c>
      <c r="G26" s="1954" t="s">
        <v>597</v>
      </c>
      <c r="H26" s="1954" t="s">
        <v>597</v>
      </c>
      <c r="I26" s="1786">
        <f t="shared" si="0"/>
        <v>0</v>
      </c>
      <c r="J26" s="1786" t="str">
        <f t="shared" si="1"/>
        <v/>
      </c>
      <c r="K26" s="1788"/>
      <c r="L26" s="481"/>
      <c r="M26" s="481"/>
      <c r="N26" s="481"/>
      <c r="O26" s="481"/>
      <c r="P26" s="481"/>
    </row>
    <row r="27" spans="1:16" ht="20.399999999999999">
      <c r="A27" s="1790" t="s">
        <v>1049</v>
      </c>
      <c r="B27" s="1785">
        <f>846055650.37</f>
        <v>846055650.37</v>
      </c>
      <c r="C27" s="1785">
        <f>805546389.41</f>
        <v>805546389.40999997</v>
      </c>
      <c r="D27" s="1954" t="s">
        <v>597</v>
      </c>
      <c r="E27" s="1954" t="s">
        <v>597</v>
      </c>
      <c r="F27" s="1954" t="s">
        <v>597</v>
      </c>
      <c r="G27" s="1954" t="s">
        <v>597</v>
      </c>
      <c r="H27" s="1954" t="s">
        <v>597</v>
      </c>
      <c r="I27" s="1786">
        <f t="shared" si="0"/>
        <v>2.0824590887799084</v>
      </c>
      <c r="J27" s="1786">
        <f t="shared" si="1"/>
        <v>95.211986239642229</v>
      </c>
      <c r="K27" s="1788"/>
      <c r="L27" s="481"/>
      <c r="M27" s="481"/>
      <c r="N27" s="481"/>
      <c r="O27" s="481"/>
      <c r="P27" s="481"/>
    </row>
    <row r="28" spans="1:16">
      <c r="A28" s="1791" t="s">
        <v>600</v>
      </c>
      <c r="B28" s="1785">
        <f>846055650.37</f>
        <v>846055650.37</v>
      </c>
      <c r="C28" s="1785">
        <f>805546389.41</f>
        <v>805546389.40999997</v>
      </c>
      <c r="D28" s="1954" t="s">
        <v>597</v>
      </c>
      <c r="E28" s="1954" t="s">
        <v>597</v>
      </c>
      <c r="F28" s="1954" t="s">
        <v>597</v>
      </c>
      <c r="G28" s="1954" t="s">
        <v>597</v>
      </c>
      <c r="H28" s="1954" t="s">
        <v>597</v>
      </c>
      <c r="I28" s="1786">
        <f t="shared" si="0"/>
        <v>2.0824590887799084</v>
      </c>
      <c r="J28" s="1786">
        <f t="shared" si="1"/>
        <v>95.211986239642229</v>
      </c>
      <c r="K28" s="1788"/>
      <c r="L28" s="481"/>
      <c r="M28" s="481"/>
      <c r="N28" s="481"/>
      <c r="O28" s="481"/>
      <c r="P28" s="481"/>
    </row>
    <row r="29" spans="1:16" ht="20.399999999999999">
      <c r="A29" s="1790" t="s">
        <v>608</v>
      </c>
      <c r="B29" s="1785">
        <f>48906407.79</f>
        <v>48906407.789999999</v>
      </c>
      <c r="C29" s="1785">
        <f>46439231.62</f>
        <v>46439231.619999997</v>
      </c>
      <c r="D29" s="1954" t="s">
        <v>597</v>
      </c>
      <c r="E29" s="1954" t="s">
        <v>597</v>
      </c>
      <c r="F29" s="1954" t="s">
        <v>597</v>
      </c>
      <c r="G29" s="1954" t="s">
        <v>597</v>
      </c>
      <c r="H29" s="1954" t="s">
        <v>597</v>
      </c>
      <c r="I29" s="1786">
        <f t="shared" si="0"/>
        <v>0.12005242805923969</v>
      </c>
      <c r="J29" s="1786">
        <f t="shared" si="1"/>
        <v>94.955311008336892</v>
      </c>
      <c r="K29" s="1788"/>
      <c r="L29" s="481"/>
      <c r="M29" s="481"/>
      <c r="N29" s="481"/>
      <c r="O29" s="481"/>
      <c r="P29" s="481"/>
    </row>
    <row r="30" spans="1:16">
      <c r="A30" s="1791" t="s">
        <v>600</v>
      </c>
      <c r="B30" s="1785">
        <f>0</f>
        <v>0</v>
      </c>
      <c r="C30" s="1785">
        <f>0</f>
        <v>0</v>
      </c>
      <c r="D30" s="1954" t="s">
        <v>597</v>
      </c>
      <c r="E30" s="1954" t="s">
        <v>597</v>
      </c>
      <c r="F30" s="1954" t="s">
        <v>597</v>
      </c>
      <c r="G30" s="1954" t="s">
        <v>597</v>
      </c>
      <c r="H30" s="1954" t="s">
        <v>597</v>
      </c>
      <c r="I30" s="1786">
        <f t="shared" si="0"/>
        <v>0</v>
      </c>
      <c r="J30" s="1786" t="str">
        <f t="shared" si="1"/>
        <v/>
      </c>
      <c r="K30" s="1788"/>
      <c r="L30" s="481"/>
      <c r="M30" s="481"/>
      <c r="N30" s="481"/>
      <c r="O30" s="481"/>
      <c r="P30" s="481"/>
    </row>
    <row r="31" spans="1:16">
      <c r="A31" s="1789" t="s">
        <v>731</v>
      </c>
      <c r="B31" s="1781">
        <f>1255333611.27</f>
        <v>1255333611.27</v>
      </c>
      <c r="C31" s="1781">
        <f>1058282321.98</f>
        <v>1058282321.98</v>
      </c>
      <c r="D31" s="1954" t="s">
        <v>597</v>
      </c>
      <c r="E31" s="1954" t="s">
        <v>597</v>
      </c>
      <c r="F31" s="1954" t="s">
        <v>597</v>
      </c>
      <c r="G31" s="1954" t="s">
        <v>597</v>
      </c>
      <c r="H31" s="1954" t="s">
        <v>597</v>
      </c>
      <c r="I31" s="1782">
        <f t="shared" si="0"/>
        <v>2.7358196484705122</v>
      </c>
      <c r="J31" s="1782">
        <f t="shared" si="1"/>
        <v>84.302874748120018</v>
      </c>
      <c r="K31" s="1788"/>
      <c r="L31" s="481"/>
      <c r="M31" s="481"/>
      <c r="N31" s="481"/>
      <c r="O31" s="481"/>
      <c r="P31" s="481"/>
    </row>
    <row r="32" spans="1:16">
      <c r="A32" s="1790" t="s">
        <v>732</v>
      </c>
      <c r="B32" s="1785">
        <f>286965741.89</f>
        <v>286965741.88999999</v>
      </c>
      <c r="C32" s="1785">
        <f>204100181.91</f>
        <v>204100181.91</v>
      </c>
      <c r="D32" s="1954" t="s">
        <v>597</v>
      </c>
      <c r="E32" s="1954" t="s">
        <v>597</v>
      </c>
      <c r="F32" s="1954" t="s">
        <v>597</v>
      </c>
      <c r="G32" s="1954" t="s">
        <v>597</v>
      </c>
      <c r="H32" s="1954" t="s">
        <v>597</v>
      </c>
      <c r="I32" s="1786">
        <f t="shared" si="0"/>
        <v>0.52762979814410649</v>
      </c>
      <c r="J32" s="1786">
        <f t="shared" si="1"/>
        <v>71.123535710487658</v>
      </c>
      <c r="K32" s="1788"/>
      <c r="L32" s="481"/>
      <c r="M32" s="481"/>
      <c r="N32" s="481"/>
      <c r="O32" s="481"/>
      <c r="P32" s="481"/>
    </row>
    <row r="33" spans="1:16">
      <c r="A33" s="1789" t="s">
        <v>733</v>
      </c>
      <c r="B33" s="1781">
        <f>5861559285.21</f>
        <v>5861559285.21</v>
      </c>
      <c r="C33" s="1781">
        <f>5781882485.9</f>
        <v>5781882485.8999996</v>
      </c>
      <c r="D33" s="1954" t="s">
        <v>597</v>
      </c>
      <c r="E33" s="1954" t="s">
        <v>597</v>
      </c>
      <c r="F33" s="1954" t="s">
        <v>597</v>
      </c>
      <c r="G33" s="1954" t="s">
        <v>597</v>
      </c>
      <c r="H33" s="1954" t="s">
        <v>597</v>
      </c>
      <c r="I33" s="1786">
        <f t="shared" si="0"/>
        <v>14.947039539012245</v>
      </c>
      <c r="J33" s="1786">
        <f t="shared" si="1"/>
        <v>98.640689355287392</v>
      </c>
      <c r="K33" s="1788"/>
      <c r="L33" s="481"/>
      <c r="M33" s="481"/>
      <c r="N33" s="481"/>
      <c r="O33" s="481"/>
      <c r="P33" s="481"/>
    </row>
    <row r="34" spans="1:16">
      <c r="A34" s="1790" t="s">
        <v>734</v>
      </c>
      <c r="B34" s="1785">
        <f>3565490988.85</f>
        <v>3565490988.8499999</v>
      </c>
      <c r="C34" s="1785">
        <f>3633899297.05</f>
        <v>3633899297.0500002</v>
      </c>
      <c r="D34" s="1954" t="s">
        <v>597</v>
      </c>
      <c r="E34" s="1954" t="s">
        <v>597</v>
      </c>
      <c r="F34" s="1954" t="s">
        <v>597</v>
      </c>
      <c r="G34" s="1954" t="s">
        <v>597</v>
      </c>
      <c r="H34" s="1954" t="s">
        <v>597</v>
      </c>
      <c r="I34" s="1786">
        <f t="shared" si="0"/>
        <v>9.3941785579788366</v>
      </c>
      <c r="J34" s="1786">
        <f t="shared" si="1"/>
        <v>101.91862238367526</v>
      </c>
      <c r="K34" s="1788"/>
      <c r="L34" s="481"/>
      <c r="M34" s="481"/>
      <c r="N34" s="481"/>
      <c r="O34" s="481"/>
      <c r="P34" s="481"/>
    </row>
    <row r="35" spans="1:16">
      <c r="A35" s="1783" t="s">
        <v>857</v>
      </c>
      <c r="B35" s="1781">
        <f>5683796645.83</f>
        <v>5683796645.8299999</v>
      </c>
      <c r="C35" s="1781">
        <f>5683796645.36</f>
        <v>5683796645.3599997</v>
      </c>
      <c r="D35" s="1954" t="s">
        <v>597</v>
      </c>
      <c r="E35" s="1954" t="s">
        <v>597</v>
      </c>
      <c r="F35" s="1954" t="s">
        <v>597</v>
      </c>
      <c r="G35" s="1954" t="s">
        <v>597</v>
      </c>
      <c r="H35" s="1954" t="s">
        <v>597</v>
      </c>
      <c r="I35" s="1782">
        <f t="shared" si="0"/>
        <v>14.6934728260353</v>
      </c>
      <c r="J35" s="1782">
        <f t="shared" si="1"/>
        <v>99.999999991730874</v>
      </c>
      <c r="K35" s="1788"/>
      <c r="L35" s="481"/>
      <c r="M35" s="481"/>
      <c r="N35" s="481"/>
      <c r="O35" s="481"/>
      <c r="P35" s="481"/>
    </row>
    <row r="36" spans="1:16">
      <c r="A36" s="1784" t="s">
        <v>609</v>
      </c>
      <c r="B36" s="1785">
        <f>0</f>
        <v>0</v>
      </c>
      <c r="C36" s="1785">
        <f>0</f>
        <v>0</v>
      </c>
      <c r="D36" s="1954" t="s">
        <v>597</v>
      </c>
      <c r="E36" s="1954" t="s">
        <v>597</v>
      </c>
      <c r="F36" s="1954" t="s">
        <v>597</v>
      </c>
      <c r="G36" s="1954" t="s">
        <v>597</v>
      </c>
      <c r="H36" s="1954" t="s">
        <v>597</v>
      </c>
      <c r="I36" s="1786">
        <f t="shared" si="0"/>
        <v>0</v>
      </c>
      <c r="J36" s="1786" t="str">
        <f t="shared" si="1"/>
        <v/>
      </c>
      <c r="K36" s="1788"/>
      <c r="L36" s="481"/>
      <c r="M36" s="481"/>
      <c r="N36" s="481"/>
      <c r="O36" s="481"/>
      <c r="P36" s="481"/>
    </row>
    <row r="37" spans="1:16" ht="20.399999999999999">
      <c r="A37" s="1784" t="s">
        <v>858</v>
      </c>
      <c r="B37" s="1785">
        <f>126565957.86</f>
        <v>126565957.86</v>
      </c>
      <c r="C37" s="1785">
        <f>126565958.03</f>
        <v>126565958.03</v>
      </c>
      <c r="D37" s="1954" t="s">
        <v>597</v>
      </c>
      <c r="E37" s="1954" t="s">
        <v>597</v>
      </c>
      <c r="F37" s="1954" t="s">
        <v>597</v>
      </c>
      <c r="G37" s="1954" t="s">
        <v>597</v>
      </c>
      <c r="H37" s="1954" t="s">
        <v>597</v>
      </c>
      <c r="I37" s="1786">
        <f t="shared" si="0"/>
        <v>0.32719211841139684</v>
      </c>
      <c r="J37" s="1786">
        <f t="shared" si="1"/>
        <v>100.00000013431732</v>
      </c>
      <c r="K37" s="1788"/>
      <c r="L37" s="481"/>
      <c r="M37" s="481"/>
      <c r="N37" s="481"/>
      <c r="O37" s="481"/>
      <c r="P37" s="481"/>
    </row>
    <row r="38" spans="1:16">
      <c r="A38" s="1790" t="s">
        <v>600</v>
      </c>
      <c r="B38" s="1785">
        <f>103157767</f>
        <v>103157767</v>
      </c>
      <c r="C38" s="1785">
        <f>103157767</f>
        <v>103157767</v>
      </c>
      <c r="D38" s="1954" t="s">
        <v>597</v>
      </c>
      <c r="E38" s="1954" t="s">
        <v>597</v>
      </c>
      <c r="F38" s="1954" t="s">
        <v>597</v>
      </c>
      <c r="G38" s="1954" t="s">
        <v>597</v>
      </c>
      <c r="H38" s="1954" t="s">
        <v>597</v>
      </c>
      <c r="I38" s="1786">
        <f t="shared" si="0"/>
        <v>0.2666784089551073</v>
      </c>
      <c r="J38" s="1786">
        <f t="shared" si="1"/>
        <v>100</v>
      </c>
      <c r="K38" s="1788"/>
      <c r="L38" s="481"/>
      <c r="M38" s="481"/>
      <c r="N38" s="481"/>
      <c r="O38" s="481"/>
      <c r="P38" s="481"/>
    </row>
    <row r="39" spans="1:16">
      <c r="A39" s="1864" t="s">
        <v>772</v>
      </c>
      <c r="B39" s="1781">
        <f>+B5</f>
        <v>38801709302.110001</v>
      </c>
      <c r="C39" s="1781">
        <f>+C5</f>
        <v>38682459297.769997</v>
      </c>
      <c r="D39" s="1954" t="s">
        <v>597</v>
      </c>
      <c r="E39" s="1954" t="s">
        <v>597</v>
      </c>
      <c r="F39" s="1954" t="s">
        <v>597</v>
      </c>
      <c r="G39" s="1954" t="s">
        <v>597</v>
      </c>
      <c r="H39" s="1954" t="s">
        <v>597</v>
      </c>
      <c r="I39" s="1786">
        <f>IF($C$5=0,"",100*$C39/$C$39)</f>
        <v>100</v>
      </c>
      <c r="J39" s="1956">
        <f t="shared" si="1"/>
        <v>99.692668167240967</v>
      </c>
      <c r="K39" s="1957"/>
      <c r="L39" s="481"/>
      <c r="M39" s="481"/>
      <c r="N39" s="481"/>
      <c r="O39" s="481"/>
      <c r="P39" s="481"/>
    </row>
    <row r="40" spans="1:16">
      <c r="A40" s="1836" t="s">
        <v>137</v>
      </c>
      <c r="B40" s="1785">
        <f>6526366767.71</f>
        <v>6526366767.71</v>
      </c>
      <c r="C40" s="1785">
        <f>6371351409.65</f>
        <v>6371351409.6499996</v>
      </c>
      <c r="D40" s="1954" t="s">
        <v>597</v>
      </c>
      <c r="E40" s="1954" t="s">
        <v>597</v>
      </c>
      <c r="F40" s="1954" t="s">
        <v>597</v>
      </c>
      <c r="G40" s="1954" t="s">
        <v>597</v>
      </c>
      <c r="H40" s="1954" t="s">
        <v>597</v>
      </c>
      <c r="I40" s="1786">
        <f>IF($C$5=0,"",100*$C40/$C$39)</f>
        <v>16.470905742069252</v>
      </c>
      <c r="J40" s="1956">
        <f t="shared" si="1"/>
        <v>97.624783228136096</v>
      </c>
      <c r="K40" s="1957"/>
      <c r="L40" s="481"/>
      <c r="M40" s="481"/>
      <c r="N40" s="481"/>
      <c r="O40" s="481"/>
      <c r="P40" s="481"/>
    </row>
    <row r="41" spans="1:16">
      <c r="A41" s="1836" t="s">
        <v>773</v>
      </c>
      <c r="B41" s="1785">
        <f>B39-B40</f>
        <v>32275342534.400002</v>
      </c>
      <c r="C41" s="1785">
        <f>C39-C40</f>
        <v>32311107888.119995</v>
      </c>
      <c r="D41" s="1954" t="s">
        <v>597</v>
      </c>
      <c r="E41" s="1954" t="s">
        <v>597</v>
      </c>
      <c r="F41" s="1954" t="s">
        <v>597</v>
      </c>
      <c r="G41" s="1954" t="s">
        <v>597</v>
      </c>
      <c r="H41" s="1954" t="s">
        <v>597</v>
      </c>
      <c r="I41" s="1786">
        <f>IF($C$5=0,"",100*$C41/$C$39)</f>
        <v>83.529094257930737</v>
      </c>
      <c r="J41" s="1956">
        <f t="shared" si="1"/>
        <v>100.11081324290168</v>
      </c>
      <c r="K41" s="1957"/>
      <c r="L41" s="481"/>
      <c r="M41" s="481"/>
      <c r="N41" s="481"/>
      <c r="O41" s="481"/>
      <c r="P41" s="481"/>
    </row>
    <row r="42" spans="1:16">
      <c r="A42" s="1874" t="s">
        <v>610</v>
      </c>
      <c r="B42" s="1803"/>
      <c r="C42" s="1803"/>
      <c r="D42" s="1958"/>
      <c r="E42" s="1958"/>
      <c r="F42" s="1958"/>
      <c r="G42" s="1958"/>
      <c r="H42" s="1958"/>
      <c r="I42" s="1955"/>
      <c r="J42" s="1955"/>
      <c r="K42" s="1955"/>
      <c r="L42" s="481"/>
      <c r="M42" s="481"/>
      <c r="N42" s="481"/>
      <c r="O42" s="481"/>
      <c r="P42" s="481"/>
    </row>
    <row r="43" spans="1:16">
      <c r="A43" s="1804"/>
      <c r="B43" s="1793"/>
      <c r="C43" s="1794"/>
      <c r="D43" s="1794"/>
      <c r="E43" s="1795"/>
      <c r="F43" s="1795"/>
      <c r="G43" s="1795"/>
      <c r="H43" s="1795"/>
      <c r="I43" s="1795"/>
      <c r="J43" s="1796"/>
      <c r="K43" s="1796"/>
      <c r="L43" s="408"/>
      <c r="M43" s="408"/>
      <c r="N43" s="491"/>
      <c r="O43" s="491"/>
      <c r="P43" s="492"/>
    </row>
    <row r="44" spans="1:16" ht="31.2" customHeight="1">
      <c r="A44" s="2293" t="s">
        <v>584</v>
      </c>
      <c r="B44" s="2295" t="s">
        <v>892</v>
      </c>
      <c r="C44" s="2295" t="s">
        <v>893</v>
      </c>
      <c r="D44" s="2295" t="s">
        <v>894</v>
      </c>
      <c r="E44" s="2295" t="s">
        <v>611</v>
      </c>
      <c r="F44" s="2295"/>
      <c r="G44" s="2295"/>
      <c r="H44" s="2296" t="s">
        <v>895</v>
      </c>
      <c r="I44" s="2295" t="s">
        <v>585</v>
      </c>
      <c r="J44" s="2299" t="s">
        <v>586</v>
      </c>
      <c r="K44" s="1806"/>
      <c r="L44" s="401"/>
    </row>
    <row r="45" spans="1:16" ht="21.6" customHeight="1">
      <c r="A45" s="2293"/>
      <c r="B45" s="2295"/>
      <c r="C45" s="2295"/>
      <c r="D45" s="2289"/>
      <c r="E45" s="2283" t="s">
        <v>896</v>
      </c>
      <c r="F45" s="2288" t="s">
        <v>612</v>
      </c>
      <c r="G45" s="2289"/>
      <c r="H45" s="2297"/>
      <c r="I45" s="2295"/>
      <c r="J45" s="2299"/>
      <c r="K45" s="1808"/>
      <c r="M45" s="408"/>
    </row>
    <row r="46" spans="1:16" ht="40.950000000000003" customHeight="1">
      <c r="A46" s="2293"/>
      <c r="B46" s="2295"/>
      <c r="C46" s="2295"/>
      <c r="D46" s="2289"/>
      <c r="E46" s="2289"/>
      <c r="F46" s="1809" t="s">
        <v>897</v>
      </c>
      <c r="G46" s="1809" t="s">
        <v>898</v>
      </c>
      <c r="H46" s="2298"/>
      <c r="I46" s="2295"/>
      <c r="J46" s="2299"/>
      <c r="K46" s="1808"/>
      <c r="L46" s="407"/>
      <c r="M46" s="408"/>
    </row>
    <row r="47" spans="1:16">
      <c r="A47" s="2293"/>
      <c r="B47" s="2290" t="s">
        <v>163</v>
      </c>
      <c r="C47" s="2291"/>
      <c r="D47" s="2291"/>
      <c r="E47" s="2291"/>
      <c r="F47" s="2291"/>
      <c r="G47" s="2291"/>
      <c r="H47" s="2292"/>
      <c r="I47" s="2294" t="s">
        <v>169</v>
      </c>
      <c r="J47" s="2294"/>
      <c r="K47" s="1806"/>
      <c r="M47" s="408"/>
    </row>
    <row r="48" spans="1:16">
      <c r="A48" s="1778">
        <v>1</v>
      </c>
      <c r="B48" s="1807">
        <v>2</v>
      </c>
      <c r="C48" s="1807">
        <v>3</v>
      </c>
      <c r="D48" s="1807">
        <v>4</v>
      </c>
      <c r="E48" s="1778">
        <v>5</v>
      </c>
      <c r="F48" s="1778">
        <v>6</v>
      </c>
      <c r="G48" s="1807">
        <v>7</v>
      </c>
      <c r="H48" s="1807">
        <v>8</v>
      </c>
      <c r="I48" s="1778">
        <v>9</v>
      </c>
      <c r="J48" s="1807">
        <v>10</v>
      </c>
      <c r="K48" s="1806"/>
    </row>
    <row r="49" spans="1:14" ht="26.4">
      <c r="A49" s="1826" t="s">
        <v>613</v>
      </c>
      <c r="B49" s="1810">
        <f>41433512024.86</f>
        <v>41433512024.860001</v>
      </c>
      <c r="C49" s="1810">
        <f>37978065676.24</f>
        <v>37978065676.239998</v>
      </c>
      <c r="D49" s="1810">
        <f>38054826094.71</f>
        <v>38054826094.709999</v>
      </c>
      <c r="E49" s="1810">
        <f>852180241.34</f>
        <v>852180241.34000003</v>
      </c>
      <c r="F49" s="1810">
        <f>22930.89</f>
        <v>22930.89</v>
      </c>
      <c r="G49" s="1810">
        <f>22984154.33</f>
        <v>22984154.329999998</v>
      </c>
      <c r="H49" s="1811">
        <f>160753656.41</f>
        <v>160753656.41</v>
      </c>
      <c r="I49" s="1812">
        <f>IF($C$49=0,"",100*$C49/$C$49)</f>
        <v>100</v>
      </c>
      <c r="J49" s="1812">
        <f>IF(B49=0,"",100*C49/B49)</f>
        <v>91.660261996263458</v>
      </c>
      <c r="K49" s="1832"/>
    </row>
    <row r="50" spans="1:14">
      <c r="A50" s="1783" t="s">
        <v>614</v>
      </c>
      <c r="B50" s="1816">
        <f>16104398138.42</f>
        <v>16104398138.42</v>
      </c>
      <c r="C50" s="1816">
        <f>14342791334.97</f>
        <v>14342791334.969999</v>
      </c>
      <c r="D50" s="1816">
        <f>14398820612.28</f>
        <v>14398820612.280001</v>
      </c>
      <c r="E50" s="1816">
        <f>271975251.89</f>
        <v>271975251.88999999</v>
      </c>
      <c r="F50" s="1816">
        <f>16766</f>
        <v>16766</v>
      </c>
      <c r="G50" s="1816">
        <f>2415731.26</f>
        <v>2415731.2599999998</v>
      </c>
      <c r="H50" s="1817">
        <f>137751643.35</f>
        <v>137751643.34999999</v>
      </c>
      <c r="I50" s="1812">
        <f t="shared" ref="I50:I58" si="2">IF($C$49=0,"",100*$C50/$C$49)</f>
        <v>37.765986970587605</v>
      </c>
      <c r="J50" s="1812">
        <f t="shared" ref="J50:J58" si="3">IF(B50=0,"",100*C50/B50)</f>
        <v>89.061331020826145</v>
      </c>
      <c r="K50" s="1832"/>
      <c r="N50" s="457"/>
    </row>
    <row r="51" spans="1:14">
      <c r="A51" s="1784" t="s">
        <v>615</v>
      </c>
      <c r="B51" s="1785">
        <f>15203880154.42</f>
        <v>15203880154.42</v>
      </c>
      <c r="C51" s="1785">
        <f>13495681755.54</f>
        <v>13495681755.540001</v>
      </c>
      <c r="D51" s="1785">
        <f>13551711032.85</f>
        <v>13551711032.85</v>
      </c>
      <c r="E51" s="1785">
        <f>271975251.89</f>
        <v>271975251.88999999</v>
      </c>
      <c r="F51" s="1785">
        <f>16766</f>
        <v>16766</v>
      </c>
      <c r="G51" s="1785">
        <f>2415731.26</f>
        <v>2415731.2599999998</v>
      </c>
      <c r="H51" s="1815">
        <f>137751643.35</f>
        <v>137751643.34999999</v>
      </c>
      <c r="I51" s="1812">
        <f t="shared" si="2"/>
        <v>35.535463734750522</v>
      </c>
      <c r="J51" s="1812">
        <f t="shared" si="3"/>
        <v>88.764720705961366</v>
      </c>
      <c r="K51" s="1832"/>
      <c r="N51" s="461"/>
    </row>
    <row r="52" spans="1:14" ht="26.4">
      <c r="A52" s="1783" t="s">
        <v>616</v>
      </c>
      <c r="B52" s="1816">
        <f t="shared" ref="B52:H52" si="4">B49-B50</f>
        <v>25329113886.440002</v>
      </c>
      <c r="C52" s="1816">
        <f>C49-C50</f>
        <v>23635274341.269997</v>
      </c>
      <c r="D52" s="1816">
        <f>D49-D50</f>
        <v>23656005482.43</v>
      </c>
      <c r="E52" s="1816">
        <f t="shared" si="4"/>
        <v>580204989.45000005</v>
      </c>
      <c r="F52" s="1816">
        <f t="shared" si="4"/>
        <v>6164.8899999999994</v>
      </c>
      <c r="G52" s="1816">
        <f t="shared" si="4"/>
        <v>20568423.07</v>
      </c>
      <c r="H52" s="1817">
        <f t="shared" si="4"/>
        <v>23002013.060000002</v>
      </c>
      <c r="I52" s="1812">
        <f t="shared" si="2"/>
        <v>62.234013029412388</v>
      </c>
      <c r="J52" s="1812">
        <f t="shared" si="3"/>
        <v>93.312677447919697</v>
      </c>
      <c r="K52" s="1832"/>
      <c r="N52" s="455"/>
    </row>
    <row r="53" spans="1:14" ht="20.399999999999999">
      <c r="A53" s="1784" t="s">
        <v>617</v>
      </c>
      <c r="B53" s="1785">
        <f>6476260091.32</f>
        <v>6476260091.3199997</v>
      </c>
      <c r="C53" s="1785">
        <f>6163931975.56</f>
        <v>6163931975.5600004</v>
      </c>
      <c r="D53" s="1785">
        <f>6163931975.65</f>
        <v>6163931975.6499996</v>
      </c>
      <c r="E53" s="1785">
        <f>382457537.19</f>
        <v>382457537.19</v>
      </c>
      <c r="F53" s="1785">
        <f>3458.4</f>
        <v>3458.4</v>
      </c>
      <c r="G53" s="1785">
        <f>21.6</f>
        <v>21.6</v>
      </c>
      <c r="H53" s="1815">
        <f>0</f>
        <v>0</v>
      </c>
      <c r="I53" s="1812">
        <f t="shared" si="2"/>
        <v>16.230242024717718</v>
      </c>
      <c r="J53" s="1812">
        <f t="shared" si="3"/>
        <v>95.177338288519223</v>
      </c>
      <c r="K53" s="1832"/>
      <c r="N53" s="461"/>
    </row>
    <row r="54" spans="1:14">
      <c r="A54" s="1784" t="s">
        <v>571</v>
      </c>
      <c r="B54" s="1816">
        <f>10789335824.94</f>
        <v>10789335824.940001</v>
      </c>
      <c r="C54" s="1816">
        <f>10486505666.41</f>
        <v>10486505666.41</v>
      </c>
      <c r="D54" s="1816">
        <f>10486505666.41</f>
        <v>10486505666.41</v>
      </c>
      <c r="E54" s="1816">
        <f>7000823.54</f>
        <v>7000823.54</v>
      </c>
      <c r="F54" s="1816">
        <f>0</f>
        <v>0</v>
      </c>
      <c r="G54" s="1816">
        <f>0</f>
        <v>0</v>
      </c>
      <c r="H54" s="1817">
        <f>528178.06</f>
        <v>528178.06000000006</v>
      </c>
      <c r="I54" s="1812">
        <f t="shared" si="2"/>
        <v>27.61200571879208</v>
      </c>
      <c r="J54" s="1812">
        <f t="shared" si="3"/>
        <v>97.193245595062521</v>
      </c>
      <c r="K54" s="1832"/>
      <c r="N54" s="455"/>
    </row>
    <row r="55" spans="1:14">
      <c r="A55" s="1784" t="s">
        <v>618</v>
      </c>
      <c r="B55" s="1785">
        <f>262286630.23</f>
        <v>262286630.22999999</v>
      </c>
      <c r="C55" s="1785">
        <f>236905820.35</f>
        <v>236905820.34999999</v>
      </c>
      <c r="D55" s="1785">
        <f>236905820.35</f>
        <v>236905820.34999999</v>
      </c>
      <c r="E55" s="1785">
        <f>3264094.22</f>
        <v>3264094.22</v>
      </c>
      <c r="F55" s="1785">
        <f>0</f>
        <v>0</v>
      </c>
      <c r="G55" s="1785">
        <f>0</f>
        <v>0</v>
      </c>
      <c r="H55" s="1815">
        <f>0</f>
        <v>0</v>
      </c>
      <c r="I55" s="1812">
        <f t="shared" si="2"/>
        <v>0.62379643652629224</v>
      </c>
      <c r="J55" s="1812">
        <f t="shared" si="3"/>
        <v>90.323254426753095</v>
      </c>
      <c r="K55" s="1832"/>
      <c r="N55" s="461"/>
    </row>
    <row r="56" spans="1:14" ht="20.399999999999999">
      <c r="A56" s="1784" t="s">
        <v>619</v>
      </c>
      <c r="B56" s="1816">
        <f>50304543.71</f>
        <v>50304543.710000001</v>
      </c>
      <c r="C56" s="1816">
        <f>17557733.92</f>
        <v>17557733.920000002</v>
      </c>
      <c r="D56" s="1816">
        <f>17557733.92</f>
        <v>17557733.920000002</v>
      </c>
      <c r="E56" s="1816">
        <f>0</f>
        <v>0</v>
      </c>
      <c r="F56" s="1816">
        <f>0</f>
        <v>0</v>
      </c>
      <c r="G56" s="1816">
        <f>0</f>
        <v>0</v>
      </c>
      <c r="H56" s="1817">
        <f>0</f>
        <v>0</v>
      </c>
      <c r="I56" s="1812">
        <f t="shared" si="2"/>
        <v>4.6231248504540211E-2</v>
      </c>
      <c r="J56" s="1812">
        <f t="shared" si="3"/>
        <v>34.902878796035502</v>
      </c>
      <c r="K56" s="1832"/>
      <c r="N56" s="455"/>
    </row>
    <row r="57" spans="1:14">
      <c r="A57" s="1784" t="s">
        <v>620</v>
      </c>
      <c r="B57" s="1816">
        <f>255727315.7</f>
        <v>255727315.69999999</v>
      </c>
      <c r="C57" s="1816">
        <f>231237045.3</f>
        <v>231237045.30000001</v>
      </c>
      <c r="D57" s="1816">
        <f>231237045.3</f>
        <v>231237045.30000001</v>
      </c>
      <c r="E57" s="1816">
        <f>2094703.18</f>
        <v>2094703.18</v>
      </c>
      <c r="F57" s="1816">
        <f>0</f>
        <v>0</v>
      </c>
      <c r="G57" s="1816">
        <f>28.8</f>
        <v>28.8</v>
      </c>
      <c r="H57" s="1818">
        <f>0</f>
        <v>0</v>
      </c>
      <c r="I57" s="1812">
        <f t="shared" si="2"/>
        <v>0.60886999161905053</v>
      </c>
      <c r="J57" s="1812">
        <f t="shared" si="3"/>
        <v>90.423287268720983</v>
      </c>
      <c r="K57" s="1832"/>
      <c r="N57" s="461"/>
    </row>
    <row r="58" spans="1:14">
      <c r="A58" s="1784" t="s">
        <v>621</v>
      </c>
      <c r="B58" s="1785">
        <f t="shared" ref="B58:H58" si="5">B52-B53-B54-B55-B56-B57</f>
        <v>7495199480.5400028</v>
      </c>
      <c r="C58" s="1785">
        <f>C52-C53-C54-C55-C56-C57</f>
        <v>6499136099.7299948</v>
      </c>
      <c r="D58" s="1959">
        <f>D52-D53-D54-D55-D56-D57</f>
        <v>6519867240.7999983</v>
      </c>
      <c r="E58" s="1959">
        <f t="shared" si="5"/>
        <v>185387831.32000005</v>
      </c>
      <c r="F58" s="1959">
        <f t="shared" si="5"/>
        <v>2706.4899999999993</v>
      </c>
      <c r="G58" s="1959">
        <f t="shared" si="5"/>
        <v>20568372.669999998</v>
      </c>
      <c r="H58" s="1960">
        <f t="shared" si="5"/>
        <v>22473835.000000004</v>
      </c>
      <c r="I58" s="1961">
        <f t="shared" si="2"/>
        <v>17.112867609252707</v>
      </c>
      <c r="J58" s="1812">
        <f t="shared" si="3"/>
        <v>86.710648817338154</v>
      </c>
      <c r="K58" s="1832"/>
      <c r="N58" s="461"/>
    </row>
    <row r="59" spans="1:14">
      <c r="A59" s="1826" t="s">
        <v>622</v>
      </c>
      <c r="B59" s="1813">
        <f>B5-B49</f>
        <v>-2631802722.75</v>
      </c>
      <c r="C59" s="1813">
        <f>C5-C49</f>
        <v>704393621.52999878</v>
      </c>
      <c r="D59" s="1962"/>
      <c r="E59" s="1963"/>
      <c r="F59" s="1963"/>
      <c r="G59" s="1963"/>
      <c r="H59" s="2452"/>
      <c r="I59" s="2452"/>
      <c r="J59" s="1822"/>
      <c r="K59" s="1822"/>
      <c r="N59" s="455"/>
    </row>
    <row r="60" spans="1:14" ht="26.4">
      <c r="A60" s="1824" t="s">
        <v>859</v>
      </c>
      <c r="B60" s="1813">
        <f>+B41-B52</f>
        <v>6946228647.9599991</v>
      </c>
      <c r="C60" s="1813">
        <f>+C41-C52</f>
        <v>8675833546.8499985</v>
      </c>
      <c r="D60" s="1964"/>
      <c r="E60" s="1965"/>
      <c r="F60" s="1965"/>
      <c r="G60" s="1965"/>
      <c r="H60" s="2450"/>
      <c r="I60" s="2451"/>
      <c r="J60" s="1832"/>
      <c r="K60" s="1832"/>
      <c r="L60" s="422"/>
    </row>
    <row r="61" spans="1:14">
      <c r="A61" s="1898"/>
      <c r="B61" s="1966"/>
      <c r="C61" s="1966"/>
      <c r="D61" s="1966"/>
      <c r="E61" s="1965"/>
      <c r="F61" s="1965"/>
      <c r="G61" s="1965"/>
      <c r="H61" s="1965"/>
      <c r="I61" s="1832"/>
      <c r="J61" s="1832"/>
      <c r="K61" s="1832"/>
      <c r="L61" s="481"/>
    </row>
    <row r="62" spans="1:14">
      <c r="A62" s="1898"/>
      <c r="B62" s="1966"/>
      <c r="C62" s="1966"/>
      <c r="D62" s="1966"/>
      <c r="E62" s="1965"/>
      <c r="F62" s="1965"/>
      <c r="G62" s="1965"/>
      <c r="H62" s="1965"/>
      <c r="I62" s="1832"/>
      <c r="J62" s="1832"/>
      <c r="K62" s="1832"/>
      <c r="L62" s="481"/>
    </row>
    <row r="63" spans="1:14">
      <c r="A63" s="2286" t="s">
        <v>860</v>
      </c>
      <c r="B63" s="2287" t="s">
        <v>861</v>
      </c>
      <c r="C63" s="2287"/>
      <c r="D63" s="2287" t="s">
        <v>862</v>
      </c>
      <c r="E63" s="2287"/>
      <c r="F63" s="1827" t="s">
        <v>863</v>
      </c>
      <c r="G63" s="1965"/>
      <c r="H63" s="1965"/>
      <c r="I63" s="1832"/>
      <c r="J63" s="1832"/>
      <c r="K63" s="1832"/>
      <c r="L63" s="481"/>
    </row>
    <row r="64" spans="1:14" ht="13.95" customHeight="1">
      <c r="A64" s="2286"/>
      <c r="B64" s="1828" t="s">
        <v>864</v>
      </c>
      <c r="C64" s="1828" t="s">
        <v>865</v>
      </c>
      <c r="D64" s="1828" t="s">
        <v>864</v>
      </c>
      <c r="E64" s="1828" t="s">
        <v>865</v>
      </c>
      <c r="F64" s="1828" t="s">
        <v>864</v>
      </c>
      <c r="G64" s="1965"/>
      <c r="H64" s="1965"/>
      <c r="I64" s="1832"/>
      <c r="J64" s="1832"/>
      <c r="K64" s="1832"/>
      <c r="L64" s="481"/>
    </row>
    <row r="65" spans="1:12">
      <c r="A65" s="1829" t="s">
        <v>866</v>
      </c>
      <c r="B65" s="1830">
        <f>2</f>
        <v>2</v>
      </c>
      <c r="C65" s="1831">
        <f>202574054.4</f>
        <v>202574054.40000001</v>
      </c>
      <c r="D65" s="1830">
        <f>14</f>
        <v>14</v>
      </c>
      <c r="E65" s="1831">
        <f>+-2834376777.15</f>
        <v>-2834376777.1500001</v>
      </c>
      <c r="F65" s="1830">
        <f>0</f>
        <v>0</v>
      </c>
      <c r="G65" s="1965"/>
      <c r="H65" s="1965"/>
      <c r="I65" s="1832"/>
      <c r="J65" s="1832"/>
      <c r="K65" s="1832"/>
    </row>
    <row r="66" spans="1:12">
      <c r="A66" s="1829" t="s">
        <v>867</v>
      </c>
      <c r="B66" s="1830">
        <f>9</f>
        <v>9</v>
      </c>
      <c r="C66" s="1831">
        <f>1507265030.99</f>
        <v>1507265030.99</v>
      </c>
      <c r="D66" s="1830">
        <f>7</f>
        <v>7</v>
      </c>
      <c r="E66" s="1831">
        <f>+-802871409.46</f>
        <v>-802871409.46000004</v>
      </c>
      <c r="F66" s="1830">
        <f>0</f>
        <v>0</v>
      </c>
      <c r="G66" s="1965"/>
      <c r="H66" s="1965"/>
      <c r="I66" s="1832"/>
      <c r="J66" s="1832"/>
      <c r="K66" s="1832"/>
    </row>
    <row r="67" spans="1:12">
      <c r="A67" s="1832"/>
      <c r="B67" s="1832"/>
      <c r="C67" s="1832"/>
      <c r="D67" s="1832"/>
      <c r="E67" s="1832"/>
      <c r="F67" s="1832"/>
      <c r="G67" s="1965"/>
      <c r="H67" s="1965"/>
      <c r="I67" s="1832"/>
      <c r="J67" s="1832"/>
      <c r="K67" s="1832"/>
    </row>
    <row r="68" spans="1:12" ht="15.6">
      <c r="A68" s="2286" t="s">
        <v>868</v>
      </c>
      <c r="B68" s="2287" t="s">
        <v>861</v>
      </c>
      <c r="C68" s="2287"/>
      <c r="D68" s="2287" t="s">
        <v>862</v>
      </c>
      <c r="E68" s="2287"/>
      <c r="F68" s="1827" t="s">
        <v>863</v>
      </c>
      <c r="G68" s="1965"/>
      <c r="H68" s="1965"/>
      <c r="I68" s="1832"/>
      <c r="J68" s="1832"/>
      <c r="K68" s="1832"/>
      <c r="L68" s="490"/>
    </row>
    <row r="69" spans="1:12" ht="13.95" customHeight="1">
      <c r="A69" s="2286"/>
      <c r="B69" s="1828" t="s">
        <v>864</v>
      </c>
      <c r="C69" s="1828" t="s">
        <v>865</v>
      </c>
      <c r="D69" s="1828" t="s">
        <v>864</v>
      </c>
      <c r="E69" s="1828" t="s">
        <v>865</v>
      </c>
      <c r="F69" s="1828" t="s">
        <v>864</v>
      </c>
      <c r="G69" s="1965"/>
      <c r="H69" s="1965"/>
      <c r="I69" s="1832"/>
      <c r="J69" s="1832"/>
      <c r="K69" s="1832"/>
    </row>
    <row r="70" spans="1:12">
      <c r="A70" s="1829" t="s">
        <v>866</v>
      </c>
      <c r="B70" s="1830">
        <f>16</f>
        <v>16</v>
      </c>
      <c r="C70" s="1831">
        <f>6946228647.96</f>
        <v>6946228647.96</v>
      </c>
      <c r="D70" s="1830">
        <f>0</f>
        <v>0</v>
      </c>
      <c r="E70" s="1831">
        <f>0</f>
        <v>0</v>
      </c>
      <c r="F70" s="1830">
        <f>0</f>
        <v>0</v>
      </c>
      <c r="G70" s="1965"/>
      <c r="H70" s="1965"/>
      <c r="I70" s="1832"/>
      <c r="J70" s="1832"/>
      <c r="K70" s="1832"/>
    </row>
    <row r="71" spans="1:12">
      <c r="A71" s="1829" t="s">
        <v>867</v>
      </c>
      <c r="B71" s="1830">
        <f>16</f>
        <v>16</v>
      </c>
      <c r="C71" s="1831">
        <f>8675833546.85</f>
        <v>8675833546.8500004</v>
      </c>
      <c r="D71" s="1830">
        <f>0</f>
        <v>0</v>
      </c>
      <c r="E71" s="1831">
        <f>0</f>
        <v>0</v>
      </c>
      <c r="F71" s="1830">
        <f>0</f>
        <v>0</v>
      </c>
      <c r="G71" s="1965"/>
      <c r="H71" s="1965"/>
      <c r="I71" s="1832"/>
      <c r="J71" s="1832"/>
      <c r="K71" s="1832"/>
    </row>
    <row r="72" spans="1:12">
      <c r="A72" s="1898"/>
      <c r="B72" s="1966"/>
      <c r="C72" s="1966"/>
      <c r="D72" s="1966"/>
      <c r="E72" s="1965"/>
      <c r="F72" s="1965"/>
      <c r="G72" s="1965"/>
      <c r="H72" s="1965"/>
      <c r="I72" s="1832"/>
      <c r="J72" s="1832"/>
      <c r="K72" s="1832"/>
    </row>
    <row r="73" spans="1:12">
      <c r="A73" s="1898"/>
      <c r="B73" s="1966"/>
      <c r="C73" s="1966"/>
      <c r="D73" s="1966"/>
      <c r="E73" s="1965"/>
      <c r="F73" s="1965"/>
      <c r="G73" s="1965"/>
      <c r="H73" s="1965"/>
      <c r="I73" s="1832"/>
      <c r="J73" s="1832"/>
      <c r="K73" s="1832"/>
    </row>
    <row r="74" spans="1:12">
      <c r="A74" s="1967" t="s">
        <v>623</v>
      </c>
      <c r="B74" s="1966"/>
      <c r="C74" s="1966"/>
      <c r="D74" s="1966"/>
      <c r="E74" s="1965"/>
      <c r="F74" s="1965"/>
      <c r="G74" s="1965"/>
      <c r="H74" s="1965"/>
      <c r="I74" s="1832"/>
      <c r="J74" s="1832"/>
      <c r="K74" s="1832"/>
    </row>
    <row r="75" spans="1:12" ht="26.4">
      <c r="A75" s="1902" t="s">
        <v>774</v>
      </c>
      <c r="B75" s="1813">
        <f>8660241938.82</f>
        <v>8660241938.8199997</v>
      </c>
      <c r="C75" s="1813">
        <f>7574571747.13998</f>
        <v>7574571747.1399803</v>
      </c>
      <c r="D75" s="1816">
        <f>7594088059.99998</f>
        <v>7594088059.99998</v>
      </c>
      <c r="E75" s="1816">
        <f>169984993.01</f>
        <v>169984993.00999999</v>
      </c>
      <c r="F75" s="1816">
        <f>0</f>
        <v>0</v>
      </c>
      <c r="G75" s="1816">
        <f>2243270.26</f>
        <v>2243270.2599999998</v>
      </c>
      <c r="H75" s="1818">
        <f>31041121</f>
        <v>31041121</v>
      </c>
      <c r="I75" s="1835">
        <f>IF($C$75=0,"",100*$C75/$C$75)</f>
        <v>100</v>
      </c>
      <c r="J75" s="1835">
        <f>IF(B75=0,"",100*C75/B75)</f>
        <v>87.463742937556461</v>
      </c>
      <c r="K75" s="1832"/>
    </row>
    <row r="76" spans="1:12">
      <c r="A76" s="1968" t="s">
        <v>625</v>
      </c>
      <c r="B76" s="1816">
        <f>4700769643.59</f>
        <v>4700769643.5900002</v>
      </c>
      <c r="C76" s="1816">
        <f>4223296631.25</f>
        <v>4223296631.25</v>
      </c>
      <c r="D76" s="1816">
        <f>4242812944.11</f>
        <v>4242812944.1100001</v>
      </c>
      <c r="E76" s="1816">
        <f>95441213.64</f>
        <v>95441213.640000001</v>
      </c>
      <c r="F76" s="1816">
        <f>0</f>
        <v>0</v>
      </c>
      <c r="G76" s="1816">
        <f>2243270.26</f>
        <v>2243270.2599999998</v>
      </c>
      <c r="H76" s="1818">
        <f>29046597</f>
        <v>29046597</v>
      </c>
      <c r="I76" s="1835">
        <f>IF($C$75=0,"",100*$C76/$C$75)</f>
        <v>55.75624302251331</v>
      </c>
      <c r="J76" s="1835">
        <f>IF(B76=0,"",100*C76/B76)</f>
        <v>89.842663041549258</v>
      </c>
      <c r="K76" s="1832"/>
    </row>
    <row r="77" spans="1:12">
      <c r="A77" s="1968" t="s">
        <v>626</v>
      </c>
      <c r="B77" s="1816">
        <f t="shared" ref="B77:H77" si="6">B75-B76</f>
        <v>3959472295.2299995</v>
      </c>
      <c r="C77" s="1816">
        <f t="shared" si="6"/>
        <v>3351275115.8899803</v>
      </c>
      <c r="D77" s="1816">
        <f t="shared" si="6"/>
        <v>3351275115.8899798</v>
      </c>
      <c r="E77" s="1816">
        <f t="shared" si="6"/>
        <v>74543779.36999999</v>
      </c>
      <c r="F77" s="1816">
        <f t="shared" si="6"/>
        <v>0</v>
      </c>
      <c r="G77" s="1816">
        <f t="shared" si="6"/>
        <v>0</v>
      </c>
      <c r="H77" s="1969">
        <f t="shared" si="6"/>
        <v>1994524</v>
      </c>
      <c r="I77" s="1835">
        <f>IF($C$75=0,"",100*$C77/$C$75)</f>
        <v>44.24375697748669</v>
      </c>
      <c r="J77" s="1835">
        <f>IF(B77=0,"",100*C77/B77)</f>
        <v>84.639438440503355</v>
      </c>
      <c r="K77" s="1832"/>
    </row>
    <row r="78" spans="1:12">
      <c r="A78" s="1806"/>
      <c r="B78" s="1806"/>
      <c r="C78" s="1806"/>
      <c r="D78" s="1806"/>
      <c r="E78" s="1806"/>
      <c r="F78" s="1806"/>
      <c r="G78" s="1806"/>
      <c r="H78" s="1806"/>
      <c r="I78" s="1806"/>
      <c r="J78" s="1806"/>
      <c r="K78" s="1806"/>
    </row>
    <row r="79" spans="1:12">
      <c r="A79" s="1838" t="s">
        <v>1</v>
      </c>
      <c r="B79" s="1839" t="s">
        <v>627</v>
      </c>
      <c r="C79" s="1839" t="s">
        <v>628</v>
      </c>
      <c r="D79" s="2274" t="s">
        <v>597</v>
      </c>
      <c r="E79" s="2275"/>
      <c r="F79" s="2275"/>
      <c r="G79" s="2275"/>
      <c r="H79" s="2276"/>
      <c r="I79" s="1807" t="s">
        <v>5</v>
      </c>
      <c r="J79" s="1807" t="s">
        <v>4</v>
      </c>
      <c r="K79" s="1806"/>
    </row>
    <row r="80" spans="1:12" ht="14.4">
      <c r="A80" s="1838"/>
      <c r="B80" s="2283" t="s">
        <v>163</v>
      </c>
      <c r="C80" s="2284"/>
      <c r="D80" s="2277"/>
      <c r="E80" s="2278"/>
      <c r="F80" s="2278"/>
      <c r="G80" s="2278"/>
      <c r="H80" s="2279"/>
      <c r="I80" s="2401" t="s">
        <v>169</v>
      </c>
      <c r="J80" s="2402"/>
      <c r="K80" s="1806"/>
    </row>
    <row r="81" spans="1:11">
      <c r="A81" s="1809">
        <v>1</v>
      </c>
      <c r="B81" s="1840">
        <v>2</v>
      </c>
      <c r="C81" s="1840">
        <v>3</v>
      </c>
      <c r="D81" s="2280"/>
      <c r="E81" s="2281"/>
      <c r="F81" s="2281"/>
      <c r="G81" s="2281"/>
      <c r="H81" s="2282"/>
      <c r="I81" s="1841">
        <v>4</v>
      </c>
      <c r="J81" s="1841">
        <v>5</v>
      </c>
      <c r="K81" s="1806"/>
    </row>
    <row r="82" spans="1:11" ht="26.4">
      <c r="A82" s="1949" t="s">
        <v>629</v>
      </c>
      <c r="B82" s="1843">
        <f>4987543914.72</f>
        <v>4987543914.7200003</v>
      </c>
      <c r="C82" s="1843">
        <f>7512900532.91</f>
        <v>7512900532.9099998</v>
      </c>
      <c r="D82" s="1970" t="s">
        <v>597</v>
      </c>
      <c r="E82" s="1970" t="s">
        <v>597</v>
      </c>
      <c r="F82" s="1970" t="s">
        <v>597</v>
      </c>
      <c r="G82" s="1970" t="s">
        <v>597</v>
      </c>
      <c r="H82" s="1970" t="s">
        <v>597</v>
      </c>
      <c r="I82" s="1775">
        <f>IF($C$82=0,"",100*$C82/$C$82)</f>
        <v>100</v>
      </c>
      <c r="J82" s="1812">
        <f t="shared" ref="J82:J96" si="7">IF(B82=0,"",100*C82/B82)</f>
        <v>150.63327083169699</v>
      </c>
      <c r="K82" s="1806"/>
    </row>
    <row r="83" spans="1:11" ht="30.6">
      <c r="A83" s="1844" t="s">
        <v>630</v>
      </c>
      <c r="B83" s="1845">
        <f>1268116445</f>
        <v>1268116445</v>
      </c>
      <c r="C83" s="1845">
        <f>800507710</f>
        <v>800507710</v>
      </c>
      <c r="D83" s="1970" t="s">
        <v>597</v>
      </c>
      <c r="E83" s="1970" t="s">
        <v>597</v>
      </c>
      <c r="F83" s="1970" t="s">
        <v>597</v>
      </c>
      <c r="G83" s="1970" t="s">
        <v>597</v>
      </c>
      <c r="H83" s="1970" t="s">
        <v>597</v>
      </c>
      <c r="I83" s="1775">
        <f t="shared" ref="I83:I92" si="8">IF($C$82=0,"",100*$C83/$C$82)</f>
        <v>10.655108589464266</v>
      </c>
      <c r="J83" s="1812">
        <f t="shared" si="7"/>
        <v>63.125725808247836</v>
      </c>
      <c r="K83" s="1806"/>
    </row>
    <row r="84" spans="1:11">
      <c r="A84" s="1846" t="s">
        <v>631</v>
      </c>
      <c r="B84" s="1845">
        <f>200000000</f>
        <v>200000000</v>
      </c>
      <c r="C84" s="1845">
        <f>200000000</f>
        <v>200000000</v>
      </c>
      <c r="D84" s="1970" t="s">
        <v>597</v>
      </c>
      <c r="E84" s="1970" t="s">
        <v>597</v>
      </c>
      <c r="F84" s="1970" t="s">
        <v>597</v>
      </c>
      <c r="G84" s="1970" t="s">
        <v>597</v>
      </c>
      <c r="H84" s="1970" t="s">
        <v>597</v>
      </c>
      <c r="I84" s="1775">
        <f t="shared" si="8"/>
        <v>2.6620876866918035</v>
      </c>
      <c r="J84" s="1812">
        <f t="shared" si="7"/>
        <v>100</v>
      </c>
      <c r="K84" s="1806"/>
    </row>
    <row r="85" spans="1:11">
      <c r="A85" s="1844" t="s">
        <v>632</v>
      </c>
      <c r="B85" s="1845">
        <f>88956039</f>
        <v>88956039</v>
      </c>
      <c r="C85" s="1845">
        <f>83677689.41</f>
        <v>83677689.409999996</v>
      </c>
      <c r="D85" s="1970" t="s">
        <v>597</v>
      </c>
      <c r="E85" s="1970" t="s">
        <v>597</v>
      </c>
      <c r="F85" s="1970" t="s">
        <v>597</v>
      </c>
      <c r="G85" s="1970" t="s">
        <v>597</v>
      </c>
      <c r="H85" s="1970" t="s">
        <v>597</v>
      </c>
      <c r="I85" s="1775">
        <f t="shared" si="8"/>
        <v>1.1137867331459106</v>
      </c>
      <c r="J85" s="1812">
        <f t="shared" si="7"/>
        <v>94.066339228526132</v>
      </c>
      <c r="K85" s="1806"/>
    </row>
    <row r="86" spans="1:11" ht="40.799999999999997">
      <c r="A86" s="1844" t="s">
        <v>633</v>
      </c>
      <c r="B86" s="1845">
        <f>1494783621.45</f>
        <v>1494783621.45</v>
      </c>
      <c r="C86" s="1845">
        <f>3209818489.5</f>
        <v>3209818489.5</v>
      </c>
      <c r="D86" s="1970" t="s">
        <v>597</v>
      </c>
      <c r="E86" s="1970" t="s">
        <v>597</v>
      </c>
      <c r="F86" s="1970" t="s">
        <v>597</v>
      </c>
      <c r="G86" s="1970" t="s">
        <v>597</v>
      </c>
      <c r="H86" s="1970" t="s">
        <v>597</v>
      </c>
      <c r="I86" s="1775">
        <f t="shared" si="8"/>
        <v>42.724091387068171</v>
      </c>
      <c r="J86" s="1812">
        <f t="shared" si="7"/>
        <v>214.73465747412641</v>
      </c>
      <c r="K86" s="1806"/>
    </row>
    <row r="87" spans="1:11" ht="30.6">
      <c r="A87" s="1844" t="s">
        <v>634</v>
      </c>
      <c r="B87" s="1845">
        <f>522923352.46</f>
        <v>522923352.45999998</v>
      </c>
      <c r="C87" s="1845">
        <f>684830763.4</f>
        <v>684830763.39999998</v>
      </c>
      <c r="D87" s="1970" t="s">
        <v>597</v>
      </c>
      <c r="E87" s="1970" t="s">
        <v>597</v>
      </c>
      <c r="F87" s="1970" t="s">
        <v>597</v>
      </c>
      <c r="G87" s="1970" t="s">
        <v>597</v>
      </c>
      <c r="H87" s="1970" t="s">
        <v>597</v>
      </c>
      <c r="I87" s="1775">
        <f t="shared" si="8"/>
        <v>9.1153977135744402</v>
      </c>
      <c r="J87" s="1812">
        <f t="shared" si="7"/>
        <v>130.96197753998467</v>
      </c>
      <c r="K87" s="1806"/>
    </row>
    <row r="88" spans="1:11">
      <c r="A88" s="1844" t="s">
        <v>635</v>
      </c>
      <c r="B88" s="1845">
        <f>0</f>
        <v>0</v>
      </c>
      <c r="C88" s="1845">
        <f>0</f>
        <v>0</v>
      </c>
      <c r="D88" s="1970" t="s">
        <v>597</v>
      </c>
      <c r="E88" s="1970" t="s">
        <v>597</v>
      </c>
      <c r="F88" s="1970" t="s">
        <v>597</v>
      </c>
      <c r="G88" s="1970" t="s">
        <v>597</v>
      </c>
      <c r="H88" s="1970" t="s">
        <v>597</v>
      </c>
      <c r="I88" s="1775">
        <f t="shared" si="8"/>
        <v>0</v>
      </c>
      <c r="J88" s="1812" t="str">
        <f t="shared" si="7"/>
        <v/>
      </c>
      <c r="K88" s="1806"/>
    </row>
    <row r="89" spans="1:11" ht="30.6">
      <c r="A89" s="1844" t="s">
        <v>746</v>
      </c>
      <c r="B89" s="1845">
        <f>1290053000.55</f>
        <v>1290053000.55</v>
      </c>
      <c r="C89" s="1845">
        <f>2411354424.34</f>
        <v>2411354424.3400002</v>
      </c>
      <c r="D89" s="1970" t="s">
        <v>597</v>
      </c>
      <c r="E89" s="1970" t="s">
        <v>597</v>
      </c>
      <c r="F89" s="1970" t="s">
        <v>597</v>
      </c>
      <c r="G89" s="1970" t="s">
        <v>597</v>
      </c>
      <c r="H89" s="1970" t="s">
        <v>597</v>
      </c>
      <c r="I89" s="1775">
        <f t="shared" si="8"/>
        <v>32.096184606426583</v>
      </c>
      <c r="J89" s="1812">
        <f t="shared" si="7"/>
        <v>186.91901986290063</v>
      </c>
      <c r="K89" s="1806"/>
    </row>
    <row r="90" spans="1:11" ht="51">
      <c r="A90" s="1844" t="s">
        <v>754</v>
      </c>
      <c r="B90" s="1845">
        <f>0</f>
        <v>0</v>
      </c>
      <c r="C90" s="1845">
        <f>0</f>
        <v>0</v>
      </c>
      <c r="D90" s="1970" t="s">
        <v>597</v>
      </c>
      <c r="E90" s="1970" t="s">
        <v>597</v>
      </c>
      <c r="F90" s="1970" t="s">
        <v>597</v>
      </c>
      <c r="G90" s="1970" t="s">
        <v>597</v>
      </c>
      <c r="H90" s="1970" t="s">
        <v>597</v>
      </c>
      <c r="I90" s="1775">
        <f t="shared" si="8"/>
        <v>0</v>
      </c>
      <c r="J90" s="1812" t="str">
        <f>IF(B90=0,"",100*C90/B90)</f>
        <v/>
      </c>
      <c r="K90" s="1806"/>
    </row>
    <row r="91" spans="1:11">
      <c r="A91" s="1844" t="s">
        <v>638</v>
      </c>
      <c r="B91" s="1845">
        <f>322711456.26</f>
        <v>322711456.25999999</v>
      </c>
      <c r="C91" s="1845">
        <f>322711456.26</f>
        <v>322711456.25999999</v>
      </c>
      <c r="D91" s="1970" t="s">
        <v>597</v>
      </c>
      <c r="E91" s="1970" t="s">
        <v>597</v>
      </c>
      <c r="F91" s="1970" t="s">
        <v>597</v>
      </c>
      <c r="G91" s="1970" t="s">
        <v>597</v>
      </c>
      <c r="H91" s="1970" t="s">
        <v>597</v>
      </c>
      <c r="I91" s="1775">
        <f t="shared" si="8"/>
        <v>4.2954309703206324</v>
      </c>
      <c r="J91" s="1812">
        <f>IF(B91=0,"",100*C91/B91)</f>
        <v>100</v>
      </c>
      <c r="K91" s="1806"/>
    </row>
    <row r="92" spans="1:11" ht="20.399999999999999">
      <c r="A92" s="1846" t="s">
        <v>639</v>
      </c>
      <c r="B92" s="1845">
        <f>322711456.26</f>
        <v>322711456.25999999</v>
      </c>
      <c r="C92" s="1845">
        <f>322711456.26</f>
        <v>322711456.25999999</v>
      </c>
      <c r="D92" s="1970" t="s">
        <v>597</v>
      </c>
      <c r="E92" s="1970" t="s">
        <v>597</v>
      </c>
      <c r="F92" s="1970" t="s">
        <v>597</v>
      </c>
      <c r="G92" s="1970" t="s">
        <v>597</v>
      </c>
      <c r="H92" s="1970" t="s">
        <v>597</v>
      </c>
      <c r="I92" s="1775">
        <f t="shared" si="8"/>
        <v>4.2954309703206324</v>
      </c>
      <c r="J92" s="1812">
        <f>IF(B92=0,"",100*C92/B92)</f>
        <v>100</v>
      </c>
      <c r="K92" s="1806"/>
    </row>
    <row r="93" spans="1:11" ht="26.4">
      <c r="A93" s="1949" t="s">
        <v>640</v>
      </c>
      <c r="B93" s="1843">
        <f>1827273421.97</f>
        <v>1827273421.97</v>
      </c>
      <c r="C93" s="1843">
        <f>1805834007</f>
        <v>1805834007</v>
      </c>
      <c r="D93" s="1970" t="s">
        <v>597</v>
      </c>
      <c r="E93" s="1970" t="s">
        <v>597</v>
      </c>
      <c r="F93" s="1970" t="s">
        <v>597</v>
      </c>
      <c r="G93" s="1970" t="s">
        <v>597</v>
      </c>
      <c r="H93" s="1970" t="s">
        <v>597</v>
      </c>
      <c r="I93" s="1775">
        <f t="shared" ref="I93:I98" si="9">IF($C$93=0,"",100*$C93/$C$93)</f>
        <v>100</v>
      </c>
      <c r="J93" s="1812">
        <f t="shared" si="7"/>
        <v>98.826699129302384</v>
      </c>
      <c r="K93" s="1806"/>
    </row>
    <row r="94" spans="1:11" ht="20.399999999999999">
      <c r="A94" s="1844" t="s">
        <v>641</v>
      </c>
      <c r="B94" s="1845">
        <f>921955091.48</f>
        <v>921955091.48000002</v>
      </c>
      <c r="C94" s="1845">
        <f>918281898.91</f>
        <v>918281898.90999997</v>
      </c>
      <c r="D94" s="1970" t="s">
        <v>597</v>
      </c>
      <c r="E94" s="1970" t="s">
        <v>597</v>
      </c>
      <c r="F94" s="1970" t="s">
        <v>597</v>
      </c>
      <c r="G94" s="1970" t="s">
        <v>597</v>
      </c>
      <c r="H94" s="1970" t="s">
        <v>597</v>
      </c>
      <c r="I94" s="1775">
        <f t="shared" si="9"/>
        <v>50.85084760561827</v>
      </c>
      <c r="J94" s="1812">
        <f t="shared" si="7"/>
        <v>99.601586606121614</v>
      </c>
      <c r="K94" s="1806"/>
    </row>
    <row r="95" spans="1:11">
      <c r="A95" s="1846" t="s">
        <v>642</v>
      </c>
      <c r="B95" s="1845">
        <f>133950000</f>
        <v>133950000</v>
      </c>
      <c r="C95" s="1845">
        <f>133950000</f>
        <v>133950000</v>
      </c>
      <c r="D95" s="1970" t="s">
        <v>597</v>
      </c>
      <c r="E95" s="1970" t="s">
        <v>597</v>
      </c>
      <c r="F95" s="1970" t="s">
        <v>597</v>
      </c>
      <c r="G95" s="1970" t="s">
        <v>597</v>
      </c>
      <c r="H95" s="1970" t="s">
        <v>597</v>
      </c>
      <c r="I95" s="1775">
        <f t="shared" si="9"/>
        <v>7.4176252900746267</v>
      </c>
      <c r="J95" s="1812">
        <f t="shared" si="7"/>
        <v>100</v>
      </c>
      <c r="K95" s="1806"/>
    </row>
    <row r="96" spans="1:11">
      <c r="A96" s="1844" t="s">
        <v>643</v>
      </c>
      <c r="B96" s="1845">
        <f>458812990.62</f>
        <v>458812990.62</v>
      </c>
      <c r="C96" s="1845">
        <f>441046768.22</f>
        <v>441046768.22000003</v>
      </c>
      <c r="D96" s="1970" t="s">
        <v>597</v>
      </c>
      <c r="E96" s="1970" t="s">
        <v>597</v>
      </c>
      <c r="F96" s="1970" t="s">
        <v>597</v>
      </c>
      <c r="G96" s="1970" t="s">
        <v>597</v>
      </c>
      <c r="H96" s="1970" t="s">
        <v>597</v>
      </c>
      <c r="I96" s="1775">
        <f t="shared" si="9"/>
        <v>24.423439059756284</v>
      </c>
      <c r="J96" s="1812">
        <f t="shared" si="7"/>
        <v>96.127785663611604</v>
      </c>
      <c r="K96" s="1806"/>
    </row>
    <row r="97" spans="1:11">
      <c r="A97" s="1844" t="s">
        <v>644</v>
      </c>
      <c r="B97" s="1845">
        <f>446505339.87</f>
        <v>446505339.87</v>
      </c>
      <c r="C97" s="1845">
        <f>446505339.87</f>
        <v>446505339.87</v>
      </c>
      <c r="D97" s="1970" t="s">
        <v>597</v>
      </c>
      <c r="E97" s="1970" t="s">
        <v>597</v>
      </c>
      <c r="F97" s="1970" t="s">
        <v>597</v>
      </c>
      <c r="G97" s="1970" t="s">
        <v>597</v>
      </c>
      <c r="H97" s="1970" t="s">
        <v>597</v>
      </c>
      <c r="I97" s="1775">
        <f t="shared" si="9"/>
        <v>24.725713334625446</v>
      </c>
      <c r="J97" s="1812">
        <f>IF(B97=0,"",100*C97/B97)</f>
        <v>100</v>
      </c>
      <c r="K97" s="1806"/>
    </row>
    <row r="98" spans="1:11" ht="20.399999999999999">
      <c r="A98" s="1846" t="s">
        <v>645</v>
      </c>
      <c r="B98" s="1845">
        <f>446505339.87</f>
        <v>446505339.87</v>
      </c>
      <c r="C98" s="1845">
        <f>446505339.87</f>
        <v>446505339.87</v>
      </c>
      <c r="D98" s="1970" t="s">
        <v>597</v>
      </c>
      <c r="E98" s="1970" t="s">
        <v>597</v>
      </c>
      <c r="F98" s="1970" t="s">
        <v>597</v>
      </c>
      <c r="G98" s="1970" t="s">
        <v>597</v>
      </c>
      <c r="H98" s="1970" t="s">
        <v>597</v>
      </c>
      <c r="I98" s="1775">
        <f t="shared" si="9"/>
        <v>24.725713334625446</v>
      </c>
      <c r="J98" s="1812">
        <f>IF(B98=0,"",100*C98/B98)</f>
        <v>100</v>
      </c>
      <c r="K98" s="1806"/>
    </row>
    <row r="99" spans="1:11">
      <c r="A99" s="1806"/>
      <c r="B99" s="1806"/>
      <c r="C99" s="1806"/>
      <c r="D99" s="1806"/>
      <c r="E99" s="1806"/>
      <c r="F99" s="1806"/>
      <c r="G99" s="1806"/>
      <c r="H99" s="1806"/>
      <c r="I99" s="1806"/>
      <c r="J99" s="1806"/>
      <c r="K99" s="1806"/>
    </row>
    <row r="100" spans="1:11">
      <c r="A100" s="1838" t="s">
        <v>1</v>
      </c>
      <c r="B100" s="1839" t="s">
        <v>627</v>
      </c>
      <c r="C100" s="1807" t="s">
        <v>628</v>
      </c>
      <c r="D100" s="1806"/>
      <c r="E100" s="1806"/>
      <c r="F100" s="1806"/>
      <c r="G100" s="1806"/>
      <c r="H100" s="1806"/>
      <c r="I100" s="1806"/>
      <c r="J100" s="1806"/>
      <c r="K100" s="1806"/>
    </row>
    <row r="101" spans="1:11">
      <c r="A101" s="1838"/>
      <c r="B101" s="2283" t="s">
        <v>163</v>
      </c>
      <c r="C101" s="2284"/>
      <c r="D101" s="1806"/>
      <c r="E101" s="1806"/>
      <c r="F101" s="1806"/>
      <c r="G101" s="1806"/>
      <c r="H101" s="1806"/>
      <c r="I101" s="1806"/>
      <c r="J101" s="1806"/>
      <c r="K101" s="1806"/>
    </row>
    <row r="102" spans="1:11">
      <c r="A102" s="1809">
        <v>1</v>
      </c>
      <c r="B102" s="1840">
        <v>2</v>
      </c>
      <c r="C102" s="1841">
        <v>3</v>
      </c>
      <c r="D102" s="1806"/>
      <c r="E102" s="1806"/>
      <c r="F102" s="1806"/>
      <c r="G102" s="1806"/>
      <c r="H102" s="1806"/>
      <c r="I102" s="1806"/>
      <c r="J102" s="1806"/>
      <c r="K102" s="1806"/>
    </row>
    <row r="103" spans="1:11" ht="30.6">
      <c r="A103" s="1847" t="s">
        <v>756</v>
      </c>
      <c r="B103" s="1845">
        <f>2834376777.15</f>
        <v>2834376777.1500001</v>
      </c>
      <c r="C103" s="1787">
        <f>802871409.46</f>
        <v>802871409.46000004</v>
      </c>
      <c r="D103" s="1806"/>
      <c r="E103" s="1806"/>
      <c r="F103" s="1806"/>
      <c r="G103" s="1806"/>
      <c r="H103" s="1806"/>
      <c r="I103" s="1806"/>
      <c r="J103" s="1806"/>
      <c r="K103" s="1806"/>
    </row>
    <row r="104" spans="1:11" ht="30.6">
      <c r="A104" s="1848" t="s">
        <v>647</v>
      </c>
      <c r="B104" s="1845">
        <f>73768621</f>
        <v>73768621</v>
      </c>
      <c r="C104" s="1787">
        <f>73768621</f>
        <v>73768621</v>
      </c>
      <c r="D104" s="1806"/>
      <c r="E104" s="1806"/>
      <c r="F104" s="1806"/>
      <c r="G104" s="1806"/>
      <c r="H104" s="1806"/>
      <c r="I104" s="1806"/>
      <c r="J104" s="1806"/>
      <c r="K104" s="1806"/>
    </row>
    <row r="105" spans="1:11">
      <c r="A105" s="1848" t="s">
        <v>648</v>
      </c>
      <c r="B105" s="1845">
        <f>1054864649</f>
        <v>1054864649</v>
      </c>
      <c r="C105" s="1787">
        <f>379994378.8</f>
        <v>379994378.80000001</v>
      </c>
      <c r="D105" s="1806"/>
      <c r="E105" s="1806"/>
      <c r="F105" s="1806"/>
      <c r="G105" s="1806"/>
      <c r="H105" s="1806"/>
      <c r="I105" s="1806"/>
      <c r="J105" s="1806"/>
      <c r="K105" s="1806"/>
    </row>
    <row r="106" spans="1:11" ht="20.399999999999999">
      <c r="A106" s="1848" t="s">
        <v>649</v>
      </c>
      <c r="B106" s="1845">
        <f>0</f>
        <v>0</v>
      </c>
      <c r="C106" s="1787">
        <f>0</f>
        <v>0</v>
      </c>
      <c r="D106" s="1806"/>
      <c r="E106" s="1806"/>
      <c r="F106" s="1806"/>
      <c r="G106" s="1806"/>
      <c r="H106" s="1806"/>
      <c r="I106" s="1806"/>
      <c r="J106" s="1806"/>
      <c r="K106" s="1806"/>
    </row>
    <row r="107" spans="1:11" ht="51">
      <c r="A107" s="1848" t="s">
        <v>650</v>
      </c>
      <c r="B107" s="1845">
        <f>581230192.97</f>
        <v>581230192.97000003</v>
      </c>
      <c r="C107" s="1787">
        <f>140703654.13</f>
        <v>140703654.13</v>
      </c>
      <c r="D107" s="1806"/>
      <c r="E107" s="1806"/>
      <c r="F107" s="1806"/>
      <c r="G107" s="1806"/>
      <c r="H107" s="1806"/>
      <c r="I107" s="1806"/>
      <c r="J107" s="1806"/>
      <c r="K107" s="1806"/>
    </row>
    <row r="108" spans="1:11" ht="61.2">
      <c r="A108" s="1848" t="s">
        <v>651</v>
      </c>
      <c r="B108" s="1845">
        <f>418295675.03</f>
        <v>418295675.02999997</v>
      </c>
      <c r="C108" s="1787">
        <f>63468358.37</f>
        <v>63468358.369999997</v>
      </c>
      <c r="D108" s="1806"/>
      <c r="E108" s="1806"/>
      <c r="F108" s="1806"/>
      <c r="G108" s="1806"/>
      <c r="H108" s="1806"/>
      <c r="I108" s="1806"/>
      <c r="J108" s="1806"/>
      <c r="K108" s="1806"/>
    </row>
    <row r="109" spans="1:11" ht="112.2">
      <c r="A109" s="1848" t="s">
        <v>652</v>
      </c>
      <c r="B109" s="1845">
        <f>465615832.76</f>
        <v>465615832.75999999</v>
      </c>
      <c r="C109" s="1787">
        <f>144936397.16</f>
        <v>144936397.16</v>
      </c>
      <c r="D109" s="1806"/>
      <c r="E109" s="1806"/>
      <c r="F109" s="1806"/>
      <c r="G109" s="1806"/>
      <c r="H109" s="1806"/>
      <c r="I109" s="1806"/>
      <c r="J109" s="1806"/>
      <c r="K109" s="1806"/>
    </row>
    <row r="110" spans="1:11" ht="20.399999999999999">
      <c r="A110" s="1848" t="s">
        <v>653</v>
      </c>
      <c r="B110" s="1845">
        <f>25464569</f>
        <v>25464569</v>
      </c>
      <c r="C110" s="1787">
        <f>0</f>
        <v>0</v>
      </c>
      <c r="D110" s="1806"/>
      <c r="E110" s="1806"/>
      <c r="F110" s="1806"/>
      <c r="G110" s="1806"/>
      <c r="H110" s="1806"/>
      <c r="I110" s="1806"/>
      <c r="J110" s="1806"/>
      <c r="K110" s="1806"/>
    </row>
    <row r="111" spans="1:11" ht="20.399999999999999">
      <c r="A111" s="1848" t="s">
        <v>639</v>
      </c>
      <c r="B111" s="1845">
        <f>215137237.39</f>
        <v>215137237.38999999</v>
      </c>
      <c r="C111" s="1787">
        <f>0</f>
        <v>0</v>
      </c>
      <c r="D111" s="1806"/>
      <c r="E111" s="1806"/>
      <c r="F111" s="1806"/>
      <c r="G111" s="1806"/>
      <c r="H111" s="1806"/>
      <c r="I111" s="1806"/>
      <c r="J111" s="1806"/>
      <c r="K111" s="1806"/>
    </row>
    <row r="113" spans="1:4">
      <c r="A113" s="2255" t="s">
        <v>884</v>
      </c>
      <c r="B113" s="2255"/>
      <c r="C113" s="2255"/>
      <c r="D113" s="2255"/>
    </row>
  </sheetData>
  <mergeCells count="29">
    <mergeCell ref="D79:H81"/>
    <mergeCell ref="B80:C80"/>
    <mergeCell ref="I80:J80"/>
    <mergeCell ref="B101:C101"/>
    <mergeCell ref="A113:D113"/>
    <mergeCell ref="A2:A3"/>
    <mergeCell ref="B3:C3"/>
    <mergeCell ref="D3:H4"/>
    <mergeCell ref="I3:K3"/>
    <mergeCell ref="A44:A47"/>
    <mergeCell ref="B44:B46"/>
    <mergeCell ref="C44:C46"/>
    <mergeCell ref="D44:D46"/>
    <mergeCell ref="E44:G44"/>
    <mergeCell ref="H44:H46"/>
    <mergeCell ref="I44:I46"/>
    <mergeCell ref="J44:J46"/>
    <mergeCell ref="I47:J47"/>
    <mergeCell ref="A68:A69"/>
    <mergeCell ref="B68:C68"/>
    <mergeCell ref="D68:E68"/>
    <mergeCell ref="E45:E46"/>
    <mergeCell ref="F45:G45"/>
    <mergeCell ref="B47:H47"/>
    <mergeCell ref="H60:I60"/>
    <mergeCell ref="H59:I59"/>
    <mergeCell ref="A63:A64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34" max="10" man="1"/>
    <brk id="99" max="10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53B15-942B-4C7A-8205-AEB608333C79}">
  <dimension ref="A1:Q66"/>
  <sheetViews>
    <sheetView view="pageBreakPreview" topLeftCell="A19" zoomScaleNormal="100" zoomScaleSheetLayoutView="100" workbookViewId="0">
      <selection activeCell="A44" sqref="A44"/>
    </sheetView>
  </sheetViews>
  <sheetFormatPr defaultColWidth="9.21875" defaultRowHeight="13.8"/>
  <cols>
    <col min="1" max="1" width="22.5546875" style="431" customWidth="1"/>
    <col min="2" max="3" width="11.77734375" style="431" bestFit="1" customWidth="1"/>
    <col min="4" max="4" width="10.5546875" style="431" customWidth="1"/>
    <col min="5" max="5" width="10.77734375" style="431" bestFit="1" customWidth="1"/>
    <col min="6" max="6" width="12.21875" style="431" customWidth="1"/>
    <col min="7" max="7" width="10.77734375" style="431" bestFit="1" customWidth="1"/>
    <col min="8" max="8" width="8" style="431" customWidth="1"/>
    <col min="9" max="9" width="9.21875" style="431" bestFit="1" customWidth="1"/>
    <col min="10" max="10" width="11.77734375" style="431" bestFit="1" customWidth="1"/>
    <col min="11" max="11" width="10.21875" style="431" customWidth="1"/>
    <col min="12" max="12" width="12.21875" style="431" customWidth="1"/>
    <col min="13" max="13" width="11.77734375" style="431" customWidth="1"/>
    <col min="14" max="14" width="9.77734375" style="431" customWidth="1"/>
    <col min="15" max="16" width="11.77734375" style="431" bestFit="1" customWidth="1"/>
    <col min="17" max="17" width="9.21875" style="431" bestFit="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432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432"/>
      <c r="O2" s="432"/>
      <c r="P2" s="432"/>
      <c r="Q2" s="432"/>
    </row>
    <row r="3" spans="1:17">
      <c r="A3" s="2332" t="s">
        <v>1</v>
      </c>
      <c r="B3" s="2339" t="s">
        <v>655</v>
      </c>
      <c r="C3" s="2344" t="s">
        <v>656</v>
      </c>
      <c r="D3" s="2345"/>
      <c r="E3" s="2345"/>
      <c r="F3" s="2345"/>
      <c r="G3" s="2345"/>
      <c r="H3" s="2345"/>
      <c r="I3" s="2345"/>
      <c r="J3" s="2345"/>
      <c r="K3" s="2345"/>
      <c r="L3" s="2345"/>
      <c r="M3" s="2345"/>
      <c r="N3" s="2346"/>
      <c r="O3" s="2344" t="s">
        <v>657</v>
      </c>
      <c r="P3" s="2345"/>
      <c r="Q3" s="2346"/>
    </row>
    <row r="4" spans="1:17">
      <c r="A4" s="2333"/>
      <c r="B4" s="2340"/>
      <c r="C4" s="2341" t="s">
        <v>658</v>
      </c>
      <c r="D4" s="2341" t="s">
        <v>659</v>
      </c>
      <c r="E4" s="2341" t="s">
        <v>660</v>
      </c>
      <c r="F4" s="2341" t="s">
        <v>661</v>
      </c>
      <c r="G4" s="2341" t="s">
        <v>662</v>
      </c>
      <c r="H4" s="2341" t="s">
        <v>663</v>
      </c>
      <c r="I4" s="2410" t="s">
        <v>664</v>
      </c>
      <c r="J4" s="2341" t="s">
        <v>665</v>
      </c>
      <c r="K4" s="2341" t="s">
        <v>666</v>
      </c>
      <c r="L4" s="2341" t="s">
        <v>667</v>
      </c>
      <c r="M4" s="2341" t="s">
        <v>668</v>
      </c>
      <c r="N4" s="234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33"/>
      <c r="B5" s="2340"/>
      <c r="C5" s="2338"/>
      <c r="D5" s="2338"/>
      <c r="E5" s="2338"/>
      <c r="F5" s="2338"/>
      <c r="G5" s="2338"/>
      <c r="H5" s="2338"/>
      <c r="I5" s="2410"/>
      <c r="J5" s="2338"/>
      <c r="K5" s="2338"/>
      <c r="L5" s="2338"/>
      <c r="M5" s="2338"/>
      <c r="N5" s="2340"/>
      <c r="O5" s="2338"/>
      <c r="P5" s="2338"/>
      <c r="Q5" s="2338"/>
    </row>
    <row r="6" spans="1:17">
      <c r="A6" s="2333"/>
      <c r="B6" s="2340"/>
      <c r="C6" s="2338"/>
      <c r="D6" s="2338"/>
      <c r="E6" s="2338"/>
      <c r="F6" s="2338"/>
      <c r="G6" s="2338"/>
      <c r="H6" s="2338"/>
      <c r="I6" s="2410"/>
      <c r="J6" s="2338"/>
      <c r="K6" s="2338"/>
      <c r="L6" s="2338"/>
      <c r="M6" s="2338"/>
      <c r="N6" s="2340"/>
      <c r="O6" s="2338"/>
      <c r="P6" s="2338"/>
      <c r="Q6" s="2338"/>
    </row>
    <row r="7" spans="1:17" ht="28.95" customHeight="1">
      <c r="A7" s="2334"/>
      <c r="B7" s="2341"/>
      <c r="C7" s="2338"/>
      <c r="D7" s="2338"/>
      <c r="E7" s="2338"/>
      <c r="F7" s="2338"/>
      <c r="G7" s="2338"/>
      <c r="H7" s="2338"/>
      <c r="I7" s="2411"/>
      <c r="J7" s="2338"/>
      <c r="K7" s="2338"/>
      <c r="L7" s="2338"/>
      <c r="M7" s="2338"/>
      <c r="N7" s="234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>
      <c r="A9" s="2072"/>
      <c r="B9" s="2322" t="s">
        <v>163</v>
      </c>
      <c r="C9" s="2323"/>
      <c r="D9" s="2323"/>
      <c r="E9" s="2323"/>
      <c r="F9" s="2323"/>
      <c r="G9" s="2323"/>
      <c r="H9" s="2323"/>
      <c r="I9" s="2323"/>
      <c r="J9" s="2323"/>
      <c r="K9" s="2323"/>
      <c r="L9" s="2323"/>
      <c r="M9" s="2323"/>
      <c r="N9" s="2323"/>
      <c r="O9" s="2323"/>
      <c r="P9" s="2323"/>
      <c r="Q9" s="2324"/>
    </row>
    <row r="10" spans="1:17" ht="30.6">
      <c r="A10" s="1914" t="s">
        <v>775</v>
      </c>
      <c r="B10" s="1971">
        <f>4424627910.5</f>
        <v>4424627910.5</v>
      </c>
      <c r="C10" s="1971">
        <f>3059764858.66</f>
        <v>3059764858.6599998</v>
      </c>
      <c r="D10" s="1971">
        <f>146013454.43</f>
        <v>146013454.43000001</v>
      </c>
      <c r="E10" s="1971">
        <f>146003530.43</f>
        <v>146003530.43000001</v>
      </c>
      <c r="F10" s="1971">
        <f>0</f>
        <v>0</v>
      </c>
      <c r="G10" s="1971">
        <f>9924</f>
        <v>9924</v>
      </c>
      <c r="H10" s="1971">
        <f>0</f>
        <v>0</v>
      </c>
      <c r="I10" s="1971">
        <f>0</f>
        <v>0</v>
      </c>
      <c r="J10" s="1971">
        <f>2795769592.58</f>
        <v>2795769592.5799999</v>
      </c>
      <c r="K10" s="1971">
        <f>50.4</f>
        <v>50.4</v>
      </c>
      <c r="L10" s="1971">
        <f>117703217.5</f>
        <v>117703217.5</v>
      </c>
      <c r="M10" s="1971">
        <f>278243.75</f>
        <v>278243.75</v>
      </c>
      <c r="N10" s="1971">
        <f>300</f>
        <v>300</v>
      </c>
      <c r="O10" s="1971">
        <f>1364863051.84</f>
        <v>1364863051.8399999</v>
      </c>
      <c r="P10" s="1971">
        <f>1364863051.84</f>
        <v>1364863051.8399999</v>
      </c>
      <c r="Q10" s="1971">
        <f>0</f>
        <v>0</v>
      </c>
    </row>
    <row r="11" spans="1:17" ht="20.399999999999999">
      <c r="A11" s="1914" t="s">
        <v>749</v>
      </c>
      <c r="B11" s="1971">
        <f>660000000</f>
        <v>660000000</v>
      </c>
      <c r="C11" s="1971">
        <f>660000000</f>
        <v>660000000</v>
      </c>
      <c r="D11" s="1971">
        <f>0</f>
        <v>0</v>
      </c>
      <c r="E11" s="1971">
        <f>0</f>
        <v>0</v>
      </c>
      <c r="F11" s="1971">
        <f>0</f>
        <v>0</v>
      </c>
      <c r="G11" s="1971">
        <f>0</f>
        <v>0</v>
      </c>
      <c r="H11" s="1971">
        <f>0</f>
        <v>0</v>
      </c>
      <c r="I11" s="1971">
        <f>0</f>
        <v>0</v>
      </c>
      <c r="J11" s="1971">
        <f>660000000</f>
        <v>660000000</v>
      </c>
      <c r="K11" s="1971">
        <f>0</f>
        <v>0</v>
      </c>
      <c r="L11" s="1971">
        <f>0</f>
        <v>0</v>
      </c>
      <c r="M11" s="1971">
        <f>0</f>
        <v>0</v>
      </c>
      <c r="N11" s="1971">
        <f>0</f>
        <v>0</v>
      </c>
      <c r="O11" s="1971">
        <f>0</f>
        <v>0</v>
      </c>
      <c r="P11" s="1971">
        <f>0</f>
        <v>0</v>
      </c>
      <c r="Q11" s="1971">
        <f>0</f>
        <v>0</v>
      </c>
    </row>
    <row r="12" spans="1:17">
      <c r="A12" s="1915" t="s">
        <v>675</v>
      </c>
      <c r="B12" s="1971">
        <f>0</f>
        <v>0</v>
      </c>
      <c r="C12" s="1971">
        <f>0</f>
        <v>0</v>
      </c>
      <c r="D12" s="1971">
        <f>0</f>
        <v>0</v>
      </c>
      <c r="E12" s="1971">
        <f>0</f>
        <v>0</v>
      </c>
      <c r="F12" s="1971">
        <f>0</f>
        <v>0</v>
      </c>
      <c r="G12" s="1971">
        <f>0</f>
        <v>0</v>
      </c>
      <c r="H12" s="1971">
        <f>0</f>
        <v>0</v>
      </c>
      <c r="I12" s="1971">
        <f>0</f>
        <v>0</v>
      </c>
      <c r="J12" s="1971">
        <f>0</f>
        <v>0</v>
      </c>
      <c r="K12" s="1971">
        <f>0</f>
        <v>0</v>
      </c>
      <c r="L12" s="1971">
        <f>0</f>
        <v>0</v>
      </c>
      <c r="M12" s="1971">
        <f>0</f>
        <v>0</v>
      </c>
      <c r="N12" s="1971">
        <f>0</f>
        <v>0</v>
      </c>
      <c r="O12" s="1971">
        <f>0</f>
        <v>0</v>
      </c>
      <c r="P12" s="1971">
        <f>0</f>
        <v>0</v>
      </c>
      <c r="Q12" s="1971">
        <f>0</f>
        <v>0</v>
      </c>
    </row>
    <row r="13" spans="1:17">
      <c r="A13" s="1915" t="s">
        <v>676</v>
      </c>
      <c r="B13" s="1971">
        <f>660000000</f>
        <v>660000000</v>
      </c>
      <c r="C13" s="1971">
        <f>660000000</f>
        <v>660000000</v>
      </c>
      <c r="D13" s="1971">
        <f>0</f>
        <v>0</v>
      </c>
      <c r="E13" s="1971">
        <f>0</f>
        <v>0</v>
      </c>
      <c r="F13" s="1971">
        <f>0</f>
        <v>0</v>
      </c>
      <c r="G13" s="1971">
        <f>0</f>
        <v>0</v>
      </c>
      <c r="H13" s="1971">
        <f>0</f>
        <v>0</v>
      </c>
      <c r="I13" s="1971">
        <f>0</f>
        <v>0</v>
      </c>
      <c r="J13" s="1971">
        <f>660000000</f>
        <v>660000000</v>
      </c>
      <c r="K13" s="1971">
        <f>0</f>
        <v>0</v>
      </c>
      <c r="L13" s="1971">
        <f>0</f>
        <v>0</v>
      </c>
      <c r="M13" s="1971">
        <f>0</f>
        <v>0</v>
      </c>
      <c r="N13" s="1971">
        <f>0</f>
        <v>0</v>
      </c>
      <c r="O13" s="1971">
        <f>0</f>
        <v>0</v>
      </c>
      <c r="P13" s="1971">
        <f>0</f>
        <v>0</v>
      </c>
      <c r="Q13" s="1971">
        <f>0</f>
        <v>0</v>
      </c>
    </row>
    <row r="14" spans="1:17" ht="20.399999999999999">
      <c r="A14" s="1914" t="s">
        <v>750</v>
      </c>
      <c r="B14" s="1971">
        <f>3761957796.92</f>
        <v>3761957796.9200001</v>
      </c>
      <c r="C14" s="1971">
        <f>2397094745.08</f>
        <v>2397094745.0799999</v>
      </c>
      <c r="D14" s="1971">
        <f>146000000</f>
        <v>146000000</v>
      </c>
      <c r="E14" s="1971">
        <f>146000000</f>
        <v>146000000</v>
      </c>
      <c r="F14" s="1971">
        <f>0</f>
        <v>0</v>
      </c>
      <c r="G14" s="1971">
        <f>0</f>
        <v>0</v>
      </c>
      <c r="H14" s="1971">
        <f>0</f>
        <v>0</v>
      </c>
      <c r="I14" s="1971">
        <f>0</f>
        <v>0</v>
      </c>
      <c r="J14" s="1971">
        <f>2135769592.58</f>
        <v>2135769592.5799999</v>
      </c>
      <c r="K14" s="1971">
        <f>0</f>
        <v>0</v>
      </c>
      <c r="L14" s="1971">
        <f>115325152.5</f>
        <v>115325152.5</v>
      </c>
      <c r="M14" s="1971">
        <f>0</f>
        <v>0</v>
      </c>
      <c r="N14" s="1971">
        <f>0</f>
        <v>0</v>
      </c>
      <c r="O14" s="1971">
        <f>1364863051.84</f>
        <v>1364863051.8399999</v>
      </c>
      <c r="P14" s="1971">
        <f>1364863051.84</f>
        <v>1364863051.8399999</v>
      </c>
      <c r="Q14" s="1971">
        <f>0</f>
        <v>0</v>
      </c>
    </row>
    <row r="15" spans="1:17">
      <c r="A15" s="1915" t="s">
        <v>678</v>
      </c>
      <c r="B15" s="1971">
        <f>0</f>
        <v>0</v>
      </c>
      <c r="C15" s="1971">
        <f>0</f>
        <v>0</v>
      </c>
      <c r="D15" s="1971">
        <f>0</f>
        <v>0</v>
      </c>
      <c r="E15" s="1971">
        <f>0</f>
        <v>0</v>
      </c>
      <c r="F15" s="1971">
        <f>0</f>
        <v>0</v>
      </c>
      <c r="G15" s="1971">
        <f>0</f>
        <v>0</v>
      </c>
      <c r="H15" s="1971">
        <f>0</f>
        <v>0</v>
      </c>
      <c r="I15" s="1971">
        <f>0</f>
        <v>0</v>
      </c>
      <c r="J15" s="1971">
        <f>0</f>
        <v>0</v>
      </c>
      <c r="K15" s="1971">
        <f>0</f>
        <v>0</v>
      </c>
      <c r="L15" s="1971">
        <f>0</f>
        <v>0</v>
      </c>
      <c r="M15" s="1971">
        <f>0</f>
        <v>0</v>
      </c>
      <c r="N15" s="1971">
        <f>0</f>
        <v>0</v>
      </c>
      <c r="O15" s="1971">
        <f>0</f>
        <v>0</v>
      </c>
      <c r="P15" s="1971">
        <f>0</f>
        <v>0</v>
      </c>
      <c r="Q15" s="1971">
        <f>0</f>
        <v>0</v>
      </c>
    </row>
    <row r="16" spans="1:17">
      <c r="A16" s="1915" t="s">
        <v>679</v>
      </c>
      <c r="B16" s="1971">
        <f>3761957796.92</f>
        <v>3761957796.9200001</v>
      </c>
      <c r="C16" s="1971">
        <f>2397094745.08</f>
        <v>2397094745.0799999</v>
      </c>
      <c r="D16" s="1971">
        <f>146000000</f>
        <v>146000000</v>
      </c>
      <c r="E16" s="1971">
        <f>146000000</f>
        <v>146000000</v>
      </c>
      <c r="F16" s="1971">
        <f>0</f>
        <v>0</v>
      </c>
      <c r="G16" s="1971">
        <f>0</f>
        <v>0</v>
      </c>
      <c r="H16" s="1971">
        <f>0</f>
        <v>0</v>
      </c>
      <c r="I16" s="1971">
        <f>0</f>
        <v>0</v>
      </c>
      <c r="J16" s="1971">
        <f>2135769592.58</f>
        <v>2135769592.5799999</v>
      </c>
      <c r="K16" s="1971">
        <f>0</f>
        <v>0</v>
      </c>
      <c r="L16" s="1971">
        <f>115325152.5</f>
        <v>115325152.5</v>
      </c>
      <c r="M16" s="1971">
        <f>0</f>
        <v>0</v>
      </c>
      <c r="N16" s="1971">
        <f>0</f>
        <v>0</v>
      </c>
      <c r="O16" s="1971">
        <f>1364863051.84</f>
        <v>1364863051.8399999</v>
      </c>
      <c r="P16" s="1971">
        <f>1364863051.84</f>
        <v>1364863051.8399999</v>
      </c>
      <c r="Q16" s="1971">
        <f>0</f>
        <v>0</v>
      </c>
    </row>
    <row r="17" spans="1:17">
      <c r="A17" s="1914" t="s">
        <v>680</v>
      </c>
      <c r="B17" s="1971">
        <f>0</f>
        <v>0</v>
      </c>
      <c r="C17" s="1971">
        <f>0</f>
        <v>0</v>
      </c>
      <c r="D17" s="1971">
        <f>0</f>
        <v>0</v>
      </c>
      <c r="E17" s="1971">
        <f>0</f>
        <v>0</v>
      </c>
      <c r="F17" s="1971">
        <f>0</f>
        <v>0</v>
      </c>
      <c r="G17" s="1971">
        <f>0</f>
        <v>0</v>
      </c>
      <c r="H17" s="1971">
        <f>0</f>
        <v>0</v>
      </c>
      <c r="I17" s="1971">
        <f>0</f>
        <v>0</v>
      </c>
      <c r="J17" s="1971">
        <f>0</f>
        <v>0</v>
      </c>
      <c r="K17" s="1971">
        <f>0</f>
        <v>0</v>
      </c>
      <c r="L17" s="1971">
        <f>0</f>
        <v>0</v>
      </c>
      <c r="M17" s="1971">
        <f>0</f>
        <v>0</v>
      </c>
      <c r="N17" s="1971">
        <f>0</f>
        <v>0</v>
      </c>
      <c r="O17" s="1971">
        <f>0</f>
        <v>0</v>
      </c>
      <c r="P17" s="1971">
        <f>0</f>
        <v>0</v>
      </c>
      <c r="Q17" s="1971">
        <f>0</f>
        <v>0</v>
      </c>
    </row>
    <row r="18" spans="1:17" ht="20.399999999999999">
      <c r="A18" s="1914" t="s">
        <v>751</v>
      </c>
      <c r="B18" s="1971">
        <f>2670113.58</f>
        <v>2670113.58</v>
      </c>
      <c r="C18" s="1971">
        <f>2670113.58</f>
        <v>2670113.58</v>
      </c>
      <c r="D18" s="1971">
        <f>13454.43</f>
        <v>13454.43</v>
      </c>
      <c r="E18" s="1971">
        <f>3530.43</f>
        <v>3530.43</v>
      </c>
      <c r="F18" s="1971">
        <f>0</f>
        <v>0</v>
      </c>
      <c r="G18" s="1971">
        <f>9924</f>
        <v>9924</v>
      </c>
      <c r="H18" s="1971">
        <f>0</f>
        <v>0</v>
      </c>
      <c r="I18" s="1971">
        <f>0</f>
        <v>0</v>
      </c>
      <c r="J18" s="1971">
        <f>0</f>
        <v>0</v>
      </c>
      <c r="K18" s="1971">
        <f>50.4</f>
        <v>50.4</v>
      </c>
      <c r="L18" s="1971">
        <f>2378065</f>
        <v>2378065</v>
      </c>
      <c r="M18" s="1971">
        <f>278243.75</f>
        <v>278243.75</v>
      </c>
      <c r="N18" s="1971">
        <f>300</f>
        <v>300</v>
      </c>
      <c r="O18" s="1971">
        <f>0</f>
        <v>0</v>
      </c>
      <c r="P18" s="1971">
        <f>0</f>
        <v>0</v>
      </c>
      <c r="Q18" s="1971">
        <f>0</f>
        <v>0</v>
      </c>
    </row>
    <row r="19" spans="1:17" ht="20.399999999999999">
      <c r="A19" s="1915" t="s">
        <v>682</v>
      </c>
      <c r="B19" s="1971">
        <f>2447987.86</f>
        <v>2447987.86</v>
      </c>
      <c r="C19" s="1971">
        <f>2447987.86</f>
        <v>2447987.86</v>
      </c>
      <c r="D19" s="1971">
        <f>9264</f>
        <v>9264</v>
      </c>
      <c r="E19" s="1971">
        <f>0</f>
        <v>0</v>
      </c>
      <c r="F19" s="1971">
        <f>0</f>
        <v>0</v>
      </c>
      <c r="G19" s="1971">
        <f>9264</f>
        <v>9264</v>
      </c>
      <c r="H19" s="1971">
        <f>0</f>
        <v>0</v>
      </c>
      <c r="I19" s="1971">
        <f>0</f>
        <v>0</v>
      </c>
      <c r="J19" s="1971">
        <f>0</f>
        <v>0</v>
      </c>
      <c r="K19" s="1971">
        <f>0</f>
        <v>0</v>
      </c>
      <c r="L19" s="1971">
        <f>2378065</f>
        <v>2378065</v>
      </c>
      <c r="M19" s="1971">
        <f>60358.86</f>
        <v>60358.86</v>
      </c>
      <c r="N19" s="1971">
        <f>300</f>
        <v>300</v>
      </c>
      <c r="O19" s="1971">
        <f>0</f>
        <v>0</v>
      </c>
      <c r="P19" s="1971">
        <f>0</f>
        <v>0</v>
      </c>
      <c r="Q19" s="1971">
        <f>0</f>
        <v>0</v>
      </c>
    </row>
    <row r="20" spans="1:17">
      <c r="A20" s="1915" t="s">
        <v>683</v>
      </c>
      <c r="B20" s="1971">
        <f>222125.72</f>
        <v>222125.72</v>
      </c>
      <c r="C20" s="1971">
        <f>222125.72</f>
        <v>222125.72</v>
      </c>
      <c r="D20" s="1971">
        <f>4190.43</f>
        <v>4190.43</v>
      </c>
      <c r="E20" s="1971">
        <f>3530.43</f>
        <v>3530.43</v>
      </c>
      <c r="F20" s="1971">
        <f>0</f>
        <v>0</v>
      </c>
      <c r="G20" s="1971">
        <f>660</f>
        <v>660</v>
      </c>
      <c r="H20" s="1971">
        <f>0</f>
        <v>0</v>
      </c>
      <c r="I20" s="1971">
        <f>0</f>
        <v>0</v>
      </c>
      <c r="J20" s="1971">
        <f>0</f>
        <v>0</v>
      </c>
      <c r="K20" s="1971">
        <f>50.4</f>
        <v>50.4</v>
      </c>
      <c r="L20" s="1971">
        <f>0</f>
        <v>0</v>
      </c>
      <c r="M20" s="1971">
        <f>217884.89</f>
        <v>217884.89</v>
      </c>
      <c r="N20" s="1971">
        <f>0</f>
        <v>0</v>
      </c>
      <c r="O20" s="1971">
        <f>0</f>
        <v>0</v>
      </c>
      <c r="P20" s="1971">
        <f>0</f>
        <v>0</v>
      </c>
      <c r="Q20" s="1971">
        <f>0</f>
        <v>0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 ht="27.6" customHeight="1">
      <c r="A22" s="2105" t="s">
        <v>684</v>
      </c>
      <c r="B22" s="2105"/>
      <c r="C22" s="2105"/>
      <c r="D22" s="2105"/>
      <c r="E22" s="2105"/>
      <c r="F22" s="2105"/>
      <c r="G22" s="2105"/>
      <c r="H22" s="2105"/>
      <c r="I22" s="2105"/>
      <c r="J22" s="2105"/>
      <c r="K22" s="2105"/>
      <c r="L22" s="2105"/>
      <c r="M22" s="2105"/>
      <c r="N22" s="1855"/>
      <c r="O22" s="1855"/>
      <c r="P22" s="1855"/>
      <c r="Q22" s="1855"/>
    </row>
    <row r="23" spans="1:17">
      <c r="A23" s="1855"/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</row>
    <row r="24" spans="1:17">
      <c r="A24" s="2332" t="s">
        <v>1</v>
      </c>
      <c r="B24" s="2339" t="s">
        <v>685</v>
      </c>
      <c r="C24" s="2335" t="s">
        <v>686</v>
      </c>
      <c r="D24" s="2336"/>
      <c r="E24" s="2336"/>
      <c r="F24" s="2336"/>
      <c r="G24" s="2336"/>
      <c r="H24" s="2336"/>
      <c r="I24" s="2336"/>
      <c r="J24" s="2336"/>
      <c r="K24" s="2336"/>
      <c r="L24" s="2336"/>
      <c r="M24" s="2336"/>
      <c r="N24" s="2337"/>
      <c r="O24" s="2335" t="s">
        <v>687</v>
      </c>
      <c r="P24" s="2336"/>
      <c r="Q24" s="2337"/>
    </row>
    <row r="25" spans="1:17">
      <c r="A25" s="2333"/>
      <c r="B25" s="2340"/>
      <c r="C25" s="2340" t="s">
        <v>688</v>
      </c>
      <c r="D25" s="2338" t="s">
        <v>689</v>
      </c>
      <c r="E25" s="2338" t="s">
        <v>690</v>
      </c>
      <c r="F25" s="2338" t="s">
        <v>691</v>
      </c>
      <c r="G25" s="2338" t="s">
        <v>692</v>
      </c>
      <c r="H25" s="2338" t="s">
        <v>663</v>
      </c>
      <c r="I25" s="2338" t="s">
        <v>693</v>
      </c>
      <c r="J25" s="2338" t="s">
        <v>665</v>
      </c>
      <c r="K25" s="2338" t="s">
        <v>666</v>
      </c>
      <c r="L25" s="2338" t="s">
        <v>667</v>
      </c>
      <c r="M25" s="2338" t="s">
        <v>668</v>
      </c>
      <c r="N25" s="2320" t="s">
        <v>669</v>
      </c>
      <c r="O25" s="2338" t="s">
        <v>670</v>
      </c>
      <c r="P25" s="2338" t="s">
        <v>671</v>
      </c>
      <c r="Q25" s="2339" t="s">
        <v>672</v>
      </c>
    </row>
    <row r="26" spans="1:17">
      <c r="A26" s="2333"/>
      <c r="B26" s="2340"/>
      <c r="C26" s="2340"/>
      <c r="D26" s="2338"/>
      <c r="E26" s="2338"/>
      <c r="F26" s="2338"/>
      <c r="G26" s="2338"/>
      <c r="H26" s="2338"/>
      <c r="I26" s="2338"/>
      <c r="J26" s="2338"/>
      <c r="K26" s="2338"/>
      <c r="L26" s="2338"/>
      <c r="M26" s="2338"/>
      <c r="N26" s="2320"/>
      <c r="O26" s="2338"/>
      <c r="P26" s="2338"/>
      <c r="Q26" s="2340"/>
    </row>
    <row r="27" spans="1:17">
      <c r="A27" s="2333"/>
      <c r="B27" s="2340"/>
      <c r="C27" s="2340"/>
      <c r="D27" s="2338"/>
      <c r="E27" s="2338"/>
      <c r="F27" s="2338"/>
      <c r="G27" s="2338"/>
      <c r="H27" s="2338"/>
      <c r="I27" s="2338"/>
      <c r="J27" s="2338"/>
      <c r="K27" s="2338"/>
      <c r="L27" s="2338"/>
      <c r="M27" s="2338"/>
      <c r="N27" s="2320"/>
      <c r="O27" s="2338"/>
      <c r="P27" s="2338"/>
      <c r="Q27" s="2340"/>
    </row>
    <row r="28" spans="1:17" ht="21.6" customHeight="1">
      <c r="A28" s="2334"/>
      <c r="B28" s="2341"/>
      <c r="C28" s="2341"/>
      <c r="D28" s="2338"/>
      <c r="E28" s="2338"/>
      <c r="F28" s="2338"/>
      <c r="G28" s="2338"/>
      <c r="H28" s="2338"/>
      <c r="I28" s="2338"/>
      <c r="J28" s="2338"/>
      <c r="K28" s="2338"/>
      <c r="L28" s="2338"/>
      <c r="M28" s="2338"/>
      <c r="N28" s="2320"/>
      <c r="O28" s="2338"/>
      <c r="P28" s="2338"/>
      <c r="Q28" s="2341"/>
    </row>
    <row r="29" spans="1:17">
      <c r="A29" s="1849">
        <v>1</v>
      </c>
      <c r="B29" s="1849">
        <v>2</v>
      </c>
      <c r="C29" s="1849">
        <v>3</v>
      </c>
      <c r="D29" s="1849">
        <v>4</v>
      </c>
      <c r="E29" s="1849">
        <v>5</v>
      </c>
      <c r="F29" s="1849">
        <v>6</v>
      </c>
      <c r="G29" s="1849">
        <v>7</v>
      </c>
      <c r="H29" s="1849">
        <v>8</v>
      </c>
      <c r="I29" s="1849">
        <v>9</v>
      </c>
      <c r="J29" s="1849">
        <v>10</v>
      </c>
      <c r="K29" s="1849">
        <v>11</v>
      </c>
      <c r="L29" s="1849">
        <v>12</v>
      </c>
      <c r="M29" s="1849">
        <v>13</v>
      </c>
      <c r="N29" s="1849">
        <v>14</v>
      </c>
      <c r="O29" s="1849">
        <v>15</v>
      </c>
      <c r="P29" s="1849">
        <v>16</v>
      </c>
      <c r="Q29" s="1849">
        <v>17</v>
      </c>
    </row>
    <row r="30" spans="1:17">
      <c r="A30" s="1849"/>
      <c r="B30" s="2322" t="s">
        <v>163</v>
      </c>
      <c r="C30" s="2323"/>
      <c r="D30" s="2323"/>
      <c r="E30" s="2323"/>
      <c r="F30" s="2323"/>
      <c r="G30" s="2323"/>
      <c r="H30" s="2323"/>
      <c r="I30" s="2323"/>
      <c r="J30" s="2323"/>
      <c r="K30" s="2323"/>
      <c r="L30" s="2323"/>
      <c r="M30" s="2323"/>
      <c r="N30" s="2323"/>
      <c r="O30" s="2323"/>
      <c r="P30" s="2323"/>
      <c r="Q30" s="2324"/>
    </row>
    <row r="31" spans="1:17" ht="22.2" customHeight="1">
      <c r="A31" s="1916" t="s">
        <v>694</v>
      </c>
      <c r="B31" s="1972">
        <f>0</f>
        <v>0</v>
      </c>
      <c r="C31" s="1972">
        <f>0</f>
        <v>0</v>
      </c>
      <c r="D31" s="1972">
        <f>0</f>
        <v>0</v>
      </c>
      <c r="E31" s="1972">
        <f>0</f>
        <v>0</v>
      </c>
      <c r="F31" s="1972">
        <f>0</f>
        <v>0</v>
      </c>
      <c r="G31" s="1972">
        <f>0</f>
        <v>0</v>
      </c>
      <c r="H31" s="1972">
        <f>0</f>
        <v>0</v>
      </c>
      <c r="I31" s="1972">
        <f>0</f>
        <v>0</v>
      </c>
      <c r="J31" s="1972">
        <f>0</f>
        <v>0</v>
      </c>
      <c r="K31" s="1972">
        <f>0</f>
        <v>0</v>
      </c>
      <c r="L31" s="1972">
        <f>0</f>
        <v>0</v>
      </c>
      <c r="M31" s="1972">
        <f>0</f>
        <v>0</v>
      </c>
      <c r="N31" s="1972">
        <f>0</f>
        <v>0</v>
      </c>
      <c r="O31" s="1972">
        <f>0</f>
        <v>0</v>
      </c>
      <c r="P31" s="1972">
        <f>0</f>
        <v>0</v>
      </c>
      <c r="Q31" s="1972">
        <f>0</f>
        <v>0</v>
      </c>
    </row>
    <row r="32" spans="1:17">
      <c r="A32" s="1917" t="s">
        <v>695</v>
      </c>
      <c r="B32" s="1972">
        <f>0</f>
        <v>0</v>
      </c>
      <c r="C32" s="1972">
        <f>0</f>
        <v>0</v>
      </c>
      <c r="D32" s="1972">
        <f>0</f>
        <v>0</v>
      </c>
      <c r="E32" s="1972">
        <f>0</f>
        <v>0</v>
      </c>
      <c r="F32" s="1972">
        <f>0</f>
        <v>0</v>
      </c>
      <c r="G32" s="1972">
        <f>0</f>
        <v>0</v>
      </c>
      <c r="H32" s="1972">
        <f>0</f>
        <v>0</v>
      </c>
      <c r="I32" s="1972">
        <f>0</f>
        <v>0</v>
      </c>
      <c r="J32" s="1972">
        <f>0</f>
        <v>0</v>
      </c>
      <c r="K32" s="1972">
        <f>0</f>
        <v>0</v>
      </c>
      <c r="L32" s="1972">
        <f>0</f>
        <v>0</v>
      </c>
      <c r="M32" s="1972">
        <f>0</f>
        <v>0</v>
      </c>
      <c r="N32" s="1972">
        <f>0</f>
        <v>0</v>
      </c>
      <c r="O32" s="1972">
        <f>0</f>
        <v>0</v>
      </c>
      <c r="P32" s="1972">
        <f>0</f>
        <v>0</v>
      </c>
      <c r="Q32" s="1972">
        <f>0</f>
        <v>0</v>
      </c>
    </row>
    <row r="33" spans="1:17">
      <c r="A33" s="1917" t="s">
        <v>696</v>
      </c>
      <c r="B33" s="1972">
        <f>0</f>
        <v>0</v>
      </c>
      <c r="C33" s="1972">
        <f>0</f>
        <v>0</v>
      </c>
      <c r="D33" s="1972">
        <f>0</f>
        <v>0</v>
      </c>
      <c r="E33" s="1972">
        <f>0</f>
        <v>0</v>
      </c>
      <c r="F33" s="1972">
        <f>0</f>
        <v>0</v>
      </c>
      <c r="G33" s="1972">
        <f>0</f>
        <v>0</v>
      </c>
      <c r="H33" s="1972">
        <f>0</f>
        <v>0</v>
      </c>
      <c r="I33" s="1972">
        <f>0</f>
        <v>0</v>
      </c>
      <c r="J33" s="1972">
        <f>0</f>
        <v>0</v>
      </c>
      <c r="K33" s="1972">
        <f>0</f>
        <v>0</v>
      </c>
      <c r="L33" s="1972">
        <f>0</f>
        <v>0</v>
      </c>
      <c r="M33" s="1972">
        <f>0</f>
        <v>0</v>
      </c>
      <c r="N33" s="1972">
        <f>0</f>
        <v>0</v>
      </c>
      <c r="O33" s="1972">
        <f>0</f>
        <v>0</v>
      </c>
      <c r="P33" s="1972">
        <f>0</f>
        <v>0</v>
      </c>
      <c r="Q33" s="1972">
        <f>0</f>
        <v>0</v>
      </c>
    </row>
    <row r="34" spans="1:17">
      <c r="A34" s="1916" t="s">
        <v>697</v>
      </c>
      <c r="B34" s="1972">
        <f>822561679.14</f>
        <v>822561679.13999999</v>
      </c>
      <c r="C34" s="1972">
        <f>822561679.14</f>
        <v>822561679.13999999</v>
      </c>
      <c r="D34" s="1972">
        <f>759470538.72</f>
        <v>759470538.72000003</v>
      </c>
      <c r="E34" s="1972">
        <f>3984087.89</f>
        <v>3984087.89</v>
      </c>
      <c r="F34" s="1972">
        <f>19064.9</f>
        <v>19064.900000000001</v>
      </c>
      <c r="G34" s="1972">
        <f>755467385.93</f>
        <v>755467385.92999995</v>
      </c>
      <c r="H34" s="1972">
        <f>0</f>
        <v>0</v>
      </c>
      <c r="I34" s="1972">
        <f>0</f>
        <v>0</v>
      </c>
      <c r="J34" s="1972">
        <f>0</f>
        <v>0</v>
      </c>
      <c r="K34" s="1972">
        <f>31670.5</f>
        <v>31670.5</v>
      </c>
      <c r="L34" s="1972">
        <f>56544297.54</f>
        <v>56544297.539999999</v>
      </c>
      <c r="M34" s="1972">
        <f>5480631.62</f>
        <v>5480631.6200000001</v>
      </c>
      <c r="N34" s="1972">
        <f>1034540.76</f>
        <v>1034540.76</v>
      </c>
      <c r="O34" s="1972">
        <f>0</f>
        <v>0</v>
      </c>
      <c r="P34" s="1972">
        <f>0</f>
        <v>0</v>
      </c>
      <c r="Q34" s="1972">
        <f>0</f>
        <v>0</v>
      </c>
    </row>
    <row r="35" spans="1:17">
      <c r="A35" s="1917" t="s">
        <v>698</v>
      </c>
      <c r="B35" s="1972">
        <f>13160934.47</f>
        <v>13160934.470000001</v>
      </c>
      <c r="C35" s="1972">
        <f>13160934.47</f>
        <v>13160934.470000001</v>
      </c>
      <c r="D35" s="1972">
        <f>13077912.85</f>
        <v>13077912.85</v>
      </c>
      <c r="E35" s="1972">
        <f>3914000</f>
        <v>3914000</v>
      </c>
      <c r="F35" s="1972">
        <f>0</f>
        <v>0</v>
      </c>
      <c r="G35" s="1972">
        <f>9163912.85</f>
        <v>9163912.8499999996</v>
      </c>
      <c r="H35" s="1972">
        <f>0</f>
        <v>0</v>
      </c>
      <c r="I35" s="1972">
        <f>0</f>
        <v>0</v>
      </c>
      <c r="J35" s="1972">
        <f>0</f>
        <v>0</v>
      </c>
      <c r="K35" s="1972">
        <f>0</f>
        <v>0</v>
      </c>
      <c r="L35" s="1972">
        <f>83021.62</f>
        <v>83021.62</v>
      </c>
      <c r="M35" s="1972">
        <f>0</f>
        <v>0</v>
      </c>
      <c r="N35" s="1972">
        <f>0</f>
        <v>0</v>
      </c>
      <c r="O35" s="1972">
        <f>0</f>
        <v>0</v>
      </c>
      <c r="P35" s="1972">
        <f>0</f>
        <v>0</v>
      </c>
      <c r="Q35" s="1972">
        <f>0</f>
        <v>0</v>
      </c>
    </row>
    <row r="36" spans="1:17">
      <c r="A36" s="1917" t="s">
        <v>699</v>
      </c>
      <c r="B36" s="1972">
        <f>809400744.67</f>
        <v>809400744.66999996</v>
      </c>
      <c r="C36" s="1972">
        <f>809400744.67</f>
        <v>809400744.66999996</v>
      </c>
      <c r="D36" s="1972">
        <f>746392625.87</f>
        <v>746392625.87</v>
      </c>
      <c r="E36" s="1972">
        <f>70087.89</f>
        <v>70087.89</v>
      </c>
      <c r="F36" s="1972">
        <f>19064.9</f>
        <v>19064.900000000001</v>
      </c>
      <c r="G36" s="1972">
        <f>746303473.08</f>
        <v>746303473.08000004</v>
      </c>
      <c r="H36" s="1972">
        <f>0</f>
        <v>0</v>
      </c>
      <c r="I36" s="1972">
        <f>0</f>
        <v>0</v>
      </c>
      <c r="J36" s="1972">
        <f>0</f>
        <v>0</v>
      </c>
      <c r="K36" s="1972">
        <f>31670.5</f>
        <v>31670.5</v>
      </c>
      <c r="L36" s="1972">
        <f>56461275.92</f>
        <v>56461275.920000002</v>
      </c>
      <c r="M36" s="1972">
        <f>5480631.62</f>
        <v>5480631.6200000001</v>
      </c>
      <c r="N36" s="1972">
        <f>1034540.76</f>
        <v>1034540.76</v>
      </c>
      <c r="O36" s="1972">
        <f>0</f>
        <v>0</v>
      </c>
      <c r="P36" s="1972">
        <f>0</f>
        <v>0</v>
      </c>
      <c r="Q36" s="1972">
        <f>0</f>
        <v>0</v>
      </c>
    </row>
    <row r="37" spans="1:17" ht="20.399999999999999">
      <c r="A37" s="1916" t="s">
        <v>700</v>
      </c>
      <c r="B37" s="1972">
        <f>7782393424.26</f>
        <v>7782393424.2600002</v>
      </c>
      <c r="C37" s="1972">
        <f>7782094349.01</f>
        <v>7782094349.0100002</v>
      </c>
      <c r="D37" s="1972">
        <f>59614.99</f>
        <v>59614.99</v>
      </c>
      <c r="E37" s="1972">
        <f>600</f>
        <v>600</v>
      </c>
      <c r="F37" s="1972">
        <f>16265.52</f>
        <v>16265.52</v>
      </c>
      <c r="G37" s="1972">
        <f>42749.47</f>
        <v>42749.47</v>
      </c>
      <c r="H37" s="1972">
        <f>0</f>
        <v>0</v>
      </c>
      <c r="I37" s="1972">
        <f>0</f>
        <v>0</v>
      </c>
      <c r="J37" s="1972">
        <f>7776235456.5</f>
        <v>7776235456.5</v>
      </c>
      <c r="K37" s="1972">
        <f>2504000</f>
        <v>2504000</v>
      </c>
      <c r="L37" s="1972">
        <f>3286213.89</f>
        <v>3286213.89</v>
      </c>
      <c r="M37" s="1972">
        <f>9063.63</f>
        <v>9063.6299999999992</v>
      </c>
      <c r="N37" s="1972">
        <f>0</f>
        <v>0</v>
      </c>
      <c r="O37" s="1972">
        <f>299075.25</f>
        <v>299075.25</v>
      </c>
      <c r="P37" s="1972">
        <f>299075.25</f>
        <v>299075.25</v>
      </c>
      <c r="Q37" s="1972">
        <f>0</f>
        <v>0</v>
      </c>
    </row>
    <row r="38" spans="1:17">
      <c r="A38" s="1917" t="s">
        <v>701</v>
      </c>
      <c r="B38" s="1972">
        <f>40749.47</f>
        <v>40749.47</v>
      </c>
      <c r="C38" s="1972">
        <f>40749.47</f>
        <v>40749.47</v>
      </c>
      <c r="D38" s="1972">
        <f>40749.47</f>
        <v>40749.47</v>
      </c>
      <c r="E38" s="1972">
        <f>0</f>
        <v>0</v>
      </c>
      <c r="F38" s="1972">
        <f>0</f>
        <v>0</v>
      </c>
      <c r="G38" s="1972">
        <f>40749.47</f>
        <v>40749.47</v>
      </c>
      <c r="H38" s="1972">
        <f>0</f>
        <v>0</v>
      </c>
      <c r="I38" s="1972">
        <f>0</f>
        <v>0</v>
      </c>
      <c r="J38" s="1972">
        <f>0</f>
        <v>0</v>
      </c>
      <c r="K38" s="1972">
        <f>0</f>
        <v>0</v>
      </c>
      <c r="L38" s="1972">
        <f>0</f>
        <v>0</v>
      </c>
      <c r="M38" s="1972">
        <f>0</f>
        <v>0</v>
      </c>
      <c r="N38" s="1972">
        <f>0</f>
        <v>0</v>
      </c>
      <c r="O38" s="1972">
        <f>0</f>
        <v>0</v>
      </c>
      <c r="P38" s="1972">
        <f>0</f>
        <v>0</v>
      </c>
      <c r="Q38" s="1972">
        <f>0</f>
        <v>0</v>
      </c>
    </row>
    <row r="39" spans="1:17">
      <c r="A39" s="1917" t="s">
        <v>702</v>
      </c>
      <c r="B39" s="1972">
        <f>7334195270.58</f>
        <v>7334195270.5799999</v>
      </c>
      <c r="C39" s="1972">
        <f>7334195270.58</f>
        <v>7334195270.5799999</v>
      </c>
      <c r="D39" s="1972">
        <f>2600</f>
        <v>2600</v>
      </c>
      <c r="E39" s="1972">
        <f>600</f>
        <v>600</v>
      </c>
      <c r="F39" s="1972">
        <f>0</f>
        <v>0</v>
      </c>
      <c r="G39" s="1972">
        <f>2000</f>
        <v>2000</v>
      </c>
      <c r="H39" s="1972">
        <f>0</f>
        <v>0</v>
      </c>
      <c r="I39" s="1972">
        <f>0</f>
        <v>0</v>
      </c>
      <c r="J39" s="1972">
        <f>7328426960.37</f>
        <v>7328426960.3699999</v>
      </c>
      <c r="K39" s="1972">
        <f>2504000</f>
        <v>2504000</v>
      </c>
      <c r="L39" s="1972">
        <f>3252646.58</f>
        <v>3252646.58</v>
      </c>
      <c r="M39" s="1972">
        <f>9063.63</f>
        <v>9063.6299999999992</v>
      </c>
      <c r="N39" s="1972">
        <f>0</f>
        <v>0</v>
      </c>
      <c r="O39" s="1972">
        <f>0</f>
        <v>0</v>
      </c>
      <c r="P39" s="1972">
        <f>0</f>
        <v>0</v>
      </c>
      <c r="Q39" s="1972">
        <f>0</f>
        <v>0</v>
      </c>
    </row>
    <row r="40" spans="1:17">
      <c r="A40" s="1917" t="s">
        <v>703</v>
      </c>
      <c r="B40" s="1972">
        <f>448157404.21</f>
        <v>448157404.20999998</v>
      </c>
      <c r="C40" s="1972">
        <f>447858328.96</f>
        <v>447858328.95999998</v>
      </c>
      <c r="D40" s="1972">
        <f>16265.52</f>
        <v>16265.52</v>
      </c>
      <c r="E40" s="1972">
        <f>0</f>
        <v>0</v>
      </c>
      <c r="F40" s="1972">
        <f>16265.52</f>
        <v>16265.52</v>
      </c>
      <c r="G40" s="1972">
        <f>0</f>
        <v>0</v>
      </c>
      <c r="H40" s="1972">
        <f>0</f>
        <v>0</v>
      </c>
      <c r="I40" s="1972">
        <f>0</f>
        <v>0</v>
      </c>
      <c r="J40" s="1972">
        <f>447808496.13</f>
        <v>447808496.13</v>
      </c>
      <c r="K40" s="1972">
        <f>0</f>
        <v>0</v>
      </c>
      <c r="L40" s="1972">
        <f>33567.31</f>
        <v>33567.31</v>
      </c>
      <c r="M40" s="1972">
        <f>0</f>
        <v>0</v>
      </c>
      <c r="N40" s="1972">
        <f>0</f>
        <v>0</v>
      </c>
      <c r="O40" s="1972">
        <f>299075.25</f>
        <v>299075.25</v>
      </c>
      <c r="P40" s="1972">
        <f>299075.25</f>
        <v>299075.25</v>
      </c>
      <c r="Q40" s="1972">
        <f>0</f>
        <v>0</v>
      </c>
    </row>
    <row r="41" spans="1:17" ht="20.399999999999999">
      <c r="A41" s="1916" t="s">
        <v>704</v>
      </c>
      <c r="B41" s="1972">
        <f>3234498846.27</f>
        <v>3234498846.27</v>
      </c>
      <c r="C41" s="1972">
        <f>3232311137.02</f>
        <v>3232311137.02</v>
      </c>
      <c r="D41" s="1972">
        <f>17758755.95</f>
        <v>17758755.949999999</v>
      </c>
      <c r="E41" s="1972">
        <f>7257860.13</f>
        <v>7257860.1299999999</v>
      </c>
      <c r="F41" s="1972">
        <f>130337.2</f>
        <v>130337.2</v>
      </c>
      <c r="G41" s="1972">
        <f>10370558.12</f>
        <v>10370558.119999999</v>
      </c>
      <c r="H41" s="1972">
        <f>0.5</f>
        <v>0.5</v>
      </c>
      <c r="I41" s="1972">
        <f>0</f>
        <v>0</v>
      </c>
      <c r="J41" s="1972">
        <f>86175.66</f>
        <v>86175.66</v>
      </c>
      <c r="K41" s="1972">
        <f>15796437.27</f>
        <v>15796437.27</v>
      </c>
      <c r="L41" s="1972">
        <f>2167367945.14</f>
        <v>2167367945.1399999</v>
      </c>
      <c r="M41" s="1972">
        <f>1001172730.98</f>
        <v>1001172730.98</v>
      </c>
      <c r="N41" s="1972">
        <f>30129092.02</f>
        <v>30129092.02</v>
      </c>
      <c r="O41" s="1972">
        <f>2187709.25</f>
        <v>2187709.25</v>
      </c>
      <c r="P41" s="1972">
        <f>1863663.3</f>
        <v>1863663.3</v>
      </c>
      <c r="Q41" s="1972">
        <f>324045.95</f>
        <v>324045.95</v>
      </c>
    </row>
    <row r="42" spans="1:17" ht="20.399999999999999">
      <c r="A42" s="1917" t="s">
        <v>705</v>
      </c>
      <c r="B42" s="1972">
        <f>83284417.12</f>
        <v>83284417.120000005</v>
      </c>
      <c r="C42" s="1972">
        <f>83277109.5</f>
        <v>83277109.5</v>
      </c>
      <c r="D42" s="1972">
        <f>710775.33</f>
        <v>710775.33</v>
      </c>
      <c r="E42" s="1972">
        <f>0</f>
        <v>0</v>
      </c>
      <c r="F42" s="1972">
        <f>1760</f>
        <v>1760</v>
      </c>
      <c r="G42" s="1972">
        <f>709015.33</f>
        <v>709015.33</v>
      </c>
      <c r="H42" s="1972">
        <f>0</f>
        <v>0</v>
      </c>
      <c r="I42" s="1972">
        <f>0</f>
        <v>0</v>
      </c>
      <c r="J42" s="1972">
        <f>998.91</f>
        <v>998.91</v>
      </c>
      <c r="K42" s="1972">
        <f>246</f>
        <v>246</v>
      </c>
      <c r="L42" s="1972">
        <f>74431626.35</f>
        <v>74431626.349999994</v>
      </c>
      <c r="M42" s="1972">
        <f>7382889.33</f>
        <v>7382889.3300000001</v>
      </c>
      <c r="N42" s="1972">
        <f>750573.58</f>
        <v>750573.58</v>
      </c>
      <c r="O42" s="1972">
        <f>7307.62</f>
        <v>7307.62</v>
      </c>
      <c r="P42" s="1972">
        <f>7307.62</f>
        <v>7307.62</v>
      </c>
      <c r="Q42" s="1972">
        <f>0</f>
        <v>0</v>
      </c>
    </row>
    <row r="43" spans="1:17">
      <c r="A43" s="1917" t="s">
        <v>706</v>
      </c>
      <c r="B43" s="1972">
        <f>3151214429.15</f>
        <v>3151214429.1500001</v>
      </c>
      <c r="C43" s="1972">
        <f>3149034027.52</f>
        <v>3149034027.52</v>
      </c>
      <c r="D43" s="1972">
        <f>17047980.62</f>
        <v>17047980.620000001</v>
      </c>
      <c r="E43" s="1972">
        <f>7257860.13</f>
        <v>7257860.1299999999</v>
      </c>
      <c r="F43" s="1972">
        <f>128577.2</f>
        <v>128577.2</v>
      </c>
      <c r="G43" s="1972">
        <f>9661542.79</f>
        <v>9661542.7899999991</v>
      </c>
      <c r="H43" s="1972">
        <f>0.5</f>
        <v>0.5</v>
      </c>
      <c r="I43" s="1972">
        <f>0</f>
        <v>0</v>
      </c>
      <c r="J43" s="1972">
        <f>85176.75</f>
        <v>85176.75</v>
      </c>
      <c r="K43" s="1972">
        <f>15796191.27</f>
        <v>15796191.27</v>
      </c>
      <c r="L43" s="1972">
        <f>2092936318.79</f>
        <v>2092936318.79</v>
      </c>
      <c r="M43" s="1972">
        <f>993789841.65</f>
        <v>993789841.64999998</v>
      </c>
      <c r="N43" s="1972">
        <f>29378518.44</f>
        <v>29378518.440000001</v>
      </c>
      <c r="O43" s="1972">
        <f>2180401.63</f>
        <v>2180401.63</v>
      </c>
      <c r="P43" s="1972">
        <f>1856355.68</f>
        <v>1856355.68</v>
      </c>
      <c r="Q43" s="1972">
        <f>324045.95</f>
        <v>324045.95</v>
      </c>
    </row>
    <row r="44" spans="1:17" ht="20.399999999999999">
      <c r="A44" s="2504" t="s">
        <v>707</v>
      </c>
      <c r="B44" s="1972">
        <f>1655715105.29</f>
        <v>1655715105.29</v>
      </c>
      <c r="C44" s="1972">
        <f>1647476768.34</f>
        <v>1647476768.3399999</v>
      </c>
      <c r="D44" s="1972">
        <f>291506236.84</f>
        <v>291506236.83999997</v>
      </c>
      <c r="E44" s="1972">
        <f>127339219.11</f>
        <v>127339219.11</v>
      </c>
      <c r="F44" s="1972">
        <f>863320.85</f>
        <v>863320.85</v>
      </c>
      <c r="G44" s="1972">
        <f>163134100.99</f>
        <v>163134100.99000001</v>
      </c>
      <c r="H44" s="1972">
        <f>169595.89</f>
        <v>169595.89</v>
      </c>
      <c r="I44" s="1972">
        <f>0</f>
        <v>0</v>
      </c>
      <c r="J44" s="1972">
        <f>696052.62</f>
        <v>696052.62</v>
      </c>
      <c r="K44" s="1972">
        <f>48739</f>
        <v>48739</v>
      </c>
      <c r="L44" s="1972">
        <f>1063842683.08</f>
        <v>1063842683.08</v>
      </c>
      <c r="M44" s="1972">
        <f>223755231.04</f>
        <v>223755231.03999999</v>
      </c>
      <c r="N44" s="1972">
        <f>67627825.76</f>
        <v>67627825.760000005</v>
      </c>
      <c r="O44" s="1972">
        <f>8238336.95</f>
        <v>8238336.9500000002</v>
      </c>
      <c r="P44" s="1972">
        <f>2042826.95</f>
        <v>2042826.95</v>
      </c>
      <c r="Q44" s="1972">
        <f>6195510</f>
        <v>6195510</v>
      </c>
    </row>
    <row r="45" spans="1:17" ht="20.399999999999999">
      <c r="A45" s="1917" t="s">
        <v>708</v>
      </c>
      <c r="B45" s="1972">
        <f>157550731.91</f>
        <v>157550731.91</v>
      </c>
      <c r="C45" s="1972">
        <f>157518862.53</f>
        <v>157518862.53</v>
      </c>
      <c r="D45" s="1972">
        <f>5721260.3</f>
        <v>5721260.2999999998</v>
      </c>
      <c r="E45" s="1972">
        <f>1364604.57</f>
        <v>1364604.57</v>
      </c>
      <c r="F45" s="1972">
        <f>241425.9</f>
        <v>241425.9</v>
      </c>
      <c r="G45" s="1972">
        <f>4090229.32</f>
        <v>4090229.32</v>
      </c>
      <c r="H45" s="1972">
        <f>25000.51</f>
        <v>25000.51</v>
      </c>
      <c r="I45" s="1972">
        <f>0</f>
        <v>0</v>
      </c>
      <c r="J45" s="1972">
        <f>492</f>
        <v>492</v>
      </c>
      <c r="K45" s="1972">
        <f>2606.5</f>
        <v>2606.5</v>
      </c>
      <c r="L45" s="1972">
        <f>148398874.26</f>
        <v>148398874.25999999</v>
      </c>
      <c r="M45" s="1972">
        <f>3131945.53</f>
        <v>3131945.53</v>
      </c>
      <c r="N45" s="1972">
        <f>263683.94</f>
        <v>263683.94</v>
      </c>
      <c r="O45" s="1972">
        <f>31869.38</f>
        <v>31869.38</v>
      </c>
      <c r="P45" s="1972">
        <f>31869.38</f>
        <v>31869.38</v>
      </c>
      <c r="Q45" s="1972">
        <f>0</f>
        <v>0</v>
      </c>
    </row>
    <row r="46" spans="1:17" ht="20.399999999999999">
      <c r="A46" s="1917" t="s">
        <v>709</v>
      </c>
      <c r="B46" s="1972">
        <f>166681.72</f>
        <v>166681.72</v>
      </c>
      <c r="C46" s="1972">
        <f>166681.72</f>
        <v>166681.72</v>
      </c>
      <c r="D46" s="1972">
        <f>166681.72</f>
        <v>166681.72</v>
      </c>
      <c r="E46" s="1972">
        <f>143928</f>
        <v>143928</v>
      </c>
      <c r="F46" s="1972">
        <f>0</f>
        <v>0</v>
      </c>
      <c r="G46" s="1972">
        <f>0</f>
        <v>0</v>
      </c>
      <c r="H46" s="1972">
        <f>22753.72</f>
        <v>22753.72</v>
      </c>
      <c r="I46" s="1972">
        <f>0</f>
        <v>0</v>
      </c>
      <c r="J46" s="1972">
        <f>0</f>
        <v>0</v>
      </c>
      <c r="K46" s="1972">
        <f>0</f>
        <v>0</v>
      </c>
      <c r="L46" s="1972">
        <f>0</f>
        <v>0</v>
      </c>
      <c r="M46" s="1972">
        <f>0</f>
        <v>0</v>
      </c>
      <c r="N46" s="1972">
        <f>0</f>
        <v>0</v>
      </c>
      <c r="O46" s="1972">
        <f>0</f>
        <v>0</v>
      </c>
      <c r="P46" s="1972">
        <f>0</f>
        <v>0</v>
      </c>
      <c r="Q46" s="1972">
        <f>0</f>
        <v>0</v>
      </c>
    </row>
    <row r="47" spans="1:17" ht="20.399999999999999">
      <c r="A47" s="1917" t="s">
        <v>710</v>
      </c>
      <c r="B47" s="1972">
        <f>1497997691.66</f>
        <v>1497997691.6600001</v>
      </c>
      <c r="C47" s="1972">
        <f>1489791224.09</f>
        <v>1489791224.0899999</v>
      </c>
      <c r="D47" s="1972">
        <f>285618294.82</f>
        <v>285618294.81999999</v>
      </c>
      <c r="E47" s="1972">
        <f>125830686.54</f>
        <v>125830686.54000001</v>
      </c>
      <c r="F47" s="1972">
        <f>621894.95</f>
        <v>621894.94999999995</v>
      </c>
      <c r="G47" s="1972">
        <f>159043871.67</f>
        <v>159043871.66999999</v>
      </c>
      <c r="H47" s="1972">
        <f>121841.66</f>
        <v>121841.66</v>
      </c>
      <c r="I47" s="1972">
        <f>0</f>
        <v>0</v>
      </c>
      <c r="J47" s="1972">
        <f>695560.62</f>
        <v>695560.62</v>
      </c>
      <c r="K47" s="1972">
        <f>46132.5</f>
        <v>46132.5</v>
      </c>
      <c r="L47" s="1972">
        <f>915443808.82</f>
        <v>915443808.82000005</v>
      </c>
      <c r="M47" s="1972">
        <f>220623285.51</f>
        <v>220623285.50999999</v>
      </c>
      <c r="N47" s="1972">
        <f>67364141.82</f>
        <v>67364141.819999993</v>
      </c>
      <c r="O47" s="1972">
        <f>8206467.57</f>
        <v>8206467.5700000003</v>
      </c>
      <c r="P47" s="1972">
        <f>2010957.57</f>
        <v>2010957.57</v>
      </c>
      <c r="Q47" s="1972">
        <f>6195510</f>
        <v>6195510</v>
      </c>
    </row>
    <row r="48" spans="1:17">
      <c r="A48" s="1855"/>
      <c r="B48" s="1855"/>
      <c r="C48" s="1855"/>
      <c r="D48" s="1855"/>
      <c r="E48" s="1855"/>
      <c r="F48" s="1855"/>
      <c r="G48" s="1855"/>
      <c r="H48" s="1855"/>
      <c r="I48" s="1855"/>
      <c r="J48" s="1855"/>
      <c r="K48" s="1855"/>
      <c r="L48" s="1855"/>
      <c r="M48" s="1855"/>
      <c r="N48" s="1855"/>
      <c r="O48" s="1855"/>
      <c r="P48" s="1855"/>
      <c r="Q48" s="1855"/>
    </row>
    <row r="49" spans="1:17" ht="23.55" customHeight="1">
      <c r="A49" s="1855"/>
      <c r="B49" s="2105" t="s">
        <v>711</v>
      </c>
      <c r="C49" s="2105"/>
      <c r="D49" s="2105"/>
      <c r="E49" s="2105"/>
      <c r="F49" s="2105"/>
      <c r="G49" s="2105"/>
      <c r="H49" s="2105"/>
      <c r="I49" s="2105"/>
      <c r="J49" s="2105"/>
      <c r="K49" s="2105"/>
      <c r="L49" s="2105"/>
      <c r="M49" s="2105"/>
      <c r="N49" s="1855"/>
      <c r="O49" s="1855"/>
      <c r="P49" s="1855"/>
      <c r="Q49" s="1855"/>
    </row>
    <row r="50" spans="1:17">
      <c r="A50" s="1855"/>
      <c r="B50" s="1855"/>
      <c r="C50" s="1855"/>
      <c r="D50" s="1855"/>
      <c r="E50" s="1855"/>
      <c r="F50" s="1855"/>
      <c r="G50" s="1855"/>
      <c r="H50" s="1855"/>
      <c r="I50" s="1855"/>
      <c r="J50" s="1855"/>
      <c r="K50" s="1855"/>
      <c r="L50" s="1855"/>
      <c r="M50" s="1855"/>
      <c r="N50" s="1855"/>
      <c r="O50" s="1855"/>
      <c r="P50" s="1855"/>
      <c r="Q50" s="1855"/>
    </row>
    <row r="51" spans="1:17">
      <c r="A51" s="1855"/>
      <c r="B51" s="2306" t="s">
        <v>1</v>
      </c>
      <c r="C51" s="2307"/>
      <c r="D51" s="2307"/>
      <c r="E51" s="2308"/>
      <c r="F51" s="2315" t="s">
        <v>712</v>
      </c>
      <c r="G51" s="2304" t="s">
        <v>713</v>
      </c>
      <c r="H51" s="2318"/>
      <c r="I51" s="2318"/>
      <c r="J51" s="2318"/>
      <c r="K51" s="2318"/>
      <c r="L51" s="2319"/>
      <c r="M51" s="1855"/>
      <c r="N51" s="1855"/>
      <c r="O51" s="1855"/>
      <c r="P51" s="1855"/>
      <c r="Q51" s="1855"/>
    </row>
    <row r="52" spans="1:17" ht="13.95" customHeight="1">
      <c r="A52" s="1855"/>
      <c r="B52" s="2309"/>
      <c r="C52" s="2310"/>
      <c r="D52" s="2310"/>
      <c r="E52" s="2311"/>
      <c r="F52" s="2316"/>
      <c r="G52" s="2320" t="s">
        <v>714</v>
      </c>
      <c r="H52" s="2303" t="s">
        <v>660</v>
      </c>
      <c r="I52" s="2303" t="s">
        <v>661</v>
      </c>
      <c r="J52" s="2303" t="s">
        <v>692</v>
      </c>
      <c r="K52" s="2303" t="s">
        <v>715</v>
      </c>
      <c r="L52" s="2320" t="s">
        <v>716</v>
      </c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/>
      <c r="H53" s="2303"/>
      <c r="I53" s="2303"/>
      <c r="J53" s="2303"/>
      <c r="K53" s="2303"/>
      <c r="L53" s="2320"/>
      <c r="M53" s="1855"/>
      <c r="N53" s="1855"/>
      <c r="O53" s="1855"/>
      <c r="P53" s="1855"/>
      <c r="Q53" s="1855"/>
    </row>
    <row r="54" spans="1:17">
      <c r="A54" s="1855"/>
      <c r="B54" s="2309"/>
      <c r="C54" s="2310"/>
      <c r="D54" s="2310"/>
      <c r="E54" s="2311"/>
      <c r="F54" s="2316"/>
      <c r="G54" s="2320"/>
      <c r="H54" s="2303"/>
      <c r="I54" s="2303"/>
      <c r="J54" s="2303"/>
      <c r="K54" s="2303"/>
      <c r="L54" s="2320"/>
      <c r="M54" s="1855"/>
      <c r="N54" s="1855"/>
      <c r="O54" s="1855"/>
      <c r="P54" s="1855"/>
      <c r="Q54" s="1855"/>
    </row>
    <row r="55" spans="1:17">
      <c r="A55" s="1855"/>
      <c r="B55" s="2312"/>
      <c r="C55" s="2313"/>
      <c r="D55" s="2313"/>
      <c r="E55" s="2314"/>
      <c r="F55" s="2317"/>
      <c r="G55" s="2320"/>
      <c r="H55" s="2303"/>
      <c r="I55" s="2303"/>
      <c r="J55" s="2303"/>
      <c r="K55" s="2303"/>
      <c r="L55" s="2320"/>
      <c r="M55" s="1855"/>
      <c r="N55" s="1855"/>
      <c r="O55" s="1855"/>
      <c r="P55" s="1855"/>
      <c r="Q55" s="1855"/>
    </row>
    <row r="56" spans="1:17">
      <c r="A56" s="1855"/>
      <c r="B56" s="2303">
        <v>1</v>
      </c>
      <c r="C56" s="2303"/>
      <c r="D56" s="2303"/>
      <c r="E56" s="2303"/>
      <c r="F56" s="1861">
        <v>2</v>
      </c>
      <c r="G56" s="1861">
        <v>3</v>
      </c>
      <c r="H56" s="1861">
        <v>4</v>
      </c>
      <c r="I56" s="1861">
        <v>5</v>
      </c>
      <c r="J56" s="1861">
        <v>6</v>
      </c>
      <c r="K56" s="1861">
        <v>7</v>
      </c>
      <c r="L56" s="1861">
        <v>8</v>
      </c>
      <c r="M56" s="1855"/>
      <c r="N56" s="1855"/>
      <c r="O56" s="1855"/>
      <c r="P56" s="1855"/>
      <c r="Q56" s="1855"/>
    </row>
    <row r="57" spans="1:17" ht="14.4">
      <c r="A57" s="1855"/>
      <c r="B57" s="2303"/>
      <c r="C57" s="2303"/>
      <c r="D57" s="2303"/>
      <c r="E57" s="2303"/>
      <c r="F57" s="2304" t="s">
        <v>163</v>
      </c>
      <c r="G57" s="2305"/>
      <c r="H57" s="2305"/>
      <c r="I57" s="2305"/>
      <c r="J57" s="2305"/>
      <c r="K57" s="2305"/>
      <c r="L57" s="2285"/>
      <c r="M57" s="1855"/>
      <c r="N57" s="1855"/>
      <c r="O57" s="1855"/>
      <c r="P57" s="1855"/>
      <c r="Q57" s="1855"/>
    </row>
    <row r="58" spans="1:17" ht="37.950000000000003" customHeight="1">
      <c r="A58" s="1855"/>
      <c r="B58" s="2300" t="s">
        <v>717</v>
      </c>
      <c r="C58" s="2301"/>
      <c r="D58" s="2301"/>
      <c r="E58" s="2302"/>
      <c r="F58" s="1971">
        <f>1122413770.96</f>
        <v>1122413770.96</v>
      </c>
      <c r="G58" s="1971">
        <f>205353842.11</f>
        <v>205353842.11000001</v>
      </c>
      <c r="H58" s="1971">
        <f>0</f>
        <v>0</v>
      </c>
      <c r="I58" s="1971">
        <f>0</f>
        <v>0</v>
      </c>
      <c r="J58" s="1971">
        <f>205353842.11</f>
        <v>205353842.11000001</v>
      </c>
      <c r="K58" s="1971">
        <f>0</f>
        <v>0</v>
      </c>
      <c r="L58" s="1971">
        <f>917059928.85</f>
        <v>917059928.85000002</v>
      </c>
      <c r="M58" s="1855"/>
      <c r="N58" s="1855"/>
      <c r="O58" s="1855"/>
      <c r="P58" s="1855"/>
      <c r="Q58" s="1855"/>
    </row>
    <row r="59" spans="1:17" ht="39.6" customHeight="1">
      <c r="A59" s="1855"/>
      <c r="B59" s="2300" t="s">
        <v>718</v>
      </c>
      <c r="C59" s="2301"/>
      <c r="D59" s="2301"/>
      <c r="E59" s="2302"/>
      <c r="F59" s="1971">
        <f>0</f>
        <v>0</v>
      </c>
      <c r="G59" s="1971">
        <f>0</f>
        <v>0</v>
      </c>
      <c r="H59" s="1971">
        <f>0</f>
        <v>0</v>
      </c>
      <c r="I59" s="1971">
        <f>0</f>
        <v>0</v>
      </c>
      <c r="J59" s="1971">
        <f>0</f>
        <v>0</v>
      </c>
      <c r="K59" s="1971">
        <f>0</f>
        <v>0</v>
      </c>
      <c r="L59" s="1971">
        <f>0</f>
        <v>0</v>
      </c>
      <c r="M59" s="1855"/>
      <c r="N59" s="1855"/>
      <c r="O59" s="1855"/>
      <c r="P59" s="1855"/>
      <c r="Q59" s="1855"/>
    </row>
    <row r="60" spans="1:17" ht="24" customHeight="1">
      <c r="A60" s="1855"/>
      <c r="B60" s="2300" t="s">
        <v>719</v>
      </c>
      <c r="C60" s="2301"/>
      <c r="D60" s="2301"/>
      <c r="E60" s="2302"/>
      <c r="F60" s="1971">
        <f>303000000</f>
        <v>303000000</v>
      </c>
      <c r="G60" s="1971">
        <f>0</f>
        <v>0</v>
      </c>
      <c r="H60" s="1971">
        <f>0</f>
        <v>0</v>
      </c>
      <c r="I60" s="1971">
        <f>0</f>
        <v>0</v>
      </c>
      <c r="J60" s="1971">
        <f>0</f>
        <v>0</v>
      </c>
      <c r="K60" s="1971">
        <f>0</f>
        <v>0</v>
      </c>
      <c r="L60" s="1971">
        <f>303000000</f>
        <v>303000000</v>
      </c>
      <c r="M60" s="1855"/>
      <c r="N60" s="1855"/>
      <c r="O60" s="1855"/>
      <c r="P60" s="1855"/>
      <c r="Q60" s="1855"/>
    </row>
    <row r="61" spans="1:17">
      <c r="A61" s="1855"/>
      <c r="B61" s="2300" t="s">
        <v>720</v>
      </c>
      <c r="C61" s="2301"/>
      <c r="D61" s="2301"/>
      <c r="E61" s="2302"/>
      <c r="F61" s="1971">
        <f>9938113.96</f>
        <v>9938113.9600000009</v>
      </c>
      <c r="G61" s="1971">
        <f>7938114.04</f>
        <v>7938114.04</v>
      </c>
      <c r="H61" s="1971">
        <f>0</f>
        <v>0</v>
      </c>
      <c r="I61" s="1971">
        <f>0</f>
        <v>0</v>
      </c>
      <c r="J61" s="1971">
        <f>7938114.04</f>
        <v>7938114.04</v>
      </c>
      <c r="K61" s="1971">
        <f>0</f>
        <v>0</v>
      </c>
      <c r="L61" s="1971">
        <f>1999999.92</f>
        <v>1999999.92</v>
      </c>
      <c r="M61" s="1855"/>
      <c r="N61" s="1855"/>
      <c r="O61" s="1855"/>
      <c r="P61" s="1855"/>
      <c r="Q61" s="1855"/>
    </row>
    <row r="62" spans="1:17" ht="24.6" customHeight="1">
      <c r="A62" s="1855"/>
      <c r="B62" s="2300" t="s">
        <v>721</v>
      </c>
      <c r="C62" s="2301"/>
      <c r="D62" s="2301"/>
      <c r="E62" s="2302"/>
      <c r="F62" s="1971">
        <f>543772.19</f>
        <v>543772.18999999994</v>
      </c>
      <c r="G62" s="1971">
        <f>426543.87</f>
        <v>426543.87</v>
      </c>
      <c r="H62" s="1971">
        <f>0</f>
        <v>0</v>
      </c>
      <c r="I62" s="1971">
        <f>0</f>
        <v>0</v>
      </c>
      <c r="J62" s="1971">
        <f>426543.87</f>
        <v>426543.87</v>
      </c>
      <c r="K62" s="1971">
        <f>0</f>
        <v>0</v>
      </c>
      <c r="L62" s="1971">
        <f>117228.32</f>
        <v>117228.32</v>
      </c>
      <c r="M62" s="1855"/>
      <c r="N62" s="1855"/>
      <c r="O62" s="1855"/>
      <c r="P62" s="1855"/>
      <c r="Q62" s="1855"/>
    </row>
    <row r="63" spans="1:17" ht="27" customHeight="1">
      <c r="A63" s="1855"/>
      <c r="B63" s="2300" t="s">
        <v>722</v>
      </c>
      <c r="C63" s="2301"/>
      <c r="D63" s="2301"/>
      <c r="E63" s="2302"/>
      <c r="F63" s="1971">
        <f>17557734.07</f>
        <v>17557734.07</v>
      </c>
      <c r="G63" s="1971">
        <f>15557734.15</f>
        <v>15557734.15</v>
      </c>
      <c r="H63" s="1971">
        <f>0</f>
        <v>0</v>
      </c>
      <c r="I63" s="1971">
        <f>0</f>
        <v>0</v>
      </c>
      <c r="J63" s="1971">
        <f>15557734.15</f>
        <v>15557734.15</v>
      </c>
      <c r="K63" s="1971">
        <f>0</f>
        <v>0</v>
      </c>
      <c r="L63" s="1971">
        <f>1999999.92</f>
        <v>1999999.92</v>
      </c>
      <c r="M63" s="1855"/>
      <c r="N63" s="1855"/>
      <c r="O63" s="1855"/>
      <c r="P63" s="1855"/>
      <c r="Q63" s="1855"/>
    </row>
    <row r="64" spans="1:17" ht="28.2" customHeight="1">
      <c r="A64" s="1855"/>
      <c r="B64" s="2300" t="s">
        <v>723</v>
      </c>
      <c r="C64" s="2301"/>
      <c r="D64" s="2301"/>
      <c r="E64" s="2302"/>
      <c r="F64" s="1971">
        <f>0</f>
        <v>0</v>
      </c>
      <c r="G64" s="1971">
        <f>0</f>
        <v>0</v>
      </c>
      <c r="H64" s="1971">
        <f>0</f>
        <v>0</v>
      </c>
      <c r="I64" s="1971">
        <f>0</f>
        <v>0</v>
      </c>
      <c r="J64" s="1971">
        <f>0</f>
        <v>0</v>
      </c>
      <c r="K64" s="1971">
        <f>0</f>
        <v>0</v>
      </c>
      <c r="L64" s="1971">
        <f>0</f>
        <v>0</v>
      </c>
      <c r="M64" s="1855"/>
      <c r="N64" s="1855"/>
      <c r="O64" s="1855"/>
      <c r="P64" s="1855"/>
      <c r="Q64" s="1855"/>
    </row>
    <row r="65" spans="1:17">
      <c r="A65" s="1855"/>
      <c r="B65" s="1855"/>
      <c r="C65" s="1855"/>
      <c r="D65" s="1855"/>
      <c r="E65" s="1855"/>
      <c r="F65" s="1855"/>
      <c r="G65" s="1855"/>
      <c r="H65" s="1855"/>
      <c r="I65" s="1855"/>
      <c r="J65" s="1855"/>
      <c r="K65" s="1855"/>
      <c r="L65" s="1855"/>
      <c r="M65" s="1855"/>
      <c r="N65" s="1855"/>
      <c r="O65" s="1855"/>
      <c r="P65" s="1855"/>
      <c r="Q65" s="1855"/>
    </row>
    <row r="66" spans="1:17">
      <c r="A66" s="2255" t="s">
        <v>884</v>
      </c>
      <c r="B66" s="2255"/>
      <c r="C66" s="2255"/>
      <c r="D66" s="2255"/>
    </row>
  </sheetData>
  <mergeCells count="64">
    <mergeCell ref="A66:D66"/>
    <mergeCell ref="B60:E60"/>
    <mergeCell ref="B61:E61"/>
    <mergeCell ref="B62:E62"/>
    <mergeCell ref="B63:E63"/>
    <mergeCell ref="B64:E64"/>
    <mergeCell ref="B56:E56"/>
    <mergeCell ref="B57:E57"/>
    <mergeCell ref="F57:L57"/>
    <mergeCell ref="B58:E58"/>
    <mergeCell ref="B59:E59"/>
    <mergeCell ref="B51:E55"/>
    <mergeCell ref="F51:F55"/>
    <mergeCell ref="G51:L51"/>
    <mergeCell ref="G52:G55"/>
    <mergeCell ref="H52:H55"/>
    <mergeCell ref="I52:I55"/>
    <mergeCell ref="J52:J55"/>
    <mergeCell ref="K52:K55"/>
    <mergeCell ref="L52:L55"/>
    <mergeCell ref="B30:Q30"/>
    <mergeCell ref="B49:M49"/>
    <mergeCell ref="K25:K28"/>
    <mergeCell ref="L25:L28"/>
    <mergeCell ref="M25:M28"/>
    <mergeCell ref="N25:N28"/>
    <mergeCell ref="O25:O28"/>
    <mergeCell ref="F25:F28"/>
    <mergeCell ref="G25:G28"/>
    <mergeCell ref="H25:H28"/>
    <mergeCell ref="I25:I28"/>
    <mergeCell ref="J25:J28"/>
    <mergeCell ref="B3:B7"/>
    <mergeCell ref="C3:N3"/>
    <mergeCell ref="L4:L7"/>
    <mergeCell ref="M4:M7"/>
    <mergeCell ref="N4:N7"/>
    <mergeCell ref="A1:M1"/>
    <mergeCell ref="C2:M2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A3:A7"/>
    <mergeCell ref="B9:Q9"/>
    <mergeCell ref="A22:M22"/>
    <mergeCell ref="A24:A28"/>
    <mergeCell ref="B24:B28"/>
    <mergeCell ref="C24:N24"/>
    <mergeCell ref="O24:Q24"/>
    <mergeCell ref="C25:C28"/>
    <mergeCell ref="D25:D28"/>
    <mergeCell ref="E25:E28"/>
    <mergeCell ref="P25:P28"/>
    <mergeCell ref="Q25:Q28"/>
  </mergeCells>
  <pageMargins left="0.51181102362204722" right="0.31496062992125984" top="0.74803149606299213" bottom="0.55118110236220474" header="0.31496062992125984" footer="0.31496062992125984"/>
  <pageSetup paperSize="9" scale="70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A69E-373A-4FE3-9721-E153EF5B5021}">
  <dimension ref="A1:G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5.77734375" style="441" customWidth="1"/>
    <col min="3" max="3" width="10.77734375" style="441" customWidth="1"/>
    <col min="4" max="6" width="9.21875" style="441"/>
    <col min="7" max="7" width="11.21875" style="441" customWidth="1"/>
    <col min="8" max="16384" width="9.21875" style="441"/>
  </cols>
  <sheetData>
    <row r="1" spans="1:7" ht="14.4">
      <c r="A1" s="280" t="s">
        <v>1031</v>
      </c>
      <c r="B1" s="443"/>
      <c r="C1" s="443"/>
      <c r="D1" s="443"/>
      <c r="E1" s="443"/>
      <c r="F1" s="443"/>
      <c r="G1" s="443"/>
    </row>
    <row r="3" spans="1:7">
      <c r="A3" s="2138" t="s">
        <v>87</v>
      </c>
      <c r="B3" s="2140" t="s">
        <v>1</v>
      </c>
      <c r="C3" s="2142" t="s">
        <v>157</v>
      </c>
      <c r="D3" s="378" t="s">
        <v>158</v>
      </c>
      <c r="E3" s="378" t="s">
        <v>159</v>
      </c>
      <c r="F3" s="378" t="s">
        <v>160</v>
      </c>
      <c r="G3" s="376" t="s">
        <v>161</v>
      </c>
    </row>
    <row r="4" spans="1:7">
      <c r="A4" s="2139"/>
      <c r="B4" s="2141"/>
      <c r="C4" s="2143"/>
      <c r="D4" s="2144" t="s">
        <v>162</v>
      </c>
      <c r="E4" s="2145"/>
      <c r="F4" s="2145"/>
      <c r="G4" s="2146"/>
    </row>
    <row r="5" spans="1:7" ht="14.4">
      <c r="A5" s="2139"/>
      <c r="B5" s="2141"/>
      <c r="C5" s="297"/>
      <c r="D5" s="2147" t="s">
        <v>163</v>
      </c>
      <c r="E5" s="2148"/>
      <c r="F5" s="2148"/>
      <c r="G5" s="2149"/>
    </row>
    <row r="6" spans="1:7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9" t="s">
        <v>16</v>
      </c>
    </row>
    <row r="7" spans="1:7">
      <c r="A7" s="299"/>
      <c r="B7" s="300" t="s">
        <v>129</v>
      </c>
      <c r="C7" s="303">
        <v>37489087</v>
      </c>
      <c r="D7" s="309">
        <v>1031.8</v>
      </c>
      <c r="E7" s="309">
        <v>1013</v>
      </c>
      <c r="F7" s="309">
        <v>18.8</v>
      </c>
      <c r="G7" s="306">
        <v>118</v>
      </c>
    </row>
    <row r="8" spans="1:7">
      <c r="A8" s="366" t="s">
        <v>96</v>
      </c>
      <c r="B8" s="301" t="s">
        <v>97</v>
      </c>
      <c r="C8" s="304">
        <v>2868242</v>
      </c>
      <c r="D8" s="310">
        <v>1069.5999999999999</v>
      </c>
      <c r="E8" s="310">
        <v>1058</v>
      </c>
      <c r="F8" s="310">
        <v>11.6</v>
      </c>
      <c r="G8" s="307">
        <v>10.5</v>
      </c>
    </row>
    <row r="9" spans="1:7">
      <c r="A9" s="366" t="s">
        <v>98</v>
      </c>
      <c r="B9" s="301" t="s">
        <v>99</v>
      </c>
      <c r="C9" s="304">
        <v>1984479</v>
      </c>
      <c r="D9" s="310">
        <v>1038.5999999999999</v>
      </c>
      <c r="E9" s="310">
        <v>1016</v>
      </c>
      <c r="F9" s="310">
        <v>22.7</v>
      </c>
      <c r="G9" s="307">
        <v>88</v>
      </c>
    </row>
    <row r="10" spans="1:7">
      <c r="A10" s="366" t="s">
        <v>100</v>
      </c>
      <c r="B10" s="301" t="s">
        <v>101</v>
      </c>
      <c r="C10" s="304">
        <v>1996440</v>
      </c>
      <c r="D10" s="310">
        <v>941</v>
      </c>
      <c r="E10" s="310">
        <v>803.3</v>
      </c>
      <c r="F10" s="310">
        <v>137.6</v>
      </c>
      <c r="G10" s="307">
        <v>88.5</v>
      </c>
    </row>
    <row r="11" spans="1:7">
      <c r="A11" s="366" t="s">
        <v>102</v>
      </c>
      <c r="B11" s="301" t="s">
        <v>103</v>
      </c>
      <c r="C11" s="304">
        <v>969819</v>
      </c>
      <c r="D11" s="310">
        <v>1160.8</v>
      </c>
      <c r="E11" s="310">
        <v>1179.5999999999999</v>
      </c>
      <c r="F11" s="310">
        <v>-18.899999999999999</v>
      </c>
      <c r="G11" s="307">
        <v>456</v>
      </c>
    </row>
    <row r="12" spans="1:7">
      <c r="A12" s="366" t="s">
        <v>104</v>
      </c>
      <c r="B12" s="301" t="s">
        <v>105</v>
      </c>
      <c r="C12" s="304">
        <v>2345924</v>
      </c>
      <c r="D12" s="310">
        <v>840.3</v>
      </c>
      <c r="E12" s="310">
        <v>866</v>
      </c>
      <c r="F12" s="310">
        <v>-25.7</v>
      </c>
      <c r="G12" s="307">
        <v>101.7</v>
      </c>
    </row>
    <row r="13" spans="1:7">
      <c r="A13" s="366" t="s">
        <v>106</v>
      </c>
      <c r="B13" s="301" t="s">
        <v>107</v>
      </c>
      <c r="C13" s="304">
        <v>3429084</v>
      </c>
      <c r="D13" s="310">
        <v>892.8</v>
      </c>
      <c r="E13" s="310">
        <v>905.9</v>
      </c>
      <c r="F13" s="310">
        <v>-13.1</v>
      </c>
      <c r="G13" s="307">
        <v>77.8</v>
      </c>
    </row>
    <row r="14" spans="1:7">
      <c r="A14" s="366" t="s">
        <v>108</v>
      </c>
      <c r="B14" s="301" t="s">
        <v>109</v>
      </c>
      <c r="C14" s="304">
        <v>5508322</v>
      </c>
      <c r="D14" s="310">
        <v>1075.0999999999999</v>
      </c>
      <c r="E14" s="310">
        <v>1106.3</v>
      </c>
      <c r="F14" s="310">
        <v>-31.2</v>
      </c>
      <c r="G14" s="307">
        <v>309.10000000000002</v>
      </c>
    </row>
    <row r="15" spans="1:7">
      <c r="A15" s="366" t="s">
        <v>110</v>
      </c>
      <c r="B15" s="301" t="s">
        <v>111</v>
      </c>
      <c r="C15" s="304">
        <v>930296</v>
      </c>
      <c r="D15" s="310">
        <v>1020.2</v>
      </c>
      <c r="E15" s="310">
        <v>1007.9</v>
      </c>
      <c r="F15" s="310">
        <v>12.3</v>
      </c>
      <c r="G15" s="307">
        <v>0</v>
      </c>
    </row>
    <row r="16" spans="1:7">
      <c r="A16" s="366" t="s">
        <v>112</v>
      </c>
      <c r="B16" s="301" t="s">
        <v>113</v>
      </c>
      <c r="C16" s="304">
        <v>2062997</v>
      </c>
      <c r="D16" s="310">
        <v>1236.5999999999999</v>
      </c>
      <c r="E16" s="310">
        <v>1060</v>
      </c>
      <c r="F16" s="310">
        <v>176.6</v>
      </c>
      <c r="G16" s="307">
        <v>61.4</v>
      </c>
    </row>
    <row r="17" spans="1:7">
      <c r="A17" s="366" t="s">
        <v>114</v>
      </c>
      <c r="B17" s="301" t="s">
        <v>115</v>
      </c>
      <c r="C17" s="304">
        <v>1132641</v>
      </c>
      <c r="D17" s="310">
        <v>1468.1</v>
      </c>
      <c r="E17" s="310">
        <v>1524.1</v>
      </c>
      <c r="F17" s="310">
        <v>-56</v>
      </c>
      <c r="G17" s="307">
        <v>229.6</v>
      </c>
    </row>
    <row r="18" spans="1:7">
      <c r="A18" s="366" t="s">
        <v>116</v>
      </c>
      <c r="B18" s="301" t="s">
        <v>117</v>
      </c>
      <c r="C18" s="304">
        <v>2359493</v>
      </c>
      <c r="D18" s="310">
        <v>1070.4000000000001</v>
      </c>
      <c r="E18" s="310">
        <v>1037.3</v>
      </c>
      <c r="F18" s="310">
        <v>33.1</v>
      </c>
      <c r="G18" s="307">
        <v>80.8</v>
      </c>
    </row>
    <row r="19" spans="1:7">
      <c r="A19" s="366" t="s">
        <v>118</v>
      </c>
      <c r="B19" s="301" t="s">
        <v>119</v>
      </c>
      <c r="C19" s="304">
        <v>4291441</v>
      </c>
      <c r="D19" s="310">
        <v>886.6</v>
      </c>
      <c r="E19" s="310">
        <v>951.4</v>
      </c>
      <c r="F19" s="310">
        <v>-64.8</v>
      </c>
      <c r="G19" s="307">
        <v>98</v>
      </c>
    </row>
    <row r="20" spans="1:7">
      <c r="A20" s="366" t="s">
        <v>120</v>
      </c>
      <c r="B20" s="301" t="s">
        <v>121</v>
      </c>
      <c r="C20" s="304">
        <v>1157991</v>
      </c>
      <c r="D20" s="310">
        <v>1081.9000000000001</v>
      </c>
      <c r="E20" s="310">
        <v>1040.8</v>
      </c>
      <c r="F20" s="310">
        <v>41.1</v>
      </c>
      <c r="G20" s="307">
        <v>8.6</v>
      </c>
    </row>
    <row r="21" spans="1:7">
      <c r="A21" s="366" t="s">
        <v>122</v>
      </c>
      <c r="B21" s="301" t="s">
        <v>123</v>
      </c>
      <c r="C21" s="304">
        <v>1349172</v>
      </c>
      <c r="D21" s="310">
        <v>1193.5999999999999</v>
      </c>
      <c r="E21" s="310">
        <v>1056.5999999999999</v>
      </c>
      <c r="F21" s="310">
        <v>137</v>
      </c>
      <c r="G21" s="307">
        <v>85.8</v>
      </c>
    </row>
    <row r="22" spans="1:7">
      <c r="A22" s="366" t="s">
        <v>124</v>
      </c>
      <c r="B22" s="301" t="s">
        <v>125</v>
      </c>
      <c r="C22" s="304">
        <v>3479986</v>
      </c>
      <c r="D22" s="310">
        <v>947.1</v>
      </c>
      <c r="E22" s="310">
        <v>994.8</v>
      </c>
      <c r="F22" s="310">
        <v>-47.7</v>
      </c>
      <c r="G22" s="307">
        <v>48.4</v>
      </c>
    </row>
    <row r="23" spans="1:7">
      <c r="A23" s="367" t="s">
        <v>126</v>
      </c>
      <c r="B23" s="302" t="s">
        <v>127</v>
      </c>
      <c r="C23" s="305">
        <v>1622760</v>
      </c>
      <c r="D23" s="311">
        <v>1196.5</v>
      </c>
      <c r="E23" s="311">
        <v>908.1</v>
      </c>
      <c r="F23" s="311">
        <v>288.39999999999998</v>
      </c>
      <c r="G23" s="308">
        <v>62.4</v>
      </c>
    </row>
    <row r="25" spans="1:7" ht="14.4">
      <c r="A25" s="295" t="s">
        <v>128</v>
      </c>
      <c r="B25" s="365" t="s">
        <v>909</v>
      </c>
      <c r="C25" s="295"/>
      <c r="D25" s="295"/>
      <c r="E25" s="295"/>
      <c r="F25" s="295"/>
      <c r="G25" s="295"/>
    </row>
    <row r="26" spans="1:7" ht="14.4">
      <c r="A26" s="295"/>
      <c r="B26" s="365" t="s">
        <v>910</v>
      </c>
      <c r="C26" s="295"/>
      <c r="D26" s="295"/>
      <c r="E26" s="295"/>
      <c r="F26" s="295"/>
      <c r="G26" s="295"/>
    </row>
  </sheetData>
  <mergeCells count="5">
    <mergeCell ref="A3:A5"/>
    <mergeCell ref="B3:B5"/>
    <mergeCell ref="C3:C4"/>
    <mergeCell ref="D4:G4"/>
    <mergeCell ref="D5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7FF-9A04-49AB-BE0C-2DEC48B86889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6.44140625" style="441" customWidth="1"/>
    <col min="2" max="2" width="16.21875" style="441" customWidth="1"/>
    <col min="3" max="4" width="12.5546875" style="441" bestFit="1" customWidth="1"/>
    <col min="5" max="6" width="12.33203125" style="441" bestFit="1" customWidth="1"/>
    <col min="7" max="7" width="7.5546875" style="441" bestFit="1" customWidth="1"/>
    <col min="8" max="8" width="7.6640625" style="441" bestFit="1" customWidth="1"/>
    <col min="9" max="9" width="12.21875" style="441" customWidth="1"/>
    <col min="10" max="16384" width="9.21875" style="441"/>
  </cols>
  <sheetData>
    <row r="1" spans="1:9" ht="32.25" customHeight="1">
      <c r="A1" s="2203" t="s">
        <v>970</v>
      </c>
      <c r="B1" s="2203"/>
      <c r="C1" s="2203"/>
      <c r="D1" s="2203"/>
      <c r="E1" s="2203"/>
      <c r="F1" s="2203"/>
      <c r="G1" s="2203"/>
      <c r="H1" s="2203"/>
      <c r="I1" s="220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883"/>
      <c r="B7" s="882" t="s">
        <v>95</v>
      </c>
      <c r="C7" s="879">
        <v>11007681421.799999</v>
      </c>
      <c r="D7" s="877">
        <v>11642239739.34</v>
      </c>
      <c r="E7" s="877">
        <v>3480992246.23</v>
      </c>
      <c r="F7" s="877">
        <v>8161247493.1100006</v>
      </c>
      <c r="G7" s="878">
        <v>100</v>
      </c>
      <c r="H7" s="878">
        <v>105.8</v>
      </c>
      <c r="I7" s="886">
        <v>310.60000000000002</v>
      </c>
    </row>
    <row r="8" spans="1:9">
      <c r="A8" s="873" t="s">
        <v>96</v>
      </c>
      <c r="B8" s="884" t="s">
        <v>97</v>
      </c>
      <c r="C8" s="880">
        <v>970429383.65999997</v>
      </c>
      <c r="D8" s="871">
        <v>1279477548.77</v>
      </c>
      <c r="E8" s="871">
        <v>550405504.14999998</v>
      </c>
      <c r="F8" s="871">
        <v>729072044.62</v>
      </c>
      <c r="G8" s="872">
        <v>11</v>
      </c>
      <c r="H8" s="872">
        <v>131.80000000000001</v>
      </c>
      <c r="I8" s="887">
        <v>446.1</v>
      </c>
    </row>
    <row r="9" spans="1:9">
      <c r="A9" s="873" t="s">
        <v>98</v>
      </c>
      <c r="B9" s="884" t="s">
        <v>99</v>
      </c>
      <c r="C9" s="880">
        <v>611571647.73000002</v>
      </c>
      <c r="D9" s="871">
        <v>665142903.51999998</v>
      </c>
      <c r="E9" s="871">
        <v>160739884.02000001</v>
      </c>
      <c r="F9" s="871">
        <v>504403019.5</v>
      </c>
      <c r="G9" s="872">
        <v>5.7</v>
      </c>
      <c r="H9" s="872">
        <v>108.8</v>
      </c>
      <c r="I9" s="887">
        <v>335.2</v>
      </c>
    </row>
    <row r="10" spans="1:9">
      <c r="A10" s="873" t="s">
        <v>100</v>
      </c>
      <c r="B10" s="884" t="s">
        <v>101</v>
      </c>
      <c r="C10" s="880">
        <v>581772702.33000004</v>
      </c>
      <c r="D10" s="871">
        <v>655709416.15999997</v>
      </c>
      <c r="E10" s="871">
        <v>228738886.53999999</v>
      </c>
      <c r="F10" s="871">
        <v>426970529.62</v>
      </c>
      <c r="G10" s="872">
        <v>5.6</v>
      </c>
      <c r="H10" s="872">
        <v>112.7</v>
      </c>
      <c r="I10" s="887">
        <v>328.4</v>
      </c>
    </row>
    <row r="11" spans="1:9">
      <c r="A11" s="873" t="s">
        <v>102</v>
      </c>
      <c r="B11" s="884" t="s">
        <v>103</v>
      </c>
      <c r="C11" s="880">
        <v>297269708.27999997</v>
      </c>
      <c r="D11" s="871">
        <v>388091234.36000001</v>
      </c>
      <c r="E11" s="871">
        <v>120659249.02</v>
      </c>
      <c r="F11" s="871">
        <v>267431985.34000003</v>
      </c>
      <c r="G11" s="872">
        <v>3.3</v>
      </c>
      <c r="H11" s="872">
        <v>130.6</v>
      </c>
      <c r="I11" s="887">
        <v>400.2</v>
      </c>
    </row>
    <row r="12" spans="1:9">
      <c r="A12" s="873" t="s">
        <v>104</v>
      </c>
      <c r="B12" s="884" t="s">
        <v>105</v>
      </c>
      <c r="C12" s="880">
        <v>696237725.79999995</v>
      </c>
      <c r="D12" s="871">
        <v>715305257.29999995</v>
      </c>
      <c r="E12" s="871">
        <v>173662282.90000001</v>
      </c>
      <c r="F12" s="871">
        <v>541642974.39999998</v>
      </c>
      <c r="G12" s="872">
        <v>6.1</v>
      </c>
      <c r="H12" s="872">
        <v>102.7</v>
      </c>
      <c r="I12" s="887">
        <v>304.89999999999998</v>
      </c>
    </row>
    <row r="13" spans="1:9">
      <c r="A13" s="873" t="s">
        <v>106</v>
      </c>
      <c r="B13" s="884" t="s">
        <v>107</v>
      </c>
      <c r="C13" s="880">
        <v>993009088.71000004</v>
      </c>
      <c r="D13" s="871">
        <v>992525116.11000001</v>
      </c>
      <c r="E13" s="871">
        <v>314647961.55000001</v>
      </c>
      <c r="F13" s="871">
        <v>677877154.55999994</v>
      </c>
      <c r="G13" s="872">
        <v>8.5</v>
      </c>
      <c r="H13" s="872">
        <v>100</v>
      </c>
      <c r="I13" s="887">
        <v>289.39999999999998</v>
      </c>
    </row>
    <row r="14" spans="1:9">
      <c r="A14" s="873" t="s">
        <v>108</v>
      </c>
      <c r="B14" s="884" t="s">
        <v>109</v>
      </c>
      <c r="C14" s="880">
        <v>1505455456.9100001</v>
      </c>
      <c r="D14" s="871">
        <v>1363028192.26</v>
      </c>
      <c r="E14" s="871">
        <v>399433071.82999998</v>
      </c>
      <c r="F14" s="871">
        <v>963595120.43000007</v>
      </c>
      <c r="G14" s="872">
        <v>11.7</v>
      </c>
      <c r="H14" s="872">
        <v>90.5</v>
      </c>
      <c r="I14" s="887">
        <v>247.4</v>
      </c>
    </row>
    <row r="15" spans="1:9">
      <c r="A15" s="873" t="s">
        <v>110</v>
      </c>
      <c r="B15" s="884" t="s">
        <v>111</v>
      </c>
      <c r="C15" s="880">
        <v>354550979.02999997</v>
      </c>
      <c r="D15" s="871">
        <v>376180112.06</v>
      </c>
      <c r="E15" s="871">
        <v>116775257.78</v>
      </c>
      <c r="F15" s="871">
        <v>259404854.28</v>
      </c>
      <c r="G15" s="872">
        <v>3.2</v>
      </c>
      <c r="H15" s="872">
        <v>106.1</v>
      </c>
      <c r="I15" s="887">
        <v>404.4</v>
      </c>
    </row>
    <row r="16" spans="1:9">
      <c r="A16" s="873" t="s">
        <v>112</v>
      </c>
      <c r="B16" s="884" t="s">
        <v>113</v>
      </c>
      <c r="C16" s="880">
        <v>632393303.04999995</v>
      </c>
      <c r="D16" s="871">
        <v>707198068.41999996</v>
      </c>
      <c r="E16" s="871">
        <v>255760736.97</v>
      </c>
      <c r="F16" s="871">
        <v>451437331.44999993</v>
      </c>
      <c r="G16" s="872">
        <v>6.1</v>
      </c>
      <c r="H16" s="872">
        <v>111.8</v>
      </c>
      <c r="I16" s="887">
        <v>342.8</v>
      </c>
    </row>
    <row r="17" spans="1:9">
      <c r="A17" s="873" t="s">
        <v>114</v>
      </c>
      <c r="B17" s="884" t="s">
        <v>115</v>
      </c>
      <c r="C17" s="880">
        <v>368573249</v>
      </c>
      <c r="D17" s="871">
        <v>423477278.33999997</v>
      </c>
      <c r="E17" s="871">
        <v>145597341.03999999</v>
      </c>
      <c r="F17" s="871">
        <v>277879937.29999995</v>
      </c>
      <c r="G17" s="872">
        <v>3.6</v>
      </c>
      <c r="H17" s="872">
        <v>114.9</v>
      </c>
      <c r="I17" s="887">
        <v>373.9</v>
      </c>
    </row>
    <row r="18" spans="1:9">
      <c r="A18" s="873" t="s">
        <v>116</v>
      </c>
      <c r="B18" s="884" t="s">
        <v>117</v>
      </c>
      <c r="C18" s="880">
        <v>758143332.03999996</v>
      </c>
      <c r="D18" s="871">
        <v>605169044.36000001</v>
      </c>
      <c r="E18" s="871">
        <v>148170912.02000001</v>
      </c>
      <c r="F18" s="871">
        <v>456998132.34000003</v>
      </c>
      <c r="G18" s="872">
        <v>5.2</v>
      </c>
      <c r="H18" s="872">
        <v>79.8</v>
      </c>
      <c r="I18" s="887">
        <v>256.5</v>
      </c>
    </row>
    <row r="19" spans="1:9">
      <c r="A19" s="873" t="s">
        <v>118</v>
      </c>
      <c r="B19" s="884" t="s">
        <v>119</v>
      </c>
      <c r="C19" s="880">
        <v>1018068243.85</v>
      </c>
      <c r="D19" s="871">
        <v>1139014835.45</v>
      </c>
      <c r="E19" s="871">
        <v>301133161.44999999</v>
      </c>
      <c r="F19" s="871">
        <v>837881674</v>
      </c>
      <c r="G19" s="872">
        <v>9.8000000000000007</v>
      </c>
      <c r="H19" s="872">
        <v>111.9</v>
      </c>
      <c r="I19" s="887">
        <v>265.39999999999998</v>
      </c>
    </row>
    <row r="20" spans="1:9">
      <c r="A20" s="873" t="s">
        <v>120</v>
      </c>
      <c r="B20" s="884" t="s">
        <v>121</v>
      </c>
      <c r="C20" s="880">
        <v>395359176.18000001</v>
      </c>
      <c r="D20" s="871">
        <v>521980487.36000001</v>
      </c>
      <c r="E20" s="871">
        <v>149965765.81</v>
      </c>
      <c r="F20" s="871">
        <v>372014721.55000001</v>
      </c>
      <c r="G20" s="872">
        <v>4.5</v>
      </c>
      <c r="H20" s="872">
        <v>132</v>
      </c>
      <c r="I20" s="887">
        <v>450.8</v>
      </c>
    </row>
    <row r="21" spans="1:9">
      <c r="A21" s="873" t="s">
        <v>122</v>
      </c>
      <c r="B21" s="884" t="s">
        <v>123</v>
      </c>
      <c r="C21" s="880">
        <v>463105413</v>
      </c>
      <c r="D21" s="871">
        <v>578617745.83000004</v>
      </c>
      <c r="E21" s="871">
        <v>168203219.02000001</v>
      </c>
      <c r="F21" s="871">
        <v>410414526.81000006</v>
      </c>
      <c r="G21" s="872">
        <v>5</v>
      </c>
      <c r="H21" s="872">
        <v>124.9</v>
      </c>
      <c r="I21" s="887">
        <v>428.9</v>
      </c>
    </row>
    <row r="22" spans="1:9">
      <c r="A22" s="873" t="s">
        <v>124</v>
      </c>
      <c r="B22" s="884" t="s">
        <v>125</v>
      </c>
      <c r="C22" s="880">
        <v>891119475</v>
      </c>
      <c r="D22" s="871">
        <v>797374049.75</v>
      </c>
      <c r="E22" s="871">
        <v>212953872.87</v>
      </c>
      <c r="F22" s="871">
        <v>584420176.88</v>
      </c>
      <c r="G22" s="872">
        <v>6.8</v>
      </c>
      <c r="H22" s="872">
        <v>89.5</v>
      </c>
      <c r="I22" s="887">
        <v>229.1</v>
      </c>
    </row>
    <row r="23" spans="1:9">
      <c r="A23" s="874" t="s">
        <v>126</v>
      </c>
      <c r="B23" s="885" t="s">
        <v>127</v>
      </c>
      <c r="C23" s="881">
        <v>470622537.23000002</v>
      </c>
      <c r="D23" s="875">
        <v>433948449.29000002</v>
      </c>
      <c r="E23" s="875">
        <v>34145139.259999998</v>
      </c>
      <c r="F23" s="875">
        <v>399803310.03000003</v>
      </c>
      <c r="G23" s="876">
        <v>3.7</v>
      </c>
      <c r="H23" s="876">
        <v>92.2</v>
      </c>
      <c r="I23" s="888">
        <v>267.39999999999998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A1:I1"/>
    <mergeCell ref="I3:I4"/>
    <mergeCell ref="C5:F5"/>
    <mergeCell ref="G5:H5"/>
    <mergeCell ref="A3:A5"/>
    <mergeCell ref="B3:B5"/>
    <mergeCell ref="E3:F3"/>
    <mergeCell ref="G3:G4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60DC-5D02-406A-AAB0-307E04C1A486}">
  <dimension ref="A1:K24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4.77734375" style="441" customWidth="1"/>
    <col min="2" max="2" width="14.21875" style="441" bestFit="1" customWidth="1"/>
    <col min="3" max="4" width="13.77734375" style="441" customWidth="1"/>
    <col min="5" max="5" width="7.77734375" style="441" customWidth="1"/>
    <col min="6" max="7" width="13.77734375" style="441" customWidth="1"/>
    <col min="8" max="8" width="7.21875" style="441" bestFit="1" customWidth="1"/>
    <col min="9" max="11" width="13.77734375" style="441" customWidth="1"/>
    <col min="12" max="16384" width="9.21875" style="441"/>
  </cols>
  <sheetData>
    <row r="1" spans="1:11" ht="14.4">
      <c r="A1" s="280" t="s">
        <v>1032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3" spans="1:11">
      <c r="A3" s="2420" t="s">
        <v>87</v>
      </c>
      <c r="B3" s="2426" t="s">
        <v>478</v>
      </c>
      <c r="C3" s="2349" t="s">
        <v>164</v>
      </c>
      <c r="D3" s="2350"/>
      <c r="E3" s="2351" t="s">
        <v>836</v>
      </c>
      <c r="F3" s="2350" t="s">
        <v>152</v>
      </c>
      <c r="G3" s="2350"/>
      <c r="H3" s="2351" t="s">
        <v>837</v>
      </c>
      <c r="I3" s="2351" t="s">
        <v>838</v>
      </c>
      <c r="J3" s="2351" t="s">
        <v>161</v>
      </c>
      <c r="K3" s="2353" t="s">
        <v>545</v>
      </c>
    </row>
    <row r="4" spans="1:11" ht="46.2" customHeight="1">
      <c r="A4" s="2421"/>
      <c r="B4" s="2427"/>
      <c r="C4" s="254" t="s">
        <v>3</v>
      </c>
      <c r="D4" s="272" t="s">
        <v>2</v>
      </c>
      <c r="E4" s="2352"/>
      <c r="F4" s="272" t="s">
        <v>3</v>
      </c>
      <c r="G4" s="272" t="s">
        <v>2</v>
      </c>
      <c r="H4" s="2352"/>
      <c r="I4" s="2352"/>
      <c r="J4" s="2352"/>
      <c r="K4" s="2354"/>
    </row>
    <row r="5" spans="1:11">
      <c r="A5" s="2422"/>
      <c r="B5" s="2428"/>
      <c r="C5" s="2355" t="s">
        <v>93</v>
      </c>
      <c r="D5" s="2356"/>
      <c r="E5" s="273" t="s">
        <v>169</v>
      </c>
      <c r="F5" s="2356" t="s">
        <v>93</v>
      </c>
      <c r="G5" s="2356"/>
      <c r="H5" s="273" t="s">
        <v>169</v>
      </c>
      <c r="I5" s="2356" t="s">
        <v>93</v>
      </c>
      <c r="J5" s="2356"/>
      <c r="K5" s="274" t="s">
        <v>169</v>
      </c>
    </row>
    <row r="6" spans="1:11">
      <c r="A6" s="275" t="s">
        <v>10</v>
      </c>
      <c r="B6" s="277" t="s">
        <v>11</v>
      </c>
      <c r="C6" s="255" t="s">
        <v>12</v>
      </c>
      <c r="D6" s="276" t="s">
        <v>13</v>
      </c>
      <c r="E6" s="276" t="s">
        <v>14</v>
      </c>
      <c r="F6" s="276" t="s">
        <v>15</v>
      </c>
      <c r="G6" s="276" t="s">
        <v>16</v>
      </c>
      <c r="H6" s="276" t="s">
        <v>17</v>
      </c>
      <c r="I6" s="276" t="s">
        <v>94</v>
      </c>
      <c r="J6" s="276" t="s">
        <v>150</v>
      </c>
      <c r="K6" s="277" t="s">
        <v>170</v>
      </c>
    </row>
    <row r="7" spans="1:11" ht="14.4">
      <c r="A7" s="752">
        <v>2</v>
      </c>
      <c r="B7" s="763" t="s">
        <v>546</v>
      </c>
      <c r="C7" s="629">
        <v>3032587231</v>
      </c>
      <c r="D7" s="630">
        <v>3067875340.4899998</v>
      </c>
      <c r="E7" s="248">
        <v>101.2</v>
      </c>
      <c r="F7" s="630">
        <v>3098422214</v>
      </c>
      <c r="G7" s="630">
        <v>3034592864.8400002</v>
      </c>
      <c r="H7" s="248">
        <v>97.9</v>
      </c>
      <c r="I7" s="630">
        <v>33282475.649999619</v>
      </c>
      <c r="J7" s="630">
        <v>30001517</v>
      </c>
      <c r="K7" s="249">
        <v>1</v>
      </c>
    </row>
    <row r="8" spans="1:11" ht="14.4">
      <c r="A8" s="754">
        <v>4</v>
      </c>
      <c r="B8" s="764" t="s">
        <v>547</v>
      </c>
      <c r="C8" s="761">
        <v>2068540240.03</v>
      </c>
      <c r="D8" s="635">
        <v>2061161001.8699999</v>
      </c>
      <c r="E8" s="279">
        <v>99.6</v>
      </c>
      <c r="F8" s="635">
        <v>2151047534.1700001</v>
      </c>
      <c r="G8" s="635">
        <v>2016173567.71</v>
      </c>
      <c r="H8" s="279">
        <v>93.7</v>
      </c>
      <c r="I8" s="635">
        <v>44987434.159999847</v>
      </c>
      <c r="J8" s="635">
        <v>174558401</v>
      </c>
      <c r="K8" s="755">
        <v>8.5</v>
      </c>
    </row>
    <row r="9" spans="1:11" ht="14.4">
      <c r="A9" s="754">
        <v>6</v>
      </c>
      <c r="B9" s="764" t="s">
        <v>548</v>
      </c>
      <c r="C9" s="761">
        <v>1929655648.96</v>
      </c>
      <c r="D9" s="635">
        <v>1878560193.3699999</v>
      </c>
      <c r="E9" s="279">
        <v>97.4</v>
      </c>
      <c r="F9" s="635">
        <v>1910242949.5599999</v>
      </c>
      <c r="G9" s="635">
        <v>1603826136.1300001</v>
      </c>
      <c r="H9" s="279">
        <v>84</v>
      </c>
      <c r="I9" s="635">
        <v>274734057.23999977</v>
      </c>
      <c r="J9" s="635">
        <v>176651268</v>
      </c>
      <c r="K9" s="755">
        <v>9.4</v>
      </c>
    </row>
    <row r="10" spans="1:11" ht="14.4">
      <c r="A10" s="754">
        <v>8</v>
      </c>
      <c r="B10" s="764" t="s">
        <v>549</v>
      </c>
      <c r="C10" s="761">
        <v>1098820941.1900001</v>
      </c>
      <c r="D10" s="635">
        <v>1125759042.1900001</v>
      </c>
      <c r="E10" s="279">
        <v>102.5</v>
      </c>
      <c r="F10" s="635">
        <v>1209727905.9200001</v>
      </c>
      <c r="G10" s="635">
        <v>1144041763.5</v>
      </c>
      <c r="H10" s="279">
        <v>94.6</v>
      </c>
      <c r="I10" s="635">
        <v>-18282721.309999943</v>
      </c>
      <c r="J10" s="635">
        <v>442224941.60000002</v>
      </c>
      <c r="K10" s="755">
        <v>39.299999999999997</v>
      </c>
    </row>
    <row r="11" spans="1:11" ht="14.4">
      <c r="A11" s="754">
        <v>10</v>
      </c>
      <c r="B11" s="764" t="s">
        <v>550</v>
      </c>
      <c r="C11" s="761">
        <v>1963986749</v>
      </c>
      <c r="D11" s="635">
        <v>1971260379.28</v>
      </c>
      <c r="E11" s="279">
        <v>100.4</v>
      </c>
      <c r="F11" s="635">
        <v>2105517190</v>
      </c>
      <c r="G11" s="635">
        <v>2031618750.3399999</v>
      </c>
      <c r="H11" s="279">
        <v>96.5</v>
      </c>
      <c r="I11" s="635">
        <v>-60358371.059999943</v>
      </c>
      <c r="J11" s="635">
        <v>238492107.40000001</v>
      </c>
      <c r="K11" s="755">
        <v>12.1</v>
      </c>
    </row>
    <row r="12" spans="1:11" ht="14.4">
      <c r="A12" s="754">
        <v>12</v>
      </c>
      <c r="B12" s="764" t="s">
        <v>551</v>
      </c>
      <c r="C12" s="761">
        <v>3049252863.1399999</v>
      </c>
      <c r="D12" s="635">
        <v>3061323222.3400002</v>
      </c>
      <c r="E12" s="279">
        <v>100.4</v>
      </c>
      <c r="F12" s="635">
        <v>3215896895.6999998</v>
      </c>
      <c r="G12" s="635">
        <v>3106288614.6900001</v>
      </c>
      <c r="H12" s="279">
        <v>96.6</v>
      </c>
      <c r="I12" s="635">
        <v>-44965392.349999905</v>
      </c>
      <c r="J12" s="635">
        <v>266692807.80000001</v>
      </c>
      <c r="K12" s="755">
        <v>8.6999999999999993</v>
      </c>
    </row>
    <row r="13" spans="1:11" ht="14.4">
      <c r="A13" s="754">
        <v>14</v>
      </c>
      <c r="B13" s="764" t="s">
        <v>552</v>
      </c>
      <c r="C13" s="761">
        <v>5981832541.3500004</v>
      </c>
      <c r="D13" s="635">
        <v>5922227675.4700003</v>
      </c>
      <c r="E13" s="279">
        <v>99</v>
      </c>
      <c r="F13" s="635">
        <v>6503579149.3500004</v>
      </c>
      <c r="G13" s="635">
        <v>6094023165.1800003</v>
      </c>
      <c r="H13" s="279">
        <v>93.7</v>
      </c>
      <c r="I13" s="635">
        <v>-171795489.71000004</v>
      </c>
      <c r="J13" s="635">
        <v>1702546552.98</v>
      </c>
      <c r="K13" s="755">
        <v>28.7</v>
      </c>
    </row>
    <row r="14" spans="1:11" ht="14.4">
      <c r="A14" s="754">
        <v>16</v>
      </c>
      <c r="B14" s="764" t="s">
        <v>553</v>
      </c>
      <c r="C14" s="761">
        <v>935677427.59000003</v>
      </c>
      <c r="D14" s="635">
        <v>949097758.07000005</v>
      </c>
      <c r="E14" s="279">
        <v>101.4</v>
      </c>
      <c r="F14" s="635">
        <v>970504721.64999998</v>
      </c>
      <c r="G14" s="635">
        <v>937622893.76999998</v>
      </c>
      <c r="H14" s="279">
        <v>96.6</v>
      </c>
      <c r="I14" s="635">
        <v>11474864.300000072</v>
      </c>
      <c r="J14" s="635">
        <v>0</v>
      </c>
      <c r="K14" s="755">
        <v>0</v>
      </c>
    </row>
    <row r="15" spans="1:11" ht="14.4">
      <c r="A15" s="754">
        <v>18</v>
      </c>
      <c r="B15" s="764" t="s">
        <v>554</v>
      </c>
      <c r="C15" s="761">
        <v>2483430533</v>
      </c>
      <c r="D15" s="635">
        <v>2551148481.4699998</v>
      </c>
      <c r="E15" s="279">
        <v>102.7</v>
      </c>
      <c r="F15" s="635">
        <v>2529349213</v>
      </c>
      <c r="G15" s="635">
        <v>2186831106.5100002</v>
      </c>
      <c r="H15" s="279">
        <v>86.5</v>
      </c>
      <c r="I15" s="635">
        <v>364317374.95999956</v>
      </c>
      <c r="J15" s="635">
        <v>126666666.67</v>
      </c>
      <c r="K15" s="755">
        <v>5</v>
      </c>
    </row>
    <row r="16" spans="1:11" ht="14.4">
      <c r="A16" s="754">
        <v>20</v>
      </c>
      <c r="B16" s="764" t="s">
        <v>555</v>
      </c>
      <c r="C16" s="761">
        <v>1720304385</v>
      </c>
      <c r="D16" s="635">
        <v>1662820389.5999999</v>
      </c>
      <c r="E16" s="279">
        <v>96.7</v>
      </c>
      <c r="F16" s="635">
        <v>1915910536</v>
      </c>
      <c r="G16" s="635">
        <v>1726288747.97</v>
      </c>
      <c r="H16" s="279">
        <v>90.1</v>
      </c>
      <c r="I16" s="635">
        <v>-63468358.370000124</v>
      </c>
      <c r="J16" s="635">
        <v>260010483.50999999</v>
      </c>
      <c r="K16" s="755">
        <v>15.6</v>
      </c>
    </row>
    <row r="17" spans="1:11" ht="14.4">
      <c r="A17" s="754">
        <v>22</v>
      </c>
      <c r="B17" s="764" t="s">
        <v>556</v>
      </c>
      <c r="C17" s="761">
        <v>2506026094</v>
      </c>
      <c r="D17" s="635">
        <v>2525613579.0900002</v>
      </c>
      <c r="E17" s="279">
        <v>100.8</v>
      </c>
      <c r="F17" s="635">
        <v>2749574339</v>
      </c>
      <c r="G17" s="635">
        <v>2447561537.4099998</v>
      </c>
      <c r="H17" s="279">
        <v>89</v>
      </c>
      <c r="I17" s="635">
        <v>78052041.680000305</v>
      </c>
      <c r="J17" s="635">
        <v>190605487.18000001</v>
      </c>
      <c r="K17" s="755">
        <v>7.5</v>
      </c>
    </row>
    <row r="18" spans="1:11" ht="14.4">
      <c r="A18" s="754">
        <v>24</v>
      </c>
      <c r="B18" s="764" t="s">
        <v>557</v>
      </c>
      <c r="C18" s="761">
        <v>3843758213</v>
      </c>
      <c r="D18" s="635">
        <v>3804891801.02</v>
      </c>
      <c r="E18" s="279">
        <v>99</v>
      </c>
      <c r="F18" s="635">
        <v>4416932622</v>
      </c>
      <c r="G18" s="635">
        <v>4082770542.5599999</v>
      </c>
      <c r="H18" s="279">
        <v>92.4</v>
      </c>
      <c r="I18" s="635">
        <v>-277878741.53999996</v>
      </c>
      <c r="J18" s="635">
        <v>420671479.49000001</v>
      </c>
      <c r="K18" s="755">
        <v>11.1</v>
      </c>
    </row>
    <row r="19" spans="1:11" ht="14.4">
      <c r="A19" s="754">
        <v>26</v>
      </c>
      <c r="B19" s="764" t="s">
        <v>558</v>
      </c>
      <c r="C19" s="761">
        <v>1374753124.23</v>
      </c>
      <c r="D19" s="635">
        <v>1252820897.1800001</v>
      </c>
      <c r="E19" s="279">
        <v>91.1</v>
      </c>
      <c r="F19" s="635">
        <v>1565648117.3699999</v>
      </c>
      <c r="G19" s="635">
        <v>1205225781.6300001</v>
      </c>
      <c r="H19" s="279">
        <v>77</v>
      </c>
      <c r="I19" s="635">
        <v>47595115.549999952</v>
      </c>
      <c r="J19" s="635">
        <v>10000000</v>
      </c>
      <c r="K19" s="755">
        <v>0.8</v>
      </c>
    </row>
    <row r="20" spans="1:11" ht="14.4">
      <c r="A20" s="754">
        <v>28</v>
      </c>
      <c r="B20" s="764" t="s">
        <v>559</v>
      </c>
      <c r="C20" s="761">
        <v>1648167611.4200001</v>
      </c>
      <c r="D20" s="635">
        <v>1610406613.2</v>
      </c>
      <c r="E20" s="279">
        <v>97.7</v>
      </c>
      <c r="F20" s="635">
        <v>1728204180.4200001</v>
      </c>
      <c r="G20" s="635">
        <v>1425538790.8699999</v>
      </c>
      <c r="H20" s="279">
        <v>82.5</v>
      </c>
      <c r="I20" s="635">
        <v>184867822.33000016</v>
      </c>
      <c r="J20" s="635">
        <v>115803508.8</v>
      </c>
      <c r="K20" s="755">
        <v>7.2</v>
      </c>
    </row>
    <row r="21" spans="1:11" ht="14.4">
      <c r="A21" s="754">
        <v>30</v>
      </c>
      <c r="B21" s="764" t="s">
        <v>560</v>
      </c>
      <c r="C21" s="761">
        <v>3267488562.1999998</v>
      </c>
      <c r="D21" s="635">
        <v>3295893148.0799999</v>
      </c>
      <c r="E21" s="279">
        <v>100.9</v>
      </c>
      <c r="F21" s="635">
        <v>3648688674.7199998</v>
      </c>
      <c r="G21" s="635">
        <v>3462015483.1999998</v>
      </c>
      <c r="H21" s="279">
        <v>94.9</v>
      </c>
      <c r="I21" s="635">
        <v>-166122335.11999989</v>
      </c>
      <c r="J21" s="635">
        <v>168501045</v>
      </c>
      <c r="K21" s="755">
        <v>5.0999999999999996</v>
      </c>
    </row>
    <row r="22" spans="1:11" ht="14.4">
      <c r="A22" s="756">
        <v>32</v>
      </c>
      <c r="B22" s="765" t="s">
        <v>561</v>
      </c>
      <c r="C22" s="762">
        <v>1897427137</v>
      </c>
      <c r="D22" s="758">
        <v>1941599775.05</v>
      </c>
      <c r="E22" s="759">
        <v>102.3</v>
      </c>
      <c r="F22" s="758">
        <v>1714265782</v>
      </c>
      <c r="G22" s="758">
        <v>1473645929.9300001</v>
      </c>
      <c r="H22" s="759">
        <v>86</v>
      </c>
      <c r="I22" s="758">
        <v>467953845.11999989</v>
      </c>
      <c r="J22" s="758">
        <v>101201644.06999999</v>
      </c>
      <c r="K22" s="760">
        <v>5.2</v>
      </c>
    </row>
    <row r="24" spans="1:11" ht="14.4">
      <c r="A24" s="295" t="s">
        <v>128</v>
      </c>
      <c r="B24" s="365" t="s">
        <v>909</v>
      </c>
    </row>
  </sheetData>
  <mergeCells count="12">
    <mergeCell ref="I3:I4"/>
    <mergeCell ref="J3:J4"/>
    <mergeCell ref="K3:K4"/>
    <mergeCell ref="C5:D5"/>
    <mergeCell ref="I5:J5"/>
    <mergeCell ref="F3:G3"/>
    <mergeCell ref="A3:A5"/>
    <mergeCell ref="B3:B5"/>
    <mergeCell ref="C3:D3"/>
    <mergeCell ref="E3:E4"/>
    <mergeCell ref="H3:H4"/>
    <mergeCell ref="F5:G5"/>
  </mergeCells>
  <pageMargins left="0.70866141732283472" right="0.31496062992125984" top="0.74803149606299213" bottom="0.74803149606299213" header="0.31496062992125984" footer="0.31496062992125984"/>
  <pageSetup paperSize="9" scale="90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9FFA-4B69-43A9-BF24-89D7F13A0EA1}">
  <dimension ref="A1:G29"/>
  <sheetViews>
    <sheetView view="pageBreakPreview" zoomScaleNormal="100" zoomScaleSheetLayoutView="100" workbookViewId="0">
      <selection activeCell="F8" sqref="F8"/>
    </sheetView>
  </sheetViews>
  <sheetFormatPr defaultColWidth="9.21875" defaultRowHeight="13.2"/>
  <cols>
    <col min="1" max="1" width="32.5546875" style="529" customWidth="1"/>
    <col min="2" max="4" width="12.21875" style="529" bestFit="1" customWidth="1"/>
    <col min="5" max="5" width="8.21875" style="529" customWidth="1"/>
    <col min="6" max="6" width="7" style="529" bestFit="1" customWidth="1"/>
    <col min="7" max="7" width="8" style="529" customWidth="1"/>
    <col min="8" max="16384" width="9.21875" style="529"/>
  </cols>
  <sheetData>
    <row r="1" spans="1:7" ht="13.8">
      <c r="A1" s="2440" t="s">
        <v>1033</v>
      </c>
      <c r="B1" s="2440"/>
      <c r="C1" s="2440"/>
      <c r="D1" s="2440"/>
      <c r="E1" s="2440"/>
      <c r="F1" s="2441"/>
      <c r="G1" s="2442"/>
    </row>
    <row r="3" spans="1:7">
      <c r="A3" s="2413" t="s">
        <v>1</v>
      </c>
      <c r="B3" s="2415" t="s">
        <v>843</v>
      </c>
      <c r="C3" s="2362" t="s">
        <v>923</v>
      </c>
      <c r="D3" s="2362" t="s">
        <v>917</v>
      </c>
      <c r="E3" s="2362" t="s">
        <v>794</v>
      </c>
      <c r="F3" s="2362" t="s">
        <v>5</v>
      </c>
      <c r="G3" s="2364" t="s">
        <v>782</v>
      </c>
    </row>
    <row r="4" spans="1:7">
      <c r="A4" s="2414"/>
      <c r="B4" s="2416"/>
      <c r="C4" s="2363"/>
      <c r="D4" s="2363"/>
      <c r="E4" s="2363"/>
      <c r="F4" s="2363"/>
      <c r="G4" s="2365"/>
    </row>
    <row r="5" spans="1:7">
      <c r="A5" s="2414"/>
      <c r="B5" s="2416"/>
      <c r="C5" s="2363"/>
      <c r="D5" s="2363"/>
      <c r="E5" s="2363"/>
      <c r="F5" s="2363"/>
      <c r="G5" s="2365"/>
    </row>
    <row r="6" spans="1:7">
      <c r="A6" s="2414"/>
      <c r="B6" s="2164" t="s">
        <v>163</v>
      </c>
      <c r="C6" s="2366"/>
      <c r="D6" s="2366"/>
      <c r="E6" s="2367" t="s">
        <v>134</v>
      </c>
      <c r="F6" s="2367"/>
      <c r="G6" s="2368"/>
    </row>
    <row r="7" spans="1:7">
      <c r="A7" s="750" t="s">
        <v>10</v>
      </c>
      <c r="B7" s="735" t="s">
        <v>11</v>
      </c>
      <c r="C7" s="734" t="s">
        <v>12</v>
      </c>
      <c r="D7" s="734" t="s">
        <v>13</v>
      </c>
      <c r="E7" s="734" t="s">
        <v>14</v>
      </c>
      <c r="F7" s="734" t="s">
        <v>15</v>
      </c>
      <c r="G7" s="743" t="s">
        <v>16</v>
      </c>
    </row>
    <row r="8" spans="1:7" ht="26.4">
      <c r="A8" s="499" t="s">
        <v>783</v>
      </c>
      <c r="B8" s="736">
        <v>35743168971.790001</v>
      </c>
      <c r="C8" s="797">
        <v>38801709302.110001</v>
      </c>
      <c r="D8" s="501">
        <v>38682459297.769997</v>
      </c>
      <c r="E8" s="502">
        <f>D8/C8*100</f>
        <v>99.692668167240967</v>
      </c>
      <c r="F8" s="503">
        <f>D8/$D$8*100</f>
        <v>100</v>
      </c>
      <c r="G8" s="504">
        <f>D8/B8*100</f>
        <v>108.22336242290046</v>
      </c>
    </row>
    <row r="9" spans="1:7" ht="26.4">
      <c r="A9" s="505" t="s">
        <v>784</v>
      </c>
      <c r="B9" s="737">
        <v>22091497550.459999</v>
      </c>
      <c r="C9" s="507">
        <v>21967158428.059998</v>
      </c>
      <c r="D9" s="508">
        <v>22310476992.459995</v>
      </c>
      <c r="E9" s="502">
        <f t="shared" ref="E9:E17" si="0">D9/C9*100</f>
        <v>101.56287198239285</v>
      </c>
      <c r="F9" s="503">
        <f t="shared" ref="F9:F17" si="1">D9/$D$8*100</f>
        <v>57.675952867211244</v>
      </c>
      <c r="G9" s="504">
        <f t="shared" ref="G9:G17" si="2">D9/B9*100</f>
        <v>100.99123855908734</v>
      </c>
    </row>
    <row r="10" spans="1:7">
      <c r="A10" s="509" t="s">
        <v>786</v>
      </c>
      <c r="B10" s="738">
        <v>2563725804</v>
      </c>
      <c r="C10" s="511">
        <v>6766158728.5100002</v>
      </c>
      <c r="D10" s="512">
        <v>6766158727.8299999</v>
      </c>
      <c r="E10" s="513">
        <f t="shared" si="0"/>
        <v>99.999999989949984</v>
      </c>
      <c r="F10" s="514">
        <f t="shared" si="1"/>
        <v>17.491542292452078</v>
      </c>
      <c r="G10" s="515">
        <f>D10/B11*100</f>
        <v>40.97528145618157</v>
      </c>
    </row>
    <row r="11" spans="1:7">
      <c r="A11" s="509" t="s">
        <v>785</v>
      </c>
      <c r="B11" s="738">
        <v>16512781578</v>
      </c>
      <c r="C11" s="511">
        <v>12401133775.08</v>
      </c>
      <c r="D11" s="512">
        <v>12401133775.950001</v>
      </c>
      <c r="E11" s="513">
        <f t="shared" si="0"/>
        <v>100.0000000070155</v>
      </c>
      <c r="F11" s="514">
        <f t="shared" si="1"/>
        <v>32.058803915460757</v>
      </c>
      <c r="G11" s="515">
        <f>D11/B10*100</f>
        <v>483.71529266512778</v>
      </c>
    </row>
    <row r="12" spans="1:7">
      <c r="A12" s="509" t="s">
        <v>594</v>
      </c>
      <c r="B12" s="749">
        <v>291622717.51999998</v>
      </c>
      <c r="C12" s="511">
        <v>184368873</v>
      </c>
      <c r="D12" s="548">
        <v>264914576.66999999</v>
      </c>
      <c r="E12" s="513">
        <f t="shared" si="0"/>
        <v>143.68725715972673</v>
      </c>
      <c r="F12" s="514">
        <f t="shared" si="1"/>
        <v>0.68484419418822229</v>
      </c>
      <c r="G12" s="515">
        <f t="shared" si="2"/>
        <v>90.841543115320462</v>
      </c>
    </row>
    <row r="13" spans="1:7">
      <c r="A13" s="509" t="s">
        <v>787</v>
      </c>
      <c r="B13" s="738">
        <v>2723367450.9399991</v>
      </c>
      <c r="C13" s="511">
        <v>2615497051.4699974</v>
      </c>
      <c r="D13" s="512">
        <v>2878269912.0099945</v>
      </c>
      <c r="E13" s="513">
        <f t="shared" si="0"/>
        <v>110.04676569573304</v>
      </c>
      <c r="F13" s="514">
        <f t="shared" si="1"/>
        <v>7.4407624651101845</v>
      </c>
      <c r="G13" s="515">
        <f t="shared" si="2"/>
        <v>105.68790160933037</v>
      </c>
    </row>
    <row r="14" spans="1:7" ht="26.4">
      <c r="A14" s="505" t="s">
        <v>788</v>
      </c>
      <c r="B14" s="737">
        <v>7307009279.3299999</v>
      </c>
      <c r="C14" s="507">
        <v>11150754228.220001</v>
      </c>
      <c r="D14" s="508">
        <v>10688185659.950001</v>
      </c>
      <c r="E14" s="502">
        <f t="shared" si="0"/>
        <v>95.851683582987192</v>
      </c>
      <c r="F14" s="503">
        <f t="shared" si="1"/>
        <v>27.630574306753459</v>
      </c>
      <c r="G14" s="504">
        <f t="shared" si="2"/>
        <v>146.2730544243955</v>
      </c>
    </row>
    <row r="15" spans="1:7">
      <c r="A15" s="509" t="s">
        <v>789</v>
      </c>
      <c r="B15" s="738">
        <v>3211775237.2499995</v>
      </c>
      <c r="C15" s="511">
        <v>4033861331.7399998</v>
      </c>
      <c r="D15" s="512">
        <v>3848020852.0700002</v>
      </c>
      <c r="E15" s="513">
        <f t="shared" si="0"/>
        <v>95.392987899516186</v>
      </c>
      <c r="F15" s="514">
        <f t="shared" si="1"/>
        <v>9.9477151192706987</v>
      </c>
      <c r="G15" s="515">
        <f t="shared" si="2"/>
        <v>119.80978019385844</v>
      </c>
    </row>
    <row r="16" spans="1:7" s="557" customFormat="1" ht="73.2" customHeight="1">
      <c r="A16" s="516" t="s">
        <v>790</v>
      </c>
      <c r="B16" s="738">
        <v>4095234042.0799999</v>
      </c>
      <c r="C16" s="511">
        <v>7116892896.4799995</v>
      </c>
      <c r="D16" s="512">
        <v>6840164807.8799992</v>
      </c>
      <c r="E16" s="513">
        <f t="shared" si="0"/>
        <v>96.111672711319443</v>
      </c>
      <c r="F16" s="514">
        <f t="shared" si="1"/>
        <v>17.682859187482755</v>
      </c>
      <c r="G16" s="515">
        <f t="shared" si="2"/>
        <v>167.02744550359881</v>
      </c>
    </row>
    <row r="17" spans="1:7">
      <c r="A17" s="555" t="s">
        <v>791</v>
      </c>
      <c r="B17" s="739">
        <v>6344662142</v>
      </c>
      <c r="C17" s="519">
        <v>5683796645.8299999</v>
      </c>
      <c r="D17" s="520">
        <v>5683796645.3599997</v>
      </c>
      <c r="E17" s="521">
        <f t="shared" si="0"/>
        <v>99.999999991730874</v>
      </c>
      <c r="F17" s="522">
        <f t="shared" si="1"/>
        <v>14.6934728260353</v>
      </c>
      <c r="G17" s="523">
        <f t="shared" si="2"/>
        <v>89.583913503206986</v>
      </c>
    </row>
    <row r="19" spans="1:7">
      <c r="A19" s="524" t="s">
        <v>929</v>
      </c>
    </row>
    <row r="20" spans="1:7">
      <c r="D20" s="546"/>
    </row>
    <row r="29" spans="1:7">
      <c r="E29" s="546" t="s">
        <v>742</v>
      </c>
      <c r="F29" s="546" t="s">
        <v>742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196D-67D8-4EC5-945B-ABB74772BE40}">
  <sheetPr codeName="Arkusz11"/>
  <dimension ref="A1:H42"/>
  <sheetViews>
    <sheetView view="pageBreakPreview" zoomScaleNormal="100" zoomScaleSheetLayoutView="100" workbookViewId="0">
      <selection activeCell="F8" sqref="F8"/>
    </sheetView>
  </sheetViews>
  <sheetFormatPr defaultColWidth="8.77734375" defaultRowHeight="13.2"/>
  <cols>
    <col min="1" max="1" width="5" style="17" customWidth="1"/>
    <col min="2" max="2" width="29.21875" style="1" customWidth="1"/>
    <col min="3" max="5" width="13.77734375" style="2" customWidth="1"/>
    <col min="6" max="8" width="7.21875" style="2" customWidth="1"/>
    <col min="9" max="16384" width="8.77734375" style="2"/>
  </cols>
  <sheetData>
    <row r="1" spans="1:8" ht="13.8">
      <c r="A1" s="442" t="s">
        <v>1034</v>
      </c>
    </row>
    <row r="3" spans="1:8">
      <c r="A3" s="2167" t="s">
        <v>0</v>
      </c>
      <c r="B3" s="2170" t="s">
        <v>1</v>
      </c>
      <c r="C3" s="3" t="s">
        <v>2</v>
      </c>
      <c r="D3" s="4" t="s">
        <v>3</v>
      </c>
      <c r="E3" s="4" t="s">
        <v>2</v>
      </c>
      <c r="F3" s="5" t="s">
        <v>4</v>
      </c>
      <c r="G3" s="2173" t="s">
        <v>5</v>
      </c>
      <c r="H3" s="6" t="s">
        <v>6</v>
      </c>
    </row>
    <row r="4" spans="1:8">
      <c r="A4" s="2168"/>
      <c r="B4" s="2171"/>
      <c r="C4" s="7">
        <v>2024</v>
      </c>
      <c r="D4" s="8">
        <v>2025</v>
      </c>
      <c r="E4" s="8">
        <v>2025</v>
      </c>
      <c r="F4" s="9" t="s">
        <v>7</v>
      </c>
      <c r="G4" s="2174"/>
      <c r="H4" s="10" t="s">
        <v>8</v>
      </c>
    </row>
    <row r="5" spans="1:8">
      <c r="A5" s="2169"/>
      <c r="B5" s="2172"/>
      <c r="C5" s="2175" t="s">
        <v>93</v>
      </c>
      <c r="D5" s="2175"/>
      <c r="E5" s="2176"/>
      <c r="F5" s="2177" t="s">
        <v>9</v>
      </c>
      <c r="G5" s="2175"/>
      <c r="H5" s="2178"/>
    </row>
    <row r="6" spans="1:8">
      <c r="A6" s="11" t="s">
        <v>10</v>
      </c>
      <c r="B6" s="12" t="s">
        <v>11</v>
      </c>
      <c r="C6" s="13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5" t="s">
        <v>17</v>
      </c>
    </row>
    <row r="7" spans="1:8">
      <c r="A7" s="698"/>
      <c r="B7" s="703" t="s">
        <v>18</v>
      </c>
      <c r="C7" s="702">
        <v>35743168971.790001</v>
      </c>
      <c r="D7" s="699">
        <v>38801709302.110001</v>
      </c>
      <c r="E7" s="699">
        <v>38682459297.769997</v>
      </c>
      <c r="F7" s="700">
        <v>99.7</v>
      </c>
      <c r="G7" s="700">
        <v>100</v>
      </c>
      <c r="H7" s="701">
        <v>108.2</v>
      </c>
    </row>
    <row r="8" spans="1:8">
      <c r="A8" s="693" t="s">
        <v>19</v>
      </c>
      <c r="B8" s="704" t="s">
        <v>20</v>
      </c>
      <c r="C8" s="706">
        <v>478128474.06999999</v>
      </c>
      <c r="D8" s="707">
        <v>562553181.63</v>
      </c>
      <c r="E8" s="707">
        <v>523921846.94999999</v>
      </c>
      <c r="F8" s="692">
        <v>93.1</v>
      </c>
      <c r="G8" s="692">
        <v>1.4</v>
      </c>
      <c r="H8" s="694">
        <v>109.6</v>
      </c>
    </row>
    <row r="9" spans="1:8">
      <c r="A9" s="693" t="s">
        <v>21</v>
      </c>
      <c r="B9" s="704" t="s">
        <v>22</v>
      </c>
      <c r="C9" s="706">
        <v>0</v>
      </c>
      <c r="D9" s="707">
        <v>0</v>
      </c>
      <c r="E9" s="707">
        <v>0</v>
      </c>
      <c r="F9" s="2055" t="s">
        <v>936</v>
      </c>
      <c r="G9" s="2055" t="s">
        <v>936</v>
      </c>
      <c r="H9" s="2056" t="s">
        <v>936</v>
      </c>
    </row>
    <row r="10" spans="1:8">
      <c r="A10" s="693" t="s">
        <v>23</v>
      </c>
      <c r="B10" s="704" t="s">
        <v>24</v>
      </c>
      <c r="C10" s="706">
        <v>2092813.17</v>
      </c>
      <c r="D10" s="707">
        <v>3848167</v>
      </c>
      <c r="E10" s="707">
        <v>3643071.33</v>
      </c>
      <c r="F10" s="692">
        <v>94.7</v>
      </c>
      <c r="G10" s="692">
        <v>0</v>
      </c>
      <c r="H10" s="694">
        <v>174.1</v>
      </c>
    </row>
    <row r="11" spans="1:8">
      <c r="A11" s="693" t="s">
        <v>25</v>
      </c>
      <c r="B11" s="704" t="s">
        <v>26</v>
      </c>
      <c r="C11" s="706">
        <v>1057097.74</v>
      </c>
      <c r="D11" s="707">
        <v>4166717.86</v>
      </c>
      <c r="E11" s="707">
        <v>4097489.42</v>
      </c>
      <c r="F11" s="692">
        <v>98.3</v>
      </c>
      <c r="G11" s="692">
        <v>0</v>
      </c>
      <c r="H11" s="694">
        <v>387.6</v>
      </c>
    </row>
    <row r="12" spans="1:8">
      <c r="A12" s="693" t="s">
        <v>27</v>
      </c>
      <c r="B12" s="704" t="s">
        <v>28</v>
      </c>
      <c r="C12" s="706">
        <v>14284737.199999999</v>
      </c>
      <c r="D12" s="707">
        <v>40106302.619999997</v>
      </c>
      <c r="E12" s="707">
        <v>31552204.02</v>
      </c>
      <c r="F12" s="692">
        <v>78.7</v>
      </c>
      <c r="G12" s="692">
        <v>0.1</v>
      </c>
      <c r="H12" s="694">
        <v>220.9</v>
      </c>
    </row>
    <row r="13" spans="1:8" ht="26.4">
      <c r="A13" s="693" t="s">
        <v>29</v>
      </c>
      <c r="B13" s="704" t="s">
        <v>30</v>
      </c>
      <c r="C13" s="706">
        <v>216268.05</v>
      </c>
      <c r="D13" s="707">
        <v>683693</v>
      </c>
      <c r="E13" s="707">
        <v>281522.21000000002</v>
      </c>
      <c r="F13" s="692">
        <v>41.2</v>
      </c>
      <c r="G13" s="692">
        <v>0</v>
      </c>
      <c r="H13" s="694">
        <v>130.19999999999999</v>
      </c>
    </row>
    <row r="14" spans="1:8">
      <c r="A14" s="693" t="s">
        <v>31</v>
      </c>
      <c r="B14" s="704" t="s">
        <v>32</v>
      </c>
      <c r="C14" s="706">
        <v>0</v>
      </c>
      <c r="D14" s="707">
        <v>0</v>
      </c>
      <c r="E14" s="707">
        <v>0</v>
      </c>
      <c r="F14" s="2055" t="s">
        <v>936</v>
      </c>
      <c r="G14" s="2055" t="s">
        <v>936</v>
      </c>
      <c r="H14" s="2056" t="s">
        <v>936</v>
      </c>
    </row>
    <row r="15" spans="1:8">
      <c r="A15" s="693" t="s">
        <v>33</v>
      </c>
      <c r="B15" s="704" t="s">
        <v>34</v>
      </c>
      <c r="C15" s="706">
        <v>0</v>
      </c>
      <c r="D15" s="707">
        <v>0</v>
      </c>
      <c r="E15" s="707">
        <v>0</v>
      </c>
      <c r="F15" s="2055" t="s">
        <v>936</v>
      </c>
      <c r="G15" s="2055" t="s">
        <v>936</v>
      </c>
      <c r="H15" s="2056" t="s">
        <v>936</v>
      </c>
    </row>
    <row r="16" spans="1:8">
      <c r="A16" s="693" t="s">
        <v>35</v>
      </c>
      <c r="B16" s="704" t="s">
        <v>36</v>
      </c>
      <c r="C16" s="706">
        <v>3586832947.6300001</v>
      </c>
      <c r="D16" s="707">
        <v>4187833237.25</v>
      </c>
      <c r="E16" s="707">
        <v>4221016155.02</v>
      </c>
      <c r="F16" s="692">
        <v>100.8</v>
      </c>
      <c r="G16" s="692">
        <v>10.9</v>
      </c>
      <c r="H16" s="694">
        <v>117.7</v>
      </c>
    </row>
    <row r="17" spans="1:8">
      <c r="A17" s="693" t="s">
        <v>37</v>
      </c>
      <c r="B17" s="704" t="s">
        <v>38</v>
      </c>
      <c r="C17" s="706">
        <v>8676995.2200000007</v>
      </c>
      <c r="D17" s="707">
        <v>23676638</v>
      </c>
      <c r="E17" s="707">
        <v>15047306.24</v>
      </c>
      <c r="F17" s="692">
        <v>63.6</v>
      </c>
      <c r="G17" s="692">
        <v>0</v>
      </c>
      <c r="H17" s="694">
        <v>173.4</v>
      </c>
    </row>
    <row r="18" spans="1:8">
      <c r="A18" s="693" t="s">
        <v>39</v>
      </c>
      <c r="B18" s="704" t="s">
        <v>40</v>
      </c>
      <c r="C18" s="706">
        <v>120795478.73999999</v>
      </c>
      <c r="D18" s="707">
        <v>110546635.70999999</v>
      </c>
      <c r="E18" s="707">
        <v>136928667.81999999</v>
      </c>
      <c r="F18" s="692">
        <v>123.9</v>
      </c>
      <c r="G18" s="692">
        <v>0.4</v>
      </c>
      <c r="H18" s="694">
        <v>113.4</v>
      </c>
    </row>
    <row r="19" spans="1:8">
      <c r="A19" s="693" t="s">
        <v>41</v>
      </c>
      <c r="B19" s="704" t="s">
        <v>42</v>
      </c>
      <c r="C19" s="706">
        <v>23506304.359999999</v>
      </c>
      <c r="D19" s="707">
        <v>26695309.09</v>
      </c>
      <c r="E19" s="707">
        <v>27381429.109999999</v>
      </c>
      <c r="F19" s="692">
        <v>102.6</v>
      </c>
      <c r="G19" s="692">
        <v>0.1</v>
      </c>
      <c r="H19" s="694">
        <v>116.5</v>
      </c>
    </row>
    <row r="20" spans="1:8">
      <c r="A20" s="693" t="s">
        <v>43</v>
      </c>
      <c r="B20" s="704" t="s">
        <v>44</v>
      </c>
      <c r="C20" s="706">
        <v>16493410.699999999</v>
      </c>
      <c r="D20" s="707">
        <v>9320853</v>
      </c>
      <c r="E20" s="707">
        <v>12057524.199999999</v>
      </c>
      <c r="F20" s="692">
        <v>129.4</v>
      </c>
      <c r="G20" s="692">
        <v>0</v>
      </c>
      <c r="H20" s="694">
        <v>73.099999999999994</v>
      </c>
    </row>
    <row r="21" spans="1:8">
      <c r="A21" s="693" t="s">
        <v>45</v>
      </c>
      <c r="B21" s="704" t="s">
        <v>46</v>
      </c>
      <c r="C21" s="706">
        <v>2367389.64</v>
      </c>
      <c r="D21" s="707">
        <v>938131</v>
      </c>
      <c r="E21" s="707">
        <v>2940065.59</v>
      </c>
      <c r="F21" s="692">
        <v>313.39999999999998</v>
      </c>
      <c r="G21" s="692">
        <v>0</v>
      </c>
      <c r="H21" s="694">
        <v>124.2</v>
      </c>
    </row>
    <row r="22" spans="1:8">
      <c r="A22" s="693" t="s">
        <v>47</v>
      </c>
      <c r="B22" s="704" t="s">
        <v>48</v>
      </c>
      <c r="C22" s="706">
        <v>246458619.87</v>
      </c>
      <c r="D22" s="707">
        <v>245253275.30000001</v>
      </c>
      <c r="E22" s="707">
        <v>280223930.38</v>
      </c>
      <c r="F22" s="692">
        <v>114.3</v>
      </c>
      <c r="G22" s="692">
        <v>0.7</v>
      </c>
      <c r="H22" s="694">
        <v>113.7</v>
      </c>
    </row>
    <row r="23" spans="1:8" ht="39.6">
      <c r="A23" s="693" t="s">
        <v>49</v>
      </c>
      <c r="B23" s="704" t="s">
        <v>50</v>
      </c>
      <c r="C23" s="706">
        <v>19608519.77</v>
      </c>
      <c r="D23" s="707">
        <v>0</v>
      </c>
      <c r="E23" s="707">
        <v>0</v>
      </c>
      <c r="F23" s="2055" t="s">
        <v>936</v>
      </c>
      <c r="G23" s="2055" t="s">
        <v>936</v>
      </c>
      <c r="H23" s="2056" t="s">
        <v>936</v>
      </c>
    </row>
    <row r="24" spans="1:8">
      <c r="A24" s="693" t="s">
        <v>51</v>
      </c>
      <c r="B24" s="704" t="s">
        <v>52</v>
      </c>
      <c r="C24" s="706">
        <v>35787.83</v>
      </c>
      <c r="D24" s="707">
        <v>194630520.44999999</v>
      </c>
      <c r="E24" s="707">
        <v>144335560.25</v>
      </c>
      <c r="F24" s="692">
        <v>74.2</v>
      </c>
      <c r="G24" s="692">
        <v>0.4</v>
      </c>
      <c r="H24" s="694">
        <v>403309.1</v>
      </c>
    </row>
    <row r="25" spans="1:8">
      <c r="A25" s="693" t="s">
        <v>53</v>
      </c>
      <c r="B25" s="704" t="s">
        <v>54</v>
      </c>
      <c r="C25" s="706">
        <v>0</v>
      </c>
      <c r="D25" s="707">
        <v>0</v>
      </c>
      <c r="E25" s="707">
        <v>0</v>
      </c>
      <c r="F25" s="2055" t="s">
        <v>936</v>
      </c>
      <c r="G25" s="2055" t="s">
        <v>936</v>
      </c>
      <c r="H25" s="2056" t="s">
        <v>936</v>
      </c>
    </row>
    <row r="26" spans="1:8" ht="26.4">
      <c r="A26" s="693" t="s">
        <v>55</v>
      </c>
      <c r="B26" s="704" t="s">
        <v>56</v>
      </c>
      <c r="C26" s="706">
        <v>3811578.92</v>
      </c>
      <c r="D26" s="707">
        <v>12917385.5</v>
      </c>
      <c r="E26" s="707">
        <v>8490560.0999999996</v>
      </c>
      <c r="F26" s="692">
        <v>65.7</v>
      </c>
      <c r="G26" s="692">
        <v>0</v>
      </c>
      <c r="H26" s="694">
        <v>222.8</v>
      </c>
    </row>
    <row r="27" spans="1:8">
      <c r="A27" s="693" t="s">
        <v>57</v>
      </c>
      <c r="B27" s="704" t="s">
        <v>58</v>
      </c>
      <c r="C27" s="706">
        <v>0</v>
      </c>
      <c r="D27" s="707">
        <v>0</v>
      </c>
      <c r="E27" s="707">
        <v>0</v>
      </c>
      <c r="F27" s="2055" t="s">
        <v>936</v>
      </c>
      <c r="G27" s="2055" t="s">
        <v>936</v>
      </c>
      <c r="H27" s="2056" t="s">
        <v>936</v>
      </c>
    </row>
    <row r="28" spans="1:8" ht="52.8">
      <c r="A28" s="693" t="s">
        <v>59</v>
      </c>
      <c r="B28" s="704" t="s">
        <v>60</v>
      </c>
      <c r="C28" s="706">
        <v>19212576532.790001</v>
      </c>
      <c r="D28" s="707">
        <v>19255869093.240002</v>
      </c>
      <c r="E28" s="707">
        <v>19261315348.27</v>
      </c>
      <c r="F28" s="692">
        <v>100</v>
      </c>
      <c r="G28" s="692">
        <v>49.8</v>
      </c>
      <c r="H28" s="694">
        <v>100.3</v>
      </c>
    </row>
    <row r="29" spans="1:8">
      <c r="A29" s="693" t="s">
        <v>61</v>
      </c>
      <c r="B29" s="704" t="s">
        <v>62</v>
      </c>
      <c r="C29" s="706">
        <v>2919361.6</v>
      </c>
      <c r="D29" s="707">
        <v>1461600</v>
      </c>
      <c r="E29" s="707">
        <v>2234370.83</v>
      </c>
      <c r="F29" s="692">
        <v>152.9</v>
      </c>
      <c r="G29" s="692">
        <v>0</v>
      </c>
      <c r="H29" s="694">
        <v>76.5</v>
      </c>
    </row>
    <row r="30" spans="1:8">
      <c r="A30" s="693" t="s">
        <v>63</v>
      </c>
      <c r="B30" s="704" t="s">
        <v>64</v>
      </c>
      <c r="C30" s="706">
        <v>10221753346.49</v>
      </c>
      <c r="D30" s="707">
        <v>12053189971.24</v>
      </c>
      <c r="E30" s="707">
        <v>11965572210.35</v>
      </c>
      <c r="F30" s="692">
        <v>99.3</v>
      </c>
      <c r="G30" s="692">
        <v>30.9</v>
      </c>
      <c r="H30" s="694">
        <v>117.1</v>
      </c>
    </row>
    <row r="31" spans="1:8">
      <c r="A31" s="693" t="s">
        <v>65</v>
      </c>
      <c r="B31" s="704" t="s">
        <v>66</v>
      </c>
      <c r="C31" s="706">
        <v>88842937.629999995</v>
      </c>
      <c r="D31" s="707">
        <v>97740632.980000004</v>
      </c>
      <c r="E31" s="707">
        <v>102516799.06999999</v>
      </c>
      <c r="F31" s="692">
        <v>104.9</v>
      </c>
      <c r="G31" s="692">
        <v>0.3</v>
      </c>
      <c r="H31" s="694">
        <v>115.4</v>
      </c>
    </row>
    <row r="32" spans="1:8">
      <c r="A32" s="693" t="s">
        <v>67</v>
      </c>
      <c r="B32" s="704" t="s">
        <v>68</v>
      </c>
      <c r="C32" s="706">
        <v>1000899786.91</v>
      </c>
      <c r="D32" s="707">
        <v>1327750426.6700001</v>
      </c>
      <c r="E32" s="707">
        <v>1268012284.3199999</v>
      </c>
      <c r="F32" s="692">
        <v>95.5</v>
      </c>
      <c r="G32" s="692">
        <v>3.3</v>
      </c>
      <c r="H32" s="694">
        <v>126.7</v>
      </c>
    </row>
    <row r="33" spans="1:8">
      <c r="A33" s="693" t="s">
        <v>69</v>
      </c>
      <c r="B33" s="704" t="s">
        <v>70</v>
      </c>
      <c r="C33" s="706">
        <v>48211630.609999999</v>
      </c>
      <c r="D33" s="707">
        <v>60557854</v>
      </c>
      <c r="E33" s="707">
        <v>58068794.68</v>
      </c>
      <c r="F33" s="692">
        <v>95.9</v>
      </c>
      <c r="G33" s="692">
        <v>0.2</v>
      </c>
      <c r="H33" s="694">
        <v>120.4</v>
      </c>
    </row>
    <row r="34" spans="1:8" ht="26.4">
      <c r="A34" s="693" t="s">
        <v>71</v>
      </c>
      <c r="B34" s="704" t="s">
        <v>72</v>
      </c>
      <c r="C34" s="706">
        <v>143979815.94</v>
      </c>
      <c r="D34" s="707">
        <v>131394908.64</v>
      </c>
      <c r="E34" s="707">
        <v>129160622.52</v>
      </c>
      <c r="F34" s="692">
        <v>98.3</v>
      </c>
      <c r="G34" s="692">
        <v>0.3</v>
      </c>
      <c r="H34" s="694">
        <v>89.7</v>
      </c>
    </row>
    <row r="35" spans="1:8">
      <c r="A35" s="693" t="s">
        <v>73</v>
      </c>
      <c r="B35" s="704" t="s">
        <v>74</v>
      </c>
      <c r="C35" s="706">
        <v>15812135.25</v>
      </c>
      <c r="D35" s="707">
        <v>16711617.140000001</v>
      </c>
      <c r="E35" s="707">
        <v>16406356.52</v>
      </c>
      <c r="F35" s="692">
        <v>98.2</v>
      </c>
      <c r="G35" s="692">
        <v>0</v>
      </c>
      <c r="H35" s="694">
        <v>103.8</v>
      </c>
    </row>
    <row r="36" spans="1:8">
      <c r="A36" s="693" t="s">
        <v>75</v>
      </c>
      <c r="B36" s="704" t="s">
        <v>76</v>
      </c>
      <c r="C36" s="706">
        <v>107647461.55</v>
      </c>
      <c r="D36" s="707">
        <v>128159883.77</v>
      </c>
      <c r="E36" s="707">
        <v>126630707.13</v>
      </c>
      <c r="F36" s="692">
        <v>98.8</v>
      </c>
      <c r="G36" s="692">
        <v>0.3</v>
      </c>
      <c r="H36" s="694">
        <v>117.6</v>
      </c>
    </row>
    <row r="37" spans="1:8" ht="26.4">
      <c r="A37" s="693" t="s">
        <v>77</v>
      </c>
      <c r="B37" s="704" t="s">
        <v>78</v>
      </c>
      <c r="C37" s="706">
        <v>89090209.609999999</v>
      </c>
      <c r="D37" s="707">
        <v>94231213.450000003</v>
      </c>
      <c r="E37" s="707">
        <v>100868350.91</v>
      </c>
      <c r="F37" s="692">
        <v>107</v>
      </c>
      <c r="G37" s="692">
        <v>0.3</v>
      </c>
      <c r="H37" s="694">
        <v>113.2</v>
      </c>
    </row>
    <row r="38" spans="1:8">
      <c r="A38" s="693" t="s">
        <v>79</v>
      </c>
      <c r="B38" s="704" t="s">
        <v>80</v>
      </c>
      <c r="C38" s="706">
        <v>220187568.31</v>
      </c>
      <c r="D38" s="707">
        <v>148632745.75</v>
      </c>
      <c r="E38" s="707">
        <v>179576597.21000001</v>
      </c>
      <c r="F38" s="692">
        <v>120.8</v>
      </c>
      <c r="G38" s="692">
        <v>0.5</v>
      </c>
      <c r="H38" s="694">
        <v>81.599999999999994</v>
      </c>
    </row>
    <row r="39" spans="1:8" ht="26.4">
      <c r="A39" s="693" t="s">
        <v>81</v>
      </c>
      <c r="B39" s="704" t="s">
        <v>82</v>
      </c>
      <c r="C39" s="706">
        <v>42711941.609999999</v>
      </c>
      <c r="D39" s="707">
        <v>54630502.82</v>
      </c>
      <c r="E39" s="707">
        <v>47220779.920000002</v>
      </c>
      <c r="F39" s="692">
        <v>86.4</v>
      </c>
      <c r="G39" s="692">
        <v>0.1</v>
      </c>
      <c r="H39" s="694">
        <v>110.6</v>
      </c>
    </row>
    <row r="40" spans="1:8">
      <c r="A40" s="695" t="s">
        <v>83</v>
      </c>
      <c r="B40" s="705" t="s">
        <v>84</v>
      </c>
      <c r="C40" s="708">
        <v>24169820.579999998</v>
      </c>
      <c r="D40" s="709">
        <v>8208805</v>
      </c>
      <c r="E40" s="709">
        <v>12958743.4</v>
      </c>
      <c r="F40" s="696">
        <v>157.9</v>
      </c>
      <c r="G40" s="696">
        <v>0</v>
      </c>
      <c r="H40" s="697">
        <v>53.6</v>
      </c>
    </row>
    <row r="42" spans="1:8">
      <c r="A42" s="16" t="s">
        <v>908</v>
      </c>
    </row>
  </sheetData>
  <mergeCells count="5">
    <mergeCell ref="A3:A5"/>
    <mergeCell ref="B3:B5"/>
    <mergeCell ref="G3:G4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90DA-22EC-4F0D-9ACD-5D5C41024A7A}">
  <dimension ref="A1:G28"/>
  <sheetViews>
    <sheetView view="pageBreakPreview" zoomScaleNormal="100" zoomScaleSheetLayoutView="100" workbookViewId="0">
      <selection activeCell="F8" sqref="F8"/>
    </sheetView>
  </sheetViews>
  <sheetFormatPr defaultColWidth="8.77734375" defaultRowHeight="13.2"/>
  <cols>
    <col min="1" max="1" width="5.21875" style="716" customWidth="1"/>
    <col min="2" max="2" width="25.21875" style="717" customWidth="1"/>
    <col min="3" max="5" width="14" style="718" customWidth="1"/>
    <col min="6" max="7" width="6.21875" style="718" customWidth="1"/>
    <col min="8" max="8" width="6.5546875" style="718" customWidth="1"/>
    <col min="9" max="16384" width="8.77734375" style="718"/>
  </cols>
  <sheetData>
    <row r="1" spans="1:7" ht="39" customHeight="1">
      <c r="A1" s="2445" t="s">
        <v>1035</v>
      </c>
      <c r="B1" s="2445"/>
      <c r="C1" s="2445"/>
      <c r="D1" s="2445"/>
      <c r="E1" s="2445"/>
      <c r="F1" s="2445"/>
      <c r="G1" s="2445"/>
    </row>
    <row r="3" spans="1:7">
      <c r="A3" s="2376" t="s">
        <v>87</v>
      </c>
      <c r="B3" s="2377" t="s">
        <v>1</v>
      </c>
      <c r="C3" s="2379" t="s">
        <v>819</v>
      </c>
      <c r="D3" s="2381" t="s">
        <v>88</v>
      </c>
      <c r="E3" s="2381"/>
      <c r="F3" s="2376" t="s">
        <v>575</v>
      </c>
      <c r="G3" s="2382"/>
    </row>
    <row r="4" spans="1:7">
      <c r="A4" s="2372"/>
      <c r="B4" s="2378"/>
      <c r="C4" s="2380"/>
      <c r="D4" s="2369" t="s">
        <v>136</v>
      </c>
      <c r="E4" s="2370" t="s">
        <v>137</v>
      </c>
      <c r="F4" s="2372"/>
      <c r="G4" s="2373"/>
    </row>
    <row r="5" spans="1:7">
      <c r="A5" s="2372"/>
      <c r="B5" s="2378"/>
      <c r="C5" s="2380"/>
      <c r="D5" s="2369"/>
      <c r="E5" s="2370"/>
      <c r="F5" s="2372"/>
      <c r="G5" s="2373"/>
    </row>
    <row r="6" spans="1:7" ht="33" customHeight="1">
      <c r="A6" s="2372"/>
      <c r="B6" s="2378"/>
      <c r="C6" s="2380"/>
      <c r="D6" s="2369"/>
      <c r="E6" s="2370"/>
      <c r="F6" s="725" t="s">
        <v>92</v>
      </c>
      <c r="G6" s="726" t="s">
        <v>8</v>
      </c>
    </row>
    <row r="7" spans="1:7">
      <c r="A7" s="2372"/>
      <c r="B7" s="2378"/>
      <c r="C7" s="2371" t="s">
        <v>93</v>
      </c>
      <c r="D7" s="2370"/>
      <c r="E7" s="2370"/>
      <c r="F7" s="2372" t="s">
        <v>169</v>
      </c>
      <c r="G7" s="2373"/>
    </row>
    <row r="8" spans="1:7">
      <c r="A8" s="721" t="s">
        <v>10</v>
      </c>
      <c r="B8" s="727" t="s">
        <v>11</v>
      </c>
      <c r="C8" s="728" t="s">
        <v>12</v>
      </c>
      <c r="D8" s="729" t="s">
        <v>13</v>
      </c>
      <c r="E8" s="729" t="s">
        <v>14</v>
      </c>
      <c r="F8" s="721" t="s">
        <v>15</v>
      </c>
      <c r="G8" s="727" t="s">
        <v>16</v>
      </c>
    </row>
    <row r="9" spans="1:7">
      <c r="A9" s="1676"/>
      <c r="B9" s="1673" t="s">
        <v>562</v>
      </c>
      <c r="C9" s="1680">
        <v>2607860878.2800002</v>
      </c>
      <c r="D9" s="1681">
        <v>2267668083.2499995</v>
      </c>
      <c r="E9" s="1681">
        <v>340192795.03000003</v>
      </c>
      <c r="F9" s="1677">
        <v>87</v>
      </c>
      <c r="G9" s="1672">
        <v>13</v>
      </c>
    </row>
    <row r="10" spans="1:7">
      <c r="A10" s="1668" t="s">
        <v>96</v>
      </c>
      <c r="B10" s="1674" t="s">
        <v>97</v>
      </c>
      <c r="C10" s="1682">
        <v>208362057.38</v>
      </c>
      <c r="D10" s="1683">
        <v>196844095.13</v>
      </c>
      <c r="E10" s="1683">
        <v>11517962.25</v>
      </c>
      <c r="F10" s="1678">
        <v>94.5</v>
      </c>
      <c r="G10" s="1669">
        <v>5.5</v>
      </c>
    </row>
    <row r="11" spans="1:7">
      <c r="A11" s="1668" t="s">
        <v>98</v>
      </c>
      <c r="B11" s="1674" t="s">
        <v>99</v>
      </c>
      <c r="C11" s="1682">
        <v>190005016.33000001</v>
      </c>
      <c r="D11" s="1683">
        <v>183865037.06</v>
      </c>
      <c r="E11" s="1683">
        <v>6139979.2699999996</v>
      </c>
      <c r="F11" s="1678">
        <v>96.8</v>
      </c>
      <c r="G11" s="1669">
        <v>3.2</v>
      </c>
    </row>
    <row r="12" spans="1:7">
      <c r="A12" s="1668" t="s">
        <v>100</v>
      </c>
      <c r="B12" s="1674" t="s">
        <v>101</v>
      </c>
      <c r="C12" s="1682">
        <v>91500632.439999998</v>
      </c>
      <c r="D12" s="1683">
        <v>90469561.670000002</v>
      </c>
      <c r="E12" s="1683">
        <v>1031070.77</v>
      </c>
      <c r="F12" s="1678">
        <v>98.9</v>
      </c>
      <c r="G12" s="1669">
        <v>1.1000000000000001</v>
      </c>
    </row>
    <row r="13" spans="1:7">
      <c r="A13" s="1668" t="s">
        <v>102</v>
      </c>
      <c r="B13" s="1674" t="s">
        <v>103</v>
      </c>
      <c r="C13" s="1682">
        <v>52385828.170000002</v>
      </c>
      <c r="D13" s="1683">
        <v>51037770.670000002</v>
      </c>
      <c r="E13" s="1683">
        <v>1348057.5</v>
      </c>
      <c r="F13" s="1678">
        <v>97.4</v>
      </c>
      <c r="G13" s="1669">
        <v>2.6</v>
      </c>
    </row>
    <row r="14" spans="1:7">
      <c r="A14" s="1668" t="s">
        <v>104</v>
      </c>
      <c r="B14" s="1674" t="s">
        <v>105</v>
      </c>
      <c r="C14" s="1682">
        <v>133701073.37</v>
      </c>
      <c r="D14" s="1683">
        <v>104543613.51000001</v>
      </c>
      <c r="E14" s="1683">
        <v>29157459.859999999</v>
      </c>
      <c r="F14" s="1678">
        <v>78.2</v>
      </c>
      <c r="G14" s="1669">
        <v>21.8</v>
      </c>
    </row>
    <row r="15" spans="1:7">
      <c r="A15" s="1668" t="s">
        <v>106</v>
      </c>
      <c r="B15" s="1674" t="s">
        <v>107</v>
      </c>
      <c r="C15" s="1682">
        <v>218999196.13</v>
      </c>
      <c r="D15" s="1683">
        <v>182757484.91</v>
      </c>
      <c r="E15" s="1683">
        <v>36241711.219999999</v>
      </c>
      <c r="F15" s="1678">
        <v>83.5</v>
      </c>
      <c r="G15" s="1669">
        <v>16.5</v>
      </c>
    </row>
    <row r="16" spans="1:7">
      <c r="A16" s="1668" t="s">
        <v>108</v>
      </c>
      <c r="B16" s="1674" t="s">
        <v>109</v>
      </c>
      <c r="C16" s="1682">
        <v>500028747.45999998</v>
      </c>
      <c r="D16" s="1683">
        <v>371660937.58999997</v>
      </c>
      <c r="E16" s="1683">
        <v>128367809.87</v>
      </c>
      <c r="F16" s="1678">
        <v>74.3</v>
      </c>
      <c r="G16" s="1669">
        <v>25.7</v>
      </c>
    </row>
    <row r="17" spans="1:7">
      <c r="A17" s="1668" t="s">
        <v>110</v>
      </c>
      <c r="B17" s="1674" t="s">
        <v>111</v>
      </c>
      <c r="C17" s="1682">
        <v>77272219.670000002</v>
      </c>
      <c r="D17" s="1683">
        <v>74430335.560000002</v>
      </c>
      <c r="E17" s="1683">
        <v>2841884.11</v>
      </c>
      <c r="F17" s="1678">
        <v>96.3</v>
      </c>
      <c r="G17" s="1669">
        <v>3.7</v>
      </c>
    </row>
    <row r="18" spans="1:7">
      <c r="A18" s="1668" t="s">
        <v>112</v>
      </c>
      <c r="B18" s="1674" t="s">
        <v>113</v>
      </c>
      <c r="C18" s="1682">
        <v>205627409.22</v>
      </c>
      <c r="D18" s="1683">
        <v>198551162.81999999</v>
      </c>
      <c r="E18" s="1683">
        <v>7076246.4000000004</v>
      </c>
      <c r="F18" s="1678">
        <v>96.6</v>
      </c>
      <c r="G18" s="1669">
        <v>3.4</v>
      </c>
    </row>
    <row r="19" spans="1:7">
      <c r="A19" s="1668" t="s">
        <v>114</v>
      </c>
      <c r="B19" s="1674" t="s">
        <v>115</v>
      </c>
      <c r="C19" s="1682">
        <v>56035676.579999998</v>
      </c>
      <c r="D19" s="1683">
        <v>50212741.829999998</v>
      </c>
      <c r="E19" s="1683">
        <v>5822934.75</v>
      </c>
      <c r="F19" s="1678">
        <v>89.6</v>
      </c>
      <c r="G19" s="1669">
        <v>10.4</v>
      </c>
    </row>
    <row r="20" spans="1:7">
      <c r="A20" s="1668" t="s">
        <v>116</v>
      </c>
      <c r="B20" s="1674" t="s">
        <v>117</v>
      </c>
      <c r="C20" s="1682">
        <v>88975257.640000001</v>
      </c>
      <c r="D20" s="1683">
        <v>87045280.670000002</v>
      </c>
      <c r="E20" s="1683">
        <v>1929976.97</v>
      </c>
      <c r="F20" s="1678">
        <v>97.8</v>
      </c>
      <c r="G20" s="1669">
        <v>2.2000000000000002</v>
      </c>
    </row>
    <row r="21" spans="1:7">
      <c r="A21" s="1668" t="s">
        <v>118</v>
      </c>
      <c r="B21" s="1674" t="s">
        <v>119</v>
      </c>
      <c r="C21" s="1682">
        <v>324200405.87</v>
      </c>
      <c r="D21" s="1683">
        <v>303343424.29000002</v>
      </c>
      <c r="E21" s="1683">
        <v>20856981.579999998</v>
      </c>
      <c r="F21" s="1678">
        <v>93.6</v>
      </c>
      <c r="G21" s="1669">
        <v>6.4</v>
      </c>
    </row>
    <row r="22" spans="1:7">
      <c r="A22" s="1668" t="s">
        <v>120</v>
      </c>
      <c r="B22" s="1674" t="s">
        <v>121</v>
      </c>
      <c r="C22" s="1682">
        <v>54199789.030000001</v>
      </c>
      <c r="D22" s="1683">
        <v>54103508.57</v>
      </c>
      <c r="E22" s="1683">
        <v>96280.46</v>
      </c>
      <c r="F22" s="1678">
        <v>99.8</v>
      </c>
      <c r="G22" s="1669">
        <v>0.2</v>
      </c>
    </row>
    <row r="23" spans="1:7">
      <c r="A23" s="1668" t="s">
        <v>122</v>
      </c>
      <c r="B23" s="1674" t="s">
        <v>123</v>
      </c>
      <c r="C23" s="1682">
        <v>69044034.200000003</v>
      </c>
      <c r="D23" s="1683">
        <v>61866476.960000001</v>
      </c>
      <c r="E23" s="1683">
        <v>7177557.2400000002</v>
      </c>
      <c r="F23" s="1678">
        <v>89.6</v>
      </c>
      <c r="G23" s="1669">
        <v>10.4</v>
      </c>
    </row>
    <row r="24" spans="1:7">
      <c r="A24" s="1668" t="s">
        <v>124</v>
      </c>
      <c r="B24" s="1674" t="s">
        <v>125</v>
      </c>
      <c r="C24" s="1682">
        <v>305346876.95999998</v>
      </c>
      <c r="D24" s="1683">
        <v>224899152.18000001</v>
      </c>
      <c r="E24" s="1683">
        <v>80447724.780000001</v>
      </c>
      <c r="F24" s="1678">
        <v>73.7</v>
      </c>
      <c r="G24" s="1669">
        <v>26.3</v>
      </c>
    </row>
    <row r="25" spans="1:7">
      <c r="A25" s="1670" t="s">
        <v>126</v>
      </c>
      <c r="B25" s="1675" t="s">
        <v>127</v>
      </c>
      <c r="C25" s="1684">
        <v>32176657.829999998</v>
      </c>
      <c r="D25" s="1685">
        <v>32037499.829999998</v>
      </c>
      <c r="E25" s="1685">
        <v>139158</v>
      </c>
      <c r="F25" s="1679">
        <v>99.6</v>
      </c>
      <c r="G25" s="1671">
        <v>0.4</v>
      </c>
    </row>
    <row r="27" spans="1:7">
      <c r="A27" s="724" t="s">
        <v>911</v>
      </c>
    </row>
    <row r="28" spans="1:7">
      <c r="B28" s="718"/>
    </row>
  </sheetData>
  <mergeCells count="10">
    <mergeCell ref="D4:D6"/>
    <mergeCell ref="E4:E6"/>
    <mergeCell ref="C7:E7"/>
    <mergeCell ref="F7:G7"/>
    <mergeCell ref="A1:G1"/>
    <mergeCell ref="A3:A7"/>
    <mergeCell ref="B3:B7"/>
    <mergeCell ref="C3:C6"/>
    <mergeCell ref="D3:E3"/>
    <mergeCell ref="F3:G5"/>
  </mergeCell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3B79-A5B5-4958-B18C-FD17BA2932FE}">
  <dimension ref="A1:I26"/>
  <sheetViews>
    <sheetView view="pageBreakPreview" topLeftCell="A2" zoomScaleNormal="100" zoomScaleSheetLayoutView="100" workbookViewId="0">
      <selection activeCell="F8" sqref="F8"/>
    </sheetView>
  </sheetViews>
  <sheetFormatPr defaultColWidth="9.21875" defaultRowHeight="13.8"/>
  <cols>
    <col min="1" max="1" width="5.5546875" style="441" customWidth="1"/>
    <col min="2" max="2" width="15.44140625" style="441" customWidth="1"/>
    <col min="3" max="4" width="11.77734375" style="441" bestFit="1" customWidth="1"/>
    <col min="5" max="5" width="9.77734375" style="441" bestFit="1" customWidth="1"/>
    <col min="6" max="6" width="11.77734375" style="441" bestFit="1" customWidth="1"/>
    <col min="7" max="7" width="7.21875" style="441" bestFit="1" customWidth="1"/>
    <col min="8" max="8" width="7.44140625" style="441" bestFit="1" customWidth="1"/>
    <col min="9" max="9" width="12.77734375" style="441" customWidth="1"/>
    <col min="10" max="16384" width="9.21875" style="441"/>
  </cols>
  <sheetData>
    <row r="1" spans="1:9" ht="14.4">
      <c r="A1" s="280" t="s">
        <v>1036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303"/>
      <c r="B7" s="1304" t="s">
        <v>95</v>
      </c>
      <c r="C7" s="1300">
        <v>1985558581.76</v>
      </c>
      <c r="D7" s="1298">
        <v>2203607132.0900002</v>
      </c>
      <c r="E7" s="1298">
        <v>36252489.659999996</v>
      </c>
      <c r="F7" s="1298">
        <v>2167354642.4300003</v>
      </c>
      <c r="G7" s="1299">
        <v>100</v>
      </c>
      <c r="H7" s="1299">
        <v>111</v>
      </c>
      <c r="I7" s="1307">
        <v>58.8</v>
      </c>
    </row>
    <row r="8" spans="1:9">
      <c r="A8" s="1294" t="s">
        <v>96</v>
      </c>
      <c r="B8" s="1305" t="s">
        <v>97</v>
      </c>
      <c r="C8" s="1301">
        <v>159119005.00999999</v>
      </c>
      <c r="D8" s="1292">
        <v>207883273.74000001</v>
      </c>
      <c r="E8" s="1292">
        <v>137704</v>
      </c>
      <c r="F8" s="1292">
        <v>207745569.74000001</v>
      </c>
      <c r="G8" s="1293">
        <v>9.4</v>
      </c>
      <c r="H8" s="1293">
        <v>130.6</v>
      </c>
      <c r="I8" s="1308">
        <v>72.5</v>
      </c>
    </row>
    <row r="9" spans="1:9">
      <c r="A9" s="1294" t="s">
        <v>98</v>
      </c>
      <c r="B9" s="1305" t="s">
        <v>99</v>
      </c>
      <c r="C9" s="1301">
        <v>84577045.5</v>
      </c>
      <c r="D9" s="1292">
        <v>84503015.170000002</v>
      </c>
      <c r="E9" s="1292">
        <v>128000</v>
      </c>
      <c r="F9" s="1292">
        <v>84375015.170000002</v>
      </c>
      <c r="G9" s="1293">
        <v>3.8</v>
      </c>
      <c r="H9" s="1293">
        <v>99.9</v>
      </c>
      <c r="I9" s="1308">
        <v>42.6</v>
      </c>
    </row>
    <row r="10" spans="1:9">
      <c r="A10" s="1294" t="s">
        <v>100</v>
      </c>
      <c r="B10" s="1305" t="s">
        <v>101</v>
      </c>
      <c r="C10" s="1301">
        <v>119695588.66</v>
      </c>
      <c r="D10" s="1292">
        <v>138567777.41</v>
      </c>
      <c r="E10" s="1292">
        <v>0</v>
      </c>
      <c r="F10" s="1292">
        <v>138567777.41</v>
      </c>
      <c r="G10" s="1293">
        <v>6.3</v>
      </c>
      <c r="H10" s="1293">
        <v>115.8</v>
      </c>
      <c r="I10" s="1308">
        <v>69.400000000000006</v>
      </c>
    </row>
    <row r="11" spans="1:9">
      <c r="A11" s="1294" t="s">
        <v>102</v>
      </c>
      <c r="B11" s="1305" t="s">
        <v>103</v>
      </c>
      <c r="C11" s="1301">
        <v>58788369.240000002</v>
      </c>
      <c r="D11" s="1292">
        <v>62827976.090000004</v>
      </c>
      <c r="E11" s="1292">
        <v>1235308</v>
      </c>
      <c r="F11" s="1292">
        <v>61592668.090000004</v>
      </c>
      <c r="G11" s="1293">
        <v>2.9</v>
      </c>
      <c r="H11" s="1293">
        <v>106.9</v>
      </c>
      <c r="I11" s="1308">
        <v>64.8</v>
      </c>
    </row>
    <row r="12" spans="1:9">
      <c r="A12" s="1294" t="s">
        <v>104</v>
      </c>
      <c r="B12" s="1305" t="s">
        <v>105</v>
      </c>
      <c r="C12" s="1301">
        <v>118247834.51000001</v>
      </c>
      <c r="D12" s="1292">
        <v>125997784.34</v>
      </c>
      <c r="E12" s="1292">
        <v>49876.5</v>
      </c>
      <c r="F12" s="1292">
        <v>125947907.84</v>
      </c>
      <c r="G12" s="1293">
        <v>5.7</v>
      </c>
      <c r="H12" s="1293">
        <v>106.6</v>
      </c>
      <c r="I12" s="1308">
        <v>53.7</v>
      </c>
    </row>
    <row r="13" spans="1:9">
      <c r="A13" s="1294" t="s">
        <v>106</v>
      </c>
      <c r="B13" s="1305" t="s">
        <v>107</v>
      </c>
      <c r="C13" s="1301">
        <v>169757433.09999999</v>
      </c>
      <c r="D13" s="1292">
        <v>170978437.53</v>
      </c>
      <c r="E13" s="1292">
        <v>0</v>
      </c>
      <c r="F13" s="1292">
        <v>170978437.53</v>
      </c>
      <c r="G13" s="1293">
        <v>7.8</v>
      </c>
      <c r="H13" s="1293">
        <v>100.7</v>
      </c>
      <c r="I13" s="1308">
        <v>49.9</v>
      </c>
    </row>
    <row r="14" spans="1:9">
      <c r="A14" s="1294" t="s">
        <v>108</v>
      </c>
      <c r="B14" s="1305" t="s">
        <v>109</v>
      </c>
      <c r="C14" s="1301">
        <v>281677183.56999999</v>
      </c>
      <c r="D14" s="1292">
        <v>301657057.45999998</v>
      </c>
      <c r="E14" s="1292">
        <v>0</v>
      </c>
      <c r="F14" s="1292">
        <v>301657057.45999998</v>
      </c>
      <c r="G14" s="1293">
        <v>13.7</v>
      </c>
      <c r="H14" s="1293">
        <v>107.1</v>
      </c>
      <c r="I14" s="1308">
        <v>54.8</v>
      </c>
    </row>
    <row r="15" spans="1:9">
      <c r="A15" s="1294" t="s">
        <v>110</v>
      </c>
      <c r="B15" s="1305" t="s">
        <v>111</v>
      </c>
      <c r="C15" s="1301">
        <v>55471619.390000001</v>
      </c>
      <c r="D15" s="1292">
        <v>57375423.390000001</v>
      </c>
      <c r="E15" s="1292">
        <v>0</v>
      </c>
      <c r="F15" s="1292">
        <v>57375423.390000001</v>
      </c>
      <c r="G15" s="1293">
        <v>2.6</v>
      </c>
      <c r="H15" s="1293">
        <v>103.4</v>
      </c>
      <c r="I15" s="1308">
        <v>61.7</v>
      </c>
    </row>
    <row r="16" spans="1:9">
      <c r="A16" s="1294" t="s">
        <v>112</v>
      </c>
      <c r="B16" s="1305" t="s">
        <v>113</v>
      </c>
      <c r="C16" s="1301">
        <v>117445100.75</v>
      </c>
      <c r="D16" s="1292">
        <v>122116782.23999999</v>
      </c>
      <c r="E16" s="1292">
        <v>150000</v>
      </c>
      <c r="F16" s="1292">
        <v>121966782.23999999</v>
      </c>
      <c r="G16" s="1293">
        <v>5.5</v>
      </c>
      <c r="H16" s="1293">
        <v>104</v>
      </c>
      <c r="I16" s="1308">
        <v>59.2</v>
      </c>
    </row>
    <row r="17" spans="1:9">
      <c r="A17" s="1294" t="s">
        <v>114</v>
      </c>
      <c r="B17" s="1305" t="s">
        <v>115</v>
      </c>
      <c r="C17" s="1301">
        <v>69833330.810000002</v>
      </c>
      <c r="D17" s="1292">
        <v>78927774.069999993</v>
      </c>
      <c r="E17" s="1292">
        <v>239990</v>
      </c>
      <c r="F17" s="1292">
        <v>78687784.069999993</v>
      </c>
      <c r="G17" s="1293">
        <v>3.6</v>
      </c>
      <c r="H17" s="1293">
        <v>113</v>
      </c>
      <c r="I17" s="1308">
        <v>69.7</v>
      </c>
    </row>
    <row r="18" spans="1:9">
      <c r="A18" s="1294" t="s">
        <v>116</v>
      </c>
      <c r="B18" s="1305" t="s">
        <v>117</v>
      </c>
      <c r="C18" s="1301">
        <v>165317098.59</v>
      </c>
      <c r="D18" s="1292">
        <v>189130911.28999999</v>
      </c>
      <c r="E18" s="1292">
        <v>8428095.1899999995</v>
      </c>
      <c r="F18" s="1292">
        <v>180702816.09999999</v>
      </c>
      <c r="G18" s="1293">
        <v>8.6</v>
      </c>
      <c r="H18" s="1293">
        <v>114.4</v>
      </c>
      <c r="I18" s="1308">
        <v>80.2</v>
      </c>
    </row>
    <row r="19" spans="1:9">
      <c r="A19" s="1294" t="s">
        <v>118</v>
      </c>
      <c r="B19" s="1305" t="s">
        <v>119</v>
      </c>
      <c r="C19" s="1301">
        <v>151776904.69999999</v>
      </c>
      <c r="D19" s="1292">
        <v>187962540.78999999</v>
      </c>
      <c r="E19" s="1292">
        <v>20604298.510000002</v>
      </c>
      <c r="F19" s="1292">
        <v>167358242.28</v>
      </c>
      <c r="G19" s="1293">
        <v>8.5</v>
      </c>
      <c r="H19" s="1293">
        <v>123.8</v>
      </c>
      <c r="I19" s="1308">
        <v>43.8</v>
      </c>
    </row>
    <row r="20" spans="1:9">
      <c r="A20" s="1294" t="s">
        <v>120</v>
      </c>
      <c r="B20" s="1305" t="s">
        <v>121</v>
      </c>
      <c r="C20" s="1301">
        <v>65926836.909999996</v>
      </c>
      <c r="D20" s="1292">
        <v>66135090.149999999</v>
      </c>
      <c r="E20" s="1292">
        <v>0</v>
      </c>
      <c r="F20" s="1292">
        <v>66135090.149999999</v>
      </c>
      <c r="G20" s="1293">
        <v>3</v>
      </c>
      <c r="H20" s="1293">
        <v>100.3</v>
      </c>
      <c r="I20" s="1308">
        <v>57.1</v>
      </c>
    </row>
    <row r="21" spans="1:9">
      <c r="A21" s="1294" t="s">
        <v>122</v>
      </c>
      <c r="B21" s="1305" t="s">
        <v>123</v>
      </c>
      <c r="C21" s="1301">
        <v>88413546.900000006</v>
      </c>
      <c r="D21" s="1292">
        <v>90695862.079999998</v>
      </c>
      <c r="E21" s="1292">
        <v>0</v>
      </c>
      <c r="F21" s="1292">
        <v>90695862.079999998</v>
      </c>
      <c r="G21" s="1293">
        <v>4.0999999999999996</v>
      </c>
      <c r="H21" s="1293">
        <v>102.6</v>
      </c>
      <c r="I21" s="1308">
        <v>67.2</v>
      </c>
    </row>
    <row r="22" spans="1:9">
      <c r="A22" s="1294" t="s">
        <v>124</v>
      </c>
      <c r="B22" s="1305" t="s">
        <v>125</v>
      </c>
      <c r="C22" s="1301">
        <v>164519404.05000001</v>
      </c>
      <c r="D22" s="1292">
        <v>192222791.80000001</v>
      </c>
      <c r="E22" s="1292">
        <v>4850387.46</v>
      </c>
      <c r="F22" s="1292">
        <v>187372404.34</v>
      </c>
      <c r="G22" s="1293">
        <v>8.6999999999999993</v>
      </c>
      <c r="H22" s="1293">
        <v>116.8</v>
      </c>
      <c r="I22" s="1308">
        <v>55.2</v>
      </c>
    </row>
    <row r="23" spans="1:9">
      <c r="A23" s="1295" t="s">
        <v>126</v>
      </c>
      <c r="B23" s="1306" t="s">
        <v>127</v>
      </c>
      <c r="C23" s="1302">
        <v>114992280.06999999</v>
      </c>
      <c r="D23" s="1296">
        <v>126624634.54000001</v>
      </c>
      <c r="E23" s="1296">
        <v>428830</v>
      </c>
      <c r="F23" s="1296">
        <v>126195804.54000001</v>
      </c>
      <c r="G23" s="1297">
        <v>5.7</v>
      </c>
      <c r="H23" s="1297">
        <v>110.1</v>
      </c>
      <c r="I23" s="1309">
        <v>78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7">
    <mergeCell ref="I3:I4"/>
    <mergeCell ref="C5:F5"/>
    <mergeCell ref="E3:F3"/>
    <mergeCell ref="A3:A5"/>
    <mergeCell ref="B3:B5"/>
    <mergeCell ref="G5:H5"/>
    <mergeCell ref="G3:G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96F4-76C3-41D0-897C-FB96E0229166}">
  <dimension ref="A1:I26"/>
  <sheetViews>
    <sheetView view="pageBreakPreview" topLeftCell="A2" zoomScaleNormal="100" zoomScaleSheetLayoutView="100" workbookViewId="0">
      <selection activeCell="F8" sqref="F8"/>
    </sheetView>
  </sheetViews>
  <sheetFormatPr defaultColWidth="9.21875" defaultRowHeight="13.8"/>
  <cols>
    <col min="1" max="1" width="5.77734375" style="441" customWidth="1"/>
    <col min="2" max="2" width="15.77734375" style="441" customWidth="1"/>
    <col min="3" max="3" width="10.77734375" style="441" bestFit="1" customWidth="1"/>
    <col min="4" max="4" width="10.77734375" style="441" customWidth="1"/>
    <col min="5" max="5" width="10.77734375" style="441" bestFit="1" customWidth="1"/>
    <col min="6" max="6" width="9.77734375" style="441" bestFit="1" customWidth="1"/>
    <col min="7" max="7" width="7.21875" style="441" bestFit="1" customWidth="1"/>
    <col min="8" max="8" width="7.44140625" style="441" bestFit="1" customWidth="1"/>
    <col min="9" max="9" width="12.21875" style="441" customWidth="1"/>
    <col min="10" max="16384" width="9.21875" style="441"/>
  </cols>
  <sheetData>
    <row r="1" spans="1:9" ht="14.4">
      <c r="A1" s="280" t="s">
        <v>1037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321"/>
      <c r="B7" s="1322" t="s">
        <v>95</v>
      </c>
      <c r="C7" s="1318">
        <v>121850563.2</v>
      </c>
      <c r="D7" s="1316">
        <v>366906434.22000003</v>
      </c>
      <c r="E7" s="1316">
        <v>315505065.11000001</v>
      </c>
      <c r="F7" s="1316">
        <v>51401369.110000014</v>
      </c>
      <c r="G7" s="1317">
        <v>100</v>
      </c>
      <c r="H7" s="1317">
        <v>301.10000000000002</v>
      </c>
      <c r="I7" s="1325">
        <v>9.8000000000000007</v>
      </c>
    </row>
    <row r="8" spans="1:9">
      <c r="A8" s="1312" t="s">
        <v>96</v>
      </c>
      <c r="B8" s="1323" t="s">
        <v>97</v>
      </c>
      <c r="C8" s="1319">
        <v>69270131.620000005</v>
      </c>
      <c r="D8" s="1310">
        <v>221098786.46000001</v>
      </c>
      <c r="E8" s="1310">
        <v>217118048.38</v>
      </c>
      <c r="F8" s="1310">
        <v>3980738.0800000131</v>
      </c>
      <c r="G8" s="1311">
        <v>60.3</v>
      </c>
      <c r="H8" s="1311">
        <v>319.2</v>
      </c>
      <c r="I8" s="1326">
        <v>77.099999999999994</v>
      </c>
    </row>
    <row r="9" spans="1:9">
      <c r="A9" s="1312" t="s">
        <v>98</v>
      </c>
      <c r="B9" s="1323" t="s">
        <v>99</v>
      </c>
      <c r="C9" s="1319">
        <v>2647218.8199999998</v>
      </c>
      <c r="D9" s="1310">
        <v>3919999.33</v>
      </c>
      <c r="E9" s="1310">
        <v>558135</v>
      </c>
      <c r="F9" s="1310">
        <v>3361864.33</v>
      </c>
      <c r="G9" s="1311">
        <v>1.1000000000000001</v>
      </c>
      <c r="H9" s="1311">
        <v>148.1</v>
      </c>
      <c r="I9" s="1326">
        <v>2</v>
      </c>
    </row>
    <row r="10" spans="1:9">
      <c r="A10" s="1312" t="s">
        <v>100</v>
      </c>
      <c r="B10" s="1323" t="s">
        <v>101</v>
      </c>
      <c r="C10" s="1319">
        <v>1672700</v>
      </c>
      <c r="D10" s="1310">
        <v>9725317.0099999998</v>
      </c>
      <c r="E10" s="1310">
        <v>7904817.0899999999</v>
      </c>
      <c r="F10" s="1310">
        <v>1820499.92</v>
      </c>
      <c r="G10" s="1311">
        <v>2.7</v>
      </c>
      <c r="H10" s="1311">
        <v>581.4</v>
      </c>
      <c r="I10" s="1326">
        <v>4.9000000000000004</v>
      </c>
    </row>
    <row r="11" spans="1:9">
      <c r="A11" s="1312" t="s">
        <v>102</v>
      </c>
      <c r="B11" s="1323" t="s">
        <v>103</v>
      </c>
      <c r="C11" s="1319">
        <v>2298869.89</v>
      </c>
      <c r="D11" s="1310">
        <v>2286766.4500000002</v>
      </c>
      <c r="E11" s="1310">
        <v>248880</v>
      </c>
      <c r="F11" s="1310">
        <v>2037886.4500000002</v>
      </c>
      <c r="G11" s="1311">
        <v>0.6</v>
      </c>
      <c r="H11" s="1311">
        <v>99.5</v>
      </c>
      <c r="I11" s="1326">
        <v>2.4</v>
      </c>
    </row>
    <row r="12" spans="1:9">
      <c r="A12" s="1312" t="s">
        <v>104</v>
      </c>
      <c r="B12" s="1323" t="s">
        <v>105</v>
      </c>
      <c r="C12" s="1319">
        <v>3408626.67</v>
      </c>
      <c r="D12" s="1310">
        <v>15600196.609999999</v>
      </c>
      <c r="E12" s="1310">
        <v>8487512.1500000004</v>
      </c>
      <c r="F12" s="1310">
        <v>7112684.459999999</v>
      </c>
      <c r="G12" s="1311">
        <v>4.3</v>
      </c>
      <c r="H12" s="1311">
        <v>457.7</v>
      </c>
      <c r="I12" s="1326">
        <v>6.6</v>
      </c>
    </row>
    <row r="13" spans="1:9">
      <c r="A13" s="1312" t="s">
        <v>106</v>
      </c>
      <c r="B13" s="1323" t="s">
        <v>107</v>
      </c>
      <c r="C13" s="1319">
        <v>20577852.629999999</v>
      </c>
      <c r="D13" s="1310">
        <v>26334063.359999999</v>
      </c>
      <c r="E13" s="1310">
        <v>23471014.940000001</v>
      </c>
      <c r="F13" s="1310">
        <v>2863048.4199999981</v>
      </c>
      <c r="G13" s="1311">
        <v>7.2</v>
      </c>
      <c r="H13" s="1311">
        <v>128</v>
      </c>
      <c r="I13" s="1326">
        <v>7.7</v>
      </c>
    </row>
    <row r="14" spans="1:9">
      <c r="A14" s="1312" t="s">
        <v>108</v>
      </c>
      <c r="B14" s="1323" t="s">
        <v>109</v>
      </c>
      <c r="C14" s="1319">
        <v>1182723.4099999999</v>
      </c>
      <c r="D14" s="1310">
        <v>28463990.09</v>
      </c>
      <c r="E14" s="1310">
        <v>24581398.77</v>
      </c>
      <c r="F14" s="1310">
        <v>3882591.3200000003</v>
      </c>
      <c r="G14" s="1311">
        <v>7.8</v>
      </c>
      <c r="H14" s="1311">
        <v>2406.6</v>
      </c>
      <c r="I14" s="1326">
        <v>5.2</v>
      </c>
    </row>
    <row r="15" spans="1:9">
      <c r="A15" s="1312" t="s">
        <v>110</v>
      </c>
      <c r="B15" s="1323" t="s">
        <v>111</v>
      </c>
      <c r="C15" s="1319">
        <v>692897.5</v>
      </c>
      <c r="D15" s="1310">
        <v>1540475.86</v>
      </c>
      <c r="E15" s="1310">
        <v>794571.7</v>
      </c>
      <c r="F15" s="1310">
        <v>745904.16000000015</v>
      </c>
      <c r="G15" s="1311">
        <v>0.4</v>
      </c>
      <c r="H15" s="1311">
        <v>222.3</v>
      </c>
      <c r="I15" s="1326">
        <v>1.7</v>
      </c>
    </row>
    <row r="16" spans="1:9">
      <c r="A16" s="1312" t="s">
        <v>112</v>
      </c>
      <c r="B16" s="1323" t="s">
        <v>113</v>
      </c>
      <c r="C16" s="1319">
        <v>1312337.94</v>
      </c>
      <c r="D16" s="1310">
        <v>7248461.8200000003</v>
      </c>
      <c r="E16" s="1310">
        <v>5518857.4500000002</v>
      </c>
      <c r="F16" s="1310">
        <v>1729604.37</v>
      </c>
      <c r="G16" s="1311">
        <v>2</v>
      </c>
      <c r="H16" s="1311">
        <v>552.29999999999995</v>
      </c>
      <c r="I16" s="1326">
        <v>3.5</v>
      </c>
    </row>
    <row r="17" spans="1:9">
      <c r="A17" s="1312" t="s">
        <v>114</v>
      </c>
      <c r="B17" s="1323" t="s">
        <v>115</v>
      </c>
      <c r="C17" s="1319">
        <v>5291113.4400000004</v>
      </c>
      <c r="D17" s="1310">
        <v>17764123.579999998</v>
      </c>
      <c r="E17" s="1310">
        <v>10666497.289999999</v>
      </c>
      <c r="F17" s="1310">
        <v>7097626.2899999991</v>
      </c>
      <c r="G17" s="1311">
        <v>4.8</v>
      </c>
      <c r="H17" s="1311">
        <v>335.7</v>
      </c>
      <c r="I17" s="1326">
        <v>15.7</v>
      </c>
    </row>
    <row r="18" spans="1:9">
      <c r="A18" s="1312" t="s">
        <v>116</v>
      </c>
      <c r="B18" s="1323" t="s">
        <v>117</v>
      </c>
      <c r="C18" s="1319">
        <v>2682394.7200000002</v>
      </c>
      <c r="D18" s="1310">
        <v>3072797.82</v>
      </c>
      <c r="E18" s="1310">
        <v>0</v>
      </c>
      <c r="F18" s="1310">
        <v>3072797.82</v>
      </c>
      <c r="G18" s="1311">
        <v>0.8</v>
      </c>
      <c r="H18" s="1311">
        <v>114.6</v>
      </c>
      <c r="I18" s="1326">
        <v>1.3</v>
      </c>
    </row>
    <row r="19" spans="1:9">
      <c r="A19" s="1312" t="s">
        <v>118</v>
      </c>
      <c r="B19" s="1323" t="s">
        <v>119</v>
      </c>
      <c r="C19" s="1319">
        <v>2984379.1</v>
      </c>
      <c r="D19" s="1310">
        <v>10502132.76</v>
      </c>
      <c r="E19" s="1310">
        <v>5875822.7300000004</v>
      </c>
      <c r="F19" s="1310">
        <v>4626310.0299999993</v>
      </c>
      <c r="G19" s="1311">
        <v>2.9</v>
      </c>
      <c r="H19" s="1311">
        <v>351.9</v>
      </c>
      <c r="I19" s="1326">
        <v>2.4</v>
      </c>
    </row>
    <row r="20" spans="1:9">
      <c r="A20" s="1312" t="s">
        <v>120</v>
      </c>
      <c r="B20" s="1323" t="s">
        <v>121</v>
      </c>
      <c r="C20" s="1319">
        <v>2044062.7</v>
      </c>
      <c r="D20" s="1310">
        <v>3429848.94</v>
      </c>
      <c r="E20" s="1310">
        <v>1273855</v>
      </c>
      <c r="F20" s="1310">
        <v>2155993.94</v>
      </c>
      <c r="G20" s="1311">
        <v>0.9</v>
      </c>
      <c r="H20" s="1311">
        <v>167.8</v>
      </c>
      <c r="I20" s="1326">
        <v>3</v>
      </c>
    </row>
    <row r="21" spans="1:9">
      <c r="A21" s="1312" t="s">
        <v>122</v>
      </c>
      <c r="B21" s="1323" t="s">
        <v>123</v>
      </c>
      <c r="C21" s="1319">
        <v>2683000</v>
      </c>
      <c r="D21" s="1310">
        <v>3218900</v>
      </c>
      <c r="E21" s="1310">
        <v>535900</v>
      </c>
      <c r="F21" s="1310">
        <v>2683000</v>
      </c>
      <c r="G21" s="1311">
        <v>0.9</v>
      </c>
      <c r="H21" s="1311">
        <v>120</v>
      </c>
      <c r="I21" s="1326">
        <v>2.4</v>
      </c>
    </row>
    <row r="22" spans="1:9">
      <c r="A22" s="1312" t="s">
        <v>124</v>
      </c>
      <c r="B22" s="1323" t="s">
        <v>125</v>
      </c>
      <c r="C22" s="1319">
        <v>2003254.76</v>
      </c>
      <c r="D22" s="1310">
        <v>11155208.119999999</v>
      </c>
      <c r="E22" s="1310">
        <v>8469754.6099999994</v>
      </c>
      <c r="F22" s="1310">
        <v>2685453.51</v>
      </c>
      <c r="G22" s="1311">
        <v>3</v>
      </c>
      <c r="H22" s="1311">
        <v>556.9</v>
      </c>
      <c r="I22" s="1326">
        <v>3.2</v>
      </c>
    </row>
    <row r="23" spans="1:9">
      <c r="A23" s="1313" t="s">
        <v>126</v>
      </c>
      <c r="B23" s="1324" t="s">
        <v>127</v>
      </c>
      <c r="C23" s="1320">
        <v>1099000</v>
      </c>
      <c r="D23" s="1314">
        <v>1545366.01</v>
      </c>
      <c r="E23" s="1314">
        <v>0</v>
      </c>
      <c r="F23" s="1314">
        <v>1545366.01</v>
      </c>
      <c r="G23" s="1315">
        <v>0.4</v>
      </c>
      <c r="H23" s="1315">
        <v>140.6</v>
      </c>
      <c r="I23" s="1327">
        <v>1</v>
      </c>
    </row>
    <row r="25" spans="1:9" ht="14.4">
      <c r="A25" s="295" t="s">
        <v>128</v>
      </c>
      <c r="B25" s="636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7">
    <mergeCell ref="I3:I4"/>
    <mergeCell ref="C5:F5"/>
    <mergeCell ref="G5:H5"/>
    <mergeCell ref="A3:A5"/>
    <mergeCell ref="B3:B5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9D8E-D5CE-4660-9538-B81BC8FEB909}">
  <dimension ref="A1:I26"/>
  <sheetViews>
    <sheetView view="pageBreakPreview" topLeftCell="A2" zoomScaleNormal="100" zoomScaleSheetLayoutView="100" workbookViewId="0">
      <selection activeCell="F8" sqref="F8"/>
    </sheetView>
  </sheetViews>
  <sheetFormatPr defaultColWidth="9.21875" defaultRowHeight="13.8"/>
  <cols>
    <col min="1" max="1" width="4.77734375" style="441" customWidth="1"/>
    <col min="2" max="2" width="15.77734375" style="441" customWidth="1"/>
    <col min="3" max="6" width="9.77734375" style="441" bestFit="1" customWidth="1"/>
    <col min="7" max="7" width="9.21875" style="441"/>
    <col min="8" max="8" width="7.44140625" style="441" bestFit="1" customWidth="1"/>
    <col min="9" max="9" width="11.77734375" style="441" customWidth="1"/>
    <col min="10" max="16384" width="9.21875" style="441"/>
  </cols>
  <sheetData>
    <row r="1" spans="1:9" ht="27" customHeight="1">
      <c r="A1" s="2203" t="s">
        <v>1038</v>
      </c>
      <c r="B1" s="2203"/>
      <c r="C1" s="2203"/>
      <c r="D1" s="2203"/>
      <c r="E1" s="2203"/>
      <c r="F1" s="2203"/>
      <c r="G1" s="2203"/>
      <c r="H1" s="2203"/>
      <c r="I1" s="2203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339"/>
      <c r="B7" s="1340" t="s">
        <v>95</v>
      </c>
      <c r="C7" s="1336">
        <v>39223235.380000003</v>
      </c>
      <c r="D7" s="1334">
        <v>65737734.200000003</v>
      </c>
      <c r="E7" s="1334">
        <v>22393649.120000001</v>
      </c>
      <c r="F7" s="1334">
        <v>43344085.079999998</v>
      </c>
      <c r="G7" s="1335">
        <v>100</v>
      </c>
      <c r="H7" s="1335">
        <v>167.6</v>
      </c>
      <c r="I7" s="1343">
        <v>1.8</v>
      </c>
    </row>
    <row r="8" spans="1:9">
      <c r="A8" s="1330" t="s">
        <v>96</v>
      </c>
      <c r="B8" s="1341" t="s">
        <v>97</v>
      </c>
      <c r="C8" s="1337">
        <v>6516406.5</v>
      </c>
      <c r="D8" s="1328">
        <v>18533148.550000001</v>
      </c>
      <c r="E8" s="1328">
        <v>11528083.9</v>
      </c>
      <c r="F8" s="1328">
        <v>7005064.6500000004</v>
      </c>
      <c r="G8" s="1329">
        <v>28.2</v>
      </c>
      <c r="H8" s="1329">
        <v>284.39999999999998</v>
      </c>
      <c r="I8" s="1344">
        <v>6.5</v>
      </c>
    </row>
    <row r="9" spans="1:9">
      <c r="A9" s="1330" t="s">
        <v>98</v>
      </c>
      <c r="B9" s="1341" t="s">
        <v>99</v>
      </c>
      <c r="C9" s="1337">
        <v>1125060.3400000001</v>
      </c>
      <c r="D9" s="1328">
        <v>1325083.3</v>
      </c>
      <c r="E9" s="1328">
        <v>0</v>
      </c>
      <c r="F9" s="1328">
        <v>1325083.3</v>
      </c>
      <c r="G9" s="1329">
        <v>2</v>
      </c>
      <c r="H9" s="1329">
        <v>117.8</v>
      </c>
      <c r="I9" s="1344">
        <v>0.7</v>
      </c>
    </row>
    <row r="10" spans="1:9">
      <c r="A10" s="1330" t="s">
        <v>100</v>
      </c>
      <c r="B10" s="1341" t="s">
        <v>101</v>
      </c>
      <c r="C10" s="1337">
        <v>3778743.63</v>
      </c>
      <c r="D10" s="1328">
        <v>5247703.5599999996</v>
      </c>
      <c r="E10" s="1328">
        <v>1084083.42</v>
      </c>
      <c r="F10" s="1328">
        <v>4163620.1399999997</v>
      </c>
      <c r="G10" s="1329">
        <v>8</v>
      </c>
      <c r="H10" s="1329">
        <v>138.9</v>
      </c>
      <c r="I10" s="1344">
        <v>2.6</v>
      </c>
    </row>
    <row r="11" spans="1:9">
      <c r="A11" s="1330" t="s">
        <v>102</v>
      </c>
      <c r="B11" s="1341" t="s">
        <v>103</v>
      </c>
      <c r="C11" s="1337">
        <v>2377059.73</v>
      </c>
      <c r="D11" s="1328">
        <v>2755745.62</v>
      </c>
      <c r="E11" s="1328">
        <v>154342.10999999999</v>
      </c>
      <c r="F11" s="1328">
        <v>2601403.5100000002</v>
      </c>
      <c r="G11" s="1329">
        <v>4.2</v>
      </c>
      <c r="H11" s="1329">
        <v>115.9</v>
      </c>
      <c r="I11" s="1344">
        <v>2.8</v>
      </c>
    </row>
    <row r="12" spans="1:9">
      <c r="A12" s="1330" t="s">
        <v>104</v>
      </c>
      <c r="B12" s="1341" t="s">
        <v>105</v>
      </c>
      <c r="C12" s="1337">
        <v>1951089.65</v>
      </c>
      <c r="D12" s="1328">
        <v>2131370.37</v>
      </c>
      <c r="E12" s="1328">
        <v>0</v>
      </c>
      <c r="F12" s="1328">
        <v>2131370.37</v>
      </c>
      <c r="G12" s="1329">
        <v>3.2</v>
      </c>
      <c r="H12" s="1329">
        <v>109.2</v>
      </c>
      <c r="I12" s="1344">
        <v>0.9</v>
      </c>
    </row>
    <row r="13" spans="1:9">
      <c r="A13" s="1330" t="s">
        <v>106</v>
      </c>
      <c r="B13" s="1341" t="s">
        <v>107</v>
      </c>
      <c r="C13" s="1337">
        <v>2499677.48</v>
      </c>
      <c r="D13" s="1328">
        <v>2617343.7599999998</v>
      </c>
      <c r="E13" s="1328">
        <v>0</v>
      </c>
      <c r="F13" s="1328">
        <v>2617343.7599999998</v>
      </c>
      <c r="G13" s="1329">
        <v>4</v>
      </c>
      <c r="H13" s="1329">
        <v>104.7</v>
      </c>
      <c r="I13" s="1344">
        <v>0.8</v>
      </c>
    </row>
    <row r="14" spans="1:9">
      <c r="A14" s="1330" t="s">
        <v>108</v>
      </c>
      <c r="B14" s="1341" t="s">
        <v>109</v>
      </c>
      <c r="C14" s="1337">
        <v>4105923.76</v>
      </c>
      <c r="D14" s="1328">
        <v>4673536.6100000003</v>
      </c>
      <c r="E14" s="1328">
        <v>0</v>
      </c>
      <c r="F14" s="1328">
        <v>4673536.6100000003</v>
      </c>
      <c r="G14" s="1329">
        <v>7.1</v>
      </c>
      <c r="H14" s="1329">
        <v>113.8</v>
      </c>
      <c r="I14" s="1344">
        <v>0.8</v>
      </c>
    </row>
    <row r="15" spans="1:9">
      <c r="A15" s="1330" t="s">
        <v>110</v>
      </c>
      <c r="B15" s="1341" t="s">
        <v>111</v>
      </c>
      <c r="C15" s="1337">
        <v>520693.95</v>
      </c>
      <c r="D15" s="1328">
        <v>3679676.37</v>
      </c>
      <c r="E15" s="1328">
        <v>3111765</v>
      </c>
      <c r="F15" s="1328">
        <v>567911.37000000011</v>
      </c>
      <c r="G15" s="1329">
        <v>5.6</v>
      </c>
      <c r="H15" s="1329">
        <v>706.7</v>
      </c>
      <c r="I15" s="1344">
        <v>4</v>
      </c>
    </row>
    <row r="16" spans="1:9">
      <c r="A16" s="1330" t="s">
        <v>112</v>
      </c>
      <c r="B16" s="1341" t="s">
        <v>113</v>
      </c>
      <c r="C16" s="1337">
        <v>2073072.67</v>
      </c>
      <c r="D16" s="1328">
        <v>6208720.9199999999</v>
      </c>
      <c r="E16" s="1328">
        <v>4440215.47</v>
      </c>
      <c r="F16" s="1328">
        <v>1768505.4500000002</v>
      </c>
      <c r="G16" s="1329">
        <v>9.4</v>
      </c>
      <c r="H16" s="1329">
        <v>299.5</v>
      </c>
      <c r="I16" s="1344">
        <v>3</v>
      </c>
    </row>
    <row r="17" spans="1:9">
      <c r="A17" s="1330" t="s">
        <v>114</v>
      </c>
      <c r="B17" s="1341" t="s">
        <v>115</v>
      </c>
      <c r="C17" s="1337">
        <v>1284936.6599999999</v>
      </c>
      <c r="D17" s="1328">
        <v>1659710.29</v>
      </c>
      <c r="E17" s="1328">
        <v>396000</v>
      </c>
      <c r="F17" s="1328">
        <v>1263710.29</v>
      </c>
      <c r="G17" s="1329">
        <v>2.5</v>
      </c>
      <c r="H17" s="1329">
        <v>129.19999999999999</v>
      </c>
      <c r="I17" s="1344">
        <v>1.5</v>
      </c>
    </row>
    <row r="18" spans="1:9">
      <c r="A18" s="1330" t="s">
        <v>116</v>
      </c>
      <c r="B18" s="1341" t="s">
        <v>117</v>
      </c>
      <c r="C18" s="1337">
        <v>1129934.83</v>
      </c>
      <c r="D18" s="1328">
        <v>1731408.11</v>
      </c>
      <c r="E18" s="1328">
        <v>360000</v>
      </c>
      <c r="F18" s="1328">
        <v>1371408.11</v>
      </c>
      <c r="G18" s="1329">
        <v>2.6</v>
      </c>
      <c r="H18" s="1329">
        <v>153.19999999999999</v>
      </c>
      <c r="I18" s="1344">
        <v>0.7</v>
      </c>
    </row>
    <row r="19" spans="1:9">
      <c r="A19" s="1330" t="s">
        <v>118</v>
      </c>
      <c r="B19" s="1341" t="s">
        <v>119</v>
      </c>
      <c r="C19" s="1337">
        <v>3257590.89</v>
      </c>
      <c r="D19" s="1328">
        <v>3936386.84</v>
      </c>
      <c r="E19" s="1328">
        <v>0</v>
      </c>
      <c r="F19" s="1328">
        <v>3936386.84</v>
      </c>
      <c r="G19" s="1329">
        <v>6</v>
      </c>
      <c r="H19" s="1329">
        <v>120.8</v>
      </c>
      <c r="I19" s="1344">
        <v>0.9</v>
      </c>
    </row>
    <row r="20" spans="1:9">
      <c r="A20" s="1330" t="s">
        <v>120</v>
      </c>
      <c r="B20" s="1341" t="s">
        <v>121</v>
      </c>
      <c r="C20" s="1337">
        <v>937127.46</v>
      </c>
      <c r="D20" s="1328">
        <v>2194204.91</v>
      </c>
      <c r="E20" s="1328">
        <v>1319159.22</v>
      </c>
      <c r="F20" s="1328">
        <v>875045.69000000018</v>
      </c>
      <c r="G20" s="1329">
        <v>3.3</v>
      </c>
      <c r="H20" s="1329">
        <v>234.1</v>
      </c>
      <c r="I20" s="1344">
        <v>1.9</v>
      </c>
    </row>
    <row r="21" spans="1:9">
      <c r="A21" s="1330" t="s">
        <v>122</v>
      </c>
      <c r="B21" s="1341" t="s">
        <v>123</v>
      </c>
      <c r="C21" s="1337">
        <v>1046231.78</v>
      </c>
      <c r="D21" s="1328">
        <v>1122057.44</v>
      </c>
      <c r="E21" s="1328">
        <v>0</v>
      </c>
      <c r="F21" s="1328">
        <v>1122057.44</v>
      </c>
      <c r="G21" s="1329">
        <v>1.7</v>
      </c>
      <c r="H21" s="1329">
        <v>107.2</v>
      </c>
      <c r="I21" s="1344">
        <v>0.8</v>
      </c>
    </row>
    <row r="22" spans="1:9">
      <c r="A22" s="1330" t="s">
        <v>124</v>
      </c>
      <c r="B22" s="1341" t="s">
        <v>125</v>
      </c>
      <c r="C22" s="1337">
        <v>5024442.84</v>
      </c>
      <c r="D22" s="1328">
        <v>6530169.1699999999</v>
      </c>
      <c r="E22" s="1328">
        <v>0</v>
      </c>
      <c r="F22" s="1328">
        <v>6530169.1699999999</v>
      </c>
      <c r="G22" s="1329">
        <v>9.9</v>
      </c>
      <c r="H22" s="1329">
        <v>130</v>
      </c>
      <c r="I22" s="1344">
        <v>1.9</v>
      </c>
    </row>
    <row r="23" spans="1:9">
      <c r="A23" s="1331" t="s">
        <v>126</v>
      </c>
      <c r="B23" s="1342" t="s">
        <v>127</v>
      </c>
      <c r="C23" s="1338">
        <v>1595243.21</v>
      </c>
      <c r="D23" s="1332">
        <v>1391468.38</v>
      </c>
      <c r="E23" s="1332">
        <v>0</v>
      </c>
      <c r="F23" s="1332">
        <v>1391468.38</v>
      </c>
      <c r="G23" s="1333">
        <v>2.1</v>
      </c>
      <c r="H23" s="1333">
        <v>87.2</v>
      </c>
      <c r="I23" s="1345">
        <v>0.9</v>
      </c>
    </row>
    <row r="25" spans="1:9" ht="14.4">
      <c r="A25" s="295" t="s">
        <v>128</v>
      </c>
      <c r="B25" s="636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ageMargins left="0.7" right="0.7" top="0.75" bottom="0.75" header="0.3" footer="0.3"/>
  <pageSetup paperSize="9" scale="9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A0B82-6F32-4EC3-9D93-829BA0C8F6D6}">
  <dimension ref="A1:I42"/>
  <sheetViews>
    <sheetView view="pageBreakPreview" topLeftCell="A28" zoomScaleNormal="100" zoomScaleSheetLayoutView="100" workbookViewId="0">
      <selection activeCell="F8" sqref="F8"/>
    </sheetView>
  </sheetViews>
  <sheetFormatPr defaultRowHeight="14.4"/>
  <cols>
    <col min="1" max="1" width="6.21875" customWidth="1"/>
    <col min="2" max="2" width="23.21875" customWidth="1"/>
    <col min="3" max="4" width="11.77734375" bestFit="1" customWidth="1"/>
    <col min="5" max="5" width="7.21875" customWidth="1"/>
    <col min="6" max="7" width="11.77734375" bestFit="1" customWidth="1"/>
    <col min="8" max="8" width="8.21875" customWidth="1"/>
    <col min="9" max="9" width="7" customWidth="1"/>
  </cols>
  <sheetData>
    <row r="1" spans="1:9" ht="44.55" customHeight="1">
      <c r="A1" s="2214" t="s">
        <v>1039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212" t="s">
        <v>131</v>
      </c>
    </row>
    <row r="4" spans="1:9">
      <c r="A4" s="2139"/>
      <c r="B4" s="2141"/>
      <c r="C4" s="211" t="s">
        <v>3</v>
      </c>
      <c r="D4" s="210" t="s">
        <v>2</v>
      </c>
      <c r="E4" s="209" t="s">
        <v>92</v>
      </c>
      <c r="F4" s="210" t="s">
        <v>3</v>
      </c>
      <c r="G4" s="210" t="s">
        <v>2</v>
      </c>
      <c r="H4" s="209" t="s">
        <v>132</v>
      </c>
      <c r="I4" s="208" t="s">
        <v>133</v>
      </c>
    </row>
    <row r="5" spans="1:9">
      <c r="A5" s="2139"/>
      <c r="B5" s="2141"/>
      <c r="C5" s="2225" t="s">
        <v>93</v>
      </c>
      <c r="D5" s="2226"/>
      <c r="E5" s="210" t="s">
        <v>134</v>
      </c>
      <c r="F5" s="2226" t="s">
        <v>93</v>
      </c>
      <c r="G5" s="2226"/>
      <c r="H5" s="2226" t="s">
        <v>134</v>
      </c>
      <c r="I5" s="2227"/>
    </row>
    <row r="6" spans="1:9">
      <c r="A6" s="204" t="s">
        <v>10</v>
      </c>
      <c r="B6" s="207" t="s">
        <v>11</v>
      </c>
      <c r="C6" s="204" t="s">
        <v>12</v>
      </c>
      <c r="D6" s="205" t="s">
        <v>13</v>
      </c>
      <c r="E6" s="205" t="s">
        <v>14</v>
      </c>
      <c r="F6" s="205" t="s">
        <v>15</v>
      </c>
      <c r="G6" s="205" t="s">
        <v>16</v>
      </c>
      <c r="H6" s="205" t="s">
        <v>17</v>
      </c>
      <c r="I6" s="206" t="s">
        <v>94</v>
      </c>
    </row>
    <row r="7" spans="1:9">
      <c r="A7" s="1356"/>
      <c r="B7" s="1353" t="s">
        <v>95</v>
      </c>
      <c r="C7" s="1361">
        <v>7116892896.4799995</v>
      </c>
      <c r="D7" s="1352">
        <v>6840164807.8800001</v>
      </c>
      <c r="E7" s="1358">
        <v>96.1</v>
      </c>
      <c r="F7" s="1352">
        <v>3264436165.7399998</v>
      </c>
      <c r="G7" s="1352">
        <v>3002165328.9200001</v>
      </c>
      <c r="H7" s="1358">
        <v>92</v>
      </c>
      <c r="I7" s="1362">
        <v>43.9</v>
      </c>
    </row>
    <row r="8" spans="1:9">
      <c r="A8" s="1348" t="s">
        <v>19</v>
      </c>
      <c r="B8" s="1354" t="s">
        <v>20</v>
      </c>
      <c r="C8" s="1359">
        <v>215507991.97</v>
      </c>
      <c r="D8" s="1346">
        <v>138332742.52000001</v>
      </c>
      <c r="E8" s="1357">
        <v>64.2</v>
      </c>
      <c r="F8" s="1347">
        <v>140832815.07999998</v>
      </c>
      <c r="G8" s="1347">
        <v>121438634.46000001</v>
      </c>
      <c r="H8" s="1347">
        <v>86.2</v>
      </c>
      <c r="I8" s="1363">
        <v>87.8</v>
      </c>
    </row>
    <row r="9" spans="1:9">
      <c r="A9" s="1348" t="s">
        <v>21</v>
      </c>
      <c r="B9" s="1354" t="s">
        <v>22</v>
      </c>
      <c r="C9" s="1359">
        <v>0</v>
      </c>
      <c r="D9" s="1346">
        <v>0</v>
      </c>
      <c r="E9" s="2065" t="s">
        <v>936</v>
      </c>
      <c r="F9" s="1347">
        <v>0</v>
      </c>
      <c r="G9" s="1347">
        <v>0</v>
      </c>
      <c r="H9" s="2048" t="s">
        <v>936</v>
      </c>
      <c r="I9" s="2064" t="s">
        <v>936</v>
      </c>
    </row>
    <row r="10" spans="1:9">
      <c r="A10" s="1348" t="s">
        <v>23</v>
      </c>
      <c r="B10" s="1354" t="s">
        <v>24</v>
      </c>
      <c r="C10" s="1359">
        <v>3415167</v>
      </c>
      <c r="D10" s="1346">
        <v>2828952.41</v>
      </c>
      <c r="E10" s="1357">
        <v>82.8</v>
      </c>
      <c r="F10" s="1347">
        <v>3415167</v>
      </c>
      <c r="G10" s="1347">
        <v>2828952.41</v>
      </c>
      <c r="H10" s="1347">
        <v>82.8</v>
      </c>
      <c r="I10" s="1363">
        <v>100</v>
      </c>
    </row>
    <row r="11" spans="1:9">
      <c r="A11" s="1348" t="s">
        <v>25</v>
      </c>
      <c r="B11" s="1354" t="s">
        <v>26</v>
      </c>
      <c r="C11" s="1359">
        <v>0</v>
      </c>
      <c r="D11" s="1346">
        <v>0</v>
      </c>
      <c r="E11" s="2065" t="s">
        <v>936</v>
      </c>
      <c r="F11" s="1347">
        <v>0</v>
      </c>
      <c r="G11" s="1347">
        <v>0</v>
      </c>
      <c r="H11" s="2048" t="s">
        <v>936</v>
      </c>
      <c r="I11" s="2064" t="s">
        <v>936</v>
      </c>
    </row>
    <row r="12" spans="1:9">
      <c r="A12" s="1348" t="s">
        <v>27</v>
      </c>
      <c r="B12" s="1354" t="s">
        <v>28</v>
      </c>
      <c r="C12" s="1359">
        <v>24587765.620000001</v>
      </c>
      <c r="D12" s="1346">
        <v>15621943.619999999</v>
      </c>
      <c r="E12" s="1357">
        <v>63.5</v>
      </c>
      <c r="F12" s="1347">
        <v>24456865.620000001</v>
      </c>
      <c r="G12" s="1347">
        <v>15578315.52</v>
      </c>
      <c r="H12" s="1347">
        <v>63.7</v>
      </c>
      <c r="I12" s="1363">
        <v>99.7</v>
      </c>
    </row>
    <row r="13" spans="1:9" ht="26.4">
      <c r="A13" s="1348" t="s">
        <v>29</v>
      </c>
      <c r="B13" s="1354" t="s">
        <v>30</v>
      </c>
      <c r="C13" s="1359">
        <v>683693</v>
      </c>
      <c r="D13" s="1346">
        <v>281522.2</v>
      </c>
      <c r="E13" s="1357">
        <v>41.2</v>
      </c>
      <c r="F13" s="1347">
        <v>683693</v>
      </c>
      <c r="G13" s="1347">
        <v>281522.2</v>
      </c>
      <c r="H13" s="1347">
        <v>41.2</v>
      </c>
      <c r="I13" s="1363">
        <v>100</v>
      </c>
    </row>
    <row r="14" spans="1:9">
      <c r="A14" s="1348" t="s">
        <v>31</v>
      </c>
      <c r="B14" s="1354" t="s">
        <v>32</v>
      </c>
      <c r="C14" s="1359">
        <v>0</v>
      </c>
      <c r="D14" s="1346">
        <v>0</v>
      </c>
      <c r="E14" s="2065" t="s">
        <v>936</v>
      </c>
      <c r="F14" s="1347">
        <v>0</v>
      </c>
      <c r="G14" s="1347">
        <v>0</v>
      </c>
      <c r="H14" s="2048" t="s">
        <v>936</v>
      </c>
      <c r="I14" s="2064" t="s">
        <v>936</v>
      </c>
    </row>
    <row r="15" spans="1:9">
      <c r="A15" s="1348" t="s">
        <v>33</v>
      </c>
      <c r="B15" s="1354" t="s">
        <v>34</v>
      </c>
      <c r="C15" s="1359">
        <v>0</v>
      </c>
      <c r="D15" s="1346">
        <v>0</v>
      </c>
      <c r="E15" s="2065" t="s">
        <v>936</v>
      </c>
      <c r="F15" s="1347">
        <v>0</v>
      </c>
      <c r="G15" s="1347">
        <v>0</v>
      </c>
      <c r="H15" s="2048" t="s">
        <v>936</v>
      </c>
      <c r="I15" s="2064" t="s">
        <v>936</v>
      </c>
    </row>
    <row r="16" spans="1:9">
      <c r="A16" s="1348" t="s">
        <v>35</v>
      </c>
      <c r="B16" s="1354" t="s">
        <v>36</v>
      </c>
      <c r="C16" s="1359">
        <v>766982304</v>
      </c>
      <c r="D16" s="1346">
        <v>823931087.05999994</v>
      </c>
      <c r="E16" s="1357">
        <v>107.4</v>
      </c>
      <c r="F16" s="1347">
        <v>2365891</v>
      </c>
      <c r="G16" s="1347">
        <v>1517699.8199999332</v>
      </c>
      <c r="H16" s="1347">
        <v>64.099999999999994</v>
      </c>
      <c r="I16" s="1363">
        <v>0.2</v>
      </c>
    </row>
    <row r="17" spans="1:9">
      <c r="A17" s="1348" t="s">
        <v>37</v>
      </c>
      <c r="B17" s="1354" t="s">
        <v>38</v>
      </c>
      <c r="C17" s="1359">
        <v>11343560</v>
      </c>
      <c r="D17" s="1346">
        <v>2427235.08</v>
      </c>
      <c r="E17" s="1357">
        <v>21.4</v>
      </c>
      <c r="F17" s="1347">
        <v>5748363</v>
      </c>
      <c r="G17" s="1347">
        <v>2300117.54</v>
      </c>
      <c r="H17" s="1347">
        <v>40</v>
      </c>
      <c r="I17" s="1363">
        <v>94.8</v>
      </c>
    </row>
    <row r="18" spans="1:9">
      <c r="A18" s="1348" t="s">
        <v>39</v>
      </c>
      <c r="B18" s="1354" t="s">
        <v>40</v>
      </c>
      <c r="C18" s="1359">
        <v>411118</v>
      </c>
      <c r="D18" s="1346">
        <v>333746.90000000002</v>
      </c>
      <c r="E18" s="1357">
        <v>81.2</v>
      </c>
      <c r="F18" s="1347">
        <v>411118</v>
      </c>
      <c r="G18" s="1347">
        <v>333746.90000000002</v>
      </c>
      <c r="H18" s="1347">
        <v>81.2</v>
      </c>
      <c r="I18" s="1363">
        <v>100</v>
      </c>
    </row>
    <row r="19" spans="1:9">
      <c r="A19" s="1348" t="s">
        <v>41</v>
      </c>
      <c r="B19" s="1354" t="s">
        <v>42</v>
      </c>
      <c r="C19" s="1359">
        <v>3964184</v>
      </c>
      <c r="D19" s="1346">
        <v>4146044.48</v>
      </c>
      <c r="E19" s="1357">
        <v>104.6</v>
      </c>
      <c r="F19" s="1347">
        <v>2032643</v>
      </c>
      <c r="G19" s="1347">
        <v>2172814.48</v>
      </c>
      <c r="H19" s="1347">
        <v>106.9</v>
      </c>
      <c r="I19" s="1363">
        <v>52.4</v>
      </c>
    </row>
    <row r="20" spans="1:9">
      <c r="A20" s="1348" t="s">
        <v>43</v>
      </c>
      <c r="B20" s="1354" t="s">
        <v>44</v>
      </c>
      <c r="C20" s="1359">
        <v>364993</v>
      </c>
      <c r="D20" s="1346">
        <v>595000</v>
      </c>
      <c r="E20" s="1357">
        <v>163</v>
      </c>
      <c r="F20" s="1347">
        <v>134993</v>
      </c>
      <c r="G20" s="1347">
        <v>144720</v>
      </c>
      <c r="H20" s="1347">
        <v>107.2</v>
      </c>
      <c r="I20" s="1363">
        <v>24.3</v>
      </c>
    </row>
    <row r="21" spans="1:9">
      <c r="A21" s="1348" t="s">
        <v>45</v>
      </c>
      <c r="B21" s="1354" t="s">
        <v>46</v>
      </c>
      <c r="C21" s="1359">
        <v>0</v>
      </c>
      <c r="D21" s="1346">
        <v>0</v>
      </c>
      <c r="E21" s="2065" t="s">
        <v>936</v>
      </c>
      <c r="F21" s="1347">
        <v>0</v>
      </c>
      <c r="G21" s="1347">
        <v>0</v>
      </c>
      <c r="H21" s="2048" t="s">
        <v>936</v>
      </c>
      <c r="I21" s="2064" t="s">
        <v>936</v>
      </c>
    </row>
    <row r="22" spans="1:9">
      <c r="A22" s="1348" t="s">
        <v>47</v>
      </c>
      <c r="B22" s="1354" t="s">
        <v>48</v>
      </c>
      <c r="C22" s="1359">
        <v>121022797.83</v>
      </c>
      <c r="D22" s="1346">
        <v>110489865.04000001</v>
      </c>
      <c r="E22" s="1357">
        <v>91.3</v>
      </c>
      <c r="F22" s="1347">
        <v>114463909.83</v>
      </c>
      <c r="G22" s="1347">
        <v>99951120.860000014</v>
      </c>
      <c r="H22" s="1347">
        <v>87.3</v>
      </c>
      <c r="I22" s="1363">
        <v>90.5</v>
      </c>
    </row>
    <row r="23" spans="1:9" ht="39.6">
      <c r="A23" s="1348" t="s">
        <v>49</v>
      </c>
      <c r="B23" s="1354" t="s">
        <v>50</v>
      </c>
      <c r="C23" s="1359">
        <v>0</v>
      </c>
      <c r="D23" s="1346">
        <v>0</v>
      </c>
      <c r="E23" s="2065" t="s">
        <v>936</v>
      </c>
      <c r="F23" s="1347">
        <v>0</v>
      </c>
      <c r="G23" s="1347">
        <v>0</v>
      </c>
      <c r="H23" s="2048" t="s">
        <v>936</v>
      </c>
      <c r="I23" s="2064" t="s">
        <v>936</v>
      </c>
    </row>
    <row r="24" spans="1:9">
      <c r="A24" s="1348" t="s">
        <v>51</v>
      </c>
      <c r="B24" s="1354" t="s">
        <v>52</v>
      </c>
      <c r="C24" s="1359">
        <v>0</v>
      </c>
      <c r="D24" s="1346">
        <v>0</v>
      </c>
      <c r="E24" s="2065" t="s">
        <v>936</v>
      </c>
      <c r="F24" s="1347">
        <v>0</v>
      </c>
      <c r="G24" s="1347">
        <v>0</v>
      </c>
      <c r="H24" s="2048" t="s">
        <v>936</v>
      </c>
      <c r="I24" s="2064" t="s">
        <v>936</v>
      </c>
    </row>
    <row r="25" spans="1:9" ht="26.4">
      <c r="A25" s="1348" t="s">
        <v>53</v>
      </c>
      <c r="B25" s="1354" t="s">
        <v>54</v>
      </c>
      <c r="C25" s="1359">
        <v>0</v>
      </c>
      <c r="D25" s="1346">
        <v>0</v>
      </c>
      <c r="E25" s="2065" t="s">
        <v>936</v>
      </c>
      <c r="F25" s="1347">
        <v>0</v>
      </c>
      <c r="G25" s="1347">
        <v>0</v>
      </c>
      <c r="H25" s="2048" t="s">
        <v>936</v>
      </c>
      <c r="I25" s="2064" t="s">
        <v>936</v>
      </c>
    </row>
    <row r="26" spans="1:9" ht="26.4">
      <c r="A26" s="1348" t="s">
        <v>55</v>
      </c>
      <c r="B26" s="1354" t="s">
        <v>56</v>
      </c>
      <c r="C26" s="1359">
        <v>9138616</v>
      </c>
      <c r="D26" s="1346">
        <v>4561502.3099999996</v>
      </c>
      <c r="E26" s="1357">
        <v>49.9</v>
      </c>
      <c r="F26" s="1347">
        <v>9018149</v>
      </c>
      <c r="G26" s="1347">
        <v>4502595.51</v>
      </c>
      <c r="H26" s="1347">
        <v>49.9</v>
      </c>
      <c r="I26" s="1363">
        <v>98.7</v>
      </c>
    </row>
    <row r="27" spans="1:9">
      <c r="A27" s="1348" t="s">
        <v>57</v>
      </c>
      <c r="B27" s="1354" t="s">
        <v>58</v>
      </c>
      <c r="C27" s="1359">
        <v>0</v>
      </c>
      <c r="D27" s="1346">
        <v>0</v>
      </c>
      <c r="E27" s="2065" t="s">
        <v>936</v>
      </c>
      <c r="F27" s="1347">
        <v>0</v>
      </c>
      <c r="G27" s="1347">
        <v>0</v>
      </c>
      <c r="H27" s="2048" t="s">
        <v>936</v>
      </c>
      <c r="I27" s="2064" t="s">
        <v>936</v>
      </c>
    </row>
    <row r="28" spans="1:9" ht="66">
      <c r="A28" s="1348" t="s">
        <v>59</v>
      </c>
      <c r="B28" s="1354" t="s">
        <v>60</v>
      </c>
      <c r="C28" s="1359">
        <v>0</v>
      </c>
      <c r="D28" s="1346">
        <v>0</v>
      </c>
      <c r="E28" s="2065" t="s">
        <v>936</v>
      </c>
      <c r="F28" s="1347">
        <v>0</v>
      </c>
      <c r="G28" s="1347">
        <v>0</v>
      </c>
      <c r="H28" s="2048" t="s">
        <v>936</v>
      </c>
      <c r="I28" s="2064" t="s">
        <v>936</v>
      </c>
    </row>
    <row r="29" spans="1:9">
      <c r="A29" s="1348" t="s">
        <v>61</v>
      </c>
      <c r="B29" s="1354" t="s">
        <v>62</v>
      </c>
      <c r="C29" s="1359">
        <v>0</v>
      </c>
      <c r="D29" s="1346">
        <v>0</v>
      </c>
      <c r="E29" s="2065" t="s">
        <v>936</v>
      </c>
      <c r="F29" s="1347">
        <v>0</v>
      </c>
      <c r="G29" s="1347">
        <v>0</v>
      </c>
      <c r="H29" s="2048" t="s">
        <v>936</v>
      </c>
      <c r="I29" s="2064" t="s">
        <v>936</v>
      </c>
    </row>
    <row r="30" spans="1:9">
      <c r="A30" s="1348" t="s">
        <v>63</v>
      </c>
      <c r="B30" s="1354" t="s">
        <v>64</v>
      </c>
      <c r="C30" s="1359">
        <v>5779520653.0500002</v>
      </c>
      <c r="D30" s="1346">
        <v>5572250073.7600002</v>
      </c>
      <c r="E30" s="1357">
        <v>96.4</v>
      </c>
      <c r="F30" s="1347">
        <v>2788711128.2000003</v>
      </c>
      <c r="G30" s="1347">
        <v>2592374878.6100001</v>
      </c>
      <c r="H30" s="1347">
        <v>93</v>
      </c>
      <c r="I30" s="1363">
        <v>46.5</v>
      </c>
    </row>
    <row r="31" spans="1:9">
      <c r="A31" s="1348" t="s">
        <v>65</v>
      </c>
      <c r="B31" s="1354" t="s">
        <v>66</v>
      </c>
      <c r="C31" s="1359">
        <v>24380548</v>
      </c>
      <c r="D31" s="1346">
        <v>23343729.59</v>
      </c>
      <c r="E31" s="1357">
        <v>95.7</v>
      </c>
      <c r="F31" s="1347">
        <v>24380548</v>
      </c>
      <c r="G31" s="1347">
        <v>23343729.59</v>
      </c>
      <c r="H31" s="1347">
        <v>95.7</v>
      </c>
      <c r="I31" s="1363">
        <v>100</v>
      </c>
    </row>
    <row r="32" spans="1:9">
      <c r="A32" s="1348" t="s">
        <v>67</v>
      </c>
      <c r="B32" s="1354" t="s">
        <v>68</v>
      </c>
      <c r="C32" s="1359">
        <v>2725591.46</v>
      </c>
      <c r="D32" s="1346">
        <v>2522454.0299999998</v>
      </c>
      <c r="E32" s="1357">
        <v>92.5</v>
      </c>
      <c r="F32" s="1347">
        <v>2273630.46</v>
      </c>
      <c r="G32" s="1347">
        <v>2070493.5599999998</v>
      </c>
      <c r="H32" s="1347">
        <v>91.1</v>
      </c>
      <c r="I32" s="1363">
        <v>82.1</v>
      </c>
    </row>
    <row r="33" spans="1:9">
      <c r="A33" s="1348" t="s">
        <v>69</v>
      </c>
      <c r="B33" s="1354" t="s">
        <v>70</v>
      </c>
      <c r="C33" s="1359">
        <v>40242568</v>
      </c>
      <c r="D33" s="1346">
        <v>38069889.619999997</v>
      </c>
      <c r="E33" s="1357">
        <v>94.6</v>
      </c>
      <c r="F33" s="1347">
        <v>40242568</v>
      </c>
      <c r="G33" s="1347">
        <v>38069889.619999997</v>
      </c>
      <c r="H33" s="1347">
        <v>94.6</v>
      </c>
      <c r="I33" s="1363">
        <v>100</v>
      </c>
    </row>
    <row r="34" spans="1:9" ht="26.4">
      <c r="A34" s="1348" t="s">
        <v>71</v>
      </c>
      <c r="B34" s="1354" t="s">
        <v>72</v>
      </c>
      <c r="C34" s="1359">
        <v>69248787.989999995</v>
      </c>
      <c r="D34" s="1346">
        <v>66485894.560000002</v>
      </c>
      <c r="E34" s="1357">
        <v>96</v>
      </c>
      <c r="F34" s="1347">
        <v>69235287.989999995</v>
      </c>
      <c r="G34" s="1347">
        <v>66485894.560000002</v>
      </c>
      <c r="H34" s="1347">
        <v>96</v>
      </c>
      <c r="I34" s="1363">
        <v>100</v>
      </c>
    </row>
    <row r="35" spans="1:9">
      <c r="A35" s="1348" t="s">
        <v>73</v>
      </c>
      <c r="B35" s="1354" t="s">
        <v>74</v>
      </c>
      <c r="C35" s="1359">
        <v>3445215</v>
      </c>
      <c r="D35" s="1346">
        <v>3837728.54</v>
      </c>
      <c r="E35" s="1357">
        <v>111.4</v>
      </c>
      <c r="F35" s="1347">
        <v>3445215</v>
      </c>
      <c r="G35" s="1347">
        <v>3837728.54</v>
      </c>
      <c r="H35" s="1347">
        <v>111.4</v>
      </c>
      <c r="I35" s="1363">
        <v>100</v>
      </c>
    </row>
    <row r="36" spans="1:9">
      <c r="A36" s="1348" t="s">
        <v>75</v>
      </c>
      <c r="B36" s="1354" t="s">
        <v>76</v>
      </c>
      <c r="C36" s="1359">
        <v>205337</v>
      </c>
      <c r="D36" s="1346">
        <v>205338</v>
      </c>
      <c r="E36" s="1357">
        <v>100</v>
      </c>
      <c r="F36" s="1347">
        <v>205337</v>
      </c>
      <c r="G36" s="1347">
        <v>205338</v>
      </c>
      <c r="H36" s="1347">
        <v>100</v>
      </c>
      <c r="I36" s="1363">
        <v>100</v>
      </c>
    </row>
    <row r="37" spans="1:9" ht="26.4">
      <c r="A37" s="1348" t="s">
        <v>77</v>
      </c>
      <c r="B37" s="1354" t="s">
        <v>78</v>
      </c>
      <c r="C37" s="1359">
        <v>26558977.07</v>
      </c>
      <c r="D37" s="1346">
        <v>24103985.09</v>
      </c>
      <c r="E37" s="1357">
        <v>90.8</v>
      </c>
      <c r="F37" s="1347">
        <v>25889857.07</v>
      </c>
      <c r="G37" s="1347">
        <v>21521938.09</v>
      </c>
      <c r="H37" s="1347">
        <v>83.1</v>
      </c>
      <c r="I37" s="1363">
        <v>89.3</v>
      </c>
    </row>
    <row r="38" spans="1:9" ht="26.4">
      <c r="A38" s="1348" t="s">
        <v>79</v>
      </c>
      <c r="B38" s="1354" t="s">
        <v>80</v>
      </c>
      <c r="C38" s="1359">
        <v>179301.49</v>
      </c>
      <c r="D38" s="1346">
        <v>179301.19</v>
      </c>
      <c r="E38" s="1357">
        <v>100</v>
      </c>
      <c r="F38" s="1347">
        <v>179301.49</v>
      </c>
      <c r="G38" s="1347">
        <v>179301.19</v>
      </c>
      <c r="H38" s="1347">
        <v>100</v>
      </c>
      <c r="I38" s="1363">
        <v>100</v>
      </c>
    </row>
    <row r="39" spans="1:9" ht="39.6">
      <c r="A39" s="1348" t="s">
        <v>81</v>
      </c>
      <c r="B39" s="1354" t="s">
        <v>82</v>
      </c>
      <c r="C39" s="1359">
        <v>12963727</v>
      </c>
      <c r="D39" s="1346">
        <v>5616771.8799999999</v>
      </c>
      <c r="E39" s="1357">
        <v>43.3</v>
      </c>
      <c r="F39" s="1347">
        <v>6309685</v>
      </c>
      <c r="G39" s="1347">
        <v>3025897.46</v>
      </c>
      <c r="H39" s="1347">
        <v>48</v>
      </c>
      <c r="I39" s="1363">
        <v>53.9</v>
      </c>
    </row>
    <row r="40" spans="1:9">
      <c r="A40" s="1349" t="s">
        <v>83</v>
      </c>
      <c r="B40" s="1355" t="s">
        <v>84</v>
      </c>
      <c r="C40" s="1360">
        <v>0</v>
      </c>
      <c r="D40" s="1350">
        <v>0</v>
      </c>
      <c r="E40" s="2066" t="s">
        <v>936</v>
      </c>
      <c r="F40" s="1351">
        <v>0</v>
      </c>
      <c r="G40" s="1351">
        <v>0</v>
      </c>
      <c r="H40" s="2067" t="s">
        <v>936</v>
      </c>
      <c r="I40" s="2068" t="s">
        <v>936</v>
      </c>
    </row>
    <row r="42" spans="1:9">
      <c r="A42" s="636" t="s">
        <v>911</v>
      </c>
      <c r="B42" s="637"/>
      <c r="C42" s="203"/>
      <c r="D42" s="203"/>
      <c r="E42" s="203"/>
      <c r="F42" s="203"/>
      <c r="G42" s="203"/>
      <c r="H42" s="203"/>
      <c r="I42" s="203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31496062992125984" top="0.74803149606299213" bottom="0.55118110236220474" header="0.31496062992125984" footer="0.31496062992125984"/>
  <pageSetup paperSize="9" scale="90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4A20-DDC7-4E59-BD38-BC11526EAA07}">
  <dimension ref="A1:I42"/>
  <sheetViews>
    <sheetView view="pageBreakPreview" topLeftCell="A26" zoomScaleNormal="100" zoomScaleSheetLayoutView="100" workbookViewId="0">
      <selection activeCell="F8" sqref="F8"/>
    </sheetView>
  </sheetViews>
  <sheetFormatPr defaultRowHeight="14.4"/>
  <cols>
    <col min="1" max="1" width="5.21875" customWidth="1"/>
    <col min="2" max="2" width="22.21875" customWidth="1"/>
    <col min="3" max="4" width="11.77734375" bestFit="1" customWidth="1"/>
    <col min="5" max="5" width="7.21875" customWidth="1"/>
    <col min="6" max="7" width="11.77734375" bestFit="1" customWidth="1"/>
    <col min="8" max="9" width="7" customWidth="1"/>
  </cols>
  <sheetData>
    <row r="1" spans="1:9" ht="35.549999999999997" customHeight="1">
      <c r="A1" s="2214" t="s">
        <v>1040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223" t="s">
        <v>131</v>
      </c>
    </row>
    <row r="4" spans="1:9">
      <c r="A4" s="2139"/>
      <c r="B4" s="2141"/>
      <c r="C4" s="222" t="s">
        <v>3</v>
      </c>
      <c r="D4" s="221" t="s">
        <v>2</v>
      </c>
      <c r="E4" s="220" t="s">
        <v>92</v>
      </c>
      <c r="F4" s="221" t="s">
        <v>3</v>
      </c>
      <c r="G4" s="221" t="s">
        <v>2</v>
      </c>
      <c r="H4" s="220" t="s">
        <v>132</v>
      </c>
      <c r="I4" s="219" t="s">
        <v>133</v>
      </c>
    </row>
    <row r="5" spans="1:9">
      <c r="A5" s="2139"/>
      <c r="B5" s="2141"/>
      <c r="C5" s="2225" t="s">
        <v>93</v>
      </c>
      <c r="D5" s="2226"/>
      <c r="E5" s="221" t="s">
        <v>134</v>
      </c>
      <c r="F5" s="2226" t="s">
        <v>93</v>
      </c>
      <c r="G5" s="2226"/>
      <c r="H5" s="2226" t="s">
        <v>134</v>
      </c>
      <c r="I5" s="2227"/>
    </row>
    <row r="6" spans="1:9">
      <c r="A6" s="215" t="s">
        <v>10</v>
      </c>
      <c r="B6" s="218" t="s">
        <v>11</v>
      </c>
      <c r="C6" s="215" t="s">
        <v>12</v>
      </c>
      <c r="D6" s="216" t="s">
        <v>13</v>
      </c>
      <c r="E6" s="216" t="s">
        <v>14</v>
      </c>
      <c r="F6" s="216" t="s">
        <v>15</v>
      </c>
      <c r="G6" s="216" t="s">
        <v>16</v>
      </c>
      <c r="H6" s="216" t="s">
        <v>17</v>
      </c>
      <c r="I6" s="217" t="s">
        <v>94</v>
      </c>
    </row>
    <row r="7" spans="1:9">
      <c r="A7" s="1374"/>
      <c r="B7" s="1371" t="s">
        <v>95</v>
      </c>
      <c r="C7" s="1379">
        <v>2245325421.8899999</v>
      </c>
      <c r="D7" s="1370">
        <v>2203607132.0900002</v>
      </c>
      <c r="E7" s="1376">
        <v>98.1</v>
      </c>
      <c r="F7" s="1370">
        <v>2203791255.8899999</v>
      </c>
      <c r="G7" s="1370">
        <v>2167354642.4300003</v>
      </c>
      <c r="H7" s="1376">
        <v>98.3</v>
      </c>
      <c r="I7" s="1380">
        <v>98.4</v>
      </c>
    </row>
    <row r="8" spans="1:9">
      <c r="A8" s="1366" t="s">
        <v>19</v>
      </c>
      <c r="B8" s="1372" t="s">
        <v>20</v>
      </c>
      <c r="C8" s="1377">
        <v>55963440.579999998</v>
      </c>
      <c r="D8" s="1364">
        <v>59632539.82</v>
      </c>
      <c r="E8" s="1375">
        <v>106.6</v>
      </c>
      <c r="F8" s="1365">
        <v>55963440.579999998</v>
      </c>
      <c r="G8" s="1365">
        <v>59632539.82</v>
      </c>
      <c r="H8" s="1365">
        <v>106.6</v>
      </c>
      <c r="I8" s="1381">
        <v>100</v>
      </c>
    </row>
    <row r="9" spans="1:9">
      <c r="A9" s="1366" t="s">
        <v>21</v>
      </c>
      <c r="B9" s="1372" t="s">
        <v>22</v>
      </c>
      <c r="C9" s="1377">
        <v>0</v>
      </c>
      <c r="D9" s="1364">
        <v>0</v>
      </c>
      <c r="E9" s="2065" t="s">
        <v>936</v>
      </c>
      <c r="F9" s="1365">
        <v>0</v>
      </c>
      <c r="G9" s="1365">
        <v>0</v>
      </c>
      <c r="H9" s="2048" t="s">
        <v>936</v>
      </c>
      <c r="I9" s="2064" t="s">
        <v>936</v>
      </c>
    </row>
    <row r="10" spans="1:9">
      <c r="A10" s="1366" t="s">
        <v>23</v>
      </c>
      <c r="B10" s="1372" t="s">
        <v>24</v>
      </c>
      <c r="C10" s="1377">
        <v>433000</v>
      </c>
      <c r="D10" s="1364">
        <v>408314.38</v>
      </c>
      <c r="E10" s="1375">
        <v>94.3</v>
      </c>
      <c r="F10" s="1365">
        <v>433000</v>
      </c>
      <c r="G10" s="1365">
        <v>408314.38</v>
      </c>
      <c r="H10" s="1365">
        <v>94.3</v>
      </c>
      <c r="I10" s="1381">
        <v>100</v>
      </c>
    </row>
    <row r="11" spans="1:9">
      <c r="A11" s="1366" t="s">
        <v>25</v>
      </c>
      <c r="B11" s="1372" t="s">
        <v>26</v>
      </c>
      <c r="C11" s="1377">
        <v>3597385.86</v>
      </c>
      <c r="D11" s="1364">
        <v>3587869.92</v>
      </c>
      <c r="E11" s="1375">
        <v>99.7</v>
      </c>
      <c r="F11" s="1365">
        <v>3597385.86</v>
      </c>
      <c r="G11" s="1365">
        <v>3587869.92</v>
      </c>
      <c r="H11" s="1365">
        <v>99.7</v>
      </c>
      <c r="I11" s="1381">
        <v>100</v>
      </c>
    </row>
    <row r="12" spans="1:9">
      <c r="A12" s="1366" t="s">
        <v>27</v>
      </c>
      <c r="B12" s="1372" t="s">
        <v>28</v>
      </c>
      <c r="C12" s="1377">
        <v>0</v>
      </c>
      <c r="D12" s="1364">
        <v>0</v>
      </c>
      <c r="E12" s="2065" t="s">
        <v>936</v>
      </c>
      <c r="F12" s="1365">
        <v>0</v>
      </c>
      <c r="G12" s="1365">
        <v>0</v>
      </c>
      <c r="H12" s="2048" t="s">
        <v>936</v>
      </c>
      <c r="I12" s="2064" t="s">
        <v>936</v>
      </c>
    </row>
    <row r="13" spans="1:9" ht="26.4">
      <c r="A13" s="1366" t="s">
        <v>29</v>
      </c>
      <c r="B13" s="1372" t="s">
        <v>30</v>
      </c>
      <c r="C13" s="1377">
        <v>0</v>
      </c>
      <c r="D13" s="1364">
        <v>0</v>
      </c>
      <c r="E13" s="2065" t="s">
        <v>936</v>
      </c>
      <c r="F13" s="1365">
        <v>0</v>
      </c>
      <c r="G13" s="1365">
        <v>0</v>
      </c>
      <c r="H13" s="2048" t="s">
        <v>936</v>
      </c>
      <c r="I13" s="2064" t="s">
        <v>936</v>
      </c>
    </row>
    <row r="14" spans="1:9">
      <c r="A14" s="1366" t="s">
        <v>31</v>
      </c>
      <c r="B14" s="1372" t="s">
        <v>32</v>
      </c>
      <c r="C14" s="1377">
        <v>0</v>
      </c>
      <c r="D14" s="1364">
        <v>0</v>
      </c>
      <c r="E14" s="2065" t="s">
        <v>936</v>
      </c>
      <c r="F14" s="1365">
        <v>0</v>
      </c>
      <c r="G14" s="1365">
        <v>0</v>
      </c>
      <c r="H14" s="2048" t="s">
        <v>936</v>
      </c>
      <c r="I14" s="2064" t="s">
        <v>936</v>
      </c>
    </row>
    <row r="15" spans="1:9">
      <c r="A15" s="1366" t="s">
        <v>33</v>
      </c>
      <c r="B15" s="1372" t="s">
        <v>34</v>
      </c>
      <c r="C15" s="1377">
        <v>0</v>
      </c>
      <c r="D15" s="1364">
        <v>0</v>
      </c>
      <c r="E15" s="2065" t="s">
        <v>936</v>
      </c>
      <c r="F15" s="1365">
        <v>0</v>
      </c>
      <c r="G15" s="1365">
        <v>0</v>
      </c>
      <c r="H15" s="2048" t="s">
        <v>936</v>
      </c>
      <c r="I15" s="2064" t="s">
        <v>936</v>
      </c>
    </row>
    <row r="16" spans="1:9">
      <c r="A16" s="1366" t="s">
        <v>35</v>
      </c>
      <c r="B16" s="1372" t="s">
        <v>36</v>
      </c>
      <c r="C16" s="1377">
        <v>1036050162.39</v>
      </c>
      <c r="D16" s="1364">
        <v>1030427380.13</v>
      </c>
      <c r="E16" s="1375">
        <v>99.5</v>
      </c>
      <c r="F16" s="1365">
        <v>1036050162.39</v>
      </c>
      <c r="G16" s="1365">
        <v>1030427380.13</v>
      </c>
      <c r="H16" s="1365">
        <v>99.5</v>
      </c>
      <c r="I16" s="1381">
        <v>100</v>
      </c>
    </row>
    <row r="17" spans="1:9">
      <c r="A17" s="1366" t="s">
        <v>37</v>
      </c>
      <c r="B17" s="1372" t="s">
        <v>38</v>
      </c>
      <c r="C17" s="1377">
        <v>5234451</v>
      </c>
      <c r="D17" s="1364">
        <v>5188797.26</v>
      </c>
      <c r="E17" s="1375">
        <v>99.1</v>
      </c>
      <c r="F17" s="1365">
        <v>5234451</v>
      </c>
      <c r="G17" s="1365">
        <v>5188797.26</v>
      </c>
      <c r="H17" s="1365">
        <v>99.1</v>
      </c>
      <c r="I17" s="1381">
        <v>100</v>
      </c>
    </row>
    <row r="18" spans="1:9">
      <c r="A18" s="1366" t="s">
        <v>39</v>
      </c>
      <c r="B18" s="1372" t="s">
        <v>40</v>
      </c>
      <c r="C18" s="1377">
        <v>0</v>
      </c>
      <c r="D18" s="1364">
        <v>0</v>
      </c>
      <c r="E18" s="2065" t="s">
        <v>936</v>
      </c>
      <c r="F18" s="1365">
        <v>0</v>
      </c>
      <c r="G18" s="1365">
        <v>0</v>
      </c>
      <c r="H18" s="2048" t="s">
        <v>936</v>
      </c>
      <c r="I18" s="2064" t="s">
        <v>936</v>
      </c>
    </row>
    <row r="19" spans="1:9">
      <c r="A19" s="1366" t="s">
        <v>41</v>
      </c>
      <c r="B19" s="1372" t="s">
        <v>42</v>
      </c>
      <c r="C19" s="1377">
        <v>10209410.09</v>
      </c>
      <c r="D19" s="1364">
        <v>9990362.1899999995</v>
      </c>
      <c r="E19" s="1375">
        <v>97.9</v>
      </c>
      <c r="F19" s="1365">
        <v>10199410.09</v>
      </c>
      <c r="G19" s="1365">
        <v>9980362.1899999995</v>
      </c>
      <c r="H19" s="1365">
        <v>97.9</v>
      </c>
      <c r="I19" s="1381">
        <v>99.9</v>
      </c>
    </row>
    <row r="20" spans="1:9">
      <c r="A20" s="1366" t="s">
        <v>43</v>
      </c>
      <c r="B20" s="1372" t="s">
        <v>44</v>
      </c>
      <c r="C20" s="1377">
        <v>0</v>
      </c>
      <c r="D20" s="1364">
        <v>0</v>
      </c>
      <c r="E20" s="2065" t="s">
        <v>936</v>
      </c>
      <c r="F20" s="1365">
        <v>0</v>
      </c>
      <c r="G20" s="1365">
        <v>0</v>
      </c>
      <c r="H20" s="2048" t="s">
        <v>936</v>
      </c>
      <c r="I20" s="2064" t="s">
        <v>936</v>
      </c>
    </row>
    <row r="21" spans="1:9">
      <c r="A21" s="1366" t="s">
        <v>45</v>
      </c>
      <c r="B21" s="1372" t="s">
        <v>46</v>
      </c>
      <c r="C21" s="1377">
        <v>0</v>
      </c>
      <c r="D21" s="1364">
        <v>0</v>
      </c>
      <c r="E21" s="2065" t="s">
        <v>936</v>
      </c>
      <c r="F21" s="1365">
        <v>0</v>
      </c>
      <c r="G21" s="1365">
        <v>0</v>
      </c>
      <c r="H21" s="2048" t="s">
        <v>936</v>
      </c>
      <c r="I21" s="2064" t="s">
        <v>936</v>
      </c>
    </row>
    <row r="22" spans="1:9">
      <c r="A22" s="1366" t="s">
        <v>47</v>
      </c>
      <c r="B22" s="1372" t="s">
        <v>48</v>
      </c>
      <c r="C22" s="1377">
        <v>19531148.239999998</v>
      </c>
      <c r="D22" s="1364">
        <v>19240774.710000001</v>
      </c>
      <c r="E22" s="1375">
        <v>98.5</v>
      </c>
      <c r="F22" s="1365">
        <v>19531148.239999998</v>
      </c>
      <c r="G22" s="1365">
        <v>19240774.710000001</v>
      </c>
      <c r="H22" s="1365">
        <v>98.5</v>
      </c>
      <c r="I22" s="1381">
        <v>100</v>
      </c>
    </row>
    <row r="23" spans="1:9" ht="39.6">
      <c r="A23" s="1366" t="s">
        <v>49</v>
      </c>
      <c r="B23" s="1372" t="s">
        <v>50</v>
      </c>
      <c r="C23" s="1377">
        <v>0</v>
      </c>
      <c r="D23" s="1364">
        <v>0</v>
      </c>
      <c r="E23" s="2065" t="s">
        <v>936</v>
      </c>
      <c r="F23" s="1365">
        <v>0</v>
      </c>
      <c r="G23" s="1365">
        <v>0</v>
      </c>
      <c r="H23" s="2048" t="s">
        <v>936</v>
      </c>
      <c r="I23" s="2064" t="s">
        <v>936</v>
      </c>
    </row>
    <row r="24" spans="1:9">
      <c r="A24" s="1366" t="s">
        <v>51</v>
      </c>
      <c r="B24" s="1372" t="s">
        <v>52</v>
      </c>
      <c r="C24" s="1377">
        <v>40764375</v>
      </c>
      <c r="D24" s="1364">
        <v>35436956.439999998</v>
      </c>
      <c r="E24" s="1375">
        <v>86.9</v>
      </c>
      <c r="F24" s="1365">
        <v>401709</v>
      </c>
      <c r="G24" s="1365">
        <v>200451.69999999553</v>
      </c>
      <c r="H24" s="1365">
        <v>49.9</v>
      </c>
      <c r="I24" s="1381">
        <v>0.6</v>
      </c>
    </row>
    <row r="25" spans="1:9" ht="26.4">
      <c r="A25" s="1366" t="s">
        <v>53</v>
      </c>
      <c r="B25" s="1372" t="s">
        <v>54</v>
      </c>
      <c r="C25" s="1377">
        <v>0</v>
      </c>
      <c r="D25" s="1364">
        <v>0</v>
      </c>
      <c r="E25" s="2065" t="s">
        <v>936</v>
      </c>
      <c r="F25" s="1365">
        <v>0</v>
      </c>
      <c r="G25" s="1365">
        <v>0</v>
      </c>
      <c r="H25" s="2048" t="s">
        <v>936</v>
      </c>
      <c r="I25" s="2064" t="s">
        <v>936</v>
      </c>
    </row>
    <row r="26" spans="1:9" ht="26.4">
      <c r="A26" s="1366" t="s">
        <v>55</v>
      </c>
      <c r="B26" s="1372" t="s">
        <v>56</v>
      </c>
      <c r="C26" s="1377">
        <v>0</v>
      </c>
      <c r="D26" s="1364">
        <v>0</v>
      </c>
      <c r="E26" s="2065" t="s">
        <v>936</v>
      </c>
      <c r="F26" s="1365">
        <v>0</v>
      </c>
      <c r="G26" s="1365">
        <v>0</v>
      </c>
      <c r="H26" s="2048" t="s">
        <v>936</v>
      </c>
      <c r="I26" s="2064" t="s">
        <v>936</v>
      </c>
    </row>
    <row r="27" spans="1:9">
      <c r="A27" s="1366" t="s">
        <v>57</v>
      </c>
      <c r="B27" s="1372" t="s">
        <v>58</v>
      </c>
      <c r="C27" s="1377">
        <v>0</v>
      </c>
      <c r="D27" s="1364">
        <v>0</v>
      </c>
      <c r="E27" s="2065" t="s">
        <v>936</v>
      </c>
      <c r="F27" s="1365">
        <v>0</v>
      </c>
      <c r="G27" s="1365">
        <v>0</v>
      </c>
      <c r="H27" s="2048" t="s">
        <v>936</v>
      </c>
      <c r="I27" s="2064" t="s">
        <v>936</v>
      </c>
    </row>
    <row r="28" spans="1:9" ht="66">
      <c r="A28" s="1366" t="s">
        <v>59</v>
      </c>
      <c r="B28" s="1372" t="s">
        <v>60</v>
      </c>
      <c r="C28" s="1377">
        <v>0</v>
      </c>
      <c r="D28" s="1364">
        <v>0</v>
      </c>
      <c r="E28" s="2065" t="s">
        <v>936</v>
      </c>
      <c r="F28" s="1365">
        <v>0</v>
      </c>
      <c r="G28" s="1365">
        <v>0</v>
      </c>
      <c r="H28" s="2048" t="s">
        <v>936</v>
      </c>
      <c r="I28" s="2064" t="s">
        <v>936</v>
      </c>
    </row>
    <row r="29" spans="1:9">
      <c r="A29" s="1366" t="s">
        <v>61</v>
      </c>
      <c r="B29" s="1372" t="s">
        <v>62</v>
      </c>
      <c r="C29" s="1377">
        <v>0</v>
      </c>
      <c r="D29" s="1364">
        <v>0</v>
      </c>
      <c r="E29" s="2065" t="s">
        <v>936</v>
      </c>
      <c r="F29" s="1365">
        <v>0</v>
      </c>
      <c r="G29" s="1365">
        <v>0</v>
      </c>
      <c r="H29" s="2048" t="s">
        <v>936</v>
      </c>
      <c r="I29" s="2064" t="s">
        <v>936</v>
      </c>
    </row>
    <row r="30" spans="1:9">
      <c r="A30" s="1366" t="s">
        <v>63</v>
      </c>
      <c r="B30" s="1372" t="s">
        <v>64</v>
      </c>
      <c r="C30" s="1377">
        <v>8436</v>
      </c>
      <c r="D30" s="1364">
        <v>8436</v>
      </c>
      <c r="E30" s="1375">
        <v>100</v>
      </c>
      <c r="F30" s="1365">
        <v>8436</v>
      </c>
      <c r="G30" s="1365">
        <v>8436</v>
      </c>
      <c r="H30" s="1365">
        <v>100</v>
      </c>
      <c r="I30" s="1381">
        <v>100</v>
      </c>
    </row>
    <row r="31" spans="1:9">
      <c r="A31" s="1366" t="s">
        <v>65</v>
      </c>
      <c r="B31" s="1372" t="s">
        <v>66</v>
      </c>
      <c r="C31" s="1377">
        <v>499412.39</v>
      </c>
      <c r="D31" s="1364">
        <v>427636.65</v>
      </c>
      <c r="E31" s="1375">
        <v>85.6</v>
      </c>
      <c r="F31" s="1365">
        <v>499412.39</v>
      </c>
      <c r="G31" s="1365">
        <v>427636.65</v>
      </c>
      <c r="H31" s="1365">
        <v>85.6</v>
      </c>
      <c r="I31" s="1381">
        <v>100</v>
      </c>
    </row>
    <row r="32" spans="1:9">
      <c r="A32" s="1366" t="s">
        <v>67</v>
      </c>
      <c r="B32" s="1372" t="s">
        <v>68</v>
      </c>
      <c r="C32" s="1377">
        <v>972562539.57000005</v>
      </c>
      <c r="D32" s="1364">
        <v>940194176.74000001</v>
      </c>
      <c r="E32" s="1375">
        <v>96.7</v>
      </c>
      <c r="F32" s="1365">
        <v>972412539.57000005</v>
      </c>
      <c r="G32" s="1365">
        <v>940044176.74000001</v>
      </c>
      <c r="H32" s="1365">
        <v>96.7</v>
      </c>
      <c r="I32" s="1381">
        <v>100</v>
      </c>
    </row>
    <row r="33" spans="1:9">
      <c r="A33" s="1366" t="s">
        <v>69</v>
      </c>
      <c r="B33" s="1372" t="s">
        <v>70</v>
      </c>
      <c r="C33" s="1377">
        <v>0</v>
      </c>
      <c r="D33" s="1364">
        <v>0</v>
      </c>
      <c r="E33" s="2065" t="s">
        <v>936</v>
      </c>
      <c r="F33" s="1365">
        <v>0</v>
      </c>
      <c r="G33" s="1365">
        <v>0</v>
      </c>
      <c r="H33" s="2048" t="s">
        <v>936</v>
      </c>
      <c r="I33" s="2064" t="s">
        <v>936</v>
      </c>
    </row>
    <row r="34" spans="1:9" ht="26.4">
      <c r="A34" s="1366" t="s">
        <v>71</v>
      </c>
      <c r="B34" s="1372" t="s">
        <v>72</v>
      </c>
      <c r="C34" s="1377">
        <v>98843</v>
      </c>
      <c r="D34" s="1364">
        <v>86953.31</v>
      </c>
      <c r="E34" s="1375">
        <v>88</v>
      </c>
      <c r="F34" s="1365">
        <v>98843</v>
      </c>
      <c r="G34" s="1365">
        <v>86953.31</v>
      </c>
      <c r="H34" s="1365">
        <v>88</v>
      </c>
      <c r="I34" s="1381">
        <v>100</v>
      </c>
    </row>
    <row r="35" spans="1:9">
      <c r="A35" s="1366" t="s">
        <v>73</v>
      </c>
      <c r="B35" s="1372" t="s">
        <v>74</v>
      </c>
      <c r="C35" s="1377">
        <v>0</v>
      </c>
      <c r="D35" s="1364">
        <v>0</v>
      </c>
      <c r="E35" s="1375" t="s">
        <v>135</v>
      </c>
      <c r="F35" s="1365">
        <v>0</v>
      </c>
      <c r="G35" s="1365">
        <v>0</v>
      </c>
      <c r="H35" s="1365" t="s">
        <v>135</v>
      </c>
      <c r="I35" s="1381" t="s">
        <v>135</v>
      </c>
    </row>
    <row r="36" spans="1:9">
      <c r="A36" s="1366" t="s">
        <v>75</v>
      </c>
      <c r="B36" s="1372" t="s">
        <v>76</v>
      </c>
      <c r="C36" s="1377">
        <v>78605194.769999996</v>
      </c>
      <c r="D36" s="1364">
        <v>77725055.209999993</v>
      </c>
      <c r="E36" s="1375">
        <v>98.9</v>
      </c>
      <c r="F36" s="1365">
        <v>77675194.769999996</v>
      </c>
      <c r="G36" s="1365">
        <v>76918946.789999992</v>
      </c>
      <c r="H36" s="1365">
        <v>99</v>
      </c>
      <c r="I36" s="1381">
        <v>99</v>
      </c>
    </row>
    <row r="37" spans="1:9" ht="26.4">
      <c r="A37" s="1366" t="s">
        <v>77</v>
      </c>
      <c r="B37" s="1372" t="s">
        <v>78</v>
      </c>
      <c r="C37" s="1377">
        <v>21767623</v>
      </c>
      <c r="D37" s="1364">
        <v>21251879.329999998</v>
      </c>
      <c r="E37" s="1375">
        <v>97.6</v>
      </c>
      <c r="F37" s="1365">
        <v>21686123</v>
      </c>
      <c r="G37" s="1365">
        <v>21202002.829999998</v>
      </c>
      <c r="H37" s="1365">
        <v>97.8</v>
      </c>
      <c r="I37" s="1381">
        <v>99.8</v>
      </c>
    </row>
    <row r="38" spans="1:9" ht="26.4">
      <c r="A38" s="1366" t="s">
        <v>79</v>
      </c>
      <c r="B38" s="1372" t="s">
        <v>80</v>
      </c>
      <c r="C38" s="1377">
        <v>0</v>
      </c>
      <c r="D38" s="1364">
        <v>0</v>
      </c>
      <c r="E38" s="2065" t="s">
        <v>936</v>
      </c>
      <c r="F38" s="1365">
        <v>0</v>
      </c>
      <c r="G38" s="1365">
        <v>0</v>
      </c>
      <c r="H38" s="2048" t="s">
        <v>936</v>
      </c>
      <c r="I38" s="2064" t="s">
        <v>936</v>
      </c>
    </row>
    <row r="39" spans="1:9" ht="39.6">
      <c r="A39" s="1366" t="s">
        <v>81</v>
      </c>
      <c r="B39" s="1372" t="s">
        <v>82</v>
      </c>
      <c r="C39" s="1377">
        <v>0</v>
      </c>
      <c r="D39" s="1364">
        <v>0</v>
      </c>
      <c r="E39" s="2065" t="s">
        <v>936</v>
      </c>
      <c r="F39" s="1365">
        <v>0</v>
      </c>
      <c r="G39" s="1365">
        <v>0</v>
      </c>
      <c r="H39" s="2048" t="s">
        <v>936</v>
      </c>
      <c r="I39" s="2064" t="s">
        <v>936</v>
      </c>
    </row>
    <row r="40" spans="1:9">
      <c r="A40" s="1367" t="s">
        <v>83</v>
      </c>
      <c r="B40" s="1373" t="s">
        <v>84</v>
      </c>
      <c r="C40" s="1378">
        <v>0</v>
      </c>
      <c r="D40" s="1368">
        <v>0</v>
      </c>
      <c r="E40" s="2066" t="s">
        <v>936</v>
      </c>
      <c r="F40" s="1369">
        <v>0</v>
      </c>
      <c r="G40" s="1369">
        <v>0</v>
      </c>
      <c r="H40" s="2067" t="s">
        <v>936</v>
      </c>
      <c r="I40" s="2068" t="s">
        <v>936</v>
      </c>
    </row>
    <row r="42" spans="1:9">
      <c r="A42" s="214" t="s">
        <v>911</v>
      </c>
      <c r="B42" s="213"/>
      <c r="C42" s="213"/>
      <c r="D42" s="213"/>
      <c r="E42" s="213"/>
      <c r="F42" s="213"/>
      <c r="G42" s="213"/>
      <c r="H42" s="213"/>
      <c r="I42" s="213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31496062992125984" top="0.74803149606299213" bottom="0.55118110236220474" header="0.31496062992125984" footer="0.31496062992125984"/>
  <pageSetup paperSize="9" scale="90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3270-F859-4A06-BD48-83F59B5D6847}">
  <dimension ref="A1:I42"/>
  <sheetViews>
    <sheetView view="pageBreakPreview" zoomScaleNormal="100" zoomScaleSheetLayoutView="100" workbookViewId="0">
      <selection activeCell="F8" sqref="F8"/>
    </sheetView>
  </sheetViews>
  <sheetFormatPr defaultRowHeight="14.4"/>
  <cols>
    <col min="1" max="1" width="6.21875" customWidth="1"/>
    <col min="2" max="2" width="20.77734375" customWidth="1"/>
    <col min="3" max="3" width="11" customWidth="1"/>
    <col min="4" max="4" width="10.77734375" customWidth="1"/>
    <col min="5" max="5" width="7.21875" customWidth="1"/>
    <col min="6" max="7" width="9.77734375" bestFit="1" customWidth="1"/>
    <col min="8" max="8" width="7.77734375" customWidth="1"/>
    <col min="9" max="9" width="8.44140625" customWidth="1"/>
  </cols>
  <sheetData>
    <row r="1" spans="1:9" ht="33" customHeight="1">
      <c r="A1" s="2214" t="s">
        <v>1041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0</v>
      </c>
      <c r="B3" s="2140" t="s">
        <v>1</v>
      </c>
      <c r="C3" s="2138" t="s">
        <v>129</v>
      </c>
      <c r="D3" s="2215"/>
      <c r="E3" s="2215"/>
      <c r="F3" s="2224" t="s">
        <v>130</v>
      </c>
      <c r="G3" s="2224"/>
      <c r="H3" s="2224"/>
      <c r="I3" s="234" t="s">
        <v>131</v>
      </c>
    </row>
    <row r="4" spans="1:9">
      <c r="A4" s="2139"/>
      <c r="B4" s="2141"/>
      <c r="C4" s="233" t="s">
        <v>3</v>
      </c>
      <c r="D4" s="232" t="s">
        <v>2</v>
      </c>
      <c r="E4" s="231" t="s">
        <v>92</v>
      </c>
      <c r="F4" s="232" t="s">
        <v>3</v>
      </c>
      <c r="G4" s="232" t="s">
        <v>2</v>
      </c>
      <c r="H4" s="231" t="s">
        <v>132</v>
      </c>
      <c r="I4" s="230" t="s">
        <v>133</v>
      </c>
    </row>
    <row r="5" spans="1:9">
      <c r="A5" s="2139"/>
      <c r="B5" s="2141"/>
      <c r="C5" s="2225" t="s">
        <v>93</v>
      </c>
      <c r="D5" s="2226"/>
      <c r="E5" s="232" t="s">
        <v>134</v>
      </c>
      <c r="F5" s="2226" t="s">
        <v>93</v>
      </c>
      <c r="G5" s="2226"/>
      <c r="H5" s="2226" t="s">
        <v>134</v>
      </c>
      <c r="I5" s="2227"/>
    </row>
    <row r="6" spans="1:9">
      <c r="A6" s="226" t="s">
        <v>10</v>
      </c>
      <c r="B6" s="229" t="s">
        <v>11</v>
      </c>
      <c r="C6" s="226" t="s">
        <v>12</v>
      </c>
      <c r="D6" s="227" t="s">
        <v>13</v>
      </c>
      <c r="E6" s="227" t="s">
        <v>14</v>
      </c>
      <c r="F6" s="227" t="s">
        <v>15</v>
      </c>
      <c r="G6" s="227" t="s">
        <v>16</v>
      </c>
      <c r="H6" s="227" t="s">
        <v>17</v>
      </c>
      <c r="I6" s="228" t="s">
        <v>94</v>
      </c>
    </row>
    <row r="7" spans="1:9">
      <c r="A7" s="1392"/>
      <c r="B7" s="1389" t="s">
        <v>95</v>
      </c>
      <c r="C7" s="1397">
        <v>414808492.08999997</v>
      </c>
      <c r="D7" s="1388">
        <v>366906434.22000003</v>
      </c>
      <c r="E7" s="1394">
        <v>88.5</v>
      </c>
      <c r="F7" s="1388">
        <v>58625336.119999945</v>
      </c>
      <c r="G7" s="1388">
        <v>51401369.110000014</v>
      </c>
      <c r="H7" s="1394">
        <v>87.7</v>
      </c>
      <c r="I7" s="1398">
        <v>14</v>
      </c>
    </row>
    <row r="8" spans="1:9">
      <c r="A8" s="1384" t="s">
        <v>19</v>
      </c>
      <c r="B8" s="1390" t="s">
        <v>20</v>
      </c>
      <c r="C8" s="1395">
        <v>0</v>
      </c>
      <c r="D8" s="1382">
        <v>0</v>
      </c>
      <c r="E8" s="2065" t="s">
        <v>936</v>
      </c>
      <c r="F8" s="1383">
        <v>0</v>
      </c>
      <c r="G8" s="1383">
        <v>0</v>
      </c>
      <c r="H8" s="2048" t="s">
        <v>936</v>
      </c>
      <c r="I8" s="2064" t="s">
        <v>936</v>
      </c>
    </row>
    <row r="9" spans="1:9">
      <c r="A9" s="1384" t="s">
        <v>21</v>
      </c>
      <c r="B9" s="1390" t="s">
        <v>22</v>
      </c>
      <c r="C9" s="1395">
        <v>0</v>
      </c>
      <c r="D9" s="1382">
        <v>0</v>
      </c>
      <c r="E9" s="2065" t="s">
        <v>936</v>
      </c>
      <c r="F9" s="1383">
        <v>0</v>
      </c>
      <c r="G9" s="1383">
        <v>0</v>
      </c>
      <c r="H9" s="2048" t="s">
        <v>936</v>
      </c>
      <c r="I9" s="2064" t="s">
        <v>936</v>
      </c>
    </row>
    <row r="10" spans="1:9">
      <c r="A10" s="1384" t="s">
        <v>23</v>
      </c>
      <c r="B10" s="1390" t="s">
        <v>24</v>
      </c>
      <c r="C10" s="1395">
        <v>0</v>
      </c>
      <c r="D10" s="1382">
        <v>0</v>
      </c>
      <c r="E10" s="2065" t="s">
        <v>936</v>
      </c>
      <c r="F10" s="1383">
        <v>0</v>
      </c>
      <c r="G10" s="1383">
        <v>0</v>
      </c>
      <c r="H10" s="2048" t="s">
        <v>936</v>
      </c>
      <c r="I10" s="2064" t="s">
        <v>936</v>
      </c>
    </row>
    <row r="11" spans="1:9">
      <c r="A11" s="1384" t="s">
        <v>25</v>
      </c>
      <c r="B11" s="1390" t="s">
        <v>26</v>
      </c>
      <c r="C11" s="1395">
        <v>0</v>
      </c>
      <c r="D11" s="1382">
        <v>0</v>
      </c>
      <c r="E11" s="2065" t="s">
        <v>936</v>
      </c>
      <c r="F11" s="1383">
        <v>0</v>
      </c>
      <c r="G11" s="1383">
        <v>0</v>
      </c>
      <c r="H11" s="2048" t="s">
        <v>936</v>
      </c>
      <c r="I11" s="2064" t="s">
        <v>936</v>
      </c>
    </row>
    <row r="12" spans="1:9">
      <c r="A12" s="1384" t="s">
        <v>27</v>
      </c>
      <c r="B12" s="1390" t="s">
        <v>28</v>
      </c>
      <c r="C12" s="1395">
        <v>0</v>
      </c>
      <c r="D12" s="1382">
        <v>0</v>
      </c>
      <c r="E12" s="2065" t="s">
        <v>936</v>
      </c>
      <c r="F12" s="1383">
        <v>0</v>
      </c>
      <c r="G12" s="1383">
        <v>0</v>
      </c>
      <c r="H12" s="2048" t="s">
        <v>936</v>
      </c>
      <c r="I12" s="2064" t="s">
        <v>936</v>
      </c>
    </row>
    <row r="13" spans="1:9" ht="26.4">
      <c r="A13" s="1384" t="s">
        <v>29</v>
      </c>
      <c r="B13" s="1390" t="s">
        <v>30</v>
      </c>
      <c r="C13" s="1395">
        <v>0</v>
      </c>
      <c r="D13" s="1382">
        <v>0</v>
      </c>
      <c r="E13" s="2065" t="s">
        <v>936</v>
      </c>
      <c r="F13" s="1383">
        <v>0</v>
      </c>
      <c r="G13" s="1383">
        <v>0</v>
      </c>
      <c r="H13" s="2048" t="s">
        <v>936</v>
      </c>
      <c r="I13" s="2064" t="s">
        <v>936</v>
      </c>
    </row>
    <row r="14" spans="1:9">
      <c r="A14" s="1384" t="s">
        <v>31</v>
      </c>
      <c r="B14" s="1390" t="s">
        <v>32</v>
      </c>
      <c r="C14" s="1395">
        <v>0</v>
      </c>
      <c r="D14" s="1382">
        <v>0</v>
      </c>
      <c r="E14" s="2065" t="s">
        <v>936</v>
      </c>
      <c r="F14" s="1383">
        <v>0</v>
      </c>
      <c r="G14" s="1383">
        <v>0</v>
      </c>
      <c r="H14" s="2048" t="s">
        <v>936</v>
      </c>
      <c r="I14" s="2064" t="s">
        <v>936</v>
      </c>
    </row>
    <row r="15" spans="1:9">
      <c r="A15" s="1384" t="s">
        <v>33</v>
      </c>
      <c r="B15" s="1390" t="s">
        <v>34</v>
      </c>
      <c r="C15" s="1395">
        <v>0</v>
      </c>
      <c r="D15" s="1382">
        <v>0</v>
      </c>
      <c r="E15" s="2065" t="s">
        <v>936</v>
      </c>
      <c r="F15" s="1383">
        <v>0</v>
      </c>
      <c r="G15" s="1383">
        <v>0</v>
      </c>
      <c r="H15" s="2048" t="s">
        <v>936</v>
      </c>
      <c r="I15" s="2064" t="s">
        <v>936</v>
      </c>
    </row>
    <row r="16" spans="1:9">
      <c r="A16" s="1384" t="s">
        <v>35</v>
      </c>
      <c r="B16" s="1390" t="s">
        <v>36</v>
      </c>
      <c r="C16" s="1395">
        <v>18176110.640000001</v>
      </c>
      <c r="D16" s="1382">
        <v>16136919.93</v>
      </c>
      <c r="E16" s="1393">
        <v>88.8</v>
      </c>
      <c r="F16" s="1383">
        <v>527698</v>
      </c>
      <c r="G16" s="1383">
        <v>509626.1799999997</v>
      </c>
      <c r="H16" s="1383">
        <v>96.6</v>
      </c>
      <c r="I16" s="1399">
        <v>3.2</v>
      </c>
    </row>
    <row r="17" spans="1:9">
      <c r="A17" s="1384" t="s">
        <v>37</v>
      </c>
      <c r="B17" s="1390" t="s">
        <v>38</v>
      </c>
      <c r="C17" s="1395">
        <v>0</v>
      </c>
      <c r="D17" s="1382">
        <v>0</v>
      </c>
      <c r="E17" s="2065" t="s">
        <v>936</v>
      </c>
      <c r="F17" s="1383">
        <v>0</v>
      </c>
      <c r="G17" s="1383">
        <v>0</v>
      </c>
      <c r="H17" s="2048" t="s">
        <v>936</v>
      </c>
      <c r="I17" s="2064" t="s">
        <v>936</v>
      </c>
    </row>
    <row r="18" spans="1:9">
      <c r="A18" s="1384" t="s">
        <v>39</v>
      </c>
      <c r="B18" s="1390" t="s">
        <v>40</v>
      </c>
      <c r="C18" s="1395">
        <v>0</v>
      </c>
      <c r="D18" s="1382">
        <v>0</v>
      </c>
      <c r="E18" s="2065" t="s">
        <v>936</v>
      </c>
      <c r="F18" s="1383">
        <v>0</v>
      </c>
      <c r="G18" s="1383">
        <v>0</v>
      </c>
      <c r="H18" s="2048" t="s">
        <v>936</v>
      </c>
      <c r="I18" s="2064" t="s">
        <v>936</v>
      </c>
    </row>
    <row r="19" spans="1:9">
      <c r="A19" s="1384" t="s">
        <v>41</v>
      </c>
      <c r="B19" s="1390" t="s">
        <v>42</v>
      </c>
      <c r="C19" s="1395">
        <v>0</v>
      </c>
      <c r="D19" s="1382">
        <v>0</v>
      </c>
      <c r="E19" s="2065" t="s">
        <v>936</v>
      </c>
      <c r="F19" s="1383">
        <v>0</v>
      </c>
      <c r="G19" s="1383">
        <v>0</v>
      </c>
      <c r="H19" s="2048" t="s">
        <v>936</v>
      </c>
      <c r="I19" s="2064" t="s">
        <v>936</v>
      </c>
    </row>
    <row r="20" spans="1:9">
      <c r="A20" s="1384" t="s">
        <v>43</v>
      </c>
      <c r="B20" s="1390" t="s">
        <v>44</v>
      </c>
      <c r="C20" s="1395">
        <v>0</v>
      </c>
      <c r="D20" s="1382">
        <v>0</v>
      </c>
      <c r="E20" s="2065" t="s">
        <v>936</v>
      </c>
      <c r="F20" s="1383">
        <v>0</v>
      </c>
      <c r="G20" s="1383">
        <v>0</v>
      </c>
      <c r="H20" s="2048" t="s">
        <v>936</v>
      </c>
      <c r="I20" s="2064" t="s">
        <v>936</v>
      </c>
    </row>
    <row r="21" spans="1:9">
      <c r="A21" s="1384" t="s">
        <v>45</v>
      </c>
      <c r="B21" s="1390" t="s">
        <v>46</v>
      </c>
      <c r="C21" s="1395">
        <v>0</v>
      </c>
      <c r="D21" s="1382">
        <v>0</v>
      </c>
      <c r="E21" s="2065" t="s">
        <v>936</v>
      </c>
      <c r="F21" s="1383">
        <v>0</v>
      </c>
      <c r="G21" s="1383">
        <v>0</v>
      </c>
      <c r="H21" s="2048" t="s">
        <v>936</v>
      </c>
      <c r="I21" s="2064" t="s">
        <v>936</v>
      </c>
    </row>
    <row r="22" spans="1:9">
      <c r="A22" s="1384" t="s">
        <v>47</v>
      </c>
      <c r="B22" s="1390" t="s">
        <v>48</v>
      </c>
      <c r="C22" s="1395">
        <v>732000</v>
      </c>
      <c r="D22" s="1382">
        <v>716999.25</v>
      </c>
      <c r="E22" s="1393">
        <v>98</v>
      </c>
      <c r="F22" s="1383">
        <v>732000</v>
      </c>
      <c r="G22" s="1383">
        <v>716999.25</v>
      </c>
      <c r="H22" s="1383">
        <v>98</v>
      </c>
      <c r="I22" s="1399">
        <v>100</v>
      </c>
    </row>
    <row r="23" spans="1:9" ht="52.8">
      <c r="A23" s="1384" t="s">
        <v>49</v>
      </c>
      <c r="B23" s="1390" t="s">
        <v>50</v>
      </c>
      <c r="C23" s="1395">
        <v>0</v>
      </c>
      <c r="D23" s="1382">
        <v>0</v>
      </c>
      <c r="E23" s="2065" t="s">
        <v>936</v>
      </c>
      <c r="F23" s="1383">
        <v>0</v>
      </c>
      <c r="G23" s="1383">
        <v>0</v>
      </c>
      <c r="H23" s="2048" t="s">
        <v>936</v>
      </c>
      <c r="I23" s="2064" t="s">
        <v>936</v>
      </c>
    </row>
    <row r="24" spans="1:9">
      <c r="A24" s="1384" t="s">
        <v>51</v>
      </c>
      <c r="B24" s="1390" t="s">
        <v>52</v>
      </c>
      <c r="C24" s="1395">
        <v>153855554.44999999</v>
      </c>
      <c r="D24" s="1382">
        <v>108890147.65000001</v>
      </c>
      <c r="E24" s="1393">
        <v>70.8</v>
      </c>
      <c r="F24" s="1383">
        <v>20088811.11999999</v>
      </c>
      <c r="G24" s="1383">
        <v>13728778.460000008</v>
      </c>
      <c r="H24" s="1383">
        <v>68.3</v>
      </c>
      <c r="I24" s="1399">
        <v>12.6</v>
      </c>
    </row>
    <row r="25" spans="1:9" ht="26.4">
      <c r="A25" s="1384" t="s">
        <v>53</v>
      </c>
      <c r="B25" s="1390" t="s">
        <v>54</v>
      </c>
      <c r="C25" s="1395">
        <v>0</v>
      </c>
      <c r="D25" s="1382">
        <v>0</v>
      </c>
      <c r="E25" s="2065" t="s">
        <v>936</v>
      </c>
      <c r="F25" s="1383">
        <v>0</v>
      </c>
      <c r="G25" s="1383">
        <v>0</v>
      </c>
      <c r="H25" s="2048" t="s">
        <v>936</v>
      </c>
      <c r="I25" s="2064" t="s">
        <v>936</v>
      </c>
    </row>
    <row r="26" spans="1:9" ht="26.4">
      <c r="A26" s="1384" t="s">
        <v>55</v>
      </c>
      <c r="B26" s="1390" t="s">
        <v>56</v>
      </c>
      <c r="C26" s="1395">
        <v>0</v>
      </c>
      <c r="D26" s="1382">
        <v>0</v>
      </c>
      <c r="E26" s="2065" t="s">
        <v>936</v>
      </c>
      <c r="F26" s="1383">
        <v>0</v>
      </c>
      <c r="G26" s="1383">
        <v>0</v>
      </c>
      <c r="H26" s="2048" t="s">
        <v>936</v>
      </c>
      <c r="I26" s="2064" t="s">
        <v>936</v>
      </c>
    </row>
    <row r="27" spans="1:9">
      <c r="A27" s="1384" t="s">
        <v>57</v>
      </c>
      <c r="B27" s="1390" t="s">
        <v>58</v>
      </c>
      <c r="C27" s="1395">
        <v>0</v>
      </c>
      <c r="D27" s="1382">
        <v>0</v>
      </c>
      <c r="E27" s="2065" t="s">
        <v>936</v>
      </c>
      <c r="F27" s="1383">
        <v>0</v>
      </c>
      <c r="G27" s="1383">
        <v>0</v>
      </c>
      <c r="H27" s="2048" t="s">
        <v>936</v>
      </c>
      <c r="I27" s="2064" t="s">
        <v>936</v>
      </c>
    </row>
    <row r="28" spans="1:9" ht="66">
      <c r="A28" s="1384" t="s">
        <v>59</v>
      </c>
      <c r="B28" s="1390" t="s">
        <v>60</v>
      </c>
      <c r="C28" s="1395">
        <v>0</v>
      </c>
      <c r="D28" s="1382">
        <v>0</v>
      </c>
      <c r="E28" s="2065" t="s">
        <v>936</v>
      </c>
      <c r="F28" s="1383">
        <v>0</v>
      </c>
      <c r="G28" s="1383">
        <v>0</v>
      </c>
      <c r="H28" s="2048" t="s">
        <v>936</v>
      </c>
      <c r="I28" s="2064" t="s">
        <v>936</v>
      </c>
    </row>
    <row r="29" spans="1:9">
      <c r="A29" s="1384" t="s">
        <v>61</v>
      </c>
      <c r="B29" s="1390" t="s">
        <v>62</v>
      </c>
      <c r="C29" s="1395">
        <v>0</v>
      </c>
      <c r="D29" s="1382">
        <v>0</v>
      </c>
      <c r="E29" s="2065" t="s">
        <v>936</v>
      </c>
      <c r="F29" s="1383">
        <v>0</v>
      </c>
      <c r="G29" s="1383">
        <v>0</v>
      </c>
      <c r="H29" s="2048" t="s">
        <v>936</v>
      </c>
      <c r="I29" s="2064" t="s">
        <v>936</v>
      </c>
    </row>
    <row r="30" spans="1:9">
      <c r="A30" s="1384" t="s">
        <v>63</v>
      </c>
      <c r="B30" s="1390" t="s">
        <v>64</v>
      </c>
      <c r="C30" s="1395">
        <v>0</v>
      </c>
      <c r="D30" s="1382">
        <v>0</v>
      </c>
      <c r="E30" s="2065" t="s">
        <v>936</v>
      </c>
      <c r="F30" s="1383">
        <v>0</v>
      </c>
      <c r="G30" s="1383">
        <v>0</v>
      </c>
      <c r="H30" s="2048" t="s">
        <v>936</v>
      </c>
      <c r="I30" s="2064" t="s">
        <v>936</v>
      </c>
    </row>
    <row r="31" spans="1:9">
      <c r="A31" s="1384" t="s">
        <v>65</v>
      </c>
      <c r="B31" s="1390" t="s">
        <v>66</v>
      </c>
      <c r="C31" s="1395">
        <v>133000</v>
      </c>
      <c r="D31" s="1382">
        <v>132949.9</v>
      </c>
      <c r="E31" s="1393">
        <v>100</v>
      </c>
      <c r="F31" s="1383">
        <v>133000</v>
      </c>
      <c r="G31" s="1383">
        <v>132949.9</v>
      </c>
      <c r="H31" s="1383">
        <v>100</v>
      </c>
      <c r="I31" s="1399">
        <v>100</v>
      </c>
    </row>
    <row r="32" spans="1:9">
      <c r="A32" s="1384" t="s">
        <v>67</v>
      </c>
      <c r="B32" s="1390" t="s">
        <v>68</v>
      </c>
      <c r="C32" s="1395">
        <v>204768000</v>
      </c>
      <c r="D32" s="1382">
        <v>204716402.16999999</v>
      </c>
      <c r="E32" s="1393">
        <v>100</v>
      </c>
      <c r="F32" s="1383">
        <v>0</v>
      </c>
      <c r="G32" s="1383">
        <v>0</v>
      </c>
      <c r="H32" s="1383" t="s">
        <v>135</v>
      </c>
      <c r="I32" s="1399">
        <v>0</v>
      </c>
    </row>
    <row r="33" spans="1:9">
      <c r="A33" s="1384" t="s">
        <v>69</v>
      </c>
      <c r="B33" s="1390" t="s">
        <v>70</v>
      </c>
      <c r="C33" s="1395">
        <v>10140239</v>
      </c>
      <c r="D33" s="1382">
        <v>9791018.0700000003</v>
      </c>
      <c r="E33" s="1393">
        <v>96.6</v>
      </c>
      <c r="F33" s="1383">
        <v>10140239</v>
      </c>
      <c r="G33" s="1383">
        <v>9791018.0700000003</v>
      </c>
      <c r="H33" s="1383">
        <v>96.6</v>
      </c>
      <c r="I33" s="1399">
        <v>100</v>
      </c>
    </row>
    <row r="34" spans="1:9" ht="26.4">
      <c r="A34" s="1384" t="s">
        <v>71</v>
      </c>
      <c r="B34" s="1390" t="s">
        <v>72</v>
      </c>
      <c r="C34" s="1395">
        <v>0</v>
      </c>
      <c r="D34" s="1382">
        <v>0</v>
      </c>
      <c r="E34" s="2065" t="s">
        <v>936</v>
      </c>
      <c r="F34" s="1383">
        <v>0</v>
      </c>
      <c r="G34" s="1383">
        <v>0</v>
      </c>
      <c r="H34" s="2048" t="s">
        <v>936</v>
      </c>
      <c r="I34" s="2064" t="s">
        <v>936</v>
      </c>
    </row>
    <row r="35" spans="1:9" ht="26.4">
      <c r="A35" s="1384" t="s">
        <v>73</v>
      </c>
      <c r="B35" s="1390" t="s">
        <v>74</v>
      </c>
      <c r="C35" s="1395">
        <v>0</v>
      </c>
      <c r="D35" s="1382">
        <v>0</v>
      </c>
      <c r="E35" s="2065" t="s">
        <v>936</v>
      </c>
      <c r="F35" s="1383">
        <v>0</v>
      </c>
      <c r="G35" s="1383">
        <v>0</v>
      </c>
      <c r="H35" s="2048" t="s">
        <v>936</v>
      </c>
      <c r="I35" s="2064" t="s">
        <v>936</v>
      </c>
    </row>
    <row r="36" spans="1:9">
      <c r="A36" s="1384" t="s">
        <v>75</v>
      </c>
      <c r="B36" s="1390" t="s">
        <v>76</v>
      </c>
      <c r="C36" s="1395">
        <v>5330588</v>
      </c>
      <c r="D36" s="1382">
        <v>4895144.96</v>
      </c>
      <c r="E36" s="1393">
        <v>91.8</v>
      </c>
      <c r="F36" s="1383">
        <v>5330588</v>
      </c>
      <c r="G36" s="1383">
        <v>4895144.96</v>
      </c>
      <c r="H36" s="1383">
        <v>91.8</v>
      </c>
      <c r="I36" s="1399">
        <v>100</v>
      </c>
    </row>
    <row r="37" spans="1:9" ht="26.4">
      <c r="A37" s="1384" t="s">
        <v>77</v>
      </c>
      <c r="B37" s="1390" t="s">
        <v>78</v>
      </c>
      <c r="C37" s="1395">
        <v>0</v>
      </c>
      <c r="D37" s="1382">
        <v>0</v>
      </c>
      <c r="E37" s="2065" t="s">
        <v>936</v>
      </c>
      <c r="F37" s="1383">
        <v>0</v>
      </c>
      <c r="G37" s="1383">
        <v>0</v>
      </c>
      <c r="H37" s="2048" t="s">
        <v>936</v>
      </c>
      <c r="I37" s="2064" t="s">
        <v>936</v>
      </c>
    </row>
    <row r="38" spans="1:9" ht="26.4">
      <c r="A38" s="1384" t="s">
        <v>79</v>
      </c>
      <c r="B38" s="1390" t="s">
        <v>80</v>
      </c>
      <c r="C38" s="1395">
        <v>0</v>
      </c>
      <c r="D38" s="1382">
        <v>0</v>
      </c>
      <c r="E38" s="2065" t="s">
        <v>936</v>
      </c>
      <c r="F38" s="1383">
        <v>0</v>
      </c>
      <c r="G38" s="1383">
        <v>0</v>
      </c>
      <c r="H38" s="2048" t="s">
        <v>936</v>
      </c>
      <c r="I38" s="2064" t="s">
        <v>936</v>
      </c>
    </row>
    <row r="39" spans="1:9" ht="39.6">
      <c r="A39" s="1384" t="s">
        <v>81</v>
      </c>
      <c r="B39" s="1390" t="s">
        <v>82</v>
      </c>
      <c r="C39" s="1395">
        <v>21673000</v>
      </c>
      <c r="D39" s="1382">
        <v>21626852.289999999</v>
      </c>
      <c r="E39" s="1393">
        <v>99.8</v>
      </c>
      <c r="F39" s="1383">
        <v>21673000</v>
      </c>
      <c r="G39" s="1383">
        <v>21626852.289999999</v>
      </c>
      <c r="H39" s="1383">
        <v>99.8</v>
      </c>
      <c r="I39" s="1399">
        <v>100</v>
      </c>
    </row>
    <row r="40" spans="1:9">
      <c r="A40" s="1385" t="s">
        <v>83</v>
      </c>
      <c r="B40" s="1391" t="s">
        <v>84</v>
      </c>
      <c r="C40" s="1396">
        <v>0</v>
      </c>
      <c r="D40" s="1386">
        <v>0</v>
      </c>
      <c r="E40" s="2066" t="s">
        <v>936</v>
      </c>
      <c r="F40" s="1387">
        <v>0</v>
      </c>
      <c r="G40" s="1387">
        <v>0</v>
      </c>
      <c r="H40" s="2067" t="s">
        <v>936</v>
      </c>
      <c r="I40" s="2068" t="s">
        <v>936</v>
      </c>
    </row>
    <row r="42" spans="1:9">
      <c r="A42" s="225" t="s">
        <v>911</v>
      </c>
      <c r="B42" s="224"/>
      <c r="C42" s="224"/>
      <c r="D42" s="224"/>
      <c r="E42" s="224"/>
      <c r="F42" s="224"/>
      <c r="G42" s="224"/>
      <c r="H42" s="224"/>
      <c r="I42" s="224"/>
    </row>
  </sheetData>
  <mergeCells count="8">
    <mergeCell ref="A1:I1"/>
    <mergeCell ref="A3:A5"/>
    <mergeCell ref="B3:B5"/>
    <mergeCell ref="C3:E3"/>
    <mergeCell ref="F3:H3"/>
    <mergeCell ref="C5:D5"/>
    <mergeCell ref="F5:G5"/>
    <mergeCell ref="H5:I5"/>
  </mergeCells>
  <pageMargins left="0.70866141732283472" right="0.31496062992125984" top="0.74803149606299213" bottom="0.35433070866141736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8174-0FED-4AFF-8BA2-6369E09DABD4}">
  <dimension ref="A1:I26"/>
  <sheetViews>
    <sheetView view="pageBreakPreview" zoomScaleNormal="100" zoomScaleSheetLayoutView="100" workbookViewId="0">
      <selection activeCell="F8" sqref="F8"/>
    </sheetView>
  </sheetViews>
  <sheetFormatPr defaultColWidth="9.21875" defaultRowHeight="13.8"/>
  <cols>
    <col min="1" max="1" width="5.21875" style="441" customWidth="1"/>
    <col min="2" max="2" width="16.77734375" style="441" customWidth="1"/>
    <col min="3" max="4" width="10.77734375" style="441" bestFit="1" customWidth="1"/>
    <col min="5" max="5" width="10.21875" style="441" bestFit="1" customWidth="1"/>
    <col min="6" max="6" width="10.77734375" style="441" bestFit="1" customWidth="1"/>
    <col min="7" max="7" width="7.44140625" style="441" bestFit="1" customWidth="1"/>
    <col min="8" max="8" width="7.5546875" style="441" bestFit="1" customWidth="1"/>
    <col min="9" max="9" width="11.21875" style="441" customWidth="1"/>
    <col min="10" max="16384" width="9.21875" style="441"/>
  </cols>
  <sheetData>
    <row r="1" spans="1:9" ht="43.95" customHeight="1">
      <c r="A1" s="2214" t="s">
        <v>1048</v>
      </c>
      <c r="B1" s="2214"/>
      <c r="C1" s="2214"/>
      <c r="D1" s="2214"/>
      <c r="E1" s="2214"/>
      <c r="F1" s="2214"/>
      <c r="G1" s="2214"/>
      <c r="H1" s="2214"/>
      <c r="I1" s="2214"/>
    </row>
    <row r="3" spans="1:9">
      <c r="A3" s="2138" t="s">
        <v>87</v>
      </c>
      <c r="B3" s="2140" t="s">
        <v>1</v>
      </c>
      <c r="C3" s="198" t="s">
        <v>2</v>
      </c>
      <c r="D3" s="372" t="s">
        <v>2</v>
      </c>
      <c r="E3" s="2209" t="s">
        <v>88</v>
      </c>
      <c r="F3" s="2210"/>
      <c r="G3" s="2212" t="s">
        <v>5</v>
      </c>
      <c r="H3" s="199" t="s">
        <v>6</v>
      </c>
      <c r="I3" s="2204" t="s">
        <v>89</v>
      </c>
    </row>
    <row r="4" spans="1:9" ht="26.4">
      <c r="A4" s="2139"/>
      <c r="B4" s="2141"/>
      <c r="C4" s="200">
        <v>2024</v>
      </c>
      <c r="D4" s="373">
        <v>2025</v>
      </c>
      <c r="E4" s="201" t="s">
        <v>90</v>
      </c>
      <c r="F4" s="201" t="s">
        <v>91</v>
      </c>
      <c r="G4" s="2213"/>
      <c r="H4" s="201" t="s">
        <v>92</v>
      </c>
      <c r="I4" s="2205"/>
    </row>
    <row r="5" spans="1:9" ht="14.4">
      <c r="A5" s="2139"/>
      <c r="B5" s="2141"/>
      <c r="C5" s="2206" t="s">
        <v>93</v>
      </c>
      <c r="D5" s="2207"/>
      <c r="E5" s="2207"/>
      <c r="F5" s="2208"/>
      <c r="G5" s="2211" t="s">
        <v>9</v>
      </c>
      <c r="H5" s="2211"/>
      <c r="I5" s="202" t="s">
        <v>93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901"/>
      <c r="B7" s="900" t="s">
        <v>95</v>
      </c>
      <c r="C7" s="897">
        <v>341749425.88</v>
      </c>
      <c r="D7" s="895">
        <v>360802331.20999998</v>
      </c>
      <c r="E7" s="895">
        <v>64924623.509999998</v>
      </c>
      <c r="F7" s="895">
        <v>295877707.69999999</v>
      </c>
      <c r="G7" s="896">
        <v>100</v>
      </c>
      <c r="H7" s="896">
        <v>105.6</v>
      </c>
      <c r="I7" s="904">
        <v>9.6</v>
      </c>
    </row>
    <row r="8" spans="1:9">
      <c r="A8" s="891" t="s">
        <v>96</v>
      </c>
      <c r="B8" s="902" t="s">
        <v>97</v>
      </c>
      <c r="C8" s="898">
        <v>30349707.23</v>
      </c>
      <c r="D8" s="889">
        <v>46859327.799999997</v>
      </c>
      <c r="E8" s="889">
        <v>15378190.83</v>
      </c>
      <c r="F8" s="889">
        <v>31481136.969999999</v>
      </c>
      <c r="G8" s="890">
        <v>13</v>
      </c>
      <c r="H8" s="890">
        <v>154.4</v>
      </c>
      <c r="I8" s="905">
        <v>16.3</v>
      </c>
    </row>
    <row r="9" spans="1:9">
      <c r="A9" s="891" t="s">
        <v>98</v>
      </c>
      <c r="B9" s="902" t="s">
        <v>99</v>
      </c>
      <c r="C9" s="898">
        <v>26324128.640000001</v>
      </c>
      <c r="D9" s="889">
        <v>18207821.649999999</v>
      </c>
      <c r="E9" s="889">
        <v>1073475.6000000001</v>
      </c>
      <c r="F9" s="889">
        <v>17134346.049999997</v>
      </c>
      <c r="G9" s="890">
        <v>5</v>
      </c>
      <c r="H9" s="890">
        <v>69.2</v>
      </c>
      <c r="I9" s="905">
        <v>9.1999999999999993</v>
      </c>
    </row>
    <row r="10" spans="1:9">
      <c r="A10" s="891" t="s">
        <v>100</v>
      </c>
      <c r="B10" s="902" t="s">
        <v>101</v>
      </c>
      <c r="C10" s="898">
        <v>18788446.949999999</v>
      </c>
      <c r="D10" s="889">
        <v>17563726.760000002</v>
      </c>
      <c r="E10" s="889">
        <v>1686890.59</v>
      </c>
      <c r="F10" s="889">
        <v>15876836.170000002</v>
      </c>
      <c r="G10" s="890">
        <v>4.9000000000000004</v>
      </c>
      <c r="H10" s="890">
        <v>93.5</v>
      </c>
      <c r="I10" s="905">
        <v>8.8000000000000007</v>
      </c>
    </row>
    <row r="11" spans="1:9">
      <c r="A11" s="891" t="s">
        <v>102</v>
      </c>
      <c r="B11" s="902" t="s">
        <v>103</v>
      </c>
      <c r="C11" s="898">
        <v>10251518.189999999</v>
      </c>
      <c r="D11" s="889">
        <v>10319880.789999999</v>
      </c>
      <c r="E11" s="889">
        <v>751532.22</v>
      </c>
      <c r="F11" s="889">
        <v>9568348.5699999984</v>
      </c>
      <c r="G11" s="890">
        <v>2.9</v>
      </c>
      <c r="H11" s="890">
        <v>100.7</v>
      </c>
      <c r="I11" s="905">
        <v>10.6</v>
      </c>
    </row>
    <row r="12" spans="1:9">
      <c r="A12" s="891" t="s">
        <v>104</v>
      </c>
      <c r="B12" s="902" t="s">
        <v>105</v>
      </c>
      <c r="C12" s="898">
        <v>16397676.279999999</v>
      </c>
      <c r="D12" s="889">
        <v>15173272.699999999</v>
      </c>
      <c r="E12" s="889">
        <v>574145</v>
      </c>
      <c r="F12" s="889">
        <v>14599127.699999999</v>
      </c>
      <c r="G12" s="890">
        <v>4.2</v>
      </c>
      <c r="H12" s="890">
        <v>92.5</v>
      </c>
      <c r="I12" s="905">
        <v>6.5</v>
      </c>
    </row>
    <row r="13" spans="1:9">
      <c r="A13" s="891" t="s">
        <v>106</v>
      </c>
      <c r="B13" s="902" t="s">
        <v>107</v>
      </c>
      <c r="C13" s="898">
        <v>30138205.68</v>
      </c>
      <c r="D13" s="889">
        <v>24313488.09</v>
      </c>
      <c r="E13" s="889">
        <v>2092572.86</v>
      </c>
      <c r="F13" s="889">
        <v>22220915.23</v>
      </c>
      <c r="G13" s="890">
        <v>6.7</v>
      </c>
      <c r="H13" s="890">
        <v>80.7</v>
      </c>
      <c r="I13" s="905">
        <v>7.1</v>
      </c>
    </row>
    <row r="14" spans="1:9">
      <c r="A14" s="891" t="s">
        <v>108</v>
      </c>
      <c r="B14" s="902" t="s">
        <v>109</v>
      </c>
      <c r="C14" s="898">
        <v>53971505.539999999</v>
      </c>
      <c r="D14" s="889">
        <v>55383893.009999998</v>
      </c>
      <c r="E14" s="889">
        <v>8453609.6300000008</v>
      </c>
      <c r="F14" s="889">
        <v>46930283.379999995</v>
      </c>
      <c r="G14" s="890">
        <v>15.4</v>
      </c>
      <c r="H14" s="890">
        <v>102.6</v>
      </c>
      <c r="I14" s="905">
        <v>10.1</v>
      </c>
    </row>
    <row r="15" spans="1:9">
      <c r="A15" s="891" t="s">
        <v>110</v>
      </c>
      <c r="B15" s="902" t="s">
        <v>111</v>
      </c>
      <c r="C15" s="898">
        <v>14059912.59</v>
      </c>
      <c r="D15" s="889">
        <v>25101389.350000001</v>
      </c>
      <c r="E15" s="889">
        <v>18732338.59</v>
      </c>
      <c r="F15" s="889">
        <v>6369050.7600000016</v>
      </c>
      <c r="G15" s="890">
        <v>7</v>
      </c>
      <c r="H15" s="890">
        <v>178.5</v>
      </c>
      <c r="I15" s="905">
        <v>27</v>
      </c>
    </row>
    <row r="16" spans="1:9">
      <c r="A16" s="891" t="s">
        <v>112</v>
      </c>
      <c r="B16" s="902" t="s">
        <v>113</v>
      </c>
      <c r="C16" s="898">
        <v>15398403.359999999</v>
      </c>
      <c r="D16" s="889">
        <v>21385382.039999999</v>
      </c>
      <c r="E16" s="889">
        <v>5591502.6100000003</v>
      </c>
      <c r="F16" s="889">
        <v>15793879.43</v>
      </c>
      <c r="G16" s="890">
        <v>5.9</v>
      </c>
      <c r="H16" s="890">
        <v>138.9</v>
      </c>
      <c r="I16" s="905">
        <v>10.4</v>
      </c>
    </row>
    <row r="17" spans="1:9">
      <c r="A17" s="891" t="s">
        <v>114</v>
      </c>
      <c r="B17" s="902" t="s">
        <v>115</v>
      </c>
      <c r="C17" s="898">
        <v>11976740.01</v>
      </c>
      <c r="D17" s="889">
        <v>12799069.34</v>
      </c>
      <c r="E17" s="889">
        <v>1365979.32</v>
      </c>
      <c r="F17" s="889">
        <v>11433090.02</v>
      </c>
      <c r="G17" s="890">
        <v>3.5</v>
      </c>
      <c r="H17" s="890">
        <v>106.9</v>
      </c>
      <c r="I17" s="905">
        <v>11.3</v>
      </c>
    </row>
    <row r="18" spans="1:9">
      <c r="A18" s="891" t="s">
        <v>116</v>
      </c>
      <c r="B18" s="902" t="s">
        <v>117</v>
      </c>
      <c r="C18" s="898">
        <v>19566227.57</v>
      </c>
      <c r="D18" s="889">
        <v>20054084.399999999</v>
      </c>
      <c r="E18" s="889">
        <v>1152276.28</v>
      </c>
      <c r="F18" s="889">
        <v>18901808.119999997</v>
      </c>
      <c r="G18" s="890">
        <v>5.6</v>
      </c>
      <c r="H18" s="890">
        <v>102.5</v>
      </c>
      <c r="I18" s="905">
        <v>8.5</v>
      </c>
    </row>
    <row r="19" spans="1:9">
      <c r="A19" s="891" t="s">
        <v>118</v>
      </c>
      <c r="B19" s="902" t="s">
        <v>119</v>
      </c>
      <c r="C19" s="898">
        <v>32301339.989999998</v>
      </c>
      <c r="D19" s="889">
        <v>28168921.359999999</v>
      </c>
      <c r="E19" s="889">
        <v>1121313.96</v>
      </c>
      <c r="F19" s="889">
        <v>27047607.399999999</v>
      </c>
      <c r="G19" s="890">
        <v>7.8</v>
      </c>
      <c r="H19" s="890">
        <v>87.2</v>
      </c>
      <c r="I19" s="905">
        <v>6.6</v>
      </c>
    </row>
    <row r="20" spans="1:9">
      <c r="A20" s="891" t="s">
        <v>120</v>
      </c>
      <c r="B20" s="902" t="s">
        <v>121</v>
      </c>
      <c r="C20" s="898">
        <v>8125140</v>
      </c>
      <c r="D20" s="889">
        <v>9328815.3000000007</v>
      </c>
      <c r="E20" s="889">
        <v>2366205.4900000002</v>
      </c>
      <c r="F20" s="889">
        <v>6962609.8100000005</v>
      </c>
      <c r="G20" s="890">
        <v>2.6</v>
      </c>
      <c r="H20" s="890">
        <v>114.8</v>
      </c>
      <c r="I20" s="905">
        <v>8.1</v>
      </c>
    </row>
    <row r="21" spans="1:9">
      <c r="A21" s="891" t="s">
        <v>122</v>
      </c>
      <c r="B21" s="902" t="s">
        <v>123</v>
      </c>
      <c r="C21" s="898">
        <v>14524169.98</v>
      </c>
      <c r="D21" s="889">
        <v>15654173.560000001</v>
      </c>
      <c r="E21" s="889">
        <v>1920229</v>
      </c>
      <c r="F21" s="889">
        <v>13733944.560000001</v>
      </c>
      <c r="G21" s="890">
        <v>4.3</v>
      </c>
      <c r="H21" s="890">
        <v>107.8</v>
      </c>
      <c r="I21" s="905">
        <v>11.6</v>
      </c>
    </row>
    <row r="22" spans="1:9">
      <c r="A22" s="891" t="s">
        <v>124</v>
      </c>
      <c r="B22" s="902" t="s">
        <v>125</v>
      </c>
      <c r="C22" s="898">
        <v>24812539.940000001</v>
      </c>
      <c r="D22" s="889">
        <v>23842664.620000001</v>
      </c>
      <c r="E22" s="889">
        <v>520117.78</v>
      </c>
      <c r="F22" s="889">
        <v>23322546.84</v>
      </c>
      <c r="G22" s="890">
        <v>6.6</v>
      </c>
      <c r="H22" s="890">
        <v>96.1</v>
      </c>
      <c r="I22" s="905">
        <v>6.9</v>
      </c>
    </row>
    <row r="23" spans="1:9">
      <c r="A23" s="892" t="s">
        <v>126</v>
      </c>
      <c r="B23" s="903" t="s">
        <v>127</v>
      </c>
      <c r="C23" s="899">
        <v>14763763.93</v>
      </c>
      <c r="D23" s="893">
        <v>16646420.439999999</v>
      </c>
      <c r="E23" s="893">
        <v>2144243.75</v>
      </c>
      <c r="F23" s="893">
        <v>14502176.689999999</v>
      </c>
      <c r="G23" s="894">
        <v>4.5999999999999996</v>
      </c>
      <c r="H23" s="894">
        <v>112.8</v>
      </c>
      <c r="I23" s="906">
        <v>10.3</v>
      </c>
    </row>
    <row r="25" spans="1:9" ht="14.4">
      <c r="A25" s="295" t="s">
        <v>128</v>
      </c>
      <c r="B25" s="365" t="s">
        <v>912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365" t="s">
        <v>910</v>
      </c>
      <c r="C26" s="295"/>
      <c r="D26" s="295"/>
      <c r="E26" s="295"/>
      <c r="F26" s="295"/>
      <c r="G26" s="295"/>
      <c r="H26" s="295"/>
      <c r="I26" s="295"/>
    </row>
  </sheetData>
  <mergeCells count="8">
    <mergeCell ref="I3:I4"/>
    <mergeCell ref="C5:F5"/>
    <mergeCell ref="G5:H5"/>
    <mergeCell ref="A1:I1"/>
    <mergeCell ref="A3:A5"/>
    <mergeCell ref="B3:B5"/>
    <mergeCell ref="E3:F3"/>
    <mergeCell ref="G3:G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1EF0-3A0B-497E-810B-35A38AFDEE5F}">
  <dimension ref="A1:J44"/>
  <sheetViews>
    <sheetView view="pageBreakPreview" topLeftCell="A16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21.21875" customWidth="1"/>
    <col min="3" max="10" width="14.77734375" customWidth="1"/>
  </cols>
  <sheetData>
    <row r="1" spans="1:10">
      <c r="A1" s="445" t="s">
        <v>1042</v>
      </c>
      <c r="B1" s="320"/>
      <c r="C1" s="320"/>
      <c r="D1" s="320"/>
      <c r="E1" s="320"/>
      <c r="F1" s="320"/>
      <c r="G1" s="320"/>
      <c r="H1" s="320"/>
      <c r="I1" s="320"/>
      <c r="J1" s="320"/>
    </row>
    <row r="3" spans="1:10">
      <c r="A3" s="2138" t="s">
        <v>0</v>
      </c>
      <c r="B3" s="2140" t="s">
        <v>1</v>
      </c>
      <c r="C3" s="2392" t="s">
        <v>152</v>
      </c>
      <c r="D3" s="2215" t="s">
        <v>88</v>
      </c>
      <c r="E3" s="2215"/>
      <c r="F3" s="2215"/>
      <c r="G3" s="2215"/>
      <c r="H3" s="2215"/>
      <c r="I3" s="2215"/>
      <c r="J3" s="2393"/>
    </row>
    <row r="4" spans="1:10">
      <c r="A4" s="2139"/>
      <c r="B4" s="2141"/>
      <c r="C4" s="2221"/>
      <c r="D4" s="2394" t="s">
        <v>136</v>
      </c>
      <c r="E4" s="2222" t="s">
        <v>569</v>
      </c>
      <c r="F4" s="2220"/>
      <c r="G4" s="2220"/>
      <c r="H4" s="2221"/>
      <c r="I4" s="2395" t="s">
        <v>137</v>
      </c>
      <c r="J4" s="714" t="s">
        <v>569</v>
      </c>
    </row>
    <row r="5" spans="1:10">
      <c r="A5" s="2139"/>
      <c r="B5" s="2141"/>
      <c r="C5" s="2221"/>
      <c r="D5" s="2394"/>
      <c r="E5" s="2390" t="s">
        <v>570</v>
      </c>
      <c r="F5" s="2394" t="s">
        <v>571</v>
      </c>
      <c r="G5" s="2394" t="s">
        <v>572</v>
      </c>
      <c r="H5" s="2390" t="s">
        <v>573</v>
      </c>
      <c r="I5" s="2395"/>
      <c r="J5" s="2141" t="s">
        <v>574</v>
      </c>
    </row>
    <row r="6" spans="1:10" ht="29.55" customHeight="1">
      <c r="A6" s="2139"/>
      <c r="B6" s="2141"/>
      <c r="C6" s="2221"/>
      <c r="D6" s="2394"/>
      <c r="E6" s="2391"/>
      <c r="F6" s="2394"/>
      <c r="G6" s="2394"/>
      <c r="H6" s="2391"/>
      <c r="I6" s="2395"/>
      <c r="J6" s="2141"/>
    </row>
    <row r="7" spans="1:10">
      <c r="A7" s="2139"/>
      <c r="B7" s="2141"/>
      <c r="C7" s="2220" t="s">
        <v>93</v>
      </c>
      <c r="D7" s="2220"/>
      <c r="E7" s="2220"/>
      <c r="F7" s="2220"/>
      <c r="G7" s="2220"/>
      <c r="H7" s="2220"/>
      <c r="I7" s="2220"/>
      <c r="J7" s="2223"/>
    </row>
    <row r="8" spans="1:10">
      <c r="A8" s="746" t="s">
        <v>10</v>
      </c>
      <c r="B8" s="369" t="s">
        <v>11</v>
      </c>
      <c r="C8" s="746" t="s">
        <v>12</v>
      </c>
      <c r="D8" s="368" t="s">
        <v>13</v>
      </c>
      <c r="E8" s="747" t="s">
        <v>14</v>
      </c>
      <c r="F8" s="368" t="s">
        <v>15</v>
      </c>
      <c r="G8" s="747" t="s">
        <v>16</v>
      </c>
      <c r="H8" s="368" t="s">
        <v>17</v>
      </c>
      <c r="I8" s="368" t="s">
        <v>94</v>
      </c>
      <c r="J8" s="748" t="s">
        <v>150</v>
      </c>
    </row>
    <row r="9" spans="1:10">
      <c r="A9" s="1552"/>
      <c r="B9" s="1553" t="s">
        <v>562</v>
      </c>
      <c r="C9" s="1556">
        <v>37978065676.239998</v>
      </c>
      <c r="D9" s="1557">
        <v>23635274341.27</v>
      </c>
      <c r="E9" s="1557">
        <v>4679259566.79</v>
      </c>
      <c r="F9" s="1557">
        <v>9476367357.0699997</v>
      </c>
      <c r="G9" s="1557">
        <v>99761144.159999996</v>
      </c>
      <c r="H9" s="1557">
        <v>3357042898.54</v>
      </c>
      <c r="I9" s="1557">
        <v>14342791334.969999</v>
      </c>
      <c r="J9" s="1562">
        <v>4223296631.25</v>
      </c>
    </row>
    <row r="10" spans="1:10">
      <c r="A10" s="1550" t="s">
        <v>19</v>
      </c>
      <c r="B10" s="1554" t="s">
        <v>20</v>
      </c>
      <c r="C10" s="1558">
        <v>820847230.64999998</v>
      </c>
      <c r="D10" s="1559">
        <v>429000700.18000001</v>
      </c>
      <c r="E10" s="1559">
        <v>112712071.40000001</v>
      </c>
      <c r="F10" s="1559">
        <v>86517736.930000007</v>
      </c>
      <c r="G10" s="1559">
        <v>751412.98</v>
      </c>
      <c r="H10" s="1559">
        <v>125207029.91</v>
      </c>
      <c r="I10" s="1559">
        <v>391846530.47000003</v>
      </c>
      <c r="J10" s="1563">
        <v>0</v>
      </c>
    </row>
    <row r="11" spans="1:10">
      <c r="A11" s="1550" t="s">
        <v>21</v>
      </c>
      <c r="B11" s="1554" t="s">
        <v>22</v>
      </c>
      <c r="C11" s="1558">
        <v>0</v>
      </c>
      <c r="D11" s="1559">
        <v>0</v>
      </c>
      <c r="E11" s="1559">
        <v>0</v>
      </c>
      <c r="F11" s="1559">
        <v>0</v>
      </c>
      <c r="G11" s="1559">
        <v>0</v>
      </c>
      <c r="H11" s="1559">
        <v>0</v>
      </c>
      <c r="I11" s="1559">
        <v>0</v>
      </c>
      <c r="J11" s="1563">
        <v>0</v>
      </c>
    </row>
    <row r="12" spans="1:10">
      <c r="A12" s="1550" t="s">
        <v>23</v>
      </c>
      <c r="B12" s="1554" t="s">
        <v>24</v>
      </c>
      <c r="C12" s="1558">
        <v>20560101.149999999</v>
      </c>
      <c r="D12" s="1559">
        <v>4865816.1500000004</v>
      </c>
      <c r="E12" s="1559">
        <v>695040.11</v>
      </c>
      <c r="F12" s="1559">
        <v>1274275</v>
      </c>
      <c r="G12" s="1559">
        <v>0</v>
      </c>
      <c r="H12" s="1559">
        <v>2850986.92</v>
      </c>
      <c r="I12" s="1559">
        <v>15694285</v>
      </c>
      <c r="J12" s="1563">
        <v>0</v>
      </c>
    </row>
    <row r="13" spans="1:10">
      <c r="A13" s="1550" t="s">
        <v>25</v>
      </c>
      <c r="B13" s="1554" t="s">
        <v>26</v>
      </c>
      <c r="C13" s="1558">
        <v>5478218.7599999998</v>
      </c>
      <c r="D13" s="1559">
        <v>5478218.7599999998</v>
      </c>
      <c r="E13" s="1559">
        <v>5280299.41</v>
      </c>
      <c r="F13" s="1559">
        <v>0</v>
      </c>
      <c r="G13" s="1559">
        <v>0</v>
      </c>
      <c r="H13" s="1559">
        <v>102096.91</v>
      </c>
      <c r="I13" s="1559">
        <v>0</v>
      </c>
      <c r="J13" s="1563">
        <v>0</v>
      </c>
    </row>
    <row r="14" spans="1:10">
      <c r="A14" s="1550" t="s">
        <v>27</v>
      </c>
      <c r="B14" s="1554" t="s">
        <v>28</v>
      </c>
      <c r="C14" s="1558">
        <v>258704296.49000001</v>
      </c>
      <c r="D14" s="1559">
        <v>212341721.80000001</v>
      </c>
      <c r="E14" s="1559">
        <v>9776457.8000000007</v>
      </c>
      <c r="F14" s="1559">
        <v>4337943.8099999996</v>
      </c>
      <c r="G14" s="1559">
        <v>88057.48</v>
      </c>
      <c r="H14" s="1559">
        <v>187893006.27000001</v>
      </c>
      <c r="I14" s="1559">
        <v>46362574.689999998</v>
      </c>
      <c r="J14" s="1563">
        <v>7841034.6900000004</v>
      </c>
    </row>
    <row r="15" spans="1:10" ht="26.4">
      <c r="A15" s="1550" t="s">
        <v>29</v>
      </c>
      <c r="B15" s="1554" t="s">
        <v>30</v>
      </c>
      <c r="C15" s="1558">
        <v>637833.36</v>
      </c>
      <c r="D15" s="1559">
        <v>517833.36</v>
      </c>
      <c r="E15" s="1559">
        <v>3500</v>
      </c>
      <c r="F15" s="1559">
        <v>0</v>
      </c>
      <c r="G15" s="1559">
        <v>0</v>
      </c>
      <c r="H15" s="1559">
        <v>405246.48</v>
      </c>
      <c r="I15" s="1559">
        <v>120000</v>
      </c>
      <c r="J15" s="1563">
        <v>0</v>
      </c>
    </row>
    <row r="16" spans="1:10">
      <c r="A16" s="1550" t="s">
        <v>31</v>
      </c>
      <c r="B16" s="1554" t="s">
        <v>32</v>
      </c>
      <c r="C16" s="1558">
        <v>1985.38</v>
      </c>
      <c r="D16" s="1559">
        <v>68</v>
      </c>
      <c r="E16" s="1559">
        <v>0</v>
      </c>
      <c r="F16" s="1559">
        <v>0</v>
      </c>
      <c r="G16" s="1559">
        <v>0</v>
      </c>
      <c r="H16" s="1559">
        <v>0</v>
      </c>
      <c r="I16" s="1559">
        <v>1917.38</v>
      </c>
      <c r="J16" s="1563">
        <v>1917.38</v>
      </c>
    </row>
    <row r="17" spans="1:10">
      <c r="A17" s="1550" t="s">
        <v>33</v>
      </c>
      <c r="B17" s="1554" t="s">
        <v>34</v>
      </c>
      <c r="C17" s="1558">
        <v>0</v>
      </c>
      <c r="D17" s="1559">
        <v>0</v>
      </c>
      <c r="E17" s="1559">
        <v>0</v>
      </c>
      <c r="F17" s="1559">
        <v>0</v>
      </c>
      <c r="G17" s="1559">
        <v>0</v>
      </c>
      <c r="H17" s="1559">
        <v>0</v>
      </c>
      <c r="I17" s="1559">
        <v>0</v>
      </c>
      <c r="J17" s="1563">
        <v>0</v>
      </c>
    </row>
    <row r="18" spans="1:10">
      <c r="A18" s="1550" t="s">
        <v>35</v>
      </c>
      <c r="B18" s="1554" t="s">
        <v>36</v>
      </c>
      <c r="C18" s="1558">
        <v>17080811393.01</v>
      </c>
      <c r="D18" s="1559">
        <v>8184819702.3299999</v>
      </c>
      <c r="E18" s="1559">
        <v>90733587.689999998</v>
      </c>
      <c r="F18" s="1559">
        <v>5705975579.5</v>
      </c>
      <c r="G18" s="1559">
        <v>1075849.28</v>
      </c>
      <c r="H18" s="1559">
        <v>23885654.32</v>
      </c>
      <c r="I18" s="1559">
        <v>8895991690.6800003</v>
      </c>
      <c r="J18" s="1563">
        <v>3625942524.8200002</v>
      </c>
    </row>
    <row r="19" spans="1:10">
      <c r="A19" s="1550" t="s">
        <v>37</v>
      </c>
      <c r="B19" s="1554" t="s">
        <v>38</v>
      </c>
      <c r="C19" s="1558">
        <v>161197039.96000001</v>
      </c>
      <c r="D19" s="1559">
        <v>111106332.14</v>
      </c>
      <c r="E19" s="1559">
        <v>7711730.0099999998</v>
      </c>
      <c r="F19" s="1559">
        <v>37458357.82</v>
      </c>
      <c r="G19" s="1559">
        <v>24300</v>
      </c>
      <c r="H19" s="1559">
        <v>4828720.51</v>
      </c>
      <c r="I19" s="1559">
        <v>50090707.82</v>
      </c>
      <c r="J19" s="1563">
        <v>28165549.07</v>
      </c>
    </row>
    <row r="20" spans="1:10">
      <c r="A20" s="1550" t="s">
        <v>39</v>
      </c>
      <c r="B20" s="1554" t="s">
        <v>40</v>
      </c>
      <c r="C20" s="1558">
        <v>431321663.91000003</v>
      </c>
      <c r="D20" s="1559">
        <v>105486124.06999999</v>
      </c>
      <c r="E20" s="1559">
        <v>8336940.9100000001</v>
      </c>
      <c r="F20" s="1559">
        <v>893174</v>
      </c>
      <c r="G20" s="1559">
        <v>111451.28</v>
      </c>
      <c r="H20" s="1559">
        <v>2488606.15</v>
      </c>
      <c r="I20" s="1559">
        <v>325835539.83999997</v>
      </c>
      <c r="J20" s="1563">
        <v>8503798.9000000004</v>
      </c>
    </row>
    <row r="21" spans="1:10">
      <c r="A21" s="1550" t="s">
        <v>41</v>
      </c>
      <c r="B21" s="1554" t="s">
        <v>42</v>
      </c>
      <c r="C21" s="1558">
        <v>506041475.81999999</v>
      </c>
      <c r="D21" s="1559">
        <v>114707042.73999999</v>
      </c>
      <c r="E21" s="1559">
        <v>74579536.459999993</v>
      </c>
      <c r="F21" s="1559">
        <v>282307.64</v>
      </c>
      <c r="G21" s="1559">
        <v>120749.56</v>
      </c>
      <c r="H21" s="1559">
        <v>11884710.029999999</v>
      </c>
      <c r="I21" s="1559">
        <v>391334433.07999998</v>
      </c>
      <c r="J21" s="1563">
        <v>14920720.49</v>
      </c>
    </row>
    <row r="22" spans="1:10">
      <c r="A22" s="1550" t="s">
        <v>43</v>
      </c>
      <c r="B22" s="1554" t="s">
        <v>44</v>
      </c>
      <c r="C22" s="1558">
        <v>52114453.710000001</v>
      </c>
      <c r="D22" s="1559">
        <v>28406891.449999999</v>
      </c>
      <c r="E22" s="1559">
        <v>0</v>
      </c>
      <c r="F22" s="1559">
        <v>0</v>
      </c>
      <c r="G22" s="1559">
        <v>0</v>
      </c>
      <c r="H22" s="1559">
        <v>252427.89</v>
      </c>
      <c r="I22" s="1559">
        <v>23707562.260000002</v>
      </c>
      <c r="J22" s="1563">
        <v>10510611.369999999</v>
      </c>
    </row>
    <row r="23" spans="1:10">
      <c r="A23" s="1550" t="s">
        <v>45</v>
      </c>
      <c r="B23" s="1554" t="s">
        <v>46</v>
      </c>
      <c r="C23" s="1558">
        <v>25331484.260000002</v>
      </c>
      <c r="D23" s="1559">
        <v>21421245.309999999</v>
      </c>
      <c r="E23" s="1559">
        <v>1679749.72</v>
      </c>
      <c r="F23" s="1559">
        <v>5144320.75</v>
      </c>
      <c r="G23" s="1559">
        <v>11101176.57</v>
      </c>
      <c r="H23" s="1559">
        <v>2057670.64</v>
      </c>
      <c r="I23" s="1559">
        <v>3910238.95</v>
      </c>
      <c r="J23" s="1563">
        <v>0</v>
      </c>
    </row>
    <row r="24" spans="1:10">
      <c r="A24" s="1550" t="s">
        <v>47</v>
      </c>
      <c r="B24" s="1554" t="s">
        <v>48</v>
      </c>
      <c r="C24" s="1558">
        <v>4795436509.1700001</v>
      </c>
      <c r="D24" s="1559">
        <v>4546291787.04</v>
      </c>
      <c r="E24" s="1559">
        <v>2245936370.1700001</v>
      </c>
      <c r="F24" s="1559">
        <v>38469710.340000004</v>
      </c>
      <c r="G24" s="1559">
        <v>35741945.530000001</v>
      </c>
      <c r="H24" s="1559">
        <v>1254304016.0699999</v>
      </c>
      <c r="I24" s="1559">
        <v>249144722.13</v>
      </c>
      <c r="J24" s="1563">
        <v>58066046.409999996</v>
      </c>
    </row>
    <row r="25" spans="1:10" ht="52.8">
      <c r="A25" s="1550" t="s">
        <v>49</v>
      </c>
      <c r="B25" s="1554" t="s">
        <v>50</v>
      </c>
      <c r="C25" s="1558">
        <v>0</v>
      </c>
      <c r="D25" s="1559">
        <v>0</v>
      </c>
      <c r="E25" s="1559">
        <v>0</v>
      </c>
      <c r="F25" s="1559">
        <v>0</v>
      </c>
      <c r="G25" s="1559">
        <v>0</v>
      </c>
      <c r="H25" s="1559">
        <v>0</v>
      </c>
      <c r="I25" s="1559">
        <v>0</v>
      </c>
      <c r="J25" s="1563">
        <v>0</v>
      </c>
    </row>
    <row r="26" spans="1:10">
      <c r="A26" s="1550" t="s">
        <v>51</v>
      </c>
      <c r="B26" s="1554" t="s">
        <v>52</v>
      </c>
      <c r="C26" s="1558">
        <v>149677240.78999999</v>
      </c>
      <c r="D26" s="1559">
        <v>15374639.01</v>
      </c>
      <c r="E26" s="1559">
        <v>9000</v>
      </c>
      <c r="F26" s="1559">
        <v>11280299.77</v>
      </c>
      <c r="G26" s="1559">
        <v>1460.5</v>
      </c>
      <c r="H26" s="1559">
        <v>0</v>
      </c>
      <c r="I26" s="1559">
        <v>134302601.78</v>
      </c>
      <c r="J26" s="1563">
        <v>0</v>
      </c>
    </row>
    <row r="27" spans="1:10" ht="26.4">
      <c r="A27" s="1550" t="s">
        <v>53</v>
      </c>
      <c r="B27" s="1554" t="s">
        <v>54</v>
      </c>
      <c r="C27" s="1558">
        <v>0</v>
      </c>
      <c r="D27" s="1559">
        <v>0</v>
      </c>
      <c r="E27" s="1559">
        <v>0</v>
      </c>
      <c r="F27" s="1559">
        <v>0</v>
      </c>
      <c r="G27" s="1559">
        <v>0</v>
      </c>
      <c r="H27" s="1559">
        <v>0</v>
      </c>
      <c r="I27" s="1559">
        <v>0</v>
      </c>
      <c r="J27" s="1563">
        <v>0</v>
      </c>
    </row>
    <row r="28" spans="1:10" ht="26.4">
      <c r="A28" s="1550" t="s">
        <v>55</v>
      </c>
      <c r="B28" s="1554" t="s">
        <v>56</v>
      </c>
      <c r="C28" s="1558">
        <v>196756518.56999999</v>
      </c>
      <c r="D28" s="1559">
        <v>62022561.140000001</v>
      </c>
      <c r="E28" s="1559">
        <v>5086.46</v>
      </c>
      <c r="F28" s="1559">
        <v>40538515.189999998</v>
      </c>
      <c r="G28" s="1559">
        <v>0</v>
      </c>
      <c r="H28" s="1559">
        <v>3086406.38</v>
      </c>
      <c r="I28" s="1559">
        <v>134733957.43000001</v>
      </c>
      <c r="J28" s="1563">
        <v>42714460.479999997</v>
      </c>
    </row>
    <row r="29" spans="1:10">
      <c r="A29" s="1550" t="s">
        <v>57</v>
      </c>
      <c r="B29" s="1554" t="s">
        <v>58</v>
      </c>
      <c r="C29" s="1558">
        <v>0</v>
      </c>
      <c r="D29" s="1559">
        <v>0</v>
      </c>
      <c r="E29" s="1559">
        <v>0</v>
      </c>
      <c r="F29" s="1559">
        <v>0</v>
      </c>
      <c r="G29" s="1559">
        <v>0</v>
      </c>
      <c r="H29" s="1559">
        <v>0</v>
      </c>
      <c r="I29" s="1559">
        <v>0</v>
      </c>
      <c r="J29" s="1563">
        <v>0</v>
      </c>
    </row>
    <row r="30" spans="1:10" ht="66">
      <c r="A30" s="1550" t="s">
        <v>59</v>
      </c>
      <c r="B30" s="1554" t="s">
        <v>60</v>
      </c>
      <c r="C30" s="1558">
        <v>0</v>
      </c>
      <c r="D30" s="1559">
        <v>0</v>
      </c>
      <c r="E30" s="1559">
        <v>0</v>
      </c>
      <c r="F30" s="1559">
        <v>0</v>
      </c>
      <c r="G30" s="1559">
        <v>0</v>
      </c>
      <c r="H30" s="1559">
        <v>0</v>
      </c>
      <c r="I30" s="1559">
        <v>0</v>
      </c>
      <c r="J30" s="1563">
        <v>0</v>
      </c>
    </row>
    <row r="31" spans="1:10">
      <c r="A31" s="1550" t="s">
        <v>61</v>
      </c>
      <c r="B31" s="1554" t="s">
        <v>62</v>
      </c>
      <c r="C31" s="1558">
        <v>256612575.30000001</v>
      </c>
      <c r="D31" s="1559">
        <v>256612575.30000001</v>
      </c>
      <c r="E31" s="1559">
        <v>0</v>
      </c>
      <c r="F31" s="1559">
        <v>0</v>
      </c>
      <c r="G31" s="1559">
        <v>0</v>
      </c>
      <c r="H31" s="1559">
        <v>0</v>
      </c>
      <c r="I31" s="1559">
        <v>0</v>
      </c>
      <c r="J31" s="1563">
        <v>0</v>
      </c>
    </row>
    <row r="32" spans="1:10">
      <c r="A32" s="1550" t="s">
        <v>63</v>
      </c>
      <c r="B32" s="1554" t="s">
        <v>64</v>
      </c>
      <c r="C32" s="1558">
        <v>8347502.0199999996</v>
      </c>
      <c r="D32" s="1559">
        <v>7583127.1500000004</v>
      </c>
      <c r="E32" s="1559">
        <v>0</v>
      </c>
      <c r="F32" s="1559">
        <v>0</v>
      </c>
      <c r="G32" s="1559">
        <v>0</v>
      </c>
      <c r="H32" s="1559">
        <v>4915636.4800000004</v>
      </c>
      <c r="I32" s="1559">
        <v>764374.87</v>
      </c>
      <c r="J32" s="1563">
        <v>764374.87</v>
      </c>
    </row>
    <row r="33" spans="1:10">
      <c r="A33" s="1550" t="s">
        <v>65</v>
      </c>
      <c r="B33" s="1554" t="s">
        <v>66</v>
      </c>
      <c r="C33" s="1558">
        <v>2254532167.5100002</v>
      </c>
      <c r="D33" s="1559">
        <v>1924759106.8900001</v>
      </c>
      <c r="E33" s="1559">
        <v>1229347347.1400001</v>
      </c>
      <c r="F33" s="1559">
        <v>30012134.859999999</v>
      </c>
      <c r="G33" s="1559">
        <v>13023068.449999999</v>
      </c>
      <c r="H33" s="1559">
        <v>400829458.12</v>
      </c>
      <c r="I33" s="1559">
        <v>329773060.62</v>
      </c>
      <c r="J33" s="1563">
        <v>111954075.59999999</v>
      </c>
    </row>
    <row r="34" spans="1:10">
      <c r="A34" s="1550" t="s">
        <v>67</v>
      </c>
      <c r="B34" s="1554" t="s">
        <v>68</v>
      </c>
      <c r="C34" s="1558">
        <v>3912799424.4699998</v>
      </c>
      <c r="D34" s="1559">
        <v>1673447703.95</v>
      </c>
      <c r="E34" s="1559">
        <v>32429573.550000001</v>
      </c>
      <c r="F34" s="1559">
        <v>218323336.02000001</v>
      </c>
      <c r="G34" s="1559">
        <v>2066793.54</v>
      </c>
      <c r="H34" s="1559">
        <v>13824027.310000001</v>
      </c>
      <c r="I34" s="1559">
        <v>2239351720.52</v>
      </c>
      <c r="J34" s="1563">
        <v>125505573.86</v>
      </c>
    </row>
    <row r="35" spans="1:10">
      <c r="A35" s="1550" t="s">
        <v>69</v>
      </c>
      <c r="B35" s="1554" t="s">
        <v>70</v>
      </c>
      <c r="C35" s="1558">
        <v>670947925.73000002</v>
      </c>
      <c r="D35" s="1559">
        <v>631709425.20000005</v>
      </c>
      <c r="E35" s="1559">
        <v>104788110.08</v>
      </c>
      <c r="F35" s="1559">
        <v>63750835.07</v>
      </c>
      <c r="G35" s="1559">
        <v>414704.18</v>
      </c>
      <c r="H35" s="1559">
        <v>416770131.67000002</v>
      </c>
      <c r="I35" s="1559">
        <v>39238500.530000001</v>
      </c>
      <c r="J35" s="1563">
        <v>25853379.129999999</v>
      </c>
    </row>
    <row r="36" spans="1:10" ht="26.4">
      <c r="A36" s="1550" t="s">
        <v>71</v>
      </c>
      <c r="B36" s="1554" t="s">
        <v>72</v>
      </c>
      <c r="C36" s="1558">
        <v>1219336664.3599999</v>
      </c>
      <c r="D36" s="1559">
        <v>1193568803.8199999</v>
      </c>
      <c r="E36" s="1559">
        <v>293794671.22000003</v>
      </c>
      <c r="F36" s="1559">
        <v>62599506</v>
      </c>
      <c r="G36" s="1559">
        <v>868529.1</v>
      </c>
      <c r="H36" s="1559">
        <v>759571574.26999998</v>
      </c>
      <c r="I36" s="1559">
        <v>25767860.539999999</v>
      </c>
      <c r="J36" s="1563">
        <v>16439548.68</v>
      </c>
    </row>
    <row r="37" spans="1:10" ht="26.4">
      <c r="A37" s="1550" t="s">
        <v>73</v>
      </c>
      <c r="B37" s="1554" t="s">
        <v>74</v>
      </c>
      <c r="C37" s="1558">
        <v>377804305.47000003</v>
      </c>
      <c r="D37" s="1559">
        <v>347104750.81999999</v>
      </c>
      <c r="E37" s="1559">
        <v>240719746.66</v>
      </c>
      <c r="F37" s="1559">
        <v>5846523.9299999997</v>
      </c>
      <c r="G37" s="1559">
        <v>4847599.6900000004</v>
      </c>
      <c r="H37" s="1559">
        <v>33227833.530000001</v>
      </c>
      <c r="I37" s="1559">
        <v>30699554.649999999</v>
      </c>
      <c r="J37" s="1563">
        <v>0</v>
      </c>
    </row>
    <row r="38" spans="1:10">
      <c r="A38" s="1550" t="s">
        <v>75</v>
      </c>
      <c r="B38" s="1554" t="s">
        <v>76</v>
      </c>
      <c r="C38" s="1558">
        <v>171261652.87</v>
      </c>
      <c r="D38" s="1559">
        <v>162009567.08000001</v>
      </c>
      <c r="E38" s="1559">
        <v>68626190.989999995</v>
      </c>
      <c r="F38" s="1559">
        <v>50080161.369999997</v>
      </c>
      <c r="G38" s="1559">
        <v>152583.95000000001</v>
      </c>
      <c r="H38" s="1559">
        <v>27809353.98</v>
      </c>
      <c r="I38" s="1559">
        <v>9252085.7899999991</v>
      </c>
      <c r="J38" s="1563">
        <v>3139121.78</v>
      </c>
    </row>
    <row r="39" spans="1:10" ht="26.4">
      <c r="A39" s="1550" t="s">
        <v>77</v>
      </c>
      <c r="B39" s="1554" t="s">
        <v>78</v>
      </c>
      <c r="C39" s="1558">
        <v>300967285.88</v>
      </c>
      <c r="D39" s="1559">
        <v>143050475.28</v>
      </c>
      <c r="E39" s="1559">
        <v>37270602.880000003</v>
      </c>
      <c r="F39" s="1559">
        <v>21754924.280000001</v>
      </c>
      <c r="G39" s="1559">
        <v>21209.38</v>
      </c>
      <c r="H39" s="1559">
        <v>51665013.020000003</v>
      </c>
      <c r="I39" s="1559">
        <v>157916810.59999999</v>
      </c>
      <c r="J39" s="1563">
        <v>86844543.959999993</v>
      </c>
    </row>
    <row r="40" spans="1:10" ht="26.4">
      <c r="A40" s="1550" t="s">
        <v>79</v>
      </c>
      <c r="B40" s="1554" t="s">
        <v>80</v>
      </c>
      <c r="C40" s="1558">
        <v>3531050046.5599999</v>
      </c>
      <c r="D40" s="1559">
        <v>2962141713.9000001</v>
      </c>
      <c r="E40" s="1559">
        <v>636659.38</v>
      </c>
      <c r="F40" s="1559">
        <v>2891169407.1599998</v>
      </c>
      <c r="G40" s="1559">
        <v>8887272.4600000009</v>
      </c>
      <c r="H40" s="1559">
        <v>16803240.620000001</v>
      </c>
      <c r="I40" s="1559">
        <v>568908332.65999997</v>
      </c>
      <c r="J40" s="1563">
        <v>38958286.25</v>
      </c>
    </row>
    <row r="41" spans="1:10" ht="39.6">
      <c r="A41" s="1550" t="s">
        <v>81</v>
      </c>
      <c r="B41" s="1554" t="s">
        <v>82</v>
      </c>
      <c r="C41" s="1558">
        <v>192931964.50999999</v>
      </c>
      <c r="D41" s="1559">
        <v>170100965.43000001</v>
      </c>
      <c r="E41" s="1559">
        <v>102495263.20999999</v>
      </c>
      <c r="F41" s="1559">
        <v>453910.5</v>
      </c>
      <c r="G41" s="1559">
        <v>2330784.19</v>
      </c>
      <c r="H41" s="1559">
        <v>12373390.279999999</v>
      </c>
      <c r="I41" s="1559">
        <v>22830999.079999998</v>
      </c>
      <c r="J41" s="1563">
        <v>13824608.380000001</v>
      </c>
    </row>
    <row r="42" spans="1:10">
      <c r="A42" s="1551" t="s">
        <v>83</v>
      </c>
      <c r="B42" s="1555" t="s">
        <v>84</v>
      </c>
      <c r="C42" s="1560">
        <v>576556716.57000005</v>
      </c>
      <c r="D42" s="1561">
        <v>321345442.97000003</v>
      </c>
      <c r="E42" s="1561">
        <v>11692031.539999999</v>
      </c>
      <c r="F42" s="1561">
        <v>200204397.13</v>
      </c>
      <c r="G42" s="1561">
        <v>18132196.039999999</v>
      </c>
      <c r="H42" s="1561">
        <v>6660.78</v>
      </c>
      <c r="I42" s="1561">
        <v>255211273.59999999</v>
      </c>
      <c r="J42" s="1564">
        <v>3346455.13</v>
      </c>
    </row>
    <row r="44" spans="1:10">
      <c r="A44" s="321" t="s">
        <v>911</v>
      </c>
      <c r="B44" s="320"/>
      <c r="C44" s="320"/>
      <c r="D44" s="320"/>
      <c r="E44" s="320"/>
      <c r="F44" s="320"/>
      <c r="G44" s="320"/>
      <c r="H44" s="320"/>
      <c r="I44" s="320"/>
      <c r="J44" s="320"/>
    </row>
  </sheetData>
  <mergeCells count="13">
    <mergeCell ref="H5:H6"/>
    <mergeCell ref="J5:J6"/>
    <mergeCell ref="C7:J7"/>
    <mergeCell ref="A3:A7"/>
    <mergeCell ref="B3:B7"/>
    <mergeCell ref="C3:C6"/>
    <mergeCell ref="D3:J3"/>
    <mergeCell ref="D4:D6"/>
    <mergeCell ref="E4:H4"/>
    <mergeCell ref="I4:I6"/>
    <mergeCell ref="E5:E6"/>
    <mergeCell ref="F5:F6"/>
    <mergeCell ref="G5:G6"/>
  </mergeCells>
  <pageMargins left="0.70866141732283472" right="0.31496062992125984" top="0.74803149606299213" bottom="0.35433070866141736" header="0.31496062992125984" footer="0.31496062992125984"/>
  <pageSetup paperSize="9" scale="8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0E48-818F-4A2F-898B-B9AD439986FB}">
  <dimension ref="A1:L27"/>
  <sheetViews>
    <sheetView view="pageBreakPreview" topLeftCell="A2" zoomScaleNormal="100" zoomScaleSheetLayoutView="100" workbookViewId="0">
      <selection activeCell="F8" sqref="F8"/>
    </sheetView>
  </sheetViews>
  <sheetFormatPr defaultRowHeight="14.4"/>
  <cols>
    <col min="1" max="1" width="5.77734375" customWidth="1"/>
    <col min="2" max="2" width="16.77734375" customWidth="1"/>
    <col min="3" max="3" width="12.5546875" bestFit="1" customWidth="1"/>
    <col min="4" max="4" width="12.21875" customWidth="1"/>
    <col min="5" max="5" width="11.77734375" bestFit="1" customWidth="1"/>
    <col min="6" max="6" width="12.77734375" customWidth="1"/>
    <col min="7" max="7" width="12" customWidth="1"/>
    <col min="8" max="8" width="10.77734375" bestFit="1" customWidth="1"/>
    <col min="9" max="9" width="11.5546875" customWidth="1"/>
    <col min="10" max="10" width="8.21875" customWidth="1"/>
    <col min="11" max="11" width="7.77734375" customWidth="1"/>
    <col min="12" max="12" width="8.44140625" customWidth="1"/>
  </cols>
  <sheetData>
    <row r="1" spans="1:12">
      <c r="A1" s="445" t="s">
        <v>1043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</row>
    <row r="3" spans="1:12">
      <c r="A3" s="2138" t="s">
        <v>0</v>
      </c>
      <c r="B3" s="2140" t="s">
        <v>1</v>
      </c>
      <c r="C3" s="2396" t="s">
        <v>577</v>
      </c>
      <c r="D3" s="2396" t="s">
        <v>578</v>
      </c>
      <c r="E3" s="2215" t="s">
        <v>88</v>
      </c>
      <c r="F3" s="2215"/>
      <c r="G3" s="2215"/>
      <c r="H3" s="2215"/>
      <c r="I3" s="2400"/>
      <c r="J3" s="2138" t="s">
        <v>575</v>
      </c>
      <c r="K3" s="2215"/>
      <c r="L3" s="2393"/>
    </row>
    <row r="4" spans="1:12">
      <c r="A4" s="2139"/>
      <c r="B4" s="2141"/>
      <c r="C4" s="2397"/>
      <c r="D4" s="2397"/>
      <c r="E4" s="2394" t="s">
        <v>136</v>
      </c>
      <c r="F4" s="2395" t="s">
        <v>569</v>
      </c>
      <c r="G4" s="2395"/>
      <c r="H4" s="2395" t="s">
        <v>137</v>
      </c>
      <c r="I4" s="344" t="s">
        <v>569</v>
      </c>
      <c r="J4" s="2139"/>
      <c r="K4" s="2395"/>
      <c r="L4" s="2399"/>
    </row>
    <row r="5" spans="1:12" ht="61.95" customHeight="1">
      <c r="A5" s="2139"/>
      <c r="B5" s="2141"/>
      <c r="C5" s="2397"/>
      <c r="D5" s="2397"/>
      <c r="E5" s="2394"/>
      <c r="F5" s="2394" t="s">
        <v>570</v>
      </c>
      <c r="G5" s="2394" t="s">
        <v>579</v>
      </c>
      <c r="H5" s="2395"/>
      <c r="I5" s="2398" t="s">
        <v>580</v>
      </c>
      <c r="J5" s="2139"/>
      <c r="K5" s="2395"/>
      <c r="L5" s="2399"/>
    </row>
    <row r="6" spans="1:12">
      <c r="A6" s="2139"/>
      <c r="B6" s="2141"/>
      <c r="C6" s="2397"/>
      <c r="D6" s="2397"/>
      <c r="E6" s="2394"/>
      <c r="F6" s="2394"/>
      <c r="G6" s="2394"/>
      <c r="H6" s="2395"/>
      <c r="I6" s="2398"/>
      <c r="J6" s="343" t="s">
        <v>92</v>
      </c>
      <c r="K6" s="335" t="s">
        <v>7</v>
      </c>
      <c r="L6" s="341" t="s">
        <v>576</v>
      </c>
    </row>
    <row r="7" spans="1:12">
      <c r="A7" s="2139"/>
      <c r="B7" s="2141"/>
      <c r="C7" s="345"/>
      <c r="D7" s="2221" t="s">
        <v>93</v>
      </c>
      <c r="E7" s="2395"/>
      <c r="F7" s="2395"/>
      <c r="G7" s="2395"/>
      <c r="H7" s="2395"/>
      <c r="I7" s="2222"/>
      <c r="J7" s="2139" t="s">
        <v>169</v>
      </c>
      <c r="K7" s="2395"/>
      <c r="L7" s="2399"/>
    </row>
    <row r="8" spans="1:12">
      <c r="A8" s="337" t="s">
        <v>10</v>
      </c>
      <c r="B8" s="339" t="s">
        <v>11</v>
      </c>
      <c r="C8" s="340" t="s">
        <v>12</v>
      </c>
      <c r="D8" s="340" t="s">
        <v>13</v>
      </c>
      <c r="E8" s="338" t="s">
        <v>14</v>
      </c>
      <c r="F8" s="338" t="s">
        <v>15</v>
      </c>
      <c r="G8" s="338" t="s">
        <v>16</v>
      </c>
      <c r="H8" s="338" t="s">
        <v>17</v>
      </c>
      <c r="I8" s="342" t="s">
        <v>94</v>
      </c>
      <c r="J8" s="337" t="s">
        <v>150</v>
      </c>
      <c r="K8" s="338" t="s">
        <v>170</v>
      </c>
      <c r="L8" s="339" t="s">
        <v>173</v>
      </c>
    </row>
    <row r="9" spans="1:12">
      <c r="A9" s="1595"/>
      <c r="B9" s="1598" t="s">
        <v>562</v>
      </c>
      <c r="C9" s="1604">
        <v>37978065676.239998</v>
      </c>
      <c r="D9" s="1604">
        <v>4795436509.1700001</v>
      </c>
      <c r="E9" s="1605">
        <v>4546291787.04</v>
      </c>
      <c r="F9" s="1605">
        <v>2245936370.1700001</v>
      </c>
      <c r="G9" s="1605">
        <v>1254304016.0699999</v>
      </c>
      <c r="H9" s="1605">
        <v>249144722.13</v>
      </c>
      <c r="I9" s="1610">
        <v>58066046.409999996</v>
      </c>
      <c r="J9" s="1601">
        <v>12.6</v>
      </c>
      <c r="K9" s="1596">
        <v>94.8</v>
      </c>
      <c r="L9" s="1597">
        <v>46.8</v>
      </c>
    </row>
    <row r="10" spans="1:12">
      <c r="A10" s="1590" t="s">
        <v>96</v>
      </c>
      <c r="B10" s="1599" t="s">
        <v>97</v>
      </c>
      <c r="C10" s="1606">
        <v>3034592864.8400002</v>
      </c>
      <c r="D10" s="1606">
        <v>312322748.64999998</v>
      </c>
      <c r="E10" s="1607">
        <v>303430314.38999999</v>
      </c>
      <c r="F10" s="1607">
        <v>171351533.68000001</v>
      </c>
      <c r="G10" s="1607">
        <v>77326112.390000001</v>
      </c>
      <c r="H10" s="1607">
        <v>8892434.2599999998</v>
      </c>
      <c r="I10" s="1611">
        <v>1472516.58</v>
      </c>
      <c r="J10" s="1602">
        <v>10.3</v>
      </c>
      <c r="K10" s="1589">
        <v>97.2</v>
      </c>
      <c r="L10" s="1591">
        <v>54.9</v>
      </c>
    </row>
    <row r="11" spans="1:12">
      <c r="A11" s="1590" t="s">
        <v>98</v>
      </c>
      <c r="B11" s="1599" t="s">
        <v>99</v>
      </c>
      <c r="C11" s="1606">
        <v>2016173567.71</v>
      </c>
      <c r="D11" s="1606">
        <v>309164350.98000002</v>
      </c>
      <c r="E11" s="1607">
        <v>304217938.5</v>
      </c>
      <c r="F11" s="1607">
        <v>107181717.88</v>
      </c>
      <c r="G11" s="1607">
        <v>103307460.43000001</v>
      </c>
      <c r="H11" s="1607">
        <v>4946412.4800000004</v>
      </c>
      <c r="I11" s="1611">
        <v>2222108.58</v>
      </c>
      <c r="J11" s="1602">
        <v>15.3</v>
      </c>
      <c r="K11" s="1589">
        <v>98.4</v>
      </c>
      <c r="L11" s="1591">
        <v>34.700000000000003</v>
      </c>
    </row>
    <row r="12" spans="1:12">
      <c r="A12" s="1590" t="s">
        <v>100</v>
      </c>
      <c r="B12" s="1599" t="s">
        <v>101</v>
      </c>
      <c r="C12" s="1606">
        <v>1603826136.1300001</v>
      </c>
      <c r="D12" s="1606">
        <v>288552394.5</v>
      </c>
      <c r="E12" s="1607">
        <v>283461942.01999998</v>
      </c>
      <c r="F12" s="1607">
        <v>133349960.7</v>
      </c>
      <c r="G12" s="1607">
        <v>69358132.310000002</v>
      </c>
      <c r="H12" s="1607">
        <v>5090452.4800000004</v>
      </c>
      <c r="I12" s="1611">
        <v>643848.99</v>
      </c>
      <c r="J12" s="1602">
        <v>18</v>
      </c>
      <c r="K12" s="1589">
        <v>98.2</v>
      </c>
      <c r="L12" s="1591">
        <v>46.2</v>
      </c>
    </row>
    <row r="13" spans="1:12">
      <c r="A13" s="1590" t="s">
        <v>102</v>
      </c>
      <c r="B13" s="1599" t="s">
        <v>103</v>
      </c>
      <c r="C13" s="1606">
        <v>1144041763.5</v>
      </c>
      <c r="D13" s="1606">
        <v>246509592.28999999</v>
      </c>
      <c r="E13" s="1607">
        <v>203665372.59999999</v>
      </c>
      <c r="F13" s="1607">
        <v>97259165.900000006</v>
      </c>
      <c r="G13" s="1607">
        <v>48149057.880000003</v>
      </c>
      <c r="H13" s="1607">
        <v>42844219.689999998</v>
      </c>
      <c r="I13" s="1611">
        <v>41227944.329999998</v>
      </c>
      <c r="J13" s="1602">
        <v>21.5</v>
      </c>
      <c r="K13" s="1589">
        <v>82.6</v>
      </c>
      <c r="L13" s="1591">
        <v>39.5</v>
      </c>
    </row>
    <row r="14" spans="1:12">
      <c r="A14" s="1590" t="s">
        <v>104</v>
      </c>
      <c r="B14" s="1599" t="s">
        <v>105</v>
      </c>
      <c r="C14" s="1606">
        <v>2031618750.3399999</v>
      </c>
      <c r="D14" s="1606">
        <v>380804128.83999997</v>
      </c>
      <c r="E14" s="1607">
        <v>351349770.42000002</v>
      </c>
      <c r="F14" s="1607">
        <v>160839657.02000001</v>
      </c>
      <c r="G14" s="1607">
        <v>100598391.52</v>
      </c>
      <c r="H14" s="1607">
        <v>29454358.420000002</v>
      </c>
      <c r="I14" s="1611">
        <v>153315.35</v>
      </c>
      <c r="J14" s="1602">
        <v>18.7</v>
      </c>
      <c r="K14" s="1589">
        <v>92.3</v>
      </c>
      <c r="L14" s="1591">
        <v>42.2</v>
      </c>
    </row>
    <row r="15" spans="1:12">
      <c r="A15" s="1590" t="s">
        <v>106</v>
      </c>
      <c r="B15" s="1599" t="s">
        <v>107</v>
      </c>
      <c r="C15" s="1606">
        <v>3106288614.6900001</v>
      </c>
      <c r="D15" s="1606">
        <v>366401087.08999997</v>
      </c>
      <c r="E15" s="1607">
        <v>361152272.55000001</v>
      </c>
      <c r="F15" s="1607">
        <v>189668688.25</v>
      </c>
      <c r="G15" s="1607">
        <v>84922056.670000002</v>
      </c>
      <c r="H15" s="1607">
        <v>5248814.54</v>
      </c>
      <c r="I15" s="1611">
        <v>225615.21</v>
      </c>
      <c r="J15" s="1602">
        <v>11.8</v>
      </c>
      <c r="K15" s="1589">
        <v>98.6</v>
      </c>
      <c r="L15" s="1591">
        <v>51.8</v>
      </c>
    </row>
    <row r="16" spans="1:12">
      <c r="A16" s="1590" t="s">
        <v>108</v>
      </c>
      <c r="B16" s="1599" t="s">
        <v>109</v>
      </c>
      <c r="C16" s="1606">
        <v>6094023165.1800003</v>
      </c>
      <c r="D16" s="1606">
        <v>680118665.39999998</v>
      </c>
      <c r="E16" s="1607">
        <v>602886036.89999998</v>
      </c>
      <c r="F16" s="1607">
        <v>313835580.27999997</v>
      </c>
      <c r="G16" s="1607">
        <v>106047485.93000001</v>
      </c>
      <c r="H16" s="1607">
        <v>77232628.5</v>
      </c>
      <c r="I16" s="1611">
        <v>16418.04</v>
      </c>
      <c r="J16" s="1602">
        <v>11.2</v>
      </c>
      <c r="K16" s="1589">
        <v>88.6</v>
      </c>
      <c r="L16" s="1591">
        <v>46.1</v>
      </c>
    </row>
    <row r="17" spans="1:12">
      <c r="A17" s="1590" t="s">
        <v>110</v>
      </c>
      <c r="B17" s="1599" t="s">
        <v>111</v>
      </c>
      <c r="C17" s="1606">
        <v>937622893.76999998</v>
      </c>
      <c r="D17" s="1606">
        <v>141974650.81</v>
      </c>
      <c r="E17" s="1607">
        <v>138423164.30000001</v>
      </c>
      <c r="F17" s="1607">
        <v>90245393.599999994</v>
      </c>
      <c r="G17" s="1607">
        <v>26309684.329999998</v>
      </c>
      <c r="H17" s="1607">
        <v>3551486.51</v>
      </c>
      <c r="I17" s="1611">
        <v>0</v>
      </c>
      <c r="J17" s="1602">
        <v>15.1</v>
      </c>
      <c r="K17" s="1589">
        <v>97.5</v>
      </c>
      <c r="L17" s="1591">
        <v>63.6</v>
      </c>
    </row>
    <row r="18" spans="1:12">
      <c r="A18" s="1590" t="s">
        <v>112</v>
      </c>
      <c r="B18" s="1599" t="s">
        <v>113</v>
      </c>
      <c r="C18" s="1606">
        <v>2186831106.5100002</v>
      </c>
      <c r="D18" s="1606">
        <v>264837071.56999999</v>
      </c>
      <c r="E18" s="1607">
        <v>256961596.63</v>
      </c>
      <c r="F18" s="1607">
        <v>135405674.61000001</v>
      </c>
      <c r="G18" s="1607">
        <v>67442226.689999998</v>
      </c>
      <c r="H18" s="1607">
        <v>7875474.9400000004</v>
      </c>
      <c r="I18" s="1611">
        <v>144874</v>
      </c>
      <c r="J18" s="1602">
        <v>12.1</v>
      </c>
      <c r="K18" s="1589">
        <v>97</v>
      </c>
      <c r="L18" s="1591">
        <v>51.1</v>
      </c>
    </row>
    <row r="19" spans="1:12">
      <c r="A19" s="1590" t="s">
        <v>114</v>
      </c>
      <c r="B19" s="1599" t="s">
        <v>115</v>
      </c>
      <c r="C19" s="1606">
        <v>1726288747.97</v>
      </c>
      <c r="D19" s="1606">
        <v>216961574.44999999</v>
      </c>
      <c r="E19" s="1607">
        <v>207131020.40000001</v>
      </c>
      <c r="F19" s="1607">
        <v>112157589.83</v>
      </c>
      <c r="G19" s="1607">
        <v>49460459.149999999</v>
      </c>
      <c r="H19" s="1607">
        <v>9830554.0500000007</v>
      </c>
      <c r="I19" s="1611">
        <v>1038926.28</v>
      </c>
      <c r="J19" s="1602">
        <v>12.6</v>
      </c>
      <c r="K19" s="1589">
        <v>95.5</v>
      </c>
      <c r="L19" s="1591">
        <v>51.7</v>
      </c>
    </row>
    <row r="20" spans="1:12">
      <c r="A20" s="1590" t="s">
        <v>116</v>
      </c>
      <c r="B20" s="1599" t="s">
        <v>117</v>
      </c>
      <c r="C20" s="1606">
        <v>2447561537.4099998</v>
      </c>
      <c r="D20" s="1606">
        <v>231517672.02000001</v>
      </c>
      <c r="E20" s="1607">
        <v>223878945.71000001</v>
      </c>
      <c r="F20" s="1607">
        <v>124826760.65000001</v>
      </c>
      <c r="G20" s="1607">
        <v>64122793.399999999</v>
      </c>
      <c r="H20" s="1607">
        <v>7638726.3099999996</v>
      </c>
      <c r="I20" s="1611">
        <v>966453.29</v>
      </c>
      <c r="J20" s="1602">
        <v>9.5</v>
      </c>
      <c r="K20" s="1589">
        <v>96.7</v>
      </c>
      <c r="L20" s="1591">
        <v>53.9</v>
      </c>
    </row>
    <row r="21" spans="1:12">
      <c r="A21" s="1590" t="s">
        <v>118</v>
      </c>
      <c r="B21" s="1599" t="s">
        <v>119</v>
      </c>
      <c r="C21" s="1606">
        <v>4082770542.5599999</v>
      </c>
      <c r="D21" s="1606">
        <v>402833967.17000002</v>
      </c>
      <c r="E21" s="1607">
        <v>392979988.23000002</v>
      </c>
      <c r="F21" s="1607">
        <v>146982207.68000001</v>
      </c>
      <c r="G21" s="1607">
        <v>186998466.46000001</v>
      </c>
      <c r="H21" s="1607">
        <v>9853978.9399999995</v>
      </c>
      <c r="I21" s="1611">
        <v>6649986.2300000004</v>
      </c>
      <c r="J21" s="1602">
        <v>9.9</v>
      </c>
      <c r="K21" s="1589">
        <v>97.6</v>
      </c>
      <c r="L21" s="1591">
        <v>36.5</v>
      </c>
    </row>
    <row r="22" spans="1:12">
      <c r="A22" s="1590" t="s">
        <v>120</v>
      </c>
      <c r="B22" s="1599" t="s">
        <v>121</v>
      </c>
      <c r="C22" s="1606">
        <v>1205225781.6300001</v>
      </c>
      <c r="D22" s="1606">
        <v>181240717.28999999</v>
      </c>
      <c r="E22" s="1607">
        <v>173664054.37</v>
      </c>
      <c r="F22" s="1607">
        <v>86586879.25</v>
      </c>
      <c r="G22" s="1607">
        <v>64254561.369999997</v>
      </c>
      <c r="H22" s="1607">
        <v>7576662.9199999999</v>
      </c>
      <c r="I22" s="1611">
        <v>1231621.1200000001</v>
      </c>
      <c r="J22" s="1602">
        <v>15</v>
      </c>
      <c r="K22" s="1589">
        <v>95.8</v>
      </c>
      <c r="L22" s="1591">
        <v>47.8</v>
      </c>
    </row>
    <row r="23" spans="1:12">
      <c r="A23" s="1590" t="s">
        <v>122</v>
      </c>
      <c r="B23" s="1599" t="s">
        <v>123</v>
      </c>
      <c r="C23" s="1606">
        <v>1425538790.8699999</v>
      </c>
      <c r="D23" s="1606">
        <v>263918541.25</v>
      </c>
      <c r="E23" s="1607">
        <v>248206365.68000001</v>
      </c>
      <c r="F23" s="1607">
        <v>124466711.37</v>
      </c>
      <c r="G23" s="1607">
        <v>79405197.400000006</v>
      </c>
      <c r="H23" s="1607">
        <v>15712175.57</v>
      </c>
      <c r="I23" s="1611">
        <v>1990672.61</v>
      </c>
      <c r="J23" s="1602">
        <v>18.5</v>
      </c>
      <c r="K23" s="1589">
        <v>94</v>
      </c>
      <c r="L23" s="1591">
        <v>47.2</v>
      </c>
    </row>
    <row r="24" spans="1:12">
      <c r="A24" s="1590" t="s">
        <v>124</v>
      </c>
      <c r="B24" s="1599" t="s">
        <v>125</v>
      </c>
      <c r="C24" s="1606">
        <v>3462015483.1999998</v>
      </c>
      <c r="D24" s="1606">
        <v>309162147.69</v>
      </c>
      <c r="E24" s="1607">
        <v>300630807.63999999</v>
      </c>
      <c r="F24" s="1607">
        <v>139603935.06999999</v>
      </c>
      <c r="G24" s="1607">
        <v>82373437.760000005</v>
      </c>
      <c r="H24" s="1607">
        <v>8531340.0500000007</v>
      </c>
      <c r="I24" s="1611">
        <v>0</v>
      </c>
      <c r="J24" s="1602">
        <v>8.9</v>
      </c>
      <c r="K24" s="1589">
        <v>97.2</v>
      </c>
      <c r="L24" s="1591">
        <v>45.2</v>
      </c>
    </row>
    <row r="25" spans="1:12">
      <c r="A25" s="1592" t="s">
        <v>126</v>
      </c>
      <c r="B25" s="1600" t="s">
        <v>127</v>
      </c>
      <c r="C25" s="1608">
        <v>1473645929.9300001</v>
      </c>
      <c r="D25" s="1608">
        <v>199117199.16999999</v>
      </c>
      <c r="E25" s="1609">
        <v>194252196.69999999</v>
      </c>
      <c r="F25" s="1609">
        <v>112174914.40000001</v>
      </c>
      <c r="G25" s="1609">
        <v>44228492.380000003</v>
      </c>
      <c r="H25" s="1609">
        <v>4865002.47</v>
      </c>
      <c r="I25" s="1612">
        <v>81745.8</v>
      </c>
      <c r="J25" s="1603">
        <v>13.5</v>
      </c>
      <c r="K25" s="1593">
        <v>97.6</v>
      </c>
      <c r="L25" s="1594">
        <v>56.3</v>
      </c>
    </row>
    <row r="27" spans="1:12">
      <c r="A27" s="336" t="s">
        <v>911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</row>
  </sheetData>
  <mergeCells count="14">
    <mergeCell ref="I5:I6"/>
    <mergeCell ref="D7:I7"/>
    <mergeCell ref="J7:L7"/>
    <mergeCell ref="C3:C6"/>
    <mergeCell ref="A3:A7"/>
    <mergeCell ref="B3:B7"/>
    <mergeCell ref="D3:D6"/>
    <mergeCell ref="E3:I3"/>
    <mergeCell ref="J3:L5"/>
    <mergeCell ref="E4:E6"/>
    <mergeCell ref="F4:G4"/>
    <mergeCell ref="H4:H6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1679-FC38-40B3-A796-2F082BF4409F}">
  <dimension ref="A1:I26"/>
  <sheetViews>
    <sheetView view="pageBreakPreview" topLeftCell="A2" zoomScaleNormal="100" zoomScaleSheetLayoutView="100" workbookViewId="0">
      <selection activeCell="F8" sqref="F8"/>
    </sheetView>
  </sheetViews>
  <sheetFormatPr defaultColWidth="8.77734375" defaultRowHeight="13.8"/>
  <cols>
    <col min="1" max="1" width="6.21875" style="441" customWidth="1"/>
    <col min="2" max="2" width="15.44140625" style="441" customWidth="1"/>
    <col min="3" max="3" width="10.77734375" style="441" customWidth="1"/>
    <col min="4" max="4" width="12.77734375" style="441" customWidth="1"/>
    <col min="5" max="5" width="11.21875" style="441" customWidth="1"/>
    <col min="6" max="6" width="12" style="441" customWidth="1"/>
    <col min="7" max="7" width="12.77734375" style="441" customWidth="1"/>
    <col min="8" max="8" width="12" style="441" customWidth="1"/>
    <col min="9" max="9" width="12.21875" style="441" customWidth="1"/>
    <col min="10" max="16384" width="8.77734375" style="441"/>
  </cols>
  <sheetData>
    <row r="1" spans="1:9" ht="14.4">
      <c r="A1" s="280" t="s">
        <v>1044</v>
      </c>
      <c r="B1" s="443"/>
      <c r="C1" s="443"/>
      <c r="D1" s="443"/>
      <c r="E1" s="443"/>
      <c r="F1" s="443"/>
      <c r="G1" s="443"/>
      <c r="H1" s="443"/>
      <c r="I1" s="443"/>
    </row>
    <row r="3" spans="1:9">
      <c r="A3" s="2138" t="s">
        <v>87</v>
      </c>
      <c r="B3" s="2140" t="s">
        <v>1</v>
      </c>
      <c r="C3" s="2142" t="s">
        <v>157</v>
      </c>
      <c r="D3" s="2239" t="s">
        <v>563</v>
      </c>
      <c r="E3" s="2239" t="s">
        <v>564</v>
      </c>
      <c r="F3" s="2239" t="s">
        <v>565</v>
      </c>
      <c r="G3" s="2239" t="s">
        <v>566</v>
      </c>
      <c r="H3" s="2239" t="s">
        <v>567</v>
      </c>
      <c r="I3" s="2236" t="s">
        <v>568</v>
      </c>
    </row>
    <row r="4" spans="1:9" ht="46.2" customHeight="1">
      <c r="A4" s="2139"/>
      <c r="B4" s="2141"/>
      <c r="C4" s="2143"/>
      <c r="D4" s="2240"/>
      <c r="E4" s="2240"/>
      <c r="F4" s="2240"/>
      <c r="G4" s="2240"/>
      <c r="H4" s="2240"/>
      <c r="I4" s="2237"/>
    </row>
    <row r="5" spans="1:9" ht="14.4">
      <c r="A5" s="2139"/>
      <c r="B5" s="2141"/>
      <c r="C5" s="297"/>
      <c r="D5" s="2238" t="s">
        <v>163</v>
      </c>
      <c r="E5" s="2238"/>
      <c r="F5" s="381" t="s">
        <v>169</v>
      </c>
      <c r="G5" s="2238" t="s">
        <v>163</v>
      </c>
      <c r="H5" s="2238"/>
      <c r="I5" s="298" t="s">
        <v>169</v>
      </c>
    </row>
    <row r="6" spans="1:9">
      <c r="A6" s="367" t="s">
        <v>10</v>
      </c>
      <c r="B6" s="296" t="s">
        <v>11</v>
      </c>
      <c r="C6" s="370" t="s">
        <v>12</v>
      </c>
      <c r="D6" s="368" t="s">
        <v>13</v>
      </c>
      <c r="E6" s="368" t="s">
        <v>14</v>
      </c>
      <c r="F6" s="368" t="s">
        <v>15</v>
      </c>
      <c r="G6" s="368" t="s">
        <v>16</v>
      </c>
      <c r="H6" s="368" t="s">
        <v>17</v>
      </c>
      <c r="I6" s="369" t="s">
        <v>94</v>
      </c>
    </row>
    <row r="7" spans="1:9">
      <c r="A7" s="1474"/>
      <c r="B7" s="1475" t="s">
        <v>129</v>
      </c>
      <c r="C7" s="1478">
        <v>37489087</v>
      </c>
      <c r="D7" s="1487">
        <v>14342791334.969999</v>
      </c>
      <c r="E7" s="1484">
        <v>382.6</v>
      </c>
      <c r="F7" s="1484">
        <v>37.799999999999997</v>
      </c>
      <c r="G7" s="1487">
        <v>13495681755.540001</v>
      </c>
      <c r="H7" s="1484">
        <v>360</v>
      </c>
      <c r="I7" s="1481">
        <v>35.5</v>
      </c>
    </row>
    <row r="8" spans="1:9">
      <c r="A8" s="1472" t="s">
        <v>96</v>
      </c>
      <c r="B8" s="1476" t="s">
        <v>97</v>
      </c>
      <c r="C8" s="1479">
        <v>2868242</v>
      </c>
      <c r="D8" s="1488">
        <v>1242510903.96</v>
      </c>
      <c r="E8" s="1485">
        <v>433.2</v>
      </c>
      <c r="F8" s="1485">
        <v>40.9</v>
      </c>
      <c r="G8" s="1488">
        <v>1121832903.96</v>
      </c>
      <c r="H8" s="1485">
        <v>391.1</v>
      </c>
      <c r="I8" s="1482">
        <v>37</v>
      </c>
    </row>
    <row r="9" spans="1:9">
      <c r="A9" s="1472" t="s">
        <v>98</v>
      </c>
      <c r="B9" s="1476" t="s">
        <v>99</v>
      </c>
      <c r="C9" s="1479">
        <v>1984479</v>
      </c>
      <c r="D9" s="1488">
        <v>661649204.86000001</v>
      </c>
      <c r="E9" s="1485">
        <v>333.41</v>
      </c>
      <c r="F9" s="1485">
        <v>32.799999999999997</v>
      </c>
      <c r="G9" s="1488">
        <v>545878476.86000001</v>
      </c>
      <c r="H9" s="1485">
        <v>275.10000000000002</v>
      </c>
      <c r="I9" s="1482">
        <v>27.1</v>
      </c>
    </row>
    <row r="10" spans="1:9">
      <c r="A10" s="1472" t="s">
        <v>100</v>
      </c>
      <c r="B10" s="1476" t="s">
        <v>101</v>
      </c>
      <c r="C10" s="1479">
        <v>1996440</v>
      </c>
      <c r="D10" s="1488">
        <v>362258335.41000003</v>
      </c>
      <c r="E10" s="1485">
        <v>181.45</v>
      </c>
      <c r="F10" s="1485">
        <v>22.6</v>
      </c>
      <c r="G10" s="1488">
        <v>335329135.41000003</v>
      </c>
      <c r="H10" s="1485">
        <v>168</v>
      </c>
      <c r="I10" s="1482">
        <v>20.9</v>
      </c>
    </row>
    <row r="11" spans="1:9">
      <c r="A11" s="1472" t="s">
        <v>102</v>
      </c>
      <c r="B11" s="1476" t="s">
        <v>103</v>
      </c>
      <c r="C11" s="1479">
        <v>969819</v>
      </c>
      <c r="D11" s="1488">
        <v>374041367.00999999</v>
      </c>
      <c r="E11" s="1485">
        <v>385.68</v>
      </c>
      <c r="F11" s="1485">
        <v>32.700000000000003</v>
      </c>
      <c r="G11" s="1488">
        <v>369184727.00999999</v>
      </c>
      <c r="H11" s="1485">
        <v>380.7</v>
      </c>
      <c r="I11" s="1482">
        <v>32.299999999999997</v>
      </c>
    </row>
    <row r="12" spans="1:9">
      <c r="A12" s="1472" t="s">
        <v>104</v>
      </c>
      <c r="B12" s="1476" t="s">
        <v>105</v>
      </c>
      <c r="C12" s="1479">
        <v>2345924</v>
      </c>
      <c r="D12" s="1488">
        <v>568211049.09000003</v>
      </c>
      <c r="E12" s="1485">
        <v>242.21</v>
      </c>
      <c r="F12" s="1485">
        <v>28</v>
      </c>
      <c r="G12" s="1488">
        <v>541667983.09000003</v>
      </c>
      <c r="H12" s="1485">
        <v>230.9</v>
      </c>
      <c r="I12" s="1482">
        <v>26.7</v>
      </c>
    </row>
    <row r="13" spans="1:9">
      <c r="A13" s="1472" t="s">
        <v>106</v>
      </c>
      <c r="B13" s="1476" t="s">
        <v>107</v>
      </c>
      <c r="C13" s="1479">
        <v>3429084</v>
      </c>
      <c r="D13" s="1488">
        <v>970788782.11000001</v>
      </c>
      <c r="E13" s="1485">
        <v>283.10000000000002</v>
      </c>
      <c r="F13" s="1485">
        <v>31.3</v>
      </c>
      <c r="G13" s="1488">
        <v>922250200.11000001</v>
      </c>
      <c r="H13" s="1485">
        <v>268.89999999999998</v>
      </c>
      <c r="I13" s="1482">
        <v>29.7</v>
      </c>
    </row>
    <row r="14" spans="1:9">
      <c r="A14" s="1472" t="s">
        <v>108</v>
      </c>
      <c r="B14" s="1476" t="s">
        <v>109</v>
      </c>
      <c r="C14" s="1479">
        <v>5508322</v>
      </c>
      <c r="D14" s="1488">
        <v>1970039646.73</v>
      </c>
      <c r="E14" s="1485">
        <v>357.65</v>
      </c>
      <c r="F14" s="1485">
        <v>32.299999999999997</v>
      </c>
      <c r="G14" s="1488">
        <v>1948119646.73</v>
      </c>
      <c r="H14" s="1485">
        <v>353.7</v>
      </c>
      <c r="I14" s="1482">
        <v>32</v>
      </c>
    </row>
    <row r="15" spans="1:9">
      <c r="A15" s="1472" t="s">
        <v>110</v>
      </c>
      <c r="B15" s="1476" t="s">
        <v>111</v>
      </c>
      <c r="C15" s="1479">
        <v>930296</v>
      </c>
      <c r="D15" s="1488">
        <v>221239442.41999999</v>
      </c>
      <c r="E15" s="1485">
        <v>237.82</v>
      </c>
      <c r="F15" s="1485">
        <v>23.6</v>
      </c>
      <c r="G15" s="1488">
        <v>221239442.41999999</v>
      </c>
      <c r="H15" s="1485">
        <v>237.8</v>
      </c>
      <c r="I15" s="1482">
        <v>23.6</v>
      </c>
    </row>
    <row r="16" spans="1:9">
      <c r="A16" s="1472" t="s">
        <v>112</v>
      </c>
      <c r="B16" s="1476" t="s">
        <v>113</v>
      </c>
      <c r="C16" s="1479">
        <v>2062997</v>
      </c>
      <c r="D16" s="1488">
        <v>981629664.05999994</v>
      </c>
      <c r="E16" s="1485">
        <v>475.83</v>
      </c>
      <c r="F16" s="1485">
        <v>44.9</v>
      </c>
      <c r="G16" s="1488">
        <v>957944664.05999994</v>
      </c>
      <c r="H16" s="1485">
        <v>464.3</v>
      </c>
      <c r="I16" s="1482">
        <v>43.8</v>
      </c>
    </row>
    <row r="17" spans="1:9">
      <c r="A17" s="1472" t="s">
        <v>114</v>
      </c>
      <c r="B17" s="1476" t="s">
        <v>115</v>
      </c>
      <c r="C17" s="1479">
        <v>1132641</v>
      </c>
      <c r="D17" s="1488">
        <v>953723152.75</v>
      </c>
      <c r="E17" s="1485">
        <v>842.03</v>
      </c>
      <c r="F17" s="1485">
        <v>55.2</v>
      </c>
      <c r="G17" s="1488">
        <v>949129742.32000005</v>
      </c>
      <c r="H17" s="1485">
        <v>838</v>
      </c>
      <c r="I17" s="1482">
        <v>55</v>
      </c>
    </row>
    <row r="18" spans="1:9">
      <c r="A18" s="1472" t="s">
        <v>116</v>
      </c>
      <c r="B18" s="1476" t="s">
        <v>117</v>
      </c>
      <c r="C18" s="1479">
        <v>2359493</v>
      </c>
      <c r="D18" s="1488">
        <v>1099042973.3099999</v>
      </c>
      <c r="E18" s="1485">
        <v>465.8</v>
      </c>
      <c r="F18" s="1485">
        <v>44.9</v>
      </c>
      <c r="G18" s="1488">
        <v>1076142973.3099999</v>
      </c>
      <c r="H18" s="1485">
        <v>456.1</v>
      </c>
      <c r="I18" s="1482">
        <v>44</v>
      </c>
    </row>
    <row r="19" spans="1:9">
      <c r="A19" s="1472" t="s">
        <v>118</v>
      </c>
      <c r="B19" s="1476" t="s">
        <v>119</v>
      </c>
      <c r="C19" s="1479">
        <v>4291441</v>
      </c>
      <c r="D19" s="1488">
        <v>1804289851.6900001</v>
      </c>
      <c r="E19" s="1485">
        <v>420.44</v>
      </c>
      <c r="F19" s="1485">
        <v>44.2</v>
      </c>
      <c r="G19" s="1488">
        <v>1446166373.6900001</v>
      </c>
      <c r="H19" s="1485">
        <v>337</v>
      </c>
      <c r="I19" s="1482">
        <v>35.4</v>
      </c>
    </row>
    <row r="20" spans="1:9">
      <c r="A20" s="1472" t="s">
        <v>120</v>
      </c>
      <c r="B20" s="1476" t="s">
        <v>121</v>
      </c>
      <c r="C20" s="1479">
        <v>1157991</v>
      </c>
      <c r="D20" s="1488">
        <v>497398141.85000002</v>
      </c>
      <c r="E20" s="1485">
        <v>429.54</v>
      </c>
      <c r="F20" s="1485">
        <v>41.3</v>
      </c>
      <c r="G20" s="1488">
        <v>491398141.85000002</v>
      </c>
      <c r="H20" s="1485">
        <v>424.4</v>
      </c>
      <c r="I20" s="1482">
        <v>40.799999999999997</v>
      </c>
    </row>
    <row r="21" spans="1:9">
      <c r="A21" s="1472" t="s">
        <v>122</v>
      </c>
      <c r="B21" s="1476" t="s">
        <v>123</v>
      </c>
      <c r="C21" s="1479">
        <v>1349172</v>
      </c>
      <c r="D21" s="1488">
        <v>605618348.80999994</v>
      </c>
      <c r="E21" s="1485">
        <v>448.88</v>
      </c>
      <c r="F21" s="1485">
        <v>42.5</v>
      </c>
      <c r="G21" s="1488">
        <v>572906348.80999994</v>
      </c>
      <c r="H21" s="1485">
        <v>424.6</v>
      </c>
      <c r="I21" s="1482">
        <v>40.200000000000003</v>
      </c>
    </row>
    <row r="22" spans="1:9">
      <c r="A22" s="1472" t="s">
        <v>124</v>
      </c>
      <c r="B22" s="1476" t="s">
        <v>125</v>
      </c>
      <c r="C22" s="1479">
        <v>3479986</v>
      </c>
      <c r="D22" s="1488">
        <v>1447945870.3699999</v>
      </c>
      <c r="E22" s="1485">
        <v>416.08</v>
      </c>
      <c r="F22" s="1485">
        <v>41.8</v>
      </c>
      <c r="G22" s="1488">
        <v>1422948395.3699999</v>
      </c>
      <c r="H22" s="1485">
        <v>408.9</v>
      </c>
      <c r="I22" s="1482">
        <v>41.1</v>
      </c>
    </row>
    <row r="23" spans="1:9">
      <c r="A23" s="1473" t="s">
        <v>126</v>
      </c>
      <c r="B23" s="1477" t="s">
        <v>127</v>
      </c>
      <c r="C23" s="1480">
        <v>1622760</v>
      </c>
      <c r="D23" s="1489">
        <v>582404600.53999996</v>
      </c>
      <c r="E23" s="1486">
        <v>358.9</v>
      </c>
      <c r="F23" s="1486">
        <v>39.5</v>
      </c>
      <c r="G23" s="1489">
        <v>573542600.53999996</v>
      </c>
      <c r="H23" s="1486">
        <v>353.4</v>
      </c>
      <c r="I23" s="1483">
        <v>38.9</v>
      </c>
    </row>
    <row r="25" spans="1:9" ht="14.4">
      <c r="A25" s="295" t="s">
        <v>128</v>
      </c>
      <c r="B25" s="295" t="s">
        <v>909</v>
      </c>
      <c r="C25" s="295"/>
      <c r="D25" s="295"/>
      <c r="E25" s="295"/>
      <c r="F25" s="295"/>
      <c r="G25" s="295"/>
      <c r="H25" s="295"/>
      <c r="I25" s="295"/>
    </row>
    <row r="26" spans="1:9" ht="14.4">
      <c r="A26" s="295"/>
      <c r="B26" s="295" t="s">
        <v>910</v>
      </c>
      <c r="C26" s="295"/>
      <c r="D26" s="295"/>
      <c r="E26" s="295"/>
      <c r="F26" s="295"/>
      <c r="G26" s="295"/>
      <c r="H26" s="295"/>
      <c r="I26" s="295"/>
    </row>
  </sheetData>
  <mergeCells count="11">
    <mergeCell ref="A3:A5"/>
    <mergeCell ref="B3:B5"/>
    <mergeCell ref="C3:C4"/>
    <mergeCell ref="D3:D4"/>
    <mergeCell ref="E3:E4"/>
    <mergeCell ref="G3:G4"/>
    <mergeCell ref="H3:H4"/>
    <mergeCell ref="I3:I4"/>
    <mergeCell ref="D5:E5"/>
    <mergeCell ref="G5:H5"/>
    <mergeCell ref="F3:F4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C5BE-57FE-46A0-B406-764E07C3C1D8}">
  <dimension ref="A1:P106"/>
  <sheetViews>
    <sheetView view="pageBreakPreview" topLeftCell="A13" zoomScaleNormal="100" zoomScaleSheetLayoutView="100" workbookViewId="0">
      <selection activeCell="A35" sqref="A35"/>
    </sheetView>
  </sheetViews>
  <sheetFormatPr defaultColWidth="9.21875" defaultRowHeight="13.8"/>
  <cols>
    <col min="1" max="1" width="30.77734375" style="383" customWidth="1"/>
    <col min="2" max="2" width="15" style="383" bestFit="1" customWidth="1"/>
    <col min="3" max="3" width="15.77734375" style="383" customWidth="1"/>
    <col min="4" max="4" width="14.77734375" style="383" bestFit="1" customWidth="1"/>
    <col min="5" max="5" width="12.21875" style="383" customWidth="1"/>
    <col min="6" max="6" width="11.77734375" style="383" bestFit="1" customWidth="1"/>
    <col min="7" max="7" width="15.77734375" style="383" customWidth="1"/>
    <col min="8" max="8" width="13.5546875" style="383" bestFit="1" customWidth="1"/>
    <col min="9" max="9" width="7.21875" style="383" customWidth="1"/>
    <col min="10" max="11" width="8.77734375" style="383" customWidth="1"/>
    <col min="12" max="12" width="8.21875" style="383" customWidth="1"/>
    <col min="13" max="16384" width="9.21875" style="383"/>
  </cols>
  <sheetData>
    <row r="1" spans="1:11" ht="18">
      <c r="A1" s="444" t="s">
        <v>1047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3" spans="1:11" ht="57.6">
      <c r="A3" s="2455" t="s">
        <v>584</v>
      </c>
      <c r="B3" s="1973" t="s">
        <v>899</v>
      </c>
      <c r="C3" s="1973" t="s">
        <v>900</v>
      </c>
      <c r="D3" s="1805" t="s">
        <v>887</v>
      </c>
      <c r="E3" s="1805" t="s">
        <v>888</v>
      </c>
      <c r="F3" s="1805" t="s">
        <v>889</v>
      </c>
      <c r="G3" s="1805" t="s">
        <v>890</v>
      </c>
      <c r="H3" s="1805" t="s">
        <v>891</v>
      </c>
      <c r="I3" s="1974" t="s">
        <v>585</v>
      </c>
      <c r="J3" s="1973" t="s">
        <v>586</v>
      </c>
      <c r="K3" s="1973" t="s">
        <v>587</v>
      </c>
    </row>
    <row r="4" spans="1:11">
      <c r="A4" s="2455"/>
      <c r="B4" s="2456" t="s">
        <v>163</v>
      </c>
      <c r="C4" s="2457"/>
      <c r="D4" s="2458" t="s">
        <v>597</v>
      </c>
      <c r="E4" s="2459"/>
      <c r="F4" s="2459"/>
      <c r="G4" s="2459"/>
      <c r="H4" s="2460"/>
      <c r="I4" s="2456" t="s">
        <v>169</v>
      </c>
      <c r="J4" s="2464"/>
      <c r="K4" s="2457"/>
    </row>
    <row r="5" spans="1:11">
      <c r="A5" s="1974">
        <v>1</v>
      </c>
      <c r="B5" s="1975">
        <v>2</v>
      </c>
      <c r="C5" s="1975">
        <v>3</v>
      </c>
      <c r="D5" s="2461"/>
      <c r="E5" s="2462"/>
      <c r="F5" s="2462"/>
      <c r="G5" s="2462"/>
      <c r="H5" s="2463"/>
      <c r="I5" s="1975">
        <v>4</v>
      </c>
      <c r="J5" s="1975">
        <v>5</v>
      </c>
      <c r="K5" s="1975">
        <v>6</v>
      </c>
    </row>
    <row r="6" spans="1:11">
      <c r="A6" s="1864" t="s">
        <v>588</v>
      </c>
      <c r="B6" s="1781">
        <f>3107143639.69</f>
        <v>3107143639.6900001</v>
      </c>
      <c r="C6" s="1781">
        <f>2983078916.19</f>
        <v>2983078916.1900001</v>
      </c>
      <c r="D6" s="1954" t="s">
        <v>597</v>
      </c>
      <c r="E6" s="1954" t="s">
        <v>597</v>
      </c>
      <c r="F6" s="1954" t="s">
        <v>597</v>
      </c>
      <c r="G6" s="1954" t="s">
        <v>597</v>
      </c>
      <c r="H6" s="1954" t="s">
        <v>597</v>
      </c>
      <c r="I6" s="1782">
        <f t="shared" ref="I6:I40" si="0">IF($C$6=0,"",100*$C6/$C$6)</f>
        <v>100</v>
      </c>
      <c r="J6" s="1782">
        <f t="shared" ref="J6:J40" si="1">IF(B6=0,"",100*C6/B6)</f>
        <v>96.007113352751915</v>
      </c>
      <c r="K6" s="1782"/>
    </row>
    <row r="7" spans="1:11" ht="26.4">
      <c r="A7" s="1783" t="s">
        <v>589</v>
      </c>
      <c r="B7" s="1781">
        <f>B6-B13</f>
        <v>2446725493.1599998</v>
      </c>
      <c r="C7" s="1781">
        <f>C6-C13</f>
        <v>2389931984</v>
      </c>
      <c r="D7" s="1954" t="s">
        <v>597</v>
      </c>
      <c r="E7" s="1954" t="s">
        <v>597</v>
      </c>
      <c r="F7" s="1954" t="s">
        <v>597</v>
      </c>
      <c r="G7" s="1954" t="s">
        <v>597</v>
      </c>
      <c r="H7" s="1954" t="s">
        <v>597</v>
      </c>
      <c r="I7" s="1782">
        <f t="shared" si="0"/>
        <v>80.116284253466233</v>
      </c>
      <c r="J7" s="1782">
        <f t="shared" si="1"/>
        <v>97.678795217576706</v>
      </c>
      <c r="K7" s="1782">
        <f t="shared" ref="K7:K12" si="2">IF($C$7=0,"",100*$C7/$C$7)</f>
        <v>100</v>
      </c>
    </row>
    <row r="8" spans="1:11" ht="20.399999999999999">
      <c r="A8" s="1784" t="s">
        <v>776</v>
      </c>
      <c r="B8" s="1785">
        <f>0</f>
        <v>0</v>
      </c>
      <c r="C8" s="1787">
        <f>0</f>
        <v>0</v>
      </c>
      <c r="D8" s="1954" t="s">
        <v>597</v>
      </c>
      <c r="E8" s="1954" t="s">
        <v>597</v>
      </c>
      <c r="F8" s="1954" t="s">
        <v>597</v>
      </c>
      <c r="G8" s="1954" t="s">
        <v>597</v>
      </c>
      <c r="H8" s="1954" t="s">
        <v>597</v>
      </c>
      <c r="I8" s="1786">
        <f t="shared" si="0"/>
        <v>0</v>
      </c>
      <c r="J8" s="1786" t="str">
        <f t="shared" si="1"/>
        <v/>
      </c>
      <c r="K8" s="1786">
        <f t="shared" si="2"/>
        <v>0</v>
      </c>
    </row>
    <row r="9" spans="1:11" ht="20.399999999999999">
      <c r="A9" s="1784" t="s">
        <v>777</v>
      </c>
      <c r="B9" s="1785">
        <f>482408538.03</f>
        <v>482408538.02999997</v>
      </c>
      <c r="C9" s="1787">
        <f>473221470.81</f>
        <v>473221470.81</v>
      </c>
      <c r="D9" s="1954" t="s">
        <v>597</v>
      </c>
      <c r="E9" s="1954" t="s">
        <v>597</v>
      </c>
      <c r="F9" s="1954" t="s">
        <v>597</v>
      </c>
      <c r="G9" s="1954" t="s">
        <v>597</v>
      </c>
      <c r="H9" s="1954" t="s">
        <v>597</v>
      </c>
      <c r="I9" s="1786">
        <f t="shared" si="0"/>
        <v>15.863525039236988</v>
      </c>
      <c r="J9" s="1786">
        <f t="shared" si="1"/>
        <v>98.095583619328764</v>
      </c>
      <c r="K9" s="1786">
        <f t="shared" si="2"/>
        <v>19.800625037787686</v>
      </c>
    </row>
    <row r="10" spans="1:11" ht="30.6">
      <c r="A10" s="1784" t="s">
        <v>778</v>
      </c>
      <c r="B10" s="1785">
        <f>976228764.85</f>
        <v>976228764.85000002</v>
      </c>
      <c r="C10" s="1787">
        <f>964013160.98</f>
        <v>964013160.98000002</v>
      </c>
      <c r="D10" s="1954" t="s">
        <v>597</v>
      </c>
      <c r="E10" s="1954" t="s">
        <v>597</v>
      </c>
      <c r="F10" s="1954" t="s">
        <v>597</v>
      </c>
      <c r="G10" s="1954" t="s">
        <v>597</v>
      </c>
      <c r="H10" s="1954" t="s">
        <v>597</v>
      </c>
      <c r="I10" s="1786">
        <f t="shared" si="0"/>
        <v>32.316046208098356</v>
      </c>
      <c r="J10" s="1786">
        <f t="shared" si="1"/>
        <v>98.748694536584665</v>
      </c>
      <c r="K10" s="1786">
        <f t="shared" si="2"/>
        <v>40.336426619411277</v>
      </c>
    </row>
    <row r="11" spans="1:11">
      <c r="A11" s="1784" t="s">
        <v>594</v>
      </c>
      <c r="B11" s="1785">
        <f>88462726.32</f>
        <v>88462726.319999993</v>
      </c>
      <c r="C11" s="1787">
        <f>86368932.25</f>
        <v>86368932.25</v>
      </c>
      <c r="D11" s="1954" t="s">
        <v>597</v>
      </c>
      <c r="E11" s="1954" t="s">
        <v>597</v>
      </c>
      <c r="F11" s="1954" t="s">
        <v>597</v>
      </c>
      <c r="G11" s="1954" t="s">
        <v>597</v>
      </c>
      <c r="H11" s="1954" t="s">
        <v>597</v>
      </c>
      <c r="I11" s="1786">
        <f t="shared" si="0"/>
        <v>2.8952949176520861</v>
      </c>
      <c r="J11" s="1786">
        <f t="shared" si="1"/>
        <v>97.63313413784465</v>
      </c>
      <c r="K11" s="1786">
        <f t="shared" si="2"/>
        <v>3.6138657011253255</v>
      </c>
    </row>
    <row r="12" spans="1:11">
      <c r="A12" s="1784" t="s">
        <v>595</v>
      </c>
      <c r="B12" s="1785">
        <f>B7-SUM(B8:B11)</f>
        <v>899625463.9599998</v>
      </c>
      <c r="C12" s="1785">
        <f>C7-SUM(C8:C11)</f>
        <v>866328419.96000004</v>
      </c>
      <c r="D12" s="1954" t="s">
        <v>597</v>
      </c>
      <c r="E12" s="1954" t="s">
        <v>597</v>
      </c>
      <c r="F12" s="1954" t="s">
        <v>597</v>
      </c>
      <c r="G12" s="1954" t="s">
        <v>597</v>
      </c>
      <c r="H12" s="1954" t="s">
        <v>597</v>
      </c>
      <c r="I12" s="1786">
        <f t="shared" si="0"/>
        <v>29.0414180884788</v>
      </c>
      <c r="J12" s="1786">
        <f t="shared" si="1"/>
        <v>96.298788180868982</v>
      </c>
      <c r="K12" s="1786">
        <f t="shared" si="2"/>
        <v>36.249082641675713</v>
      </c>
    </row>
    <row r="13" spans="1:11" ht="26.4">
      <c r="A13" s="1783" t="s">
        <v>779</v>
      </c>
      <c r="B13" s="1781">
        <f>B14+B33+B35</f>
        <v>660418146.52999997</v>
      </c>
      <c r="C13" s="1781">
        <f>C14+C33+C35</f>
        <v>593146932.19000006</v>
      </c>
      <c r="D13" s="1954" t="s">
        <v>597</v>
      </c>
      <c r="E13" s="1954" t="s">
        <v>597</v>
      </c>
      <c r="F13" s="1954" t="s">
        <v>597</v>
      </c>
      <c r="G13" s="1954" t="s">
        <v>597</v>
      </c>
      <c r="H13" s="1954" t="s">
        <v>597</v>
      </c>
      <c r="I13" s="1782">
        <f t="shared" si="0"/>
        <v>19.883715746533774</v>
      </c>
      <c r="J13" s="1782">
        <f t="shared" si="1"/>
        <v>89.813845259483031</v>
      </c>
      <c r="K13" s="1955"/>
    </row>
    <row r="14" spans="1:11" ht="26.4">
      <c r="A14" s="1789" t="s">
        <v>598</v>
      </c>
      <c r="B14" s="1781">
        <f>B15+B17+B19+B21+B23+B25+B27+B29+B31</f>
        <v>542636794.96000004</v>
      </c>
      <c r="C14" s="1781">
        <f>C15+C17+C19+C21+C23+C25+C27+C29+C31</f>
        <v>498418454.95000005</v>
      </c>
      <c r="D14" s="1954" t="s">
        <v>597</v>
      </c>
      <c r="E14" s="1954" t="s">
        <v>597</v>
      </c>
      <c r="F14" s="1954" t="s">
        <v>597</v>
      </c>
      <c r="G14" s="1954" t="s">
        <v>597</v>
      </c>
      <c r="H14" s="1954" t="s">
        <v>597</v>
      </c>
      <c r="I14" s="1782">
        <f t="shared" si="0"/>
        <v>16.708188718875128</v>
      </c>
      <c r="J14" s="1782">
        <f t="shared" si="1"/>
        <v>91.85120868678662</v>
      </c>
      <c r="K14" s="1788"/>
    </row>
    <row r="15" spans="1:11">
      <c r="A15" s="1790" t="s">
        <v>599</v>
      </c>
      <c r="B15" s="1785">
        <f>0</f>
        <v>0</v>
      </c>
      <c r="C15" s="1785">
        <f>0</f>
        <v>0</v>
      </c>
      <c r="D15" s="1954" t="s">
        <v>597</v>
      </c>
      <c r="E15" s="1954" t="s">
        <v>597</v>
      </c>
      <c r="F15" s="1954" t="s">
        <v>597</v>
      </c>
      <c r="G15" s="1954" t="s">
        <v>597</v>
      </c>
      <c r="H15" s="1954" t="s">
        <v>597</v>
      </c>
      <c r="I15" s="1786">
        <f t="shared" si="0"/>
        <v>0</v>
      </c>
      <c r="J15" s="1786" t="str">
        <f t="shared" si="1"/>
        <v/>
      </c>
      <c r="K15" s="1788"/>
    </row>
    <row r="16" spans="1:11">
      <c r="A16" s="1791" t="s">
        <v>600</v>
      </c>
      <c r="B16" s="1785">
        <f>0</f>
        <v>0</v>
      </c>
      <c r="C16" s="1785">
        <f>0</f>
        <v>0</v>
      </c>
      <c r="D16" s="1954" t="s">
        <v>597</v>
      </c>
      <c r="E16" s="1954" t="s">
        <v>597</v>
      </c>
      <c r="F16" s="1954" t="s">
        <v>597</v>
      </c>
      <c r="G16" s="1954" t="s">
        <v>597</v>
      </c>
      <c r="H16" s="1954" t="s">
        <v>597</v>
      </c>
      <c r="I16" s="1786">
        <f t="shared" si="0"/>
        <v>0</v>
      </c>
      <c r="J16" s="1786" t="str">
        <f t="shared" si="1"/>
        <v/>
      </c>
      <c r="K16" s="1788"/>
    </row>
    <row r="17" spans="1:11">
      <c r="A17" s="1790" t="s">
        <v>601</v>
      </c>
      <c r="B17" s="1785">
        <f>0</f>
        <v>0</v>
      </c>
      <c r="C17" s="1785">
        <f>0</f>
        <v>0</v>
      </c>
      <c r="D17" s="1954" t="s">
        <v>597</v>
      </c>
      <c r="E17" s="1954" t="s">
        <v>597</v>
      </c>
      <c r="F17" s="1954" t="s">
        <v>597</v>
      </c>
      <c r="G17" s="1954" t="s">
        <v>597</v>
      </c>
      <c r="H17" s="1954" t="s">
        <v>597</v>
      </c>
      <c r="I17" s="1786">
        <f t="shared" si="0"/>
        <v>0</v>
      </c>
      <c r="J17" s="1786" t="str">
        <f t="shared" si="1"/>
        <v/>
      </c>
      <c r="K17" s="1788"/>
    </row>
    <row r="18" spans="1:11">
      <c r="A18" s="1791" t="s">
        <v>600</v>
      </c>
      <c r="B18" s="1785">
        <f>0</f>
        <v>0</v>
      </c>
      <c r="C18" s="1785">
        <f>0</f>
        <v>0</v>
      </c>
      <c r="D18" s="1954" t="s">
        <v>597</v>
      </c>
      <c r="E18" s="1954" t="s">
        <v>597</v>
      </c>
      <c r="F18" s="1954" t="s">
        <v>597</v>
      </c>
      <c r="G18" s="1954" t="s">
        <v>597</v>
      </c>
      <c r="H18" s="1954" t="s">
        <v>597</v>
      </c>
      <c r="I18" s="1786">
        <f t="shared" si="0"/>
        <v>0</v>
      </c>
      <c r="J18" s="1786" t="str">
        <f t="shared" si="1"/>
        <v/>
      </c>
      <c r="K18" s="1788"/>
    </row>
    <row r="19" spans="1:11" ht="20.399999999999999">
      <c r="A19" s="1790" t="s">
        <v>602</v>
      </c>
      <c r="B19" s="1785">
        <f>0</f>
        <v>0</v>
      </c>
      <c r="C19" s="1785">
        <f>0</f>
        <v>0</v>
      </c>
      <c r="D19" s="1954" t="s">
        <v>597</v>
      </c>
      <c r="E19" s="1954" t="s">
        <v>597</v>
      </c>
      <c r="F19" s="1954" t="s">
        <v>597</v>
      </c>
      <c r="G19" s="1954" t="s">
        <v>597</v>
      </c>
      <c r="H19" s="1954" t="s">
        <v>597</v>
      </c>
      <c r="I19" s="1786">
        <f t="shared" si="0"/>
        <v>0</v>
      </c>
      <c r="J19" s="1786" t="str">
        <f t="shared" si="1"/>
        <v/>
      </c>
      <c r="K19" s="1788"/>
    </row>
    <row r="20" spans="1:11">
      <c r="A20" s="1791" t="s">
        <v>600</v>
      </c>
      <c r="B20" s="1785">
        <f>0</f>
        <v>0</v>
      </c>
      <c r="C20" s="1785">
        <f>0</f>
        <v>0</v>
      </c>
      <c r="D20" s="1954" t="s">
        <v>597</v>
      </c>
      <c r="E20" s="1954" t="s">
        <v>597</v>
      </c>
      <c r="F20" s="1954" t="s">
        <v>597</v>
      </c>
      <c r="G20" s="1954" t="s">
        <v>597</v>
      </c>
      <c r="H20" s="1954" t="s">
        <v>597</v>
      </c>
      <c r="I20" s="1786">
        <f t="shared" si="0"/>
        <v>0</v>
      </c>
      <c r="J20" s="1786" t="str">
        <f t="shared" si="1"/>
        <v/>
      </c>
      <c r="K20" s="1788"/>
    </row>
    <row r="21" spans="1:11" ht="20.399999999999999">
      <c r="A21" s="1976" t="s">
        <v>603</v>
      </c>
      <c r="B21" s="1785">
        <f>18118425.61</f>
        <v>18118425.609999999</v>
      </c>
      <c r="C21" s="1785">
        <f>16203837.93</f>
        <v>16203837.93</v>
      </c>
      <c r="D21" s="1954" t="s">
        <v>597</v>
      </c>
      <c r="E21" s="1954" t="s">
        <v>597</v>
      </c>
      <c r="F21" s="1954" t="s">
        <v>597</v>
      </c>
      <c r="G21" s="1954" t="s">
        <v>597</v>
      </c>
      <c r="H21" s="1954" t="s">
        <v>597</v>
      </c>
      <c r="I21" s="1786">
        <f t="shared" si="0"/>
        <v>0.54319172858811271</v>
      </c>
      <c r="J21" s="1786">
        <f t="shared" si="1"/>
        <v>89.432924685557154</v>
      </c>
      <c r="K21" s="1788"/>
    </row>
    <row r="22" spans="1:11">
      <c r="A22" s="1791" t="s">
        <v>600</v>
      </c>
      <c r="B22" s="1785">
        <f>1690792</f>
        <v>1690792</v>
      </c>
      <c r="C22" s="1785">
        <f>1677457</f>
        <v>1677457</v>
      </c>
      <c r="D22" s="1954" t="s">
        <v>597</v>
      </c>
      <c r="E22" s="1954" t="s">
        <v>597</v>
      </c>
      <c r="F22" s="1954" t="s">
        <v>597</v>
      </c>
      <c r="G22" s="1954" t="s">
        <v>597</v>
      </c>
      <c r="H22" s="1954" t="s">
        <v>597</v>
      </c>
      <c r="I22" s="1786">
        <f t="shared" si="0"/>
        <v>5.6232404409282427E-2</v>
      </c>
      <c r="J22" s="1786">
        <f t="shared" si="1"/>
        <v>99.211316353519535</v>
      </c>
      <c r="K22" s="1788"/>
    </row>
    <row r="23" spans="1:11" ht="30.6">
      <c r="A23" s="1976" t="s">
        <v>604</v>
      </c>
      <c r="B23" s="1785">
        <f>14955237.78</f>
        <v>14955237.779999999</v>
      </c>
      <c r="C23" s="1785">
        <f>13550508.75</f>
        <v>13550508.75</v>
      </c>
      <c r="D23" s="1954" t="s">
        <v>597</v>
      </c>
      <c r="E23" s="1954" t="s">
        <v>597</v>
      </c>
      <c r="F23" s="1954" t="s">
        <v>597</v>
      </c>
      <c r="G23" s="1954" t="s">
        <v>597</v>
      </c>
      <c r="H23" s="1954" t="s">
        <v>597</v>
      </c>
      <c r="I23" s="1786">
        <f t="shared" si="0"/>
        <v>0.4542457350510446</v>
      </c>
      <c r="J23" s="1786">
        <f t="shared" si="1"/>
        <v>90.607110026170375</v>
      </c>
      <c r="K23" s="1788"/>
    </row>
    <row r="24" spans="1:11">
      <c r="A24" s="1791" t="s">
        <v>600</v>
      </c>
      <c r="B24" s="1785">
        <f>11920973.61</f>
        <v>11920973.609999999</v>
      </c>
      <c r="C24" s="1785">
        <f>10833754.19</f>
        <v>10833754.189999999</v>
      </c>
      <c r="D24" s="1954" t="s">
        <v>597</v>
      </c>
      <c r="E24" s="1954" t="s">
        <v>597</v>
      </c>
      <c r="F24" s="1954" t="s">
        <v>597</v>
      </c>
      <c r="G24" s="1954" t="s">
        <v>597</v>
      </c>
      <c r="H24" s="1954" t="s">
        <v>597</v>
      </c>
      <c r="I24" s="1786">
        <f t="shared" si="0"/>
        <v>0.36317356980407722</v>
      </c>
      <c r="J24" s="1786">
        <f t="shared" si="1"/>
        <v>90.87977663931764</v>
      </c>
      <c r="K24" s="1788"/>
    </row>
    <row r="25" spans="1:11">
      <c r="A25" s="1790" t="s">
        <v>605</v>
      </c>
      <c r="B25" s="1785">
        <f>839238</f>
        <v>839238</v>
      </c>
      <c r="C25" s="1785">
        <f>425106.55</f>
        <v>425106.55</v>
      </c>
      <c r="D25" s="1954" t="s">
        <v>597</v>
      </c>
      <c r="E25" s="1954" t="s">
        <v>597</v>
      </c>
      <c r="F25" s="1954" t="s">
        <v>597</v>
      </c>
      <c r="G25" s="1954" t="s">
        <v>597</v>
      </c>
      <c r="H25" s="1954" t="s">
        <v>597</v>
      </c>
      <c r="I25" s="1786">
        <f t="shared" si="0"/>
        <v>1.4250596847868434E-2</v>
      </c>
      <c r="J25" s="1786">
        <f t="shared" si="1"/>
        <v>50.653872918051853</v>
      </c>
      <c r="K25" s="1788"/>
    </row>
    <row r="26" spans="1:11">
      <c r="A26" s="1791" t="s">
        <v>600</v>
      </c>
      <c r="B26" s="1785">
        <f>128898</f>
        <v>128898</v>
      </c>
      <c r="C26" s="1785">
        <f>128898.49</f>
        <v>128898.49</v>
      </c>
      <c r="D26" s="1954" t="s">
        <v>597</v>
      </c>
      <c r="E26" s="1954" t="s">
        <v>597</v>
      </c>
      <c r="F26" s="1954" t="s">
        <v>597</v>
      </c>
      <c r="G26" s="1954" t="s">
        <v>597</v>
      </c>
      <c r="H26" s="1954" t="s">
        <v>597</v>
      </c>
      <c r="I26" s="1786">
        <f t="shared" si="0"/>
        <v>4.3209882682094664E-3</v>
      </c>
      <c r="J26" s="1786">
        <f t="shared" si="1"/>
        <v>100.00038014554144</v>
      </c>
      <c r="K26" s="1788"/>
    </row>
    <row r="27" spans="1:11" ht="40.799999999999997">
      <c r="A27" s="1790" t="s">
        <v>606</v>
      </c>
      <c r="B27" s="1785">
        <f>297000</f>
        <v>297000</v>
      </c>
      <c r="C27" s="1785">
        <f>297000</f>
        <v>297000</v>
      </c>
      <c r="D27" s="1954" t="s">
        <v>597</v>
      </c>
      <c r="E27" s="1954" t="s">
        <v>597</v>
      </c>
      <c r="F27" s="1954" t="s">
        <v>597</v>
      </c>
      <c r="G27" s="1954" t="s">
        <v>597</v>
      </c>
      <c r="H27" s="1954" t="s">
        <v>597</v>
      </c>
      <c r="I27" s="1786">
        <f t="shared" si="0"/>
        <v>9.9561563184969153E-3</v>
      </c>
      <c r="J27" s="1786">
        <f t="shared" si="1"/>
        <v>100</v>
      </c>
      <c r="K27" s="1788"/>
    </row>
    <row r="28" spans="1:11">
      <c r="A28" s="1791" t="s">
        <v>607</v>
      </c>
      <c r="B28" s="1785">
        <f>297000</f>
        <v>297000</v>
      </c>
      <c r="C28" s="1785">
        <f>297000</f>
        <v>297000</v>
      </c>
      <c r="D28" s="1954" t="s">
        <v>597</v>
      </c>
      <c r="E28" s="1954" t="s">
        <v>597</v>
      </c>
      <c r="F28" s="1954" t="s">
        <v>597</v>
      </c>
      <c r="G28" s="1954" t="s">
        <v>597</v>
      </c>
      <c r="H28" s="1954" t="s">
        <v>597</v>
      </c>
      <c r="I28" s="1786">
        <f t="shared" si="0"/>
        <v>9.9561563184969153E-3</v>
      </c>
      <c r="J28" s="1786">
        <f t="shared" si="1"/>
        <v>100</v>
      </c>
      <c r="K28" s="1788"/>
    </row>
    <row r="29" spans="1:11" ht="20.399999999999999">
      <c r="A29" s="1790" t="s">
        <v>1049</v>
      </c>
      <c r="B29" s="1785">
        <f>508426893.57</f>
        <v>508426893.56999999</v>
      </c>
      <c r="C29" s="1785">
        <f>467942001.72</f>
        <v>467942001.72000003</v>
      </c>
      <c r="D29" s="1954" t="s">
        <v>597</v>
      </c>
      <c r="E29" s="1954" t="s">
        <v>597</v>
      </c>
      <c r="F29" s="1954" t="s">
        <v>597</v>
      </c>
      <c r="G29" s="1954" t="s">
        <v>597</v>
      </c>
      <c r="H29" s="1954" t="s">
        <v>597</v>
      </c>
      <c r="I29" s="1786">
        <f t="shared" si="0"/>
        <v>15.686544502069605</v>
      </c>
      <c r="J29" s="1786">
        <f t="shared" si="1"/>
        <v>92.037224552436854</v>
      </c>
      <c r="K29" s="1788"/>
    </row>
    <row r="30" spans="1:11">
      <c r="A30" s="1791" t="s">
        <v>600</v>
      </c>
      <c r="B30" s="1785">
        <f>508426893.57</f>
        <v>508426893.56999999</v>
      </c>
      <c r="C30" s="1785">
        <f>467942001.72</f>
        <v>467942001.72000003</v>
      </c>
      <c r="D30" s="1954" t="s">
        <v>597</v>
      </c>
      <c r="E30" s="1954" t="s">
        <v>597</v>
      </c>
      <c r="F30" s="1954" t="s">
        <v>597</v>
      </c>
      <c r="G30" s="1954" t="s">
        <v>597</v>
      </c>
      <c r="H30" s="1954" t="s">
        <v>597</v>
      </c>
      <c r="I30" s="1786">
        <f t="shared" si="0"/>
        <v>15.686544502069605</v>
      </c>
      <c r="J30" s="1786">
        <f t="shared" si="1"/>
        <v>92.037224552436854</v>
      </c>
      <c r="K30" s="1788"/>
    </row>
    <row r="31" spans="1:11" ht="20.399999999999999">
      <c r="A31" s="1790" t="s">
        <v>608</v>
      </c>
      <c r="B31" s="1785">
        <f>0</f>
        <v>0</v>
      </c>
      <c r="C31" s="1785">
        <f>0</f>
        <v>0</v>
      </c>
      <c r="D31" s="1954" t="s">
        <v>597</v>
      </c>
      <c r="E31" s="1954" t="s">
        <v>597</v>
      </c>
      <c r="F31" s="1954" t="s">
        <v>597</v>
      </c>
      <c r="G31" s="1954" t="s">
        <v>597</v>
      </c>
      <c r="H31" s="1954" t="s">
        <v>597</v>
      </c>
      <c r="I31" s="1786">
        <f t="shared" si="0"/>
        <v>0</v>
      </c>
      <c r="J31" s="1786" t="str">
        <f t="shared" si="1"/>
        <v/>
      </c>
      <c r="K31" s="1788"/>
    </row>
    <row r="32" spans="1:11">
      <c r="A32" s="1791" t="s">
        <v>600</v>
      </c>
      <c r="B32" s="1785">
        <f>0</f>
        <v>0</v>
      </c>
      <c r="C32" s="1785">
        <f>0</f>
        <v>0</v>
      </c>
      <c r="D32" s="1954" t="s">
        <v>597</v>
      </c>
      <c r="E32" s="1954" t="s">
        <v>597</v>
      </c>
      <c r="F32" s="1954" t="s">
        <v>597</v>
      </c>
      <c r="G32" s="1954" t="s">
        <v>597</v>
      </c>
      <c r="H32" s="1954" t="s">
        <v>597</v>
      </c>
      <c r="I32" s="1786">
        <f t="shared" si="0"/>
        <v>0</v>
      </c>
      <c r="J32" s="1786" t="str">
        <f t="shared" si="1"/>
        <v/>
      </c>
      <c r="K32" s="1788"/>
    </row>
    <row r="33" spans="1:16">
      <c r="A33" s="1789" t="s">
        <v>731</v>
      </c>
      <c r="B33" s="1785">
        <f>24865547.3</f>
        <v>24865547.300000001</v>
      </c>
      <c r="C33" s="1785">
        <f>22107650</f>
        <v>22107650</v>
      </c>
      <c r="D33" s="1954" t="s">
        <v>597</v>
      </c>
      <c r="E33" s="1954" t="s">
        <v>597</v>
      </c>
      <c r="F33" s="1954" t="s">
        <v>597</v>
      </c>
      <c r="G33" s="1954" t="s">
        <v>597</v>
      </c>
      <c r="H33" s="1954" t="s">
        <v>597</v>
      </c>
      <c r="I33" s="1782">
        <f t="shared" si="0"/>
        <v>0.7411017482647082</v>
      </c>
      <c r="J33" s="1782">
        <f t="shared" si="1"/>
        <v>88.908760918365147</v>
      </c>
      <c r="K33" s="1977"/>
      <c r="N33" s="400"/>
      <c r="O33" s="400"/>
      <c r="P33" s="401"/>
    </row>
    <row r="34" spans="1:16">
      <c r="A34" s="1790" t="s">
        <v>732</v>
      </c>
      <c r="B34" s="1785">
        <f>24865547.3</f>
        <v>24865547.300000001</v>
      </c>
      <c r="C34" s="1785">
        <f>22107650</f>
        <v>22107650</v>
      </c>
      <c r="D34" s="1954" t="s">
        <v>597</v>
      </c>
      <c r="E34" s="1954" t="s">
        <v>597</v>
      </c>
      <c r="F34" s="1954" t="s">
        <v>597</v>
      </c>
      <c r="G34" s="1954" t="s">
        <v>597</v>
      </c>
      <c r="H34" s="1954" t="s">
        <v>597</v>
      </c>
      <c r="I34" s="1786">
        <f t="shared" si="0"/>
        <v>0.7411017482647082</v>
      </c>
      <c r="J34" s="1786">
        <f t="shared" si="1"/>
        <v>88.908760918365147</v>
      </c>
      <c r="K34" s="1977"/>
      <c r="N34" s="400"/>
      <c r="O34" s="400"/>
      <c r="P34" s="401"/>
    </row>
    <row r="35" spans="1:16">
      <c r="A35" s="1789" t="s">
        <v>733</v>
      </c>
      <c r="B35" s="1785">
        <f>92915804.27</f>
        <v>92915804.269999996</v>
      </c>
      <c r="C35" s="1785">
        <f>72620827.24</f>
        <v>72620827.239999995</v>
      </c>
      <c r="D35" s="1954" t="s">
        <v>597</v>
      </c>
      <c r="E35" s="1954" t="s">
        <v>597</v>
      </c>
      <c r="F35" s="1954" t="s">
        <v>597</v>
      </c>
      <c r="G35" s="1954" t="s">
        <v>597</v>
      </c>
      <c r="H35" s="1954" t="s">
        <v>597</v>
      </c>
      <c r="I35" s="1786">
        <f t="shared" si="0"/>
        <v>2.4344252793939356</v>
      </c>
      <c r="J35" s="1786">
        <f t="shared" si="1"/>
        <v>78.157669527322057</v>
      </c>
      <c r="K35" s="1977"/>
      <c r="N35" s="400"/>
      <c r="O35" s="400"/>
      <c r="P35" s="401"/>
    </row>
    <row r="36" spans="1:16">
      <c r="A36" s="1790" t="s">
        <v>734</v>
      </c>
      <c r="B36" s="1785">
        <f>71255225.32</f>
        <v>71255225.319999993</v>
      </c>
      <c r="C36" s="1785">
        <f>58426802.34</f>
        <v>58426802.340000004</v>
      </c>
      <c r="D36" s="1954" t="s">
        <v>597</v>
      </c>
      <c r="E36" s="1954" t="s">
        <v>597</v>
      </c>
      <c r="F36" s="1954" t="s">
        <v>597</v>
      </c>
      <c r="G36" s="1954" t="s">
        <v>597</v>
      </c>
      <c r="H36" s="1954" t="s">
        <v>597</v>
      </c>
      <c r="I36" s="1786">
        <f t="shared" si="0"/>
        <v>1.9586073309325298</v>
      </c>
      <c r="J36" s="1786">
        <f t="shared" si="1"/>
        <v>81.996516153883675</v>
      </c>
      <c r="K36" s="1977"/>
      <c r="N36" s="400"/>
      <c r="O36" s="400"/>
      <c r="P36" s="401"/>
    </row>
    <row r="37" spans="1:16">
      <c r="A37" s="1978"/>
      <c r="B37" s="1803"/>
      <c r="C37" s="1803"/>
      <c r="D37" s="1803"/>
      <c r="E37" s="1803"/>
      <c r="F37" s="1803"/>
      <c r="G37" s="1803"/>
      <c r="H37" s="1803"/>
      <c r="I37" s="1803"/>
      <c r="J37" s="1803"/>
      <c r="K37" s="1977"/>
      <c r="N37" s="400"/>
      <c r="O37" s="400"/>
      <c r="P37" s="401"/>
    </row>
    <row r="38" spans="1:16">
      <c r="A38" s="1864" t="s">
        <v>588</v>
      </c>
      <c r="B38" s="1781">
        <f>+B6</f>
        <v>3107143639.6900001</v>
      </c>
      <c r="C38" s="1781">
        <f>+C6</f>
        <v>2983078916.1900001</v>
      </c>
      <c r="D38" s="1979" t="s">
        <v>597</v>
      </c>
      <c r="E38" s="1979" t="s">
        <v>597</v>
      </c>
      <c r="F38" s="1979" t="s">
        <v>597</v>
      </c>
      <c r="G38" s="1979" t="s">
        <v>597</v>
      </c>
      <c r="H38" s="1979" t="s">
        <v>597</v>
      </c>
      <c r="I38" s="1786">
        <f t="shared" si="0"/>
        <v>100</v>
      </c>
      <c r="J38" s="1786">
        <f t="shared" si="1"/>
        <v>96.007113352751915</v>
      </c>
      <c r="K38" s="1977"/>
      <c r="N38" s="400"/>
      <c r="O38" s="400"/>
      <c r="P38" s="401"/>
    </row>
    <row r="39" spans="1:16">
      <c r="A39" s="1864" t="s">
        <v>137</v>
      </c>
      <c r="B39" s="1785">
        <f>718332995.51</f>
        <v>718332995.50999999</v>
      </c>
      <c r="C39" s="1785">
        <f>645963993.65</f>
        <v>645963993.64999998</v>
      </c>
      <c r="D39" s="1979" t="s">
        <v>597</v>
      </c>
      <c r="E39" s="1979" t="s">
        <v>597</v>
      </c>
      <c r="F39" s="1979" t="s">
        <v>597</v>
      </c>
      <c r="G39" s="1979" t="s">
        <v>597</v>
      </c>
      <c r="H39" s="1979" t="s">
        <v>597</v>
      </c>
      <c r="I39" s="1786">
        <f t="shared" si="0"/>
        <v>21.65427103333316</v>
      </c>
      <c r="J39" s="1786">
        <f t="shared" si="1"/>
        <v>89.925424237456937</v>
      </c>
      <c r="K39" s="1977"/>
      <c r="N39" s="400"/>
      <c r="O39" s="400"/>
      <c r="P39" s="401"/>
    </row>
    <row r="40" spans="1:16">
      <c r="A40" s="1864" t="s">
        <v>136</v>
      </c>
      <c r="B40" s="1785">
        <f>B38-B39</f>
        <v>2388810644.1800003</v>
      </c>
      <c r="C40" s="1785">
        <f>C38-C39</f>
        <v>2337114922.54</v>
      </c>
      <c r="D40" s="1979" t="s">
        <v>597</v>
      </c>
      <c r="E40" s="1979" t="s">
        <v>597</v>
      </c>
      <c r="F40" s="1979" t="s">
        <v>597</v>
      </c>
      <c r="G40" s="1979" t="s">
        <v>597</v>
      </c>
      <c r="H40" s="1979" t="s">
        <v>597</v>
      </c>
      <c r="I40" s="1786">
        <f t="shared" si="0"/>
        <v>78.34572896666684</v>
      </c>
      <c r="J40" s="1786">
        <f t="shared" si="1"/>
        <v>97.835922166290175</v>
      </c>
      <c r="K40" s="1977"/>
      <c r="N40" s="400"/>
      <c r="O40" s="400"/>
      <c r="P40" s="401"/>
    </row>
    <row r="41" spans="1:16">
      <c r="A41" s="1874" t="s">
        <v>610</v>
      </c>
      <c r="B41" s="1793"/>
      <c r="C41" s="1794"/>
      <c r="D41" s="1794"/>
      <c r="E41" s="1795"/>
      <c r="F41" s="1795"/>
      <c r="G41" s="1795"/>
      <c r="H41" s="1795"/>
      <c r="I41" s="1795"/>
      <c r="J41" s="1796"/>
      <c r="K41" s="1796"/>
    </row>
    <row r="42" spans="1:16" ht="28.95" customHeight="1">
      <c r="A42" s="1804"/>
      <c r="B42" s="1793"/>
      <c r="C42" s="1794"/>
      <c r="D42" s="1794"/>
      <c r="E42" s="1795"/>
      <c r="F42" s="1795"/>
      <c r="G42" s="1795"/>
      <c r="H42" s="1795"/>
      <c r="I42" s="1795"/>
      <c r="J42" s="1796"/>
      <c r="K42" s="1796"/>
    </row>
    <row r="43" spans="1:16" ht="27.6" customHeight="1">
      <c r="A43" s="2455" t="s">
        <v>584</v>
      </c>
      <c r="B43" s="2468" t="s">
        <v>901</v>
      </c>
      <c r="C43" s="2468" t="s">
        <v>902</v>
      </c>
      <c r="D43" s="2468" t="s">
        <v>903</v>
      </c>
      <c r="E43" s="2468" t="s">
        <v>611</v>
      </c>
      <c r="F43" s="2468"/>
      <c r="G43" s="2468"/>
      <c r="H43" s="2465" t="s">
        <v>904</v>
      </c>
      <c r="I43" s="2468" t="s">
        <v>585</v>
      </c>
      <c r="J43" s="2469" t="s">
        <v>586</v>
      </c>
      <c r="K43" s="1980"/>
    </row>
    <row r="44" spans="1:16">
      <c r="A44" s="2455"/>
      <c r="B44" s="2468"/>
      <c r="C44" s="2468"/>
      <c r="D44" s="2471"/>
      <c r="E44" s="2472" t="s">
        <v>905</v>
      </c>
      <c r="F44" s="2473" t="s">
        <v>612</v>
      </c>
      <c r="G44" s="2471"/>
      <c r="H44" s="2466"/>
      <c r="I44" s="2468"/>
      <c r="J44" s="2469"/>
      <c r="K44" s="1981"/>
    </row>
    <row r="45" spans="1:16" ht="67.95" customHeight="1">
      <c r="A45" s="2455"/>
      <c r="B45" s="2468"/>
      <c r="C45" s="2468"/>
      <c r="D45" s="2471"/>
      <c r="E45" s="2471"/>
      <c r="F45" s="1982" t="s">
        <v>906</v>
      </c>
      <c r="G45" s="1982" t="s">
        <v>907</v>
      </c>
      <c r="H45" s="2467"/>
      <c r="I45" s="2468"/>
      <c r="J45" s="2469"/>
      <c r="K45" s="1981"/>
    </row>
    <row r="46" spans="1:16" ht="11.55" customHeight="1">
      <c r="A46" s="2455"/>
      <c r="B46" s="2456" t="s">
        <v>163</v>
      </c>
      <c r="C46" s="2464"/>
      <c r="D46" s="2464"/>
      <c r="E46" s="2464"/>
      <c r="F46" s="2464"/>
      <c r="G46" s="2464"/>
      <c r="H46" s="2457"/>
      <c r="I46" s="2470" t="s">
        <v>169</v>
      </c>
      <c r="J46" s="2470"/>
      <c r="K46" s="1980"/>
    </row>
    <row r="47" spans="1:16">
      <c r="A47" s="1974">
        <v>1</v>
      </c>
      <c r="B47" s="1975">
        <v>2</v>
      </c>
      <c r="C47" s="1975">
        <v>3</v>
      </c>
      <c r="D47" s="1975">
        <v>4</v>
      </c>
      <c r="E47" s="1974">
        <v>5</v>
      </c>
      <c r="F47" s="1974">
        <v>6</v>
      </c>
      <c r="G47" s="1975">
        <v>7</v>
      </c>
      <c r="H47" s="1983">
        <v>8</v>
      </c>
      <c r="I47" s="1974">
        <v>9</v>
      </c>
      <c r="J47" s="1975">
        <v>10</v>
      </c>
      <c r="K47" s="1980"/>
    </row>
    <row r="48" spans="1:16" ht="26.4">
      <c r="A48" s="1826" t="s">
        <v>613</v>
      </c>
      <c r="B48" s="1810">
        <f>3305350875.53</f>
        <v>3305350875.5300002</v>
      </c>
      <c r="C48" s="1810">
        <f>2923516734.08</f>
        <v>2923516734.0799999</v>
      </c>
      <c r="D48" s="1810">
        <f>5236208614.79</f>
        <v>5236208614.79</v>
      </c>
      <c r="E48" s="1810">
        <f>286806251.55</f>
        <v>286806251.55000001</v>
      </c>
      <c r="F48" s="1810">
        <f>0</f>
        <v>0</v>
      </c>
      <c r="G48" s="1810">
        <f>23776480.01</f>
        <v>23776480.010000002</v>
      </c>
      <c r="H48" s="1811">
        <f>1008095</f>
        <v>1008095</v>
      </c>
      <c r="I48" s="1812">
        <f>IF($C$48=0,"",100*$C48/$C$48)</f>
        <v>100</v>
      </c>
      <c r="J48" s="1812">
        <f>IF(B48=0,"",100*C48/B48)</f>
        <v>88.447999748626543</v>
      </c>
      <c r="K48" s="1832"/>
    </row>
    <row r="49" spans="1:15">
      <c r="A49" s="1783" t="s">
        <v>614</v>
      </c>
      <c r="B49" s="1813">
        <f>874350910.98</f>
        <v>874350910.98000002</v>
      </c>
      <c r="C49" s="1813">
        <f>698558409.05</f>
        <v>698558409.04999995</v>
      </c>
      <c r="D49" s="1813">
        <f>698697891.05</f>
        <v>698697891.04999995</v>
      </c>
      <c r="E49" s="1813">
        <f>30615165.63</f>
        <v>30615165.629999999</v>
      </c>
      <c r="F49" s="1813">
        <f>0</f>
        <v>0</v>
      </c>
      <c r="G49" s="1813">
        <f>0</f>
        <v>0</v>
      </c>
      <c r="H49" s="1814">
        <f>1008095</f>
        <v>1008095</v>
      </c>
      <c r="I49" s="1812">
        <f t="shared" ref="I49:I57" si="3">IF($C$48=0,"",100*$C49/$C$48)</f>
        <v>23.894455636486342</v>
      </c>
      <c r="J49" s="1812">
        <f t="shared" ref="J49:J57" si="4">IF(B49=0,"",100*C49/B49)</f>
        <v>79.894513779031087</v>
      </c>
      <c r="K49" s="1832"/>
    </row>
    <row r="50" spans="1:15">
      <c r="A50" s="1784" t="s">
        <v>615</v>
      </c>
      <c r="B50" s="1785">
        <f>872300751.28</f>
        <v>872300751.27999997</v>
      </c>
      <c r="C50" s="1785">
        <f>696707834.05</f>
        <v>696707834.04999995</v>
      </c>
      <c r="D50" s="1785">
        <f>696847316.05</f>
        <v>696847316.04999995</v>
      </c>
      <c r="E50" s="1785">
        <f>30615165.63</f>
        <v>30615165.629999999</v>
      </c>
      <c r="F50" s="1785">
        <f>0</f>
        <v>0</v>
      </c>
      <c r="G50" s="1785">
        <f>0</f>
        <v>0</v>
      </c>
      <c r="H50" s="1815">
        <f>1008095</f>
        <v>1008095</v>
      </c>
      <c r="I50" s="1812">
        <f t="shared" si="3"/>
        <v>23.831156015915422</v>
      </c>
      <c r="J50" s="1812">
        <f t="shared" si="4"/>
        <v>79.87014031888225</v>
      </c>
      <c r="K50" s="1832"/>
    </row>
    <row r="51" spans="1:15" ht="26.4">
      <c r="A51" s="1783" t="s">
        <v>616</v>
      </c>
      <c r="B51" s="1813">
        <f t="shared" ref="B51:H51" si="5">B48-B49</f>
        <v>2430999964.5500002</v>
      </c>
      <c r="C51" s="1813">
        <f>C48-C49</f>
        <v>2224958325.0299997</v>
      </c>
      <c r="D51" s="1813">
        <f>D48-D49</f>
        <v>4537510723.7399998</v>
      </c>
      <c r="E51" s="1813">
        <f t="shared" si="5"/>
        <v>256191085.92000002</v>
      </c>
      <c r="F51" s="1813">
        <f t="shared" si="5"/>
        <v>0</v>
      </c>
      <c r="G51" s="1813">
        <f t="shared" si="5"/>
        <v>23776480.010000002</v>
      </c>
      <c r="H51" s="1814">
        <f t="shared" si="5"/>
        <v>0</v>
      </c>
      <c r="I51" s="1812">
        <f t="shared" si="3"/>
        <v>76.105544363513644</v>
      </c>
      <c r="J51" s="1812">
        <f t="shared" si="4"/>
        <v>91.524407958675525</v>
      </c>
      <c r="K51" s="1832"/>
    </row>
    <row r="52" spans="1:15" ht="20.399999999999999">
      <c r="A52" s="1784" t="s">
        <v>617</v>
      </c>
      <c r="B52" s="1785">
        <f>278036232.14</f>
        <v>278036232.13999999</v>
      </c>
      <c r="C52" s="1785">
        <f>250728840.82</f>
        <v>250728840.81999999</v>
      </c>
      <c r="D52" s="1785">
        <f>250989556.8</f>
        <v>250989556.80000001</v>
      </c>
      <c r="E52" s="1785">
        <f>21338251.4</f>
        <v>21338251.399999999</v>
      </c>
      <c r="F52" s="1785">
        <f>0</f>
        <v>0</v>
      </c>
      <c r="G52" s="1785">
        <f>0</f>
        <v>0</v>
      </c>
      <c r="H52" s="1815">
        <f>0</f>
        <v>0</v>
      </c>
      <c r="I52" s="1812">
        <f t="shared" si="3"/>
        <v>8.5762752064048549</v>
      </c>
      <c r="J52" s="1812">
        <f t="shared" si="4"/>
        <v>90.178477420076007</v>
      </c>
      <c r="K52" s="1832"/>
    </row>
    <row r="53" spans="1:15">
      <c r="A53" s="1784" t="s">
        <v>571</v>
      </c>
      <c r="B53" s="1816">
        <f>27172753.83</f>
        <v>27172753.829999998</v>
      </c>
      <c r="C53" s="1816">
        <f>25293292.22</f>
        <v>25293292.219999999</v>
      </c>
      <c r="D53" s="1816">
        <f>25293292.22</f>
        <v>25293292.219999999</v>
      </c>
      <c r="E53" s="1816">
        <f>2073.49</f>
        <v>2073.4899999999998</v>
      </c>
      <c r="F53" s="1816">
        <f>0</f>
        <v>0</v>
      </c>
      <c r="G53" s="1816">
        <f>0</f>
        <v>0</v>
      </c>
      <c r="H53" s="1817">
        <f>0</f>
        <v>0</v>
      </c>
      <c r="I53" s="1812">
        <f t="shared" si="3"/>
        <v>0.86516666469362746</v>
      </c>
      <c r="J53" s="1812">
        <f t="shared" si="4"/>
        <v>93.083286214719308</v>
      </c>
      <c r="K53" s="1832"/>
    </row>
    <row r="54" spans="1:15">
      <c r="A54" s="1784" t="s">
        <v>618</v>
      </c>
      <c r="B54" s="1785">
        <f>23996685</f>
        <v>23996685</v>
      </c>
      <c r="C54" s="1785">
        <f>17106161.5</f>
        <v>17106161.5</v>
      </c>
      <c r="D54" s="1785">
        <f>17106161.5</f>
        <v>17106161.5</v>
      </c>
      <c r="E54" s="1785">
        <f>289683.6</f>
        <v>289683.59999999998</v>
      </c>
      <c r="F54" s="1785">
        <f>0</f>
        <v>0</v>
      </c>
      <c r="G54" s="1785">
        <f>0</f>
        <v>0</v>
      </c>
      <c r="H54" s="1815">
        <f>0</f>
        <v>0</v>
      </c>
      <c r="I54" s="1812">
        <f t="shared" si="3"/>
        <v>0.58512274961829935</v>
      </c>
      <c r="J54" s="1812">
        <f t="shared" si="4"/>
        <v>71.285519229010177</v>
      </c>
      <c r="K54" s="1832"/>
    </row>
    <row r="55" spans="1:15" ht="20.399999999999999">
      <c r="A55" s="1784" t="s">
        <v>619</v>
      </c>
      <c r="B55" s="1816">
        <f>0</f>
        <v>0</v>
      </c>
      <c r="C55" s="1816">
        <f>0</f>
        <v>0</v>
      </c>
      <c r="D55" s="1816">
        <f>0</f>
        <v>0</v>
      </c>
      <c r="E55" s="1816">
        <f>0</f>
        <v>0</v>
      </c>
      <c r="F55" s="1816">
        <f>0</f>
        <v>0</v>
      </c>
      <c r="G55" s="1816">
        <f>0</f>
        <v>0</v>
      </c>
      <c r="H55" s="1817">
        <f>0</f>
        <v>0</v>
      </c>
      <c r="I55" s="1812">
        <f t="shared" si="3"/>
        <v>0</v>
      </c>
      <c r="J55" s="1812" t="str">
        <f t="shared" si="4"/>
        <v/>
      </c>
      <c r="K55" s="1832"/>
    </row>
    <row r="56" spans="1:15">
      <c r="A56" s="1784" t="s">
        <v>620</v>
      </c>
      <c r="B56" s="1816">
        <f>2025061</f>
        <v>2025061</v>
      </c>
      <c r="C56" s="1816">
        <f>1532103.79</f>
        <v>1532103.79</v>
      </c>
      <c r="D56" s="1816">
        <f>1532103.79</f>
        <v>1532103.79</v>
      </c>
      <c r="E56" s="1816">
        <f>36238.17</f>
        <v>36238.17</v>
      </c>
      <c r="F56" s="1816">
        <f>0</f>
        <v>0</v>
      </c>
      <c r="G56" s="1816">
        <f>0</f>
        <v>0</v>
      </c>
      <c r="H56" s="1818">
        <f>0</f>
        <v>0</v>
      </c>
      <c r="I56" s="1812">
        <f t="shared" si="3"/>
        <v>5.2406191903742842E-2</v>
      </c>
      <c r="J56" s="1812">
        <f t="shared" si="4"/>
        <v>75.65716736434112</v>
      </c>
      <c r="K56" s="1832"/>
    </row>
    <row r="57" spans="1:15">
      <c r="A57" s="1784" t="s">
        <v>621</v>
      </c>
      <c r="B57" s="1785">
        <f t="shared" ref="B57:H57" si="6">B51-B52-B53-B54-B55-B56</f>
        <v>2099769232.5800004</v>
      </c>
      <c r="C57" s="1785">
        <f>C51-C52-C53-C54-C55-C56</f>
        <v>1930297926.6999998</v>
      </c>
      <c r="D57" s="1959">
        <f>D51-D52-D53-D54-D55-D56</f>
        <v>4242589609.4299998</v>
      </c>
      <c r="E57" s="1959">
        <f t="shared" si="6"/>
        <v>234524839.26000002</v>
      </c>
      <c r="F57" s="1959">
        <f t="shared" si="6"/>
        <v>0</v>
      </c>
      <c r="G57" s="1959">
        <f t="shared" si="6"/>
        <v>23776480.010000002</v>
      </c>
      <c r="H57" s="1960">
        <f t="shared" si="6"/>
        <v>0</v>
      </c>
      <c r="I57" s="1812">
        <f t="shared" si="3"/>
        <v>66.026573550893119</v>
      </c>
      <c r="J57" s="1812">
        <f t="shared" si="4"/>
        <v>91.929050904714416</v>
      </c>
      <c r="K57" s="1832"/>
    </row>
    <row r="58" spans="1:15">
      <c r="A58" s="1826" t="s">
        <v>622</v>
      </c>
      <c r="B58" s="1813">
        <f>B6-B48</f>
        <v>-198207235.84000015</v>
      </c>
      <c r="C58" s="1813">
        <f>C6-C48</f>
        <v>59562182.110000134</v>
      </c>
      <c r="D58" s="1984"/>
      <c r="E58" s="1963"/>
      <c r="F58" s="1963"/>
      <c r="G58" s="1963"/>
      <c r="H58" s="2452"/>
      <c r="I58" s="2452"/>
      <c r="J58" s="1822"/>
      <c r="K58" s="1822"/>
    </row>
    <row r="59" spans="1:15">
      <c r="A59" s="1980"/>
      <c r="B59" s="1980"/>
      <c r="C59" s="1980"/>
      <c r="D59" s="1980"/>
      <c r="E59" s="1980"/>
      <c r="F59" s="1980"/>
      <c r="G59" s="1980"/>
      <c r="H59" s="1980"/>
      <c r="I59" s="1980"/>
      <c r="J59" s="1980"/>
      <c r="K59" s="1980"/>
    </row>
    <row r="60" spans="1:15">
      <c r="A60" s="1980"/>
      <c r="B60" s="1980"/>
      <c r="C60" s="1980"/>
      <c r="D60" s="1980"/>
      <c r="E60" s="1980"/>
      <c r="F60" s="1980"/>
      <c r="G60" s="1980"/>
      <c r="H60" s="1980"/>
      <c r="I60" s="1980"/>
      <c r="J60" s="1980"/>
      <c r="K60" s="1980"/>
      <c r="N60" s="495"/>
      <c r="O60" s="495"/>
    </row>
    <row r="61" spans="1:15">
      <c r="A61" s="2286" t="s">
        <v>860</v>
      </c>
      <c r="B61" s="2287" t="s">
        <v>861</v>
      </c>
      <c r="C61" s="2287"/>
      <c r="D61" s="2287" t="s">
        <v>862</v>
      </c>
      <c r="E61" s="2287"/>
      <c r="F61" s="1827" t="s">
        <v>863</v>
      </c>
      <c r="G61" s="1980"/>
      <c r="H61" s="1980"/>
      <c r="I61" s="1980"/>
      <c r="J61" s="1980"/>
      <c r="K61" s="1980"/>
      <c r="N61" s="495"/>
      <c r="O61" s="495"/>
    </row>
    <row r="62" spans="1:15">
      <c r="A62" s="2286"/>
      <c r="B62" s="1828" t="s">
        <v>864</v>
      </c>
      <c r="C62" s="1828" t="s">
        <v>865</v>
      </c>
      <c r="D62" s="1828" t="s">
        <v>864</v>
      </c>
      <c r="E62" s="1828" t="s">
        <v>865</v>
      </c>
      <c r="F62" s="1828" t="s">
        <v>864</v>
      </c>
      <c r="G62" s="1980"/>
      <c r="H62" s="1980"/>
      <c r="I62" s="1980"/>
      <c r="J62" s="1980"/>
      <c r="K62" s="1980"/>
      <c r="N62" s="495"/>
      <c r="O62" s="495"/>
    </row>
    <row r="63" spans="1:15">
      <c r="A63" s="1829" t="s">
        <v>866</v>
      </c>
      <c r="B63" s="1830">
        <f>8</f>
        <v>8</v>
      </c>
      <c r="C63" s="1831">
        <f>15515723.46</f>
        <v>15515723.460000001</v>
      </c>
      <c r="D63" s="1830">
        <f>136</f>
        <v>136</v>
      </c>
      <c r="E63" s="1831">
        <f>+-213722959.3</f>
        <v>-213722959.30000001</v>
      </c>
      <c r="F63" s="1830">
        <f>118</f>
        <v>118</v>
      </c>
      <c r="G63" s="1980"/>
      <c r="H63" s="1980"/>
      <c r="I63" s="1980"/>
      <c r="J63" s="1980"/>
      <c r="K63" s="1980"/>
      <c r="N63" s="495"/>
      <c r="O63" s="495"/>
    </row>
    <row r="64" spans="1:15">
      <c r="A64" s="1829" t="s">
        <v>867</v>
      </c>
      <c r="B64" s="1830">
        <f>113</f>
        <v>113</v>
      </c>
      <c r="C64" s="1831">
        <f>125682680.62</f>
        <v>125682680.62</v>
      </c>
      <c r="D64" s="1830">
        <f>79</f>
        <v>79</v>
      </c>
      <c r="E64" s="1831">
        <f>+-66120498.51</f>
        <v>-66120498.509999998</v>
      </c>
      <c r="F64" s="1830">
        <f>70</f>
        <v>70</v>
      </c>
      <c r="G64" s="1980"/>
      <c r="H64" s="1980"/>
      <c r="I64" s="1980"/>
      <c r="J64" s="1980"/>
      <c r="K64" s="1980"/>
      <c r="N64" s="495"/>
      <c r="O64" s="495"/>
    </row>
    <row r="65" spans="1:15">
      <c r="A65" s="1832"/>
      <c r="B65" s="1832"/>
      <c r="C65" s="1832"/>
      <c r="D65" s="1832"/>
      <c r="E65" s="1832"/>
      <c r="F65" s="1832"/>
      <c r="G65" s="1980"/>
      <c r="H65" s="1980"/>
      <c r="I65" s="1980"/>
      <c r="J65" s="1980"/>
      <c r="K65" s="1980"/>
      <c r="N65" s="495"/>
      <c r="O65" s="495"/>
    </row>
    <row r="66" spans="1:15">
      <c r="A66" s="2286" t="s">
        <v>868</v>
      </c>
      <c r="B66" s="2287" t="s">
        <v>861</v>
      </c>
      <c r="C66" s="2287"/>
      <c r="D66" s="2287" t="s">
        <v>862</v>
      </c>
      <c r="E66" s="2287"/>
      <c r="F66" s="1827" t="s">
        <v>863</v>
      </c>
      <c r="G66" s="1980"/>
      <c r="H66" s="1980"/>
      <c r="I66" s="1980"/>
      <c r="J66" s="1980"/>
      <c r="K66" s="1980"/>
      <c r="N66" s="495"/>
      <c r="O66" s="495"/>
    </row>
    <row r="67" spans="1:15">
      <c r="A67" s="2286"/>
      <c r="B67" s="1828" t="s">
        <v>864</v>
      </c>
      <c r="C67" s="1828" t="s">
        <v>865</v>
      </c>
      <c r="D67" s="1828" t="s">
        <v>864</v>
      </c>
      <c r="E67" s="1828" t="s">
        <v>865</v>
      </c>
      <c r="F67" s="1828" t="s">
        <v>864</v>
      </c>
      <c r="G67" s="1980"/>
      <c r="H67" s="1980"/>
      <c r="I67" s="1980"/>
      <c r="J67" s="1980"/>
      <c r="K67" s="1980"/>
      <c r="N67" s="495"/>
      <c r="O67" s="495"/>
    </row>
    <row r="68" spans="1:15">
      <c r="A68" s="1829" t="s">
        <v>866</v>
      </c>
      <c r="B68" s="1830">
        <f>43</f>
        <v>43</v>
      </c>
      <c r="C68" s="1831">
        <f>51251683.34</f>
        <v>51251683.340000004</v>
      </c>
      <c r="D68" s="1830">
        <f>113</f>
        <v>113</v>
      </c>
      <c r="E68" s="1831">
        <f>+-93441003.71</f>
        <v>-93441003.709999993</v>
      </c>
      <c r="F68" s="1830">
        <f>106</f>
        <v>106</v>
      </c>
      <c r="G68" s="1980"/>
      <c r="H68" s="1980"/>
      <c r="I68" s="1980"/>
      <c r="J68" s="1980"/>
      <c r="K68" s="1980"/>
      <c r="N68" s="495"/>
      <c r="O68" s="495"/>
    </row>
    <row r="69" spans="1:15">
      <c r="A69" s="1829" t="s">
        <v>867</v>
      </c>
      <c r="B69" s="1830">
        <f>121</f>
        <v>121</v>
      </c>
      <c r="C69" s="1831">
        <f>139125415.1</f>
        <v>139125415.09999999</v>
      </c>
      <c r="D69" s="1830">
        <f>71</f>
        <v>71</v>
      </c>
      <c r="E69" s="1831">
        <f>+-26968817.59</f>
        <v>-26968817.59</v>
      </c>
      <c r="F69" s="1830">
        <f>70</f>
        <v>70</v>
      </c>
      <c r="G69" s="1980"/>
      <c r="H69" s="1980"/>
      <c r="I69" s="1980"/>
      <c r="J69" s="1980"/>
      <c r="K69" s="1980"/>
      <c r="N69" s="495"/>
      <c r="O69" s="495"/>
    </row>
    <row r="70" spans="1:15">
      <c r="A70" s="1980"/>
      <c r="B70" s="1980"/>
      <c r="C70" s="1980"/>
      <c r="D70" s="1980"/>
      <c r="E70" s="1980"/>
      <c r="F70" s="1980"/>
      <c r="G70" s="1980"/>
      <c r="H70" s="1980"/>
      <c r="I70" s="1980"/>
      <c r="J70" s="1980"/>
      <c r="K70" s="1980"/>
      <c r="N70" s="495"/>
      <c r="O70" s="495"/>
    </row>
    <row r="71" spans="1:15">
      <c r="A71" s="1980"/>
      <c r="B71" s="1980"/>
      <c r="C71" s="1980"/>
      <c r="D71" s="1980"/>
      <c r="E71" s="1980"/>
      <c r="F71" s="1980"/>
      <c r="G71" s="1980"/>
      <c r="H71" s="1980"/>
      <c r="I71" s="1980"/>
      <c r="J71" s="1980"/>
      <c r="K71" s="1980"/>
      <c r="N71" s="495"/>
      <c r="O71" s="495"/>
    </row>
    <row r="72" spans="1:15">
      <c r="A72" s="1985" t="s">
        <v>1</v>
      </c>
      <c r="B72" s="1986" t="s">
        <v>627</v>
      </c>
      <c r="C72" s="1986" t="s">
        <v>628</v>
      </c>
      <c r="D72" s="2474" t="s">
        <v>597</v>
      </c>
      <c r="E72" s="2475"/>
      <c r="F72" s="2475"/>
      <c r="G72" s="2475"/>
      <c r="H72" s="2476"/>
      <c r="I72" s="1975" t="s">
        <v>5</v>
      </c>
      <c r="J72" s="1975" t="s">
        <v>4</v>
      </c>
      <c r="K72" s="1980"/>
      <c r="N72" s="495"/>
      <c r="O72" s="495"/>
    </row>
    <row r="73" spans="1:15">
      <c r="A73" s="1985"/>
      <c r="B73" s="2472" t="s">
        <v>163</v>
      </c>
      <c r="C73" s="2483"/>
      <c r="D73" s="2477"/>
      <c r="E73" s="2478"/>
      <c r="F73" s="2478"/>
      <c r="G73" s="2478"/>
      <c r="H73" s="2479"/>
      <c r="I73" s="2453" t="s">
        <v>169</v>
      </c>
      <c r="J73" s="2454"/>
      <c r="K73" s="1980"/>
      <c r="N73" s="495"/>
      <c r="O73" s="495"/>
    </row>
    <row r="74" spans="1:15">
      <c r="A74" s="1982">
        <v>1</v>
      </c>
      <c r="B74" s="1987">
        <v>2</v>
      </c>
      <c r="C74" s="1987">
        <v>3</v>
      </c>
      <c r="D74" s="2480"/>
      <c r="E74" s="2481"/>
      <c r="F74" s="2481"/>
      <c r="G74" s="2481"/>
      <c r="H74" s="2482"/>
      <c r="I74" s="1988">
        <v>4</v>
      </c>
      <c r="J74" s="1988">
        <v>5</v>
      </c>
      <c r="K74" s="1980"/>
      <c r="N74" s="495"/>
      <c r="O74" s="495"/>
    </row>
    <row r="75" spans="1:15" ht="26.4">
      <c r="A75" s="1989" t="s">
        <v>629</v>
      </c>
      <c r="B75" s="1843">
        <f>266681941.53</f>
        <v>266681941.53</v>
      </c>
      <c r="C75" s="1843">
        <f>597103890.96</f>
        <v>597103890.96000004</v>
      </c>
      <c r="D75" s="1970" t="s">
        <v>597</v>
      </c>
      <c r="E75" s="1970" t="s">
        <v>597</v>
      </c>
      <c r="F75" s="1970" t="s">
        <v>597</v>
      </c>
      <c r="G75" s="1970" t="s">
        <v>597</v>
      </c>
      <c r="H75" s="1970" t="s">
        <v>597</v>
      </c>
      <c r="I75" s="1775">
        <f>IF($C$75=0,"",100*$C75/$C$75)</f>
        <v>100</v>
      </c>
      <c r="J75" s="1812">
        <f t="shared" ref="J75:J89" si="7">IF(B75=0,"",100*C75/B75)</f>
        <v>223.90113388792381</v>
      </c>
      <c r="K75" s="1980"/>
      <c r="N75" s="495"/>
      <c r="O75" s="495"/>
    </row>
    <row r="76" spans="1:15" ht="20.399999999999999">
      <c r="A76" s="1844" t="s">
        <v>753</v>
      </c>
      <c r="B76" s="1845">
        <f>45549150.78</f>
        <v>45549150.780000001</v>
      </c>
      <c r="C76" s="1845">
        <f>44127677.46</f>
        <v>44127677.460000001</v>
      </c>
      <c r="D76" s="1990" t="s">
        <v>597</v>
      </c>
      <c r="E76" s="1990" t="s">
        <v>597</v>
      </c>
      <c r="F76" s="1990" t="s">
        <v>597</v>
      </c>
      <c r="G76" s="1990" t="s">
        <v>597</v>
      </c>
      <c r="H76" s="1990" t="s">
        <v>597</v>
      </c>
      <c r="I76" s="1775">
        <f t="shared" ref="I76:I85" si="8">IF($C$75=0,"",100*$C76/$C$75)</f>
        <v>7.3902846938500542</v>
      </c>
      <c r="J76" s="1812">
        <f t="shared" si="7"/>
        <v>96.879253958288615</v>
      </c>
      <c r="K76" s="1980"/>
      <c r="N76" s="495"/>
      <c r="O76" s="495"/>
    </row>
    <row r="77" spans="1:15">
      <c r="A77" s="1846" t="s">
        <v>631</v>
      </c>
      <c r="B77" s="1845">
        <f>0</f>
        <v>0</v>
      </c>
      <c r="C77" s="1845">
        <f>0</f>
        <v>0</v>
      </c>
      <c r="D77" s="1990" t="s">
        <v>597</v>
      </c>
      <c r="E77" s="1990" t="s">
        <v>597</v>
      </c>
      <c r="F77" s="1990" t="s">
        <v>597</v>
      </c>
      <c r="G77" s="1990" t="s">
        <v>597</v>
      </c>
      <c r="H77" s="1990" t="s">
        <v>597</v>
      </c>
      <c r="I77" s="1775">
        <f t="shared" si="8"/>
        <v>0</v>
      </c>
      <c r="J77" s="1812" t="str">
        <f t="shared" si="7"/>
        <v/>
      </c>
      <c r="K77" s="1980"/>
      <c r="N77" s="495"/>
      <c r="O77" s="495"/>
    </row>
    <row r="78" spans="1:15">
      <c r="A78" s="1844" t="s">
        <v>632</v>
      </c>
      <c r="B78" s="1845">
        <f>0</f>
        <v>0</v>
      </c>
      <c r="C78" s="1845">
        <f>0</f>
        <v>0</v>
      </c>
      <c r="D78" s="1990" t="s">
        <v>597</v>
      </c>
      <c r="E78" s="1990" t="s">
        <v>597</v>
      </c>
      <c r="F78" s="1990" t="s">
        <v>597</v>
      </c>
      <c r="G78" s="1990" t="s">
        <v>597</v>
      </c>
      <c r="H78" s="1990" t="s">
        <v>597</v>
      </c>
      <c r="I78" s="1775">
        <f t="shared" si="8"/>
        <v>0</v>
      </c>
      <c r="J78" s="1812" t="str">
        <f t="shared" si="7"/>
        <v/>
      </c>
      <c r="K78" s="1980"/>
      <c r="N78" s="495"/>
      <c r="O78" s="495"/>
    </row>
    <row r="79" spans="1:15" ht="40.799999999999997">
      <c r="A79" s="1844" t="s">
        <v>633</v>
      </c>
      <c r="B79" s="1845">
        <f>114508380.59</f>
        <v>114508380.59</v>
      </c>
      <c r="C79" s="1845">
        <f>391313588.5</f>
        <v>391313588.5</v>
      </c>
      <c r="D79" s="1990" t="s">
        <v>597</v>
      </c>
      <c r="E79" s="1990" t="s">
        <v>597</v>
      </c>
      <c r="F79" s="1990" t="s">
        <v>597</v>
      </c>
      <c r="G79" s="1990" t="s">
        <v>597</v>
      </c>
      <c r="H79" s="1990" t="s">
        <v>597</v>
      </c>
      <c r="I79" s="1775">
        <f t="shared" si="8"/>
        <v>65.535260182421766</v>
      </c>
      <c r="J79" s="1812">
        <f t="shared" si="7"/>
        <v>341.73358009586013</v>
      </c>
      <c r="K79" s="1980"/>
    </row>
    <row r="80" spans="1:15" ht="30.6">
      <c r="A80" s="1844" t="s">
        <v>634</v>
      </c>
      <c r="B80" s="1845">
        <f>44128839.95</f>
        <v>44128839.950000003</v>
      </c>
      <c r="C80" s="1845">
        <f>76287880.53</f>
        <v>76287880.530000001</v>
      </c>
      <c r="D80" s="1990" t="s">
        <v>597</v>
      </c>
      <c r="E80" s="1990" t="s">
        <v>597</v>
      </c>
      <c r="F80" s="1990" t="s">
        <v>597</v>
      </c>
      <c r="G80" s="1990" t="s">
        <v>597</v>
      </c>
      <c r="H80" s="1990" t="s">
        <v>597</v>
      </c>
      <c r="I80" s="1775">
        <f t="shared" si="8"/>
        <v>12.776316095905415</v>
      </c>
      <c r="J80" s="1812">
        <f t="shared" si="7"/>
        <v>172.87533643856867</v>
      </c>
      <c r="K80" s="1980"/>
    </row>
    <row r="81" spans="1:11">
      <c r="A81" s="1844" t="s">
        <v>635</v>
      </c>
      <c r="B81" s="1845">
        <f>0</f>
        <v>0</v>
      </c>
      <c r="C81" s="1845">
        <f>0</f>
        <v>0</v>
      </c>
      <c r="D81" s="1990" t="s">
        <v>597</v>
      </c>
      <c r="E81" s="1990" t="s">
        <v>597</v>
      </c>
      <c r="F81" s="1990" t="s">
        <v>597</v>
      </c>
      <c r="G81" s="1990" t="s">
        <v>597</v>
      </c>
      <c r="H81" s="1990" t="s">
        <v>597</v>
      </c>
      <c r="I81" s="1775">
        <f t="shared" si="8"/>
        <v>0</v>
      </c>
      <c r="J81" s="1812" t="str">
        <f t="shared" si="7"/>
        <v/>
      </c>
      <c r="K81" s="1980"/>
    </row>
    <row r="82" spans="1:11" ht="30.6">
      <c r="A82" s="1844" t="s">
        <v>746</v>
      </c>
      <c r="B82" s="1845">
        <f>55995570.21</f>
        <v>55995570.210000001</v>
      </c>
      <c r="C82" s="1845">
        <f>74848866.5</f>
        <v>74848866.5</v>
      </c>
      <c r="D82" s="1990" t="s">
        <v>597</v>
      </c>
      <c r="E82" s="1990" t="s">
        <v>597</v>
      </c>
      <c r="F82" s="1990" t="s">
        <v>597</v>
      </c>
      <c r="G82" s="1990" t="s">
        <v>597</v>
      </c>
      <c r="H82" s="1990" t="s">
        <v>597</v>
      </c>
      <c r="I82" s="1775">
        <f t="shared" si="8"/>
        <v>12.535317158905286</v>
      </c>
      <c r="J82" s="1812">
        <f t="shared" si="7"/>
        <v>133.66926387086434</v>
      </c>
      <c r="K82" s="1980"/>
    </row>
    <row r="83" spans="1:11" ht="51">
      <c r="A83" s="1844" t="s">
        <v>637</v>
      </c>
      <c r="B83" s="1845">
        <f>0</f>
        <v>0</v>
      </c>
      <c r="C83" s="1845">
        <f>0</f>
        <v>0</v>
      </c>
      <c r="D83" s="1990" t="s">
        <v>597</v>
      </c>
      <c r="E83" s="1990" t="s">
        <v>597</v>
      </c>
      <c r="F83" s="1990" t="s">
        <v>597</v>
      </c>
      <c r="G83" s="1990" t="s">
        <v>597</v>
      </c>
      <c r="H83" s="1990" t="s">
        <v>597</v>
      </c>
      <c r="I83" s="1775">
        <f t="shared" si="8"/>
        <v>0</v>
      </c>
      <c r="J83" s="1812" t="str">
        <f>IF(B83=0,"",100*C83/B83)</f>
        <v/>
      </c>
      <c r="K83" s="1980"/>
    </row>
    <row r="84" spans="1:11">
      <c r="A84" s="1844" t="s">
        <v>644</v>
      </c>
      <c r="B84" s="1845">
        <f>6500000</f>
        <v>6500000</v>
      </c>
      <c r="C84" s="1845">
        <f>10525877.97</f>
        <v>10525877.970000001</v>
      </c>
      <c r="D84" s="1990" t="s">
        <v>597</v>
      </c>
      <c r="E84" s="1990" t="s">
        <v>597</v>
      </c>
      <c r="F84" s="1990" t="s">
        <v>597</v>
      </c>
      <c r="G84" s="1990" t="s">
        <v>597</v>
      </c>
      <c r="H84" s="1990" t="s">
        <v>597</v>
      </c>
      <c r="I84" s="1775">
        <f t="shared" si="8"/>
        <v>1.7628218689174693</v>
      </c>
      <c r="J84" s="1812">
        <f>IF(B84=0,"",100*C84/B84)</f>
        <v>161.93658415384618</v>
      </c>
      <c r="K84" s="1980"/>
    </row>
    <row r="85" spans="1:11" ht="20.399999999999999">
      <c r="A85" s="1846" t="s">
        <v>639</v>
      </c>
      <c r="B85" s="1845">
        <f>5000000</f>
        <v>5000000</v>
      </c>
      <c r="C85" s="1845">
        <f>5273221.55</f>
        <v>5273221.55</v>
      </c>
      <c r="D85" s="1990" t="s">
        <v>597</v>
      </c>
      <c r="E85" s="1990" t="s">
        <v>597</v>
      </c>
      <c r="F85" s="1990" t="s">
        <v>597</v>
      </c>
      <c r="G85" s="1990" t="s">
        <v>597</v>
      </c>
      <c r="H85" s="1990" t="s">
        <v>597</v>
      </c>
      <c r="I85" s="1775">
        <f t="shared" si="8"/>
        <v>0.88313300747746304</v>
      </c>
      <c r="J85" s="1812">
        <f>IF(B85=0,"",100*C85/B85)</f>
        <v>105.464431</v>
      </c>
      <c r="K85" s="1980"/>
    </row>
    <row r="86" spans="1:11" ht="26.4">
      <c r="A86" s="1989" t="s">
        <v>640</v>
      </c>
      <c r="B86" s="1843">
        <f>68464375.69</f>
        <v>68464375.689999998</v>
      </c>
      <c r="C86" s="1843">
        <f>69890957.44</f>
        <v>69890957.439999998</v>
      </c>
      <c r="D86" s="1970" t="s">
        <v>597</v>
      </c>
      <c r="E86" s="1970" t="s">
        <v>597</v>
      </c>
      <c r="F86" s="1970" t="s">
        <v>597</v>
      </c>
      <c r="G86" s="1970" t="s">
        <v>597</v>
      </c>
      <c r="H86" s="1970" t="s">
        <v>597</v>
      </c>
      <c r="I86" s="1775">
        <f t="shared" ref="I86:I91" si="9">IF($C$86=0,"",100*$C86/$C$86)</f>
        <v>100</v>
      </c>
      <c r="J86" s="1812">
        <f t="shared" si="7"/>
        <v>102.08368474206122</v>
      </c>
      <c r="K86" s="1980"/>
    </row>
    <row r="87" spans="1:11" ht="20.399999999999999">
      <c r="A87" s="1844" t="s">
        <v>641</v>
      </c>
      <c r="B87" s="1845">
        <f>35175597.89</f>
        <v>35175597.890000001</v>
      </c>
      <c r="C87" s="1845">
        <f>35171849.21</f>
        <v>35171849.210000001</v>
      </c>
      <c r="D87" s="1990" t="s">
        <v>597</v>
      </c>
      <c r="E87" s="1990" t="s">
        <v>597</v>
      </c>
      <c r="F87" s="1990" t="s">
        <v>597</v>
      </c>
      <c r="G87" s="1990" t="s">
        <v>597</v>
      </c>
      <c r="H87" s="1990" t="s">
        <v>597</v>
      </c>
      <c r="I87" s="1775">
        <f t="shared" si="9"/>
        <v>50.323890955699575</v>
      </c>
      <c r="J87" s="1812">
        <f t="shared" si="7"/>
        <v>99.989342952999053</v>
      </c>
      <c r="K87" s="1980"/>
    </row>
    <row r="88" spans="1:11">
      <c r="A88" s="1846" t="s">
        <v>642</v>
      </c>
      <c r="B88" s="1845">
        <f>0</f>
        <v>0</v>
      </c>
      <c r="C88" s="1845">
        <f>0</f>
        <v>0</v>
      </c>
      <c r="D88" s="1990" t="s">
        <v>597</v>
      </c>
      <c r="E88" s="1990" t="s">
        <v>597</v>
      </c>
      <c r="F88" s="1990" t="s">
        <v>597</v>
      </c>
      <c r="G88" s="1990" t="s">
        <v>597</v>
      </c>
      <c r="H88" s="1990" t="s">
        <v>597</v>
      </c>
      <c r="I88" s="1775">
        <f t="shared" si="9"/>
        <v>0</v>
      </c>
      <c r="J88" s="1812" t="str">
        <f t="shared" si="7"/>
        <v/>
      </c>
      <c r="K88" s="1980"/>
    </row>
    <row r="89" spans="1:11">
      <c r="A89" s="1844" t="s">
        <v>643</v>
      </c>
      <c r="B89" s="1845">
        <f>5683522</f>
        <v>5683522</v>
      </c>
      <c r="C89" s="1845">
        <f>0</f>
        <v>0</v>
      </c>
      <c r="D89" s="1990" t="s">
        <v>597</v>
      </c>
      <c r="E89" s="1990" t="s">
        <v>597</v>
      </c>
      <c r="F89" s="1990" t="s">
        <v>597</v>
      </c>
      <c r="G89" s="1990" t="s">
        <v>597</v>
      </c>
      <c r="H89" s="1990" t="s">
        <v>597</v>
      </c>
      <c r="I89" s="1775">
        <f t="shared" si="9"/>
        <v>0</v>
      </c>
      <c r="J89" s="1812">
        <f t="shared" si="7"/>
        <v>0</v>
      </c>
      <c r="K89" s="1980"/>
    </row>
    <row r="90" spans="1:11">
      <c r="A90" s="1844" t="s">
        <v>644</v>
      </c>
      <c r="B90" s="1845">
        <f>27605255.8</f>
        <v>27605255.800000001</v>
      </c>
      <c r="C90" s="1845">
        <f>34719108.23</f>
        <v>34719108.229999997</v>
      </c>
      <c r="D90" s="1990" t="s">
        <v>597</v>
      </c>
      <c r="E90" s="1990" t="s">
        <v>597</v>
      </c>
      <c r="F90" s="1990" t="s">
        <v>597</v>
      </c>
      <c r="G90" s="1990" t="s">
        <v>597</v>
      </c>
      <c r="H90" s="1990" t="s">
        <v>597</v>
      </c>
      <c r="I90" s="1775">
        <f t="shared" si="9"/>
        <v>49.676109044300418</v>
      </c>
      <c r="J90" s="1812">
        <f>IF(B90=0,"",100*C90/B90)</f>
        <v>125.76992034248781</v>
      </c>
      <c r="K90" s="1980"/>
    </row>
    <row r="91" spans="1:11" ht="20.399999999999999">
      <c r="A91" s="1846" t="s">
        <v>645</v>
      </c>
      <c r="B91" s="1845">
        <f>15167910</f>
        <v>15167910</v>
      </c>
      <c r="C91" s="1845">
        <f>16381684.55</f>
        <v>16381684.550000001</v>
      </c>
      <c r="D91" s="1990" t="s">
        <v>597</v>
      </c>
      <c r="E91" s="1990" t="s">
        <v>597</v>
      </c>
      <c r="F91" s="1990" t="s">
        <v>597</v>
      </c>
      <c r="G91" s="1990" t="s">
        <v>597</v>
      </c>
      <c r="H91" s="1990" t="s">
        <v>597</v>
      </c>
      <c r="I91" s="1775">
        <f t="shared" si="9"/>
        <v>23.438918495376676</v>
      </c>
      <c r="J91" s="1812">
        <f>IF(B91=0,"",100*C91/B91)</f>
        <v>108.00225311199763</v>
      </c>
      <c r="K91" s="1980"/>
    </row>
    <row r="92" spans="1:11">
      <c r="A92" s="1832"/>
      <c r="B92" s="1832"/>
      <c r="C92" s="1832"/>
      <c r="D92" s="1832"/>
      <c r="E92" s="1832"/>
      <c r="F92" s="1832"/>
      <c r="G92" s="1832"/>
      <c r="H92" s="1980"/>
      <c r="I92" s="1980"/>
      <c r="J92" s="1980"/>
      <c r="K92" s="1980"/>
    </row>
    <row r="93" spans="1:11">
      <c r="A93" s="1910" t="s">
        <v>1</v>
      </c>
      <c r="B93" s="1839" t="s">
        <v>627</v>
      </c>
      <c r="C93" s="1807" t="s">
        <v>628</v>
      </c>
      <c r="D93" s="1980"/>
      <c r="E93" s="1980"/>
      <c r="F93" s="1980"/>
      <c r="G93" s="1980"/>
      <c r="H93" s="1980"/>
      <c r="I93" s="1806"/>
      <c r="J93" s="1806"/>
      <c r="K93" s="1806"/>
    </row>
    <row r="94" spans="1:11">
      <c r="A94" s="1910"/>
      <c r="B94" s="2283" t="s">
        <v>163</v>
      </c>
      <c r="C94" s="2284"/>
      <c r="D94" s="1980"/>
      <c r="E94" s="1980"/>
      <c r="F94" s="1980"/>
      <c r="G94" s="1980"/>
      <c r="H94" s="1980"/>
      <c r="I94" s="1806"/>
      <c r="J94" s="1806"/>
      <c r="K94" s="1806"/>
    </row>
    <row r="95" spans="1:11">
      <c r="A95" s="1809">
        <v>1</v>
      </c>
      <c r="B95" s="1840">
        <v>2</v>
      </c>
      <c r="C95" s="1841">
        <v>3</v>
      </c>
      <c r="D95" s="1980"/>
      <c r="E95" s="1980"/>
      <c r="F95" s="1980"/>
      <c r="G95" s="1980"/>
      <c r="H95" s="1980"/>
      <c r="I95" s="1806"/>
      <c r="J95" s="1806"/>
      <c r="K95" s="1806"/>
    </row>
    <row r="96" spans="1:11" ht="30.6">
      <c r="A96" s="1991" t="s">
        <v>756</v>
      </c>
      <c r="B96" s="1845">
        <f>213733289.3</f>
        <v>213733289.30000001</v>
      </c>
      <c r="C96" s="1787">
        <f>66120498.51</f>
        <v>66120498.509999998</v>
      </c>
      <c r="D96" s="1980"/>
      <c r="E96" s="1980"/>
      <c r="F96" s="1980"/>
      <c r="G96" s="1980"/>
      <c r="H96" s="1980"/>
      <c r="I96" s="1806"/>
      <c r="J96" s="1806"/>
      <c r="K96" s="1806"/>
    </row>
    <row r="97" spans="1:11" ht="30.6">
      <c r="A97" s="1848" t="s">
        <v>647</v>
      </c>
      <c r="B97" s="1845">
        <f>0</f>
        <v>0</v>
      </c>
      <c r="C97" s="1787">
        <f>0</f>
        <v>0</v>
      </c>
      <c r="D97" s="1980"/>
      <c r="E97" s="1980"/>
      <c r="F97" s="1980"/>
      <c r="G97" s="1980"/>
      <c r="H97" s="1980"/>
      <c r="I97" s="1806"/>
      <c r="J97" s="1806"/>
      <c r="K97" s="1806"/>
    </row>
    <row r="98" spans="1:11">
      <c r="A98" s="1848" t="s">
        <v>648</v>
      </c>
      <c r="B98" s="1845">
        <f>44390188.78</f>
        <v>44390188.780000001</v>
      </c>
      <c r="C98" s="1787">
        <f>27900707.89</f>
        <v>27900707.890000001</v>
      </c>
      <c r="D98" s="1980"/>
      <c r="E98" s="1980"/>
      <c r="F98" s="1980"/>
      <c r="G98" s="1980"/>
      <c r="H98" s="1980"/>
      <c r="I98" s="1806"/>
      <c r="J98" s="1806"/>
      <c r="K98" s="1806"/>
    </row>
    <row r="99" spans="1:11" ht="20.399999999999999">
      <c r="A99" s="1848" t="s">
        <v>649</v>
      </c>
      <c r="B99" s="1845">
        <f>0</f>
        <v>0</v>
      </c>
      <c r="C99" s="1787">
        <f>0</f>
        <v>0</v>
      </c>
      <c r="D99" s="1980"/>
      <c r="E99" s="1980"/>
      <c r="F99" s="1980"/>
      <c r="G99" s="1980"/>
      <c r="H99" s="1980"/>
      <c r="I99" s="1806"/>
      <c r="J99" s="1806"/>
      <c r="K99" s="1806"/>
    </row>
    <row r="100" spans="1:11" ht="51">
      <c r="A100" s="1848" t="s">
        <v>650</v>
      </c>
      <c r="B100" s="1845">
        <f>107360086.28</f>
        <v>107360086.28</v>
      </c>
      <c r="C100" s="1787">
        <f>26884839.74</f>
        <v>26884839.739999998</v>
      </c>
      <c r="D100" s="1980"/>
      <c r="E100" s="1980"/>
      <c r="F100" s="1980"/>
      <c r="G100" s="1980"/>
      <c r="H100" s="1980"/>
      <c r="I100" s="1806"/>
      <c r="J100" s="1806"/>
      <c r="K100" s="1806"/>
    </row>
    <row r="101" spans="1:11" ht="61.2">
      <c r="A101" s="1848" t="s">
        <v>651</v>
      </c>
      <c r="B101" s="1845">
        <f>21302142.4</f>
        <v>21302142.399999999</v>
      </c>
      <c r="C101" s="1787">
        <f>1771025.03</f>
        <v>1771025.03</v>
      </c>
      <c r="D101" s="1980"/>
      <c r="E101" s="1980"/>
      <c r="F101" s="1980"/>
      <c r="G101" s="1980"/>
      <c r="H101" s="1980"/>
      <c r="I101" s="1806"/>
      <c r="J101" s="1806"/>
      <c r="K101" s="1806"/>
    </row>
    <row r="102" spans="1:11" ht="112.2">
      <c r="A102" s="1848" t="s">
        <v>652</v>
      </c>
      <c r="B102" s="1845">
        <f>37038892.84</f>
        <v>37038892.840000004</v>
      </c>
      <c r="C102" s="1787">
        <f>7749329.94</f>
        <v>7749329.9400000004</v>
      </c>
      <c r="D102" s="1980"/>
      <c r="E102" s="1980"/>
      <c r="F102" s="1980"/>
      <c r="G102" s="1980"/>
      <c r="H102" s="1980"/>
      <c r="I102" s="1806"/>
      <c r="J102" s="1806"/>
      <c r="K102" s="1806"/>
    </row>
    <row r="103" spans="1:11" ht="20.399999999999999">
      <c r="A103" s="1848" t="s">
        <v>653</v>
      </c>
      <c r="B103" s="1845">
        <f>0</f>
        <v>0</v>
      </c>
      <c r="C103" s="1787">
        <f>0</f>
        <v>0</v>
      </c>
      <c r="D103" s="1980"/>
      <c r="E103" s="1980"/>
      <c r="F103" s="1980"/>
      <c r="G103" s="1980"/>
      <c r="H103" s="1980"/>
      <c r="I103" s="1806"/>
      <c r="J103" s="1806"/>
      <c r="K103" s="1806"/>
    </row>
    <row r="104" spans="1:11" ht="20.399999999999999">
      <c r="A104" s="1848" t="s">
        <v>639</v>
      </c>
      <c r="B104" s="1845">
        <f>3641979</f>
        <v>3641979</v>
      </c>
      <c r="C104" s="1787">
        <f>1814595.91</f>
        <v>1814595.91</v>
      </c>
      <c r="D104" s="1980"/>
      <c r="E104" s="1980"/>
      <c r="F104" s="1980"/>
      <c r="G104" s="1980"/>
      <c r="H104" s="1980"/>
      <c r="I104" s="1806"/>
      <c r="J104" s="1806"/>
      <c r="K104" s="1806"/>
    </row>
    <row r="106" spans="1:11">
      <c r="A106" s="2255" t="s">
        <v>884</v>
      </c>
      <c r="B106" s="2255"/>
      <c r="C106" s="2255"/>
      <c r="D106" s="2255"/>
    </row>
  </sheetData>
  <mergeCells count="28">
    <mergeCell ref="E44:E45"/>
    <mergeCell ref="F44:G44"/>
    <mergeCell ref="B46:H46"/>
    <mergeCell ref="B94:C94"/>
    <mergeCell ref="A106:D106"/>
    <mergeCell ref="A61:A62"/>
    <mergeCell ref="D61:E61"/>
    <mergeCell ref="A66:A67"/>
    <mergeCell ref="B66:C66"/>
    <mergeCell ref="D66:E66"/>
    <mergeCell ref="D72:H74"/>
    <mergeCell ref="B73:C73"/>
    <mergeCell ref="I73:J73"/>
    <mergeCell ref="A3:A4"/>
    <mergeCell ref="B4:C4"/>
    <mergeCell ref="D4:H5"/>
    <mergeCell ref="I4:K4"/>
    <mergeCell ref="B61:C61"/>
    <mergeCell ref="H43:H45"/>
    <mergeCell ref="I43:I45"/>
    <mergeCell ref="J43:J45"/>
    <mergeCell ref="I46:J46"/>
    <mergeCell ref="H58:I58"/>
    <mergeCell ref="A43:A46"/>
    <mergeCell ref="B43:B45"/>
    <mergeCell ref="C43:C45"/>
    <mergeCell ref="D43:D45"/>
    <mergeCell ref="E43:G4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" manualBreakCount="1">
    <brk id="92" max="10" man="1"/>
  </rowBreak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F1B4-3187-46D6-9F40-04398946D740}">
  <sheetPr>
    <pageSetUpPr fitToPage="1"/>
  </sheetPr>
  <dimension ref="A1:Q66"/>
  <sheetViews>
    <sheetView view="pageBreakPreview" zoomScaleNormal="100" zoomScaleSheetLayoutView="100" workbookViewId="0">
      <selection activeCell="D23" sqref="D23"/>
    </sheetView>
  </sheetViews>
  <sheetFormatPr defaultColWidth="9.21875" defaultRowHeight="13.8"/>
  <cols>
    <col min="1" max="1" width="22.5546875" style="431" customWidth="1"/>
    <col min="2" max="2" width="10.5546875" style="431" customWidth="1"/>
    <col min="3" max="3" width="11.77734375" style="431" customWidth="1"/>
    <col min="4" max="4" width="11.44140625" style="431" customWidth="1"/>
    <col min="5" max="7" width="9.77734375" style="431" bestFit="1" customWidth="1"/>
    <col min="8" max="9" width="9.21875" style="431" bestFit="1" customWidth="1"/>
    <col min="10" max="10" width="11.21875" style="431" bestFit="1" customWidth="1"/>
    <col min="11" max="11" width="9.44140625" style="431" customWidth="1"/>
    <col min="12" max="12" width="11.21875" style="431" customWidth="1"/>
    <col min="13" max="13" width="11.77734375" style="431" customWidth="1"/>
    <col min="14" max="14" width="10.21875" style="431" customWidth="1"/>
    <col min="15" max="15" width="6.21875" style="431" bestFit="1" customWidth="1"/>
    <col min="16" max="16" width="6.44140625" style="431" customWidth="1"/>
    <col min="17" max="17" width="7.77734375" style="43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432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432"/>
      <c r="O2" s="432"/>
      <c r="P2" s="432"/>
      <c r="Q2" s="432"/>
    </row>
    <row r="3" spans="1:17">
      <c r="A3" s="2332" t="s">
        <v>1</v>
      </c>
      <c r="B3" s="2339" t="s">
        <v>655</v>
      </c>
      <c r="C3" s="2344" t="s">
        <v>656</v>
      </c>
      <c r="D3" s="2345"/>
      <c r="E3" s="2345"/>
      <c r="F3" s="2345"/>
      <c r="G3" s="2345"/>
      <c r="H3" s="2345"/>
      <c r="I3" s="2345"/>
      <c r="J3" s="2345"/>
      <c r="K3" s="2345"/>
      <c r="L3" s="2345"/>
      <c r="M3" s="2345"/>
      <c r="N3" s="2346"/>
      <c r="O3" s="2344" t="s">
        <v>657</v>
      </c>
      <c r="P3" s="2345"/>
      <c r="Q3" s="2346"/>
    </row>
    <row r="4" spans="1:17">
      <c r="A4" s="2333"/>
      <c r="B4" s="2340"/>
      <c r="C4" s="2341" t="s">
        <v>658</v>
      </c>
      <c r="D4" s="2341" t="s">
        <v>659</v>
      </c>
      <c r="E4" s="2341" t="s">
        <v>660</v>
      </c>
      <c r="F4" s="2341" t="s">
        <v>661</v>
      </c>
      <c r="G4" s="2341" t="s">
        <v>662</v>
      </c>
      <c r="H4" s="2341" t="s">
        <v>663</v>
      </c>
      <c r="I4" s="2410" t="s">
        <v>664</v>
      </c>
      <c r="J4" s="2341" t="s">
        <v>665</v>
      </c>
      <c r="K4" s="2341" t="s">
        <v>666</v>
      </c>
      <c r="L4" s="2341" t="s">
        <v>667</v>
      </c>
      <c r="M4" s="2341" t="s">
        <v>668</v>
      </c>
      <c r="N4" s="234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33"/>
      <c r="B5" s="2340"/>
      <c r="C5" s="2338"/>
      <c r="D5" s="2338"/>
      <c r="E5" s="2338"/>
      <c r="F5" s="2338"/>
      <c r="G5" s="2338"/>
      <c r="H5" s="2338"/>
      <c r="I5" s="2410"/>
      <c r="J5" s="2338"/>
      <c r="K5" s="2338"/>
      <c r="L5" s="2338"/>
      <c r="M5" s="2338"/>
      <c r="N5" s="2340"/>
      <c r="O5" s="2338"/>
      <c r="P5" s="2338"/>
      <c r="Q5" s="2338"/>
    </row>
    <row r="6" spans="1:17">
      <c r="A6" s="2333"/>
      <c r="B6" s="2340"/>
      <c r="C6" s="2338"/>
      <c r="D6" s="2338"/>
      <c r="E6" s="2338"/>
      <c r="F6" s="2338"/>
      <c r="G6" s="2338"/>
      <c r="H6" s="2338"/>
      <c r="I6" s="2410"/>
      <c r="J6" s="2338"/>
      <c r="K6" s="2338"/>
      <c r="L6" s="2338"/>
      <c r="M6" s="2338"/>
      <c r="N6" s="2340"/>
      <c r="O6" s="2338"/>
      <c r="P6" s="2338"/>
      <c r="Q6" s="2338"/>
    </row>
    <row r="7" spans="1:17" ht="24.6" customHeight="1">
      <c r="A7" s="2334"/>
      <c r="B7" s="2341"/>
      <c r="C7" s="2338"/>
      <c r="D7" s="2338"/>
      <c r="E7" s="2338"/>
      <c r="F7" s="2338"/>
      <c r="G7" s="2338"/>
      <c r="H7" s="2338"/>
      <c r="I7" s="2411"/>
      <c r="J7" s="2338"/>
      <c r="K7" s="2338"/>
      <c r="L7" s="2338"/>
      <c r="M7" s="2338"/>
      <c r="N7" s="234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>
      <c r="A9" s="2074"/>
      <c r="B9" s="2304" t="s">
        <v>163</v>
      </c>
      <c r="C9" s="2318"/>
      <c r="D9" s="2318"/>
      <c r="E9" s="2318"/>
      <c r="F9" s="2318"/>
      <c r="G9" s="2318"/>
      <c r="H9" s="2318"/>
      <c r="I9" s="2318"/>
      <c r="J9" s="2318"/>
      <c r="K9" s="2318"/>
      <c r="L9" s="2318"/>
      <c r="M9" s="2318"/>
      <c r="N9" s="2318"/>
      <c r="O9" s="2318"/>
      <c r="P9" s="2318"/>
      <c r="Q9" s="2319"/>
    </row>
    <row r="10" spans="1:17" ht="30.6">
      <c r="A10" s="1914" t="s">
        <v>775</v>
      </c>
      <c r="B10" s="1971">
        <f>307948699.06</f>
        <v>307948699.06</v>
      </c>
      <c r="C10" s="1971">
        <f>307948699.06</f>
        <v>307948699.06</v>
      </c>
      <c r="D10" s="1971">
        <f>135296028.05</f>
        <v>135296028.05000001</v>
      </c>
      <c r="E10" s="1971">
        <f>0</f>
        <v>0</v>
      </c>
      <c r="F10" s="1971">
        <f>97594784.28</f>
        <v>97594784.280000001</v>
      </c>
      <c r="G10" s="1971">
        <f>37701243.77</f>
        <v>37701243.770000003</v>
      </c>
      <c r="H10" s="1971">
        <f>0</f>
        <v>0</v>
      </c>
      <c r="I10" s="1971">
        <f>0</f>
        <v>0</v>
      </c>
      <c r="J10" s="1971">
        <f>143743691</f>
        <v>143743691</v>
      </c>
      <c r="K10" s="1971">
        <f>5132500</f>
        <v>5132500</v>
      </c>
      <c r="L10" s="1971">
        <f>23776480.01</f>
        <v>23776480.010000002</v>
      </c>
      <c r="M10" s="1971">
        <f>0</f>
        <v>0</v>
      </c>
      <c r="N10" s="1971">
        <f>0</f>
        <v>0</v>
      </c>
      <c r="O10" s="1971">
        <f>0</f>
        <v>0</v>
      </c>
      <c r="P10" s="1971">
        <f>0</f>
        <v>0</v>
      </c>
      <c r="Q10" s="1971">
        <f>0</f>
        <v>0</v>
      </c>
    </row>
    <row r="11" spans="1:17" ht="20.399999999999999">
      <c r="A11" s="1914" t="s">
        <v>749</v>
      </c>
      <c r="B11" s="1971">
        <f>0</f>
        <v>0</v>
      </c>
      <c r="C11" s="1971">
        <f>0</f>
        <v>0</v>
      </c>
      <c r="D11" s="1971">
        <f>0</f>
        <v>0</v>
      </c>
      <c r="E11" s="1971">
        <f>0</f>
        <v>0</v>
      </c>
      <c r="F11" s="1971">
        <f>0</f>
        <v>0</v>
      </c>
      <c r="G11" s="1971">
        <f>0</f>
        <v>0</v>
      </c>
      <c r="H11" s="1971">
        <f>0</f>
        <v>0</v>
      </c>
      <c r="I11" s="1971">
        <f>0</f>
        <v>0</v>
      </c>
      <c r="J11" s="1971">
        <f>0</f>
        <v>0</v>
      </c>
      <c r="K11" s="1971">
        <f>0</f>
        <v>0</v>
      </c>
      <c r="L11" s="1971">
        <f>0</f>
        <v>0</v>
      </c>
      <c r="M11" s="1971">
        <f>0</f>
        <v>0</v>
      </c>
      <c r="N11" s="1971">
        <f>0</f>
        <v>0</v>
      </c>
      <c r="O11" s="1971">
        <f>0</f>
        <v>0</v>
      </c>
      <c r="P11" s="1971">
        <f>0</f>
        <v>0</v>
      </c>
      <c r="Q11" s="1971">
        <f>0</f>
        <v>0</v>
      </c>
    </row>
    <row r="12" spans="1:17">
      <c r="A12" s="1914" t="s">
        <v>675</v>
      </c>
      <c r="B12" s="1971">
        <f>0</f>
        <v>0</v>
      </c>
      <c r="C12" s="1971">
        <f>0</f>
        <v>0</v>
      </c>
      <c r="D12" s="1971">
        <f>0</f>
        <v>0</v>
      </c>
      <c r="E12" s="1971">
        <f>0</f>
        <v>0</v>
      </c>
      <c r="F12" s="1971">
        <f>0</f>
        <v>0</v>
      </c>
      <c r="G12" s="1971">
        <f>0</f>
        <v>0</v>
      </c>
      <c r="H12" s="1971">
        <f>0</f>
        <v>0</v>
      </c>
      <c r="I12" s="1971">
        <f>0</f>
        <v>0</v>
      </c>
      <c r="J12" s="1971">
        <f>0</f>
        <v>0</v>
      </c>
      <c r="K12" s="1971">
        <f>0</f>
        <v>0</v>
      </c>
      <c r="L12" s="1971">
        <f>0</f>
        <v>0</v>
      </c>
      <c r="M12" s="1971">
        <f>0</f>
        <v>0</v>
      </c>
      <c r="N12" s="1971">
        <f>0</f>
        <v>0</v>
      </c>
      <c r="O12" s="1971">
        <f>0</f>
        <v>0</v>
      </c>
      <c r="P12" s="1971">
        <f>0</f>
        <v>0</v>
      </c>
      <c r="Q12" s="1971">
        <f>0</f>
        <v>0</v>
      </c>
    </row>
    <row r="13" spans="1:17">
      <c r="A13" s="1914" t="s">
        <v>676</v>
      </c>
      <c r="B13" s="1971">
        <f>0</f>
        <v>0</v>
      </c>
      <c r="C13" s="1971">
        <f>0</f>
        <v>0</v>
      </c>
      <c r="D13" s="1971">
        <f>0</f>
        <v>0</v>
      </c>
      <c r="E13" s="1971">
        <f>0</f>
        <v>0</v>
      </c>
      <c r="F13" s="1971">
        <f>0</f>
        <v>0</v>
      </c>
      <c r="G13" s="1971">
        <f>0</f>
        <v>0</v>
      </c>
      <c r="H13" s="1971">
        <f>0</f>
        <v>0</v>
      </c>
      <c r="I13" s="1971">
        <f>0</f>
        <v>0</v>
      </c>
      <c r="J13" s="1971">
        <f>0</f>
        <v>0</v>
      </c>
      <c r="K13" s="1971">
        <f>0</f>
        <v>0</v>
      </c>
      <c r="L13" s="1971">
        <f>0</f>
        <v>0</v>
      </c>
      <c r="M13" s="1971">
        <f>0</f>
        <v>0</v>
      </c>
      <c r="N13" s="1971">
        <f>0</f>
        <v>0</v>
      </c>
      <c r="O13" s="1971">
        <f>0</f>
        <v>0</v>
      </c>
      <c r="P13" s="1971">
        <f>0</f>
        <v>0</v>
      </c>
      <c r="Q13" s="1971">
        <f>0</f>
        <v>0</v>
      </c>
    </row>
    <row r="14" spans="1:17" ht="20.399999999999999">
      <c r="A14" s="1914" t="s">
        <v>750</v>
      </c>
      <c r="B14" s="1971">
        <f>284099789.59</f>
        <v>284099789.58999997</v>
      </c>
      <c r="C14" s="1971">
        <f>284099789.59</f>
        <v>284099789.58999997</v>
      </c>
      <c r="D14" s="1971">
        <f>135223598.59</f>
        <v>135223598.59</v>
      </c>
      <c r="E14" s="1971">
        <f>0</f>
        <v>0</v>
      </c>
      <c r="F14" s="1971">
        <f>97522354.82</f>
        <v>97522354.819999993</v>
      </c>
      <c r="G14" s="1971">
        <f>37701243.77</f>
        <v>37701243.770000003</v>
      </c>
      <c r="H14" s="1971">
        <f>0</f>
        <v>0</v>
      </c>
      <c r="I14" s="1971">
        <f>0</f>
        <v>0</v>
      </c>
      <c r="J14" s="1971">
        <f>143743691</f>
        <v>143743691</v>
      </c>
      <c r="K14" s="1971">
        <f>5132500</f>
        <v>5132500</v>
      </c>
      <c r="L14" s="1971">
        <f>0</f>
        <v>0</v>
      </c>
      <c r="M14" s="1971">
        <f>0</f>
        <v>0</v>
      </c>
      <c r="N14" s="1971">
        <f>0</f>
        <v>0</v>
      </c>
      <c r="O14" s="1971">
        <f>0</f>
        <v>0</v>
      </c>
      <c r="P14" s="1971">
        <f>0</f>
        <v>0</v>
      </c>
      <c r="Q14" s="1971">
        <f>0</f>
        <v>0</v>
      </c>
    </row>
    <row r="15" spans="1:17">
      <c r="A15" s="1914" t="s">
        <v>678</v>
      </c>
      <c r="B15" s="1971">
        <f>27000000</f>
        <v>27000000</v>
      </c>
      <c r="C15" s="1971">
        <f>27000000</f>
        <v>27000000</v>
      </c>
      <c r="D15" s="1971">
        <f>0</f>
        <v>0</v>
      </c>
      <c r="E15" s="1971">
        <f>0</f>
        <v>0</v>
      </c>
      <c r="F15" s="1971">
        <f>0</f>
        <v>0</v>
      </c>
      <c r="G15" s="1971">
        <f>0</f>
        <v>0</v>
      </c>
      <c r="H15" s="1971">
        <f>0</f>
        <v>0</v>
      </c>
      <c r="I15" s="1971">
        <f>0</f>
        <v>0</v>
      </c>
      <c r="J15" s="1971">
        <f>27000000</f>
        <v>27000000</v>
      </c>
      <c r="K15" s="1971">
        <f>0</f>
        <v>0</v>
      </c>
      <c r="L15" s="1971">
        <f>0</f>
        <v>0</v>
      </c>
      <c r="M15" s="1971">
        <f>0</f>
        <v>0</v>
      </c>
      <c r="N15" s="1971">
        <f>0</f>
        <v>0</v>
      </c>
      <c r="O15" s="1971">
        <f>0</f>
        <v>0</v>
      </c>
      <c r="P15" s="1971">
        <f>0</f>
        <v>0</v>
      </c>
      <c r="Q15" s="1971">
        <f>0</f>
        <v>0</v>
      </c>
    </row>
    <row r="16" spans="1:17">
      <c r="A16" s="1914" t="s">
        <v>679</v>
      </c>
      <c r="B16" s="1971">
        <f>257099789.59</f>
        <v>257099789.59</v>
      </c>
      <c r="C16" s="1971">
        <f>257099789.59</f>
        <v>257099789.59</v>
      </c>
      <c r="D16" s="1971">
        <f>135223598.59</f>
        <v>135223598.59</v>
      </c>
      <c r="E16" s="1971">
        <f>0</f>
        <v>0</v>
      </c>
      <c r="F16" s="1971">
        <f>97522354.82</f>
        <v>97522354.819999993</v>
      </c>
      <c r="G16" s="1971">
        <f>37701243.77</f>
        <v>37701243.770000003</v>
      </c>
      <c r="H16" s="1971">
        <f>0</f>
        <v>0</v>
      </c>
      <c r="I16" s="1971">
        <f>0</f>
        <v>0</v>
      </c>
      <c r="J16" s="1971">
        <f>116743691</f>
        <v>116743691</v>
      </c>
      <c r="K16" s="1971">
        <f>5132500</f>
        <v>5132500</v>
      </c>
      <c r="L16" s="1971">
        <f>0</f>
        <v>0</v>
      </c>
      <c r="M16" s="1971">
        <f>0</f>
        <v>0</v>
      </c>
      <c r="N16" s="1971">
        <f>0</f>
        <v>0</v>
      </c>
      <c r="O16" s="1971">
        <f>0</f>
        <v>0</v>
      </c>
      <c r="P16" s="1971">
        <f>0</f>
        <v>0</v>
      </c>
      <c r="Q16" s="1971">
        <f>0</f>
        <v>0</v>
      </c>
    </row>
    <row r="17" spans="1:17">
      <c r="A17" s="1914" t="s">
        <v>680</v>
      </c>
      <c r="B17" s="1971">
        <f>0</f>
        <v>0</v>
      </c>
      <c r="C17" s="1971">
        <f>0</f>
        <v>0</v>
      </c>
      <c r="D17" s="1971">
        <f>0</f>
        <v>0</v>
      </c>
      <c r="E17" s="1971">
        <f>0</f>
        <v>0</v>
      </c>
      <c r="F17" s="1971">
        <f>0</f>
        <v>0</v>
      </c>
      <c r="G17" s="1971">
        <f>0</f>
        <v>0</v>
      </c>
      <c r="H17" s="1971">
        <f>0</f>
        <v>0</v>
      </c>
      <c r="I17" s="1971">
        <f>0</f>
        <v>0</v>
      </c>
      <c r="J17" s="1971">
        <f>0</f>
        <v>0</v>
      </c>
      <c r="K17" s="1971">
        <f>0</f>
        <v>0</v>
      </c>
      <c r="L17" s="1971">
        <f>0</f>
        <v>0</v>
      </c>
      <c r="M17" s="1971">
        <f>0</f>
        <v>0</v>
      </c>
      <c r="N17" s="1971">
        <f>0</f>
        <v>0</v>
      </c>
      <c r="O17" s="1971">
        <f>0</f>
        <v>0</v>
      </c>
      <c r="P17" s="1971">
        <f>0</f>
        <v>0</v>
      </c>
      <c r="Q17" s="1971">
        <f>0</f>
        <v>0</v>
      </c>
    </row>
    <row r="18" spans="1:17" ht="20.399999999999999">
      <c r="A18" s="1914" t="s">
        <v>681</v>
      </c>
      <c r="B18" s="1971">
        <f>23848909.47</f>
        <v>23848909.469999999</v>
      </c>
      <c r="C18" s="1971">
        <f>23848909.47</f>
        <v>23848909.469999999</v>
      </c>
      <c r="D18" s="1971">
        <f>72429.46</f>
        <v>72429.460000000006</v>
      </c>
      <c r="E18" s="1971">
        <f>0</f>
        <v>0</v>
      </c>
      <c r="F18" s="1971">
        <f>72429.46</f>
        <v>72429.460000000006</v>
      </c>
      <c r="G18" s="1971">
        <f>0</f>
        <v>0</v>
      </c>
      <c r="H18" s="1971">
        <f>0</f>
        <v>0</v>
      </c>
      <c r="I18" s="1971">
        <f>0</f>
        <v>0</v>
      </c>
      <c r="J18" s="1971">
        <f>0</f>
        <v>0</v>
      </c>
      <c r="K18" s="1971">
        <f>0</f>
        <v>0</v>
      </c>
      <c r="L18" s="1971">
        <f>23776480.01</f>
        <v>23776480.010000002</v>
      </c>
      <c r="M18" s="1971">
        <f>0</f>
        <v>0</v>
      </c>
      <c r="N18" s="1971">
        <f>0</f>
        <v>0</v>
      </c>
      <c r="O18" s="1971">
        <f>0</f>
        <v>0</v>
      </c>
      <c r="P18" s="1971">
        <f>0</f>
        <v>0</v>
      </c>
      <c r="Q18" s="1971">
        <f>0</f>
        <v>0</v>
      </c>
    </row>
    <row r="19" spans="1:17" ht="20.399999999999999">
      <c r="A19" s="1914" t="s">
        <v>682</v>
      </c>
      <c r="B19" s="1971">
        <f>23776480.01</f>
        <v>23776480.010000002</v>
      </c>
      <c r="C19" s="1971">
        <f>23776480.01</f>
        <v>23776480.010000002</v>
      </c>
      <c r="D19" s="1971">
        <f>0</f>
        <v>0</v>
      </c>
      <c r="E19" s="1971">
        <f>0</f>
        <v>0</v>
      </c>
      <c r="F19" s="1971">
        <f>0</f>
        <v>0</v>
      </c>
      <c r="G19" s="1971">
        <f>0</f>
        <v>0</v>
      </c>
      <c r="H19" s="1971">
        <f>0</f>
        <v>0</v>
      </c>
      <c r="I19" s="1971">
        <f>0</f>
        <v>0</v>
      </c>
      <c r="J19" s="1971">
        <f>0</f>
        <v>0</v>
      </c>
      <c r="K19" s="1971">
        <f>0</f>
        <v>0</v>
      </c>
      <c r="L19" s="1971">
        <f>23776480.01</f>
        <v>23776480.010000002</v>
      </c>
      <c r="M19" s="1971">
        <f>0</f>
        <v>0</v>
      </c>
      <c r="N19" s="1971">
        <f>0</f>
        <v>0</v>
      </c>
      <c r="O19" s="1971">
        <f>0</f>
        <v>0</v>
      </c>
      <c r="P19" s="1971">
        <f>0</f>
        <v>0</v>
      </c>
      <c r="Q19" s="1971">
        <f>0</f>
        <v>0</v>
      </c>
    </row>
    <row r="20" spans="1:17">
      <c r="A20" s="1914" t="s">
        <v>683</v>
      </c>
      <c r="B20" s="1971">
        <f>72429.46</f>
        <v>72429.460000000006</v>
      </c>
      <c r="C20" s="1971">
        <f>72429.46</f>
        <v>72429.460000000006</v>
      </c>
      <c r="D20" s="1971">
        <f>72429.46</f>
        <v>72429.460000000006</v>
      </c>
      <c r="E20" s="1971">
        <f>0</f>
        <v>0</v>
      </c>
      <c r="F20" s="1971">
        <f>72429.46</f>
        <v>72429.460000000006</v>
      </c>
      <c r="G20" s="1971">
        <f>0</f>
        <v>0</v>
      </c>
      <c r="H20" s="1971">
        <f>0</f>
        <v>0</v>
      </c>
      <c r="I20" s="1971">
        <f>0</f>
        <v>0</v>
      </c>
      <c r="J20" s="1971">
        <f>0</f>
        <v>0</v>
      </c>
      <c r="K20" s="1971">
        <f>0</f>
        <v>0</v>
      </c>
      <c r="L20" s="1971">
        <f>0</f>
        <v>0</v>
      </c>
      <c r="M20" s="1971">
        <f>0</f>
        <v>0</v>
      </c>
      <c r="N20" s="1971">
        <f>0</f>
        <v>0</v>
      </c>
      <c r="O20" s="1971">
        <f>0</f>
        <v>0</v>
      </c>
      <c r="P20" s="1971">
        <f>0</f>
        <v>0</v>
      </c>
      <c r="Q20" s="1971">
        <f>0</f>
        <v>0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 ht="28.2" customHeight="1">
      <c r="A22" s="2105" t="s">
        <v>684</v>
      </c>
      <c r="B22" s="2105"/>
      <c r="C22" s="2105"/>
      <c r="D22" s="2105"/>
      <c r="E22" s="2105"/>
      <c r="F22" s="2105"/>
      <c r="G22" s="2105"/>
      <c r="H22" s="2105"/>
      <c r="I22" s="2105"/>
      <c r="J22" s="2105"/>
      <c r="K22" s="2105"/>
      <c r="L22" s="2105"/>
      <c r="M22" s="2105"/>
      <c r="N22" s="1855"/>
      <c r="O22" s="1855"/>
      <c r="P22" s="1855"/>
      <c r="Q22" s="1855"/>
    </row>
    <row r="23" spans="1:17">
      <c r="A23" s="1855"/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</row>
    <row r="24" spans="1:17">
      <c r="A24" s="2332" t="s">
        <v>1</v>
      </c>
      <c r="B24" s="2339" t="s">
        <v>685</v>
      </c>
      <c r="C24" s="2335" t="s">
        <v>686</v>
      </c>
      <c r="D24" s="2336"/>
      <c r="E24" s="2336"/>
      <c r="F24" s="2336"/>
      <c r="G24" s="2336"/>
      <c r="H24" s="2336"/>
      <c r="I24" s="2336"/>
      <c r="J24" s="2336"/>
      <c r="K24" s="2336"/>
      <c r="L24" s="2336"/>
      <c r="M24" s="2336"/>
      <c r="N24" s="2337"/>
      <c r="O24" s="2335" t="s">
        <v>687</v>
      </c>
      <c r="P24" s="2336"/>
      <c r="Q24" s="2337"/>
    </row>
    <row r="25" spans="1:17">
      <c r="A25" s="2333"/>
      <c r="B25" s="2340"/>
      <c r="C25" s="2340" t="s">
        <v>688</v>
      </c>
      <c r="D25" s="2338" t="s">
        <v>689</v>
      </c>
      <c r="E25" s="2338" t="s">
        <v>690</v>
      </c>
      <c r="F25" s="2338" t="s">
        <v>691</v>
      </c>
      <c r="G25" s="2338" t="s">
        <v>692</v>
      </c>
      <c r="H25" s="2338" t="s">
        <v>663</v>
      </c>
      <c r="I25" s="2338" t="s">
        <v>693</v>
      </c>
      <c r="J25" s="2338" t="s">
        <v>665</v>
      </c>
      <c r="K25" s="2338" t="s">
        <v>666</v>
      </c>
      <c r="L25" s="2338" t="s">
        <v>667</v>
      </c>
      <c r="M25" s="2338" t="s">
        <v>668</v>
      </c>
      <c r="N25" s="2320" t="s">
        <v>669</v>
      </c>
      <c r="O25" s="2338" t="s">
        <v>670</v>
      </c>
      <c r="P25" s="2338" t="s">
        <v>671</v>
      </c>
      <c r="Q25" s="2339" t="s">
        <v>672</v>
      </c>
    </row>
    <row r="26" spans="1:17">
      <c r="A26" s="2333"/>
      <c r="B26" s="2340"/>
      <c r="C26" s="2340"/>
      <c r="D26" s="2338"/>
      <c r="E26" s="2338"/>
      <c r="F26" s="2338"/>
      <c r="G26" s="2338"/>
      <c r="H26" s="2338"/>
      <c r="I26" s="2338"/>
      <c r="J26" s="2338"/>
      <c r="K26" s="2338"/>
      <c r="L26" s="2338"/>
      <c r="M26" s="2338"/>
      <c r="N26" s="2320"/>
      <c r="O26" s="2338"/>
      <c r="P26" s="2338"/>
      <c r="Q26" s="2340"/>
    </row>
    <row r="27" spans="1:17">
      <c r="A27" s="2333"/>
      <c r="B27" s="2340"/>
      <c r="C27" s="2340"/>
      <c r="D27" s="2338"/>
      <c r="E27" s="2338"/>
      <c r="F27" s="2338"/>
      <c r="G27" s="2338"/>
      <c r="H27" s="2338"/>
      <c r="I27" s="2338"/>
      <c r="J27" s="2338"/>
      <c r="K27" s="2338"/>
      <c r="L27" s="2338"/>
      <c r="M27" s="2338"/>
      <c r="N27" s="2320"/>
      <c r="O27" s="2338"/>
      <c r="P27" s="2338"/>
      <c r="Q27" s="2340"/>
    </row>
    <row r="28" spans="1:17" ht="29.55" customHeight="1">
      <c r="A28" s="2334"/>
      <c r="B28" s="2341"/>
      <c r="C28" s="2341"/>
      <c r="D28" s="2338"/>
      <c r="E28" s="2338"/>
      <c r="F28" s="2338"/>
      <c r="G28" s="2338"/>
      <c r="H28" s="2338"/>
      <c r="I28" s="2338"/>
      <c r="J28" s="2338"/>
      <c r="K28" s="2338"/>
      <c r="L28" s="2338"/>
      <c r="M28" s="2338"/>
      <c r="N28" s="2320"/>
      <c r="O28" s="2338"/>
      <c r="P28" s="2338"/>
      <c r="Q28" s="2341"/>
    </row>
    <row r="29" spans="1:17">
      <c r="A29" s="1849">
        <v>1</v>
      </c>
      <c r="B29" s="1849">
        <v>2</v>
      </c>
      <c r="C29" s="1849">
        <v>3</v>
      </c>
      <c r="D29" s="1849">
        <v>4</v>
      </c>
      <c r="E29" s="1849">
        <v>5</v>
      </c>
      <c r="F29" s="1849">
        <v>6</v>
      </c>
      <c r="G29" s="1849">
        <v>7</v>
      </c>
      <c r="H29" s="1849">
        <v>8</v>
      </c>
      <c r="I29" s="1849">
        <v>9</v>
      </c>
      <c r="J29" s="1849">
        <v>10</v>
      </c>
      <c r="K29" s="1849">
        <v>11</v>
      </c>
      <c r="L29" s="1849">
        <v>12</v>
      </c>
      <c r="M29" s="1849">
        <v>13</v>
      </c>
      <c r="N29" s="1849">
        <v>14</v>
      </c>
      <c r="O29" s="1849">
        <v>15</v>
      </c>
      <c r="P29" s="1849">
        <v>16</v>
      </c>
      <c r="Q29" s="1849">
        <v>17</v>
      </c>
    </row>
    <row r="30" spans="1:17">
      <c r="A30" s="1849"/>
      <c r="B30" s="2322" t="s">
        <v>163</v>
      </c>
      <c r="C30" s="2323"/>
      <c r="D30" s="2323"/>
      <c r="E30" s="2323"/>
      <c r="F30" s="2323"/>
      <c r="G30" s="2323"/>
      <c r="H30" s="2323"/>
      <c r="I30" s="2323"/>
      <c r="J30" s="2323"/>
      <c r="K30" s="2323"/>
      <c r="L30" s="2323"/>
      <c r="M30" s="2323"/>
      <c r="N30" s="2323"/>
      <c r="O30" s="2323"/>
      <c r="P30" s="2323"/>
      <c r="Q30" s="2324"/>
    </row>
    <row r="31" spans="1:17" ht="20.399999999999999">
      <c r="A31" s="1916" t="s">
        <v>694</v>
      </c>
      <c r="B31" s="1972">
        <f>0</f>
        <v>0</v>
      </c>
      <c r="C31" s="1972">
        <f>0</f>
        <v>0</v>
      </c>
      <c r="D31" s="1972">
        <f>0</f>
        <v>0</v>
      </c>
      <c r="E31" s="1972">
        <f>0</f>
        <v>0</v>
      </c>
      <c r="F31" s="1972">
        <f>0</f>
        <v>0</v>
      </c>
      <c r="G31" s="1972">
        <f>0</f>
        <v>0</v>
      </c>
      <c r="H31" s="1972">
        <f>0</f>
        <v>0</v>
      </c>
      <c r="I31" s="1972">
        <f>0</f>
        <v>0</v>
      </c>
      <c r="J31" s="1972">
        <f>0</f>
        <v>0</v>
      </c>
      <c r="K31" s="1972">
        <f>0</f>
        <v>0</v>
      </c>
      <c r="L31" s="1972">
        <f>0</f>
        <v>0</v>
      </c>
      <c r="M31" s="1972">
        <f>0</f>
        <v>0</v>
      </c>
      <c r="N31" s="1972">
        <f>0</f>
        <v>0</v>
      </c>
      <c r="O31" s="1972">
        <f>0</f>
        <v>0</v>
      </c>
      <c r="P31" s="1972">
        <f>0</f>
        <v>0</v>
      </c>
      <c r="Q31" s="1972">
        <f>0</f>
        <v>0</v>
      </c>
    </row>
    <row r="32" spans="1:17">
      <c r="A32" s="1953" t="s">
        <v>695</v>
      </c>
      <c r="B32" s="1972">
        <f>0</f>
        <v>0</v>
      </c>
      <c r="C32" s="1972">
        <f>0</f>
        <v>0</v>
      </c>
      <c r="D32" s="1972">
        <f>0</f>
        <v>0</v>
      </c>
      <c r="E32" s="1972">
        <f>0</f>
        <v>0</v>
      </c>
      <c r="F32" s="1972">
        <f>0</f>
        <v>0</v>
      </c>
      <c r="G32" s="1972">
        <f>0</f>
        <v>0</v>
      </c>
      <c r="H32" s="1972">
        <f>0</f>
        <v>0</v>
      </c>
      <c r="I32" s="1972">
        <f>0</f>
        <v>0</v>
      </c>
      <c r="J32" s="1972">
        <f>0</f>
        <v>0</v>
      </c>
      <c r="K32" s="1972">
        <f>0</f>
        <v>0</v>
      </c>
      <c r="L32" s="1972">
        <f>0</f>
        <v>0</v>
      </c>
      <c r="M32" s="1972">
        <f>0</f>
        <v>0</v>
      </c>
      <c r="N32" s="1972">
        <f>0</f>
        <v>0</v>
      </c>
      <c r="O32" s="1972">
        <f>0</f>
        <v>0</v>
      </c>
      <c r="P32" s="1972">
        <f>0</f>
        <v>0</v>
      </c>
      <c r="Q32" s="1972">
        <f>0</f>
        <v>0</v>
      </c>
    </row>
    <row r="33" spans="1:17">
      <c r="A33" s="1953" t="s">
        <v>696</v>
      </c>
      <c r="B33" s="1972">
        <f>0</f>
        <v>0</v>
      </c>
      <c r="C33" s="1972">
        <f>0</f>
        <v>0</v>
      </c>
      <c r="D33" s="1972">
        <f>0</f>
        <v>0</v>
      </c>
      <c r="E33" s="1972">
        <f>0</f>
        <v>0</v>
      </c>
      <c r="F33" s="1972">
        <f>0</f>
        <v>0</v>
      </c>
      <c r="G33" s="1972">
        <f>0</f>
        <v>0</v>
      </c>
      <c r="H33" s="1972">
        <f>0</f>
        <v>0</v>
      </c>
      <c r="I33" s="1972">
        <f>0</f>
        <v>0</v>
      </c>
      <c r="J33" s="1972">
        <f>0</f>
        <v>0</v>
      </c>
      <c r="K33" s="1972">
        <f>0</f>
        <v>0</v>
      </c>
      <c r="L33" s="1972">
        <f>0</f>
        <v>0</v>
      </c>
      <c r="M33" s="1972">
        <f>0</f>
        <v>0</v>
      </c>
      <c r="N33" s="1972">
        <f>0</f>
        <v>0</v>
      </c>
      <c r="O33" s="1972">
        <f>0</f>
        <v>0</v>
      </c>
      <c r="P33" s="1972">
        <f>0</f>
        <v>0</v>
      </c>
      <c r="Q33" s="1972">
        <f>0</f>
        <v>0</v>
      </c>
    </row>
    <row r="34" spans="1:17">
      <c r="A34" s="1916" t="s">
        <v>697</v>
      </c>
      <c r="B34" s="1972">
        <f>1532809.99</f>
        <v>1532809.99</v>
      </c>
      <c r="C34" s="1972">
        <f>1532809.99</f>
        <v>1532809.99</v>
      </c>
      <c r="D34" s="1972">
        <f>1532809.99</f>
        <v>1532809.99</v>
      </c>
      <c r="E34" s="1972">
        <f>0</f>
        <v>0</v>
      </c>
      <c r="F34" s="1972">
        <f>0</f>
        <v>0</v>
      </c>
      <c r="G34" s="1972">
        <f>1532809.99</f>
        <v>1532809.99</v>
      </c>
      <c r="H34" s="1972">
        <f>0</f>
        <v>0</v>
      </c>
      <c r="I34" s="1972">
        <f>0</f>
        <v>0</v>
      </c>
      <c r="J34" s="1972">
        <f>0</f>
        <v>0</v>
      </c>
      <c r="K34" s="1972">
        <f>0</f>
        <v>0</v>
      </c>
      <c r="L34" s="1972">
        <f>0</f>
        <v>0</v>
      </c>
      <c r="M34" s="1972">
        <f>0</f>
        <v>0</v>
      </c>
      <c r="N34" s="1972">
        <f>0</f>
        <v>0</v>
      </c>
      <c r="O34" s="1972">
        <f>0</f>
        <v>0</v>
      </c>
      <c r="P34" s="1972">
        <f>0</f>
        <v>0</v>
      </c>
      <c r="Q34" s="1972">
        <f>0</f>
        <v>0</v>
      </c>
    </row>
    <row r="35" spans="1:17">
      <c r="A35" s="1953" t="s">
        <v>698</v>
      </c>
      <c r="B35" s="1972">
        <f>0</f>
        <v>0</v>
      </c>
      <c r="C35" s="1972">
        <f>0</f>
        <v>0</v>
      </c>
      <c r="D35" s="1972">
        <f>0</f>
        <v>0</v>
      </c>
      <c r="E35" s="1972">
        <f>0</f>
        <v>0</v>
      </c>
      <c r="F35" s="1972">
        <f>0</f>
        <v>0</v>
      </c>
      <c r="G35" s="1972">
        <f>0</f>
        <v>0</v>
      </c>
      <c r="H35" s="1972">
        <f>0</f>
        <v>0</v>
      </c>
      <c r="I35" s="1972">
        <f>0</f>
        <v>0</v>
      </c>
      <c r="J35" s="1972">
        <f>0</f>
        <v>0</v>
      </c>
      <c r="K35" s="1972">
        <f>0</f>
        <v>0</v>
      </c>
      <c r="L35" s="1972">
        <f>0</f>
        <v>0</v>
      </c>
      <c r="M35" s="1972">
        <f>0</f>
        <v>0</v>
      </c>
      <c r="N35" s="1972">
        <f>0</f>
        <v>0</v>
      </c>
      <c r="O35" s="1972">
        <f>0</f>
        <v>0</v>
      </c>
      <c r="P35" s="1972">
        <f>0</f>
        <v>0</v>
      </c>
      <c r="Q35" s="1972">
        <f>0</f>
        <v>0</v>
      </c>
    </row>
    <row r="36" spans="1:17">
      <c r="A36" s="1953" t="s">
        <v>699</v>
      </c>
      <c r="B36" s="1972">
        <f>1532809.99</f>
        <v>1532809.99</v>
      </c>
      <c r="C36" s="1972">
        <f>1532809.99</f>
        <v>1532809.99</v>
      </c>
      <c r="D36" s="1972">
        <f>1532809.99</f>
        <v>1532809.99</v>
      </c>
      <c r="E36" s="1972">
        <f>0</f>
        <v>0</v>
      </c>
      <c r="F36" s="1972">
        <f>0</f>
        <v>0</v>
      </c>
      <c r="G36" s="1972">
        <f>1532809.99</f>
        <v>1532809.99</v>
      </c>
      <c r="H36" s="1972">
        <f>0</f>
        <v>0</v>
      </c>
      <c r="I36" s="1972">
        <f>0</f>
        <v>0</v>
      </c>
      <c r="J36" s="1972">
        <f>0</f>
        <v>0</v>
      </c>
      <c r="K36" s="1972">
        <f>0</f>
        <v>0</v>
      </c>
      <c r="L36" s="1972">
        <f>0</f>
        <v>0</v>
      </c>
      <c r="M36" s="1972">
        <f>0</f>
        <v>0</v>
      </c>
      <c r="N36" s="1972">
        <f>0</f>
        <v>0</v>
      </c>
      <c r="O36" s="1972">
        <f>0</f>
        <v>0</v>
      </c>
      <c r="P36" s="1972">
        <f>0</f>
        <v>0</v>
      </c>
      <c r="Q36" s="1972">
        <f>0</f>
        <v>0</v>
      </c>
    </row>
    <row r="37" spans="1:17" ht="20.399999999999999">
      <c r="A37" s="1916" t="s">
        <v>700</v>
      </c>
      <c r="B37" s="1972">
        <f>628735617.42</f>
        <v>628735617.41999996</v>
      </c>
      <c r="C37" s="1972">
        <f>628735617.42</f>
        <v>628735617.41999996</v>
      </c>
      <c r="D37" s="1972">
        <f>177925.67</f>
        <v>177925.67</v>
      </c>
      <c r="E37" s="1972">
        <f>0</f>
        <v>0</v>
      </c>
      <c r="F37" s="1972">
        <f>0</f>
        <v>0</v>
      </c>
      <c r="G37" s="1972">
        <f>177925.67</f>
        <v>177925.67</v>
      </c>
      <c r="H37" s="1972">
        <f>0</f>
        <v>0</v>
      </c>
      <c r="I37" s="1972">
        <f>0</f>
        <v>0</v>
      </c>
      <c r="J37" s="1972">
        <f>628468923.2</f>
        <v>628468923.20000005</v>
      </c>
      <c r="K37" s="1972">
        <f>0</f>
        <v>0</v>
      </c>
      <c r="L37" s="1972">
        <f>88768.55</f>
        <v>88768.55</v>
      </c>
      <c r="M37" s="1972">
        <f>0</f>
        <v>0</v>
      </c>
      <c r="N37" s="1972">
        <f>0</f>
        <v>0</v>
      </c>
      <c r="O37" s="1972">
        <f>0</f>
        <v>0</v>
      </c>
      <c r="P37" s="1972">
        <f>0</f>
        <v>0</v>
      </c>
      <c r="Q37" s="1972">
        <f>0</f>
        <v>0</v>
      </c>
    </row>
    <row r="38" spans="1:17">
      <c r="A38" s="1953" t="s">
        <v>701</v>
      </c>
      <c r="B38" s="1972">
        <f>28318.17</f>
        <v>28318.17</v>
      </c>
      <c r="C38" s="1972">
        <f>28318.17</f>
        <v>28318.17</v>
      </c>
      <c r="D38" s="1972">
        <f>28318.17</f>
        <v>28318.17</v>
      </c>
      <c r="E38" s="1972">
        <f>0</f>
        <v>0</v>
      </c>
      <c r="F38" s="1972">
        <f>0</f>
        <v>0</v>
      </c>
      <c r="G38" s="1972">
        <f>28318.17</f>
        <v>28318.17</v>
      </c>
      <c r="H38" s="1972">
        <f>0</f>
        <v>0</v>
      </c>
      <c r="I38" s="1972">
        <f>0</f>
        <v>0</v>
      </c>
      <c r="J38" s="1972">
        <f>0</f>
        <v>0</v>
      </c>
      <c r="K38" s="1972">
        <f>0</f>
        <v>0</v>
      </c>
      <c r="L38" s="1972">
        <f>0</f>
        <v>0</v>
      </c>
      <c r="M38" s="1972">
        <f>0</f>
        <v>0</v>
      </c>
      <c r="N38" s="1972">
        <f>0</f>
        <v>0</v>
      </c>
      <c r="O38" s="1972">
        <f>0</f>
        <v>0</v>
      </c>
      <c r="P38" s="1972">
        <f>0</f>
        <v>0</v>
      </c>
      <c r="Q38" s="1972">
        <f>0</f>
        <v>0</v>
      </c>
    </row>
    <row r="39" spans="1:17">
      <c r="A39" s="1953" t="s">
        <v>702</v>
      </c>
      <c r="B39" s="1972">
        <f>604916939.44</f>
        <v>604916939.44000006</v>
      </c>
      <c r="C39" s="1972">
        <f>604916939.44</f>
        <v>604916939.44000006</v>
      </c>
      <c r="D39" s="1972">
        <f>104125</f>
        <v>104125</v>
      </c>
      <c r="E39" s="1972">
        <f>0</f>
        <v>0</v>
      </c>
      <c r="F39" s="1972">
        <f>0</f>
        <v>0</v>
      </c>
      <c r="G39" s="1972">
        <f>104125</f>
        <v>104125</v>
      </c>
      <c r="H39" s="1972">
        <f>0</f>
        <v>0</v>
      </c>
      <c r="I39" s="1972">
        <f>0</f>
        <v>0</v>
      </c>
      <c r="J39" s="1972">
        <f>604812814.44</f>
        <v>604812814.44000006</v>
      </c>
      <c r="K39" s="1972">
        <f>0</f>
        <v>0</v>
      </c>
      <c r="L39" s="1972">
        <f>0</f>
        <v>0</v>
      </c>
      <c r="M39" s="1972">
        <f>0</f>
        <v>0</v>
      </c>
      <c r="N39" s="1972">
        <f>0</f>
        <v>0</v>
      </c>
      <c r="O39" s="1972">
        <f>0</f>
        <v>0</v>
      </c>
      <c r="P39" s="1972">
        <f>0</f>
        <v>0</v>
      </c>
      <c r="Q39" s="1972">
        <f>0</f>
        <v>0</v>
      </c>
    </row>
    <row r="40" spans="1:17">
      <c r="A40" s="1953" t="s">
        <v>703</v>
      </c>
      <c r="B40" s="1972">
        <f>23790359.81</f>
        <v>23790359.809999999</v>
      </c>
      <c r="C40" s="1972">
        <f>23790359.81</f>
        <v>23790359.809999999</v>
      </c>
      <c r="D40" s="1972">
        <f>45482.5</f>
        <v>45482.5</v>
      </c>
      <c r="E40" s="1972">
        <f>0</f>
        <v>0</v>
      </c>
      <c r="F40" s="1972">
        <f>0</f>
        <v>0</v>
      </c>
      <c r="G40" s="1972">
        <f>45482.5</f>
        <v>45482.5</v>
      </c>
      <c r="H40" s="1972">
        <f>0</f>
        <v>0</v>
      </c>
      <c r="I40" s="1972">
        <f>0</f>
        <v>0</v>
      </c>
      <c r="J40" s="1972">
        <f>23656108.76</f>
        <v>23656108.760000002</v>
      </c>
      <c r="K40" s="1972">
        <f>0</f>
        <v>0</v>
      </c>
      <c r="L40" s="1972">
        <f>88768.55</f>
        <v>88768.55</v>
      </c>
      <c r="M40" s="1972">
        <f>0</f>
        <v>0</v>
      </c>
      <c r="N40" s="1972">
        <f>0</f>
        <v>0</v>
      </c>
      <c r="O40" s="1972">
        <f>0</f>
        <v>0</v>
      </c>
      <c r="P40" s="1972">
        <f>0</f>
        <v>0</v>
      </c>
      <c r="Q40" s="1972">
        <f>0</f>
        <v>0</v>
      </c>
    </row>
    <row r="41" spans="1:17" ht="20.399999999999999">
      <c r="A41" s="2504" t="s">
        <v>704</v>
      </c>
      <c r="B41" s="1972">
        <f>132068704.29</f>
        <v>132068704.29000001</v>
      </c>
      <c r="C41" s="1972">
        <f>132068704.29</f>
        <v>132068704.29000001</v>
      </c>
      <c r="D41" s="1972">
        <f>2493387.92</f>
        <v>2493387.92</v>
      </c>
      <c r="E41" s="1972">
        <f>146032.8</f>
        <v>146032.79999999999</v>
      </c>
      <c r="F41" s="1972">
        <f>2628.42</f>
        <v>2628.42</v>
      </c>
      <c r="G41" s="1972">
        <f>2343503.84</f>
        <v>2343503.84</v>
      </c>
      <c r="H41" s="1972">
        <f>1222.86</f>
        <v>1222.8599999999999</v>
      </c>
      <c r="I41" s="1972">
        <f>0</f>
        <v>0</v>
      </c>
      <c r="J41" s="1972">
        <f>6327.74</f>
        <v>6327.74</v>
      </c>
      <c r="K41" s="1972">
        <f>308.25</f>
        <v>308.25</v>
      </c>
      <c r="L41" s="1972">
        <f>15032835.35</f>
        <v>15032835.35</v>
      </c>
      <c r="M41" s="1972">
        <f>114046468.48</f>
        <v>114046468.48</v>
      </c>
      <c r="N41" s="1972">
        <f>489376.55</f>
        <v>489376.55</v>
      </c>
      <c r="O41" s="1972">
        <f>0</f>
        <v>0</v>
      </c>
      <c r="P41" s="1972">
        <f>0</f>
        <v>0</v>
      </c>
      <c r="Q41" s="1972">
        <f>0</f>
        <v>0</v>
      </c>
    </row>
    <row r="42" spans="1:17" ht="20.399999999999999">
      <c r="A42" s="1953" t="s">
        <v>705</v>
      </c>
      <c r="B42" s="1972">
        <f>17049140.37</f>
        <v>17049140.370000001</v>
      </c>
      <c r="C42" s="1972">
        <f>17049140.37</f>
        <v>17049140.370000001</v>
      </c>
      <c r="D42" s="1972">
        <f>1989356.58</f>
        <v>1989356.58</v>
      </c>
      <c r="E42" s="1972">
        <f>0</f>
        <v>0</v>
      </c>
      <c r="F42" s="1972">
        <f>0</f>
        <v>0</v>
      </c>
      <c r="G42" s="1972">
        <f>1989356.58</f>
        <v>1989356.58</v>
      </c>
      <c r="H42" s="1972">
        <f>0</f>
        <v>0</v>
      </c>
      <c r="I42" s="1972">
        <f>0</f>
        <v>0</v>
      </c>
      <c r="J42" s="1972">
        <f>92.74</f>
        <v>92.74</v>
      </c>
      <c r="K42" s="1972">
        <f>0</f>
        <v>0</v>
      </c>
      <c r="L42" s="1972">
        <f>3758337.51</f>
        <v>3758337.51</v>
      </c>
      <c r="M42" s="1972">
        <f>11298743.48</f>
        <v>11298743.48</v>
      </c>
      <c r="N42" s="1972">
        <f>2610.06</f>
        <v>2610.06</v>
      </c>
      <c r="O42" s="1972">
        <f>0</f>
        <v>0</v>
      </c>
      <c r="P42" s="1972">
        <f>0</f>
        <v>0</v>
      </c>
      <c r="Q42" s="1972">
        <f>0</f>
        <v>0</v>
      </c>
    </row>
    <row r="43" spans="1:17">
      <c r="A43" s="1953" t="s">
        <v>706</v>
      </c>
      <c r="B43" s="1972">
        <f>115019563.92</f>
        <v>115019563.92</v>
      </c>
      <c r="C43" s="1972">
        <f>115019563.92</f>
        <v>115019563.92</v>
      </c>
      <c r="D43" s="1972">
        <f>504031.34</f>
        <v>504031.34</v>
      </c>
      <c r="E43" s="1972">
        <f>146032.8</f>
        <v>146032.79999999999</v>
      </c>
      <c r="F43" s="1972">
        <f>2628.42</f>
        <v>2628.42</v>
      </c>
      <c r="G43" s="1972">
        <f>354147.26</f>
        <v>354147.26</v>
      </c>
      <c r="H43" s="1972">
        <f>1222.86</f>
        <v>1222.8599999999999</v>
      </c>
      <c r="I43" s="1972">
        <f>0</f>
        <v>0</v>
      </c>
      <c r="J43" s="1972">
        <f>6235</f>
        <v>6235</v>
      </c>
      <c r="K43" s="1972">
        <f>308.25</f>
        <v>308.25</v>
      </c>
      <c r="L43" s="1972">
        <f>11274497.84</f>
        <v>11274497.84</v>
      </c>
      <c r="M43" s="1972">
        <f>102747725</f>
        <v>102747725</v>
      </c>
      <c r="N43" s="1972">
        <f>486766.49</f>
        <v>486766.49</v>
      </c>
      <c r="O43" s="1972">
        <f>0</f>
        <v>0</v>
      </c>
      <c r="P43" s="1972">
        <f>0</f>
        <v>0</v>
      </c>
      <c r="Q43" s="1972">
        <f>0</f>
        <v>0</v>
      </c>
    </row>
    <row r="44" spans="1:17" ht="20.399999999999999">
      <c r="A44" s="1916" t="s">
        <v>707</v>
      </c>
      <c r="B44" s="1972">
        <f>80109953.12</f>
        <v>80109953.120000005</v>
      </c>
      <c r="C44" s="1972">
        <f>80109953.12</f>
        <v>80109953.120000005</v>
      </c>
      <c r="D44" s="1972">
        <f>43726833.01</f>
        <v>43726833.009999998</v>
      </c>
      <c r="E44" s="1972">
        <f>16583092.91</f>
        <v>16583092.91</v>
      </c>
      <c r="F44" s="1972">
        <f>54655.28</f>
        <v>54655.28</v>
      </c>
      <c r="G44" s="1972">
        <f>25913508.74</f>
        <v>25913508.739999998</v>
      </c>
      <c r="H44" s="1972">
        <f>1175576.08</f>
        <v>1175576.08</v>
      </c>
      <c r="I44" s="1972">
        <f>0</f>
        <v>0</v>
      </c>
      <c r="J44" s="1972">
        <f>9280.32</f>
        <v>9280.32</v>
      </c>
      <c r="K44" s="1972">
        <f>8237.35</f>
        <v>8237.35</v>
      </c>
      <c r="L44" s="1972">
        <f>24492366.95</f>
        <v>24492366.949999999</v>
      </c>
      <c r="M44" s="1972">
        <f>11266689.73</f>
        <v>11266689.73</v>
      </c>
      <c r="N44" s="1972">
        <f>606545.76</f>
        <v>606545.76</v>
      </c>
      <c r="O44" s="1972">
        <f>0</f>
        <v>0</v>
      </c>
      <c r="P44" s="1972">
        <f>0</f>
        <v>0</v>
      </c>
      <c r="Q44" s="1972">
        <f>0</f>
        <v>0</v>
      </c>
    </row>
    <row r="45" spans="1:17" ht="20.399999999999999">
      <c r="A45" s="1953" t="s">
        <v>708</v>
      </c>
      <c r="B45" s="1972">
        <f>36264172.18</f>
        <v>36264172.18</v>
      </c>
      <c r="C45" s="1972">
        <f>36264172.18</f>
        <v>36264172.18</v>
      </c>
      <c r="D45" s="1972">
        <f>16340151.45</f>
        <v>16340151.449999999</v>
      </c>
      <c r="E45" s="1972">
        <f>8871.63</f>
        <v>8871.6299999999992</v>
      </c>
      <c r="F45" s="1972">
        <f>913.68</f>
        <v>913.68</v>
      </c>
      <c r="G45" s="1972">
        <f>16330100.09</f>
        <v>16330100.09</v>
      </c>
      <c r="H45" s="1972">
        <f>266.05</f>
        <v>266.05</v>
      </c>
      <c r="I45" s="1972">
        <f>0</f>
        <v>0</v>
      </c>
      <c r="J45" s="1972">
        <f>1359.37</f>
        <v>1359.37</v>
      </c>
      <c r="K45" s="1972">
        <f>0</f>
        <v>0</v>
      </c>
      <c r="L45" s="1972">
        <f>17470917.71</f>
        <v>17470917.710000001</v>
      </c>
      <c r="M45" s="1972">
        <f>2039703.88</f>
        <v>2039703.88</v>
      </c>
      <c r="N45" s="1972">
        <f>412039.77</f>
        <v>412039.77</v>
      </c>
      <c r="O45" s="1972">
        <f>0</f>
        <v>0</v>
      </c>
      <c r="P45" s="1972">
        <f>0</f>
        <v>0</v>
      </c>
      <c r="Q45" s="1972">
        <f>0</f>
        <v>0</v>
      </c>
    </row>
    <row r="46" spans="1:17" ht="20.399999999999999">
      <c r="A46" s="1953" t="s">
        <v>709</v>
      </c>
      <c r="B46" s="1972">
        <f>7765371.7</f>
        <v>7765371.7000000002</v>
      </c>
      <c r="C46" s="1972">
        <f>7765371.7</f>
        <v>7765371.7000000002</v>
      </c>
      <c r="D46" s="1972">
        <f>7240505.57</f>
        <v>7240505.5700000003</v>
      </c>
      <c r="E46" s="1972">
        <f>5811363.85</f>
        <v>5811363.8499999996</v>
      </c>
      <c r="F46" s="1972">
        <f>0</f>
        <v>0</v>
      </c>
      <c r="G46" s="1972">
        <f>259162</f>
        <v>259162</v>
      </c>
      <c r="H46" s="1972">
        <f>1169979.72</f>
        <v>1169979.72</v>
      </c>
      <c r="I46" s="1972">
        <f>0</f>
        <v>0</v>
      </c>
      <c r="J46" s="1972">
        <f>6808.95</f>
        <v>6808.95</v>
      </c>
      <c r="K46" s="1972">
        <f>6808.95</f>
        <v>6808.95</v>
      </c>
      <c r="L46" s="1972">
        <f>263800.1</f>
        <v>263800.09999999998</v>
      </c>
      <c r="M46" s="1972">
        <f>153747.83</f>
        <v>153747.82999999999</v>
      </c>
      <c r="N46" s="1972">
        <f>93700.3</f>
        <v>93700.3</v>
      </c>
      <c r="O46" s="1972">
        <f>0</f>
        <v>0</v>
      </c>
      <c r="P46" s="1972">
        <f>0</f>
        <v>0</v>
      </c>
      <c r="Q46" s="1972">
        <f>0</f>
        <v>0</v>
      </c>
    </row>
    <row r="47" spans="1:17" ht="20.399999999999999">
      <c r="A47" s="1953" t="s">
        <v>710</v>
      </c>
      <c r="B47" s="1972">
        <f>36080409.24</f>
        <v>36080409.240000002</v>
      </c>
      <c r="C47" s="1972">
        <f>36080409.24</f>
        <v>36080409.240000002</v>
      </c>
      <c r="D47" s="1972">
        <f>20146175.99</f>
        <v>20146175.989999998</v>
      </c>
      <c r="E47" s="1972">
        <f>10762857.43</f>
        <v>10762857.43</v>
      </c>
      <c r="F47" s="1972">
        <f>53741.6</f>
        <v>53741.599999999999</v>
      </c>
      <c r="G47" s="1972">
        <f>9324246.65</f>
        <v>9324246.6500000004</v>
      </c>
      <c r="H47" s="1972">
        <f>5330.31</f>
        <v>5330.31</v>
      </c>
      <c r="I47" s="1972">
        <f>0</f>
        <v>0</v>
      </c>
      <c r="J47" s="1972">
        <f>1112</f>
        <v>1112</v>
      </c>
      <c r="K47" s="1972">
        <f>1428.4</f>
        <v>1428.4</v>
      </c>
      <c r="L47" s="1972">
        <f>6757649.14</f>
        <v>6757649.1399999997</v>
      </c>
      <c r="M47" s="1972">
        <f>9073238.02</f>
        <v>9073238.0199999996</v>
      </c>
      <c r="N47" s="1972">
        <f>100805.69</f>
        <v>100805.69</v>
      </c>
      <c r="O47" s="1972">
        <f>0</f>
        <v>0</v>
      </c>
      <c r="P47" s="1972">
        <f>0</f>
        <v>0</v>
      </c>
      <c r="Q47" s="1972">
        <f>0</f>
        <v>0</v>
      </c>
    </row>
    <row r="48" spans="1:17">
      <c r="A48" s="1855"/>
      <c r="B48" s="1855"/>
      <c r="C48" s="1855"/>
      <c r="D48" s="1855"/>
      <c r="E48" s="1855"/>
      <c r="F48" s="1855"/>
      <c r="G48" s="1855"/>
      <c r="H48" s="1855"/>
      <c r="I48" s="1855"/>
      <c r="J48" s="1855"/>
      <c r="K48" s="1855"/>
      <c r="L48" s="1855"/>
      <c r="M48" s="1855"/>
      <c r="N48" s="1855"/>
      <c r="O48" s="1855"/>
      <c r="P48" s="1855"/>
      <c r="Q48" s="1855"/>
    </row>
    <row r="49" spans="1:17" ht="13.95" customHeight="1">
      <c r="A49" s="1855"/>
      <c r="B49" s="2105" t="s">
        <v>711</v>
      </c>
      <c r="C49" s="2105"/>
      <c r="D49" s="2105"/>
      <c r="E49" s="2105"/>
      <c r="F49" s="2105"/>
      <c r="G49" s="2105"/>
      <c r="H49" s="2105"/>
      <c r="I49" s="2105"/>
      <c r="J49" s="2105"/>
      <c r="K49" s="2105"/>
      <c r="L49" s="2105"/>
      <c r="M49" s="2105"/>
      <c r="N49" s="1855"/>
      <c r="O49" s="1855"/>
      <c r="P49" s="1855"/>
      <c r="Q49" s="1855"/>
    </row>
    <row r="50" spans="1:17">
      <c r="A50" s="1855"/>
      <c r="B50" s="1855"/>
      <c r="C50" s="1855"/>
      <c r="D50" s="1855"/>
      <c r="E50" s="1855"/>
      <c r="F50" s="1855"/>
      <c r="G50" s="1855"/>
      <c r="H50" s="1855"/>
      <c r="I50" s="1855"/>
      <c r="J50" s="1855"/>
      <c r="K50" s="1855"/>
      <c r="L50" s="1855"/>
      <c r="M50" s="1855"/>
      <c r="N50" s="1855"/>
      <c r="O50" s="1855"/>
      <c r="P50" s="1855"/>
      <c r="Q50" s="1855"/>
    </row>
    <row r="51" spans="1:17">
      <c r="A51" s="1855"/>
      <c r="B51" s="2306" t="s">
        <v>1</v>
      </c>
      <c r="C51" s="2307"/>
      <c r="D51" s="2307"/>
      <c r="E51" s="2308"/>
      <c r="F51" s="2315" t="s">
        <v>712</v>
      </c>
      <c r="G51" s="2304" t="s">
        <v>713</v>
      </c>
      <c r="H51" s="2318"/>
      <c r="I51" s="2318"/>
      <c r="J51" s="2318"/>
      <c r="K51" s="2318"/>
      <c r="L51" s="2319"/>
      <c r="M51" s="1855"/>
      <c r="N51" s="1855"/>
      <c r="O51" s="1855"/>
      <c r="P51" s="1855"/>
      <c r="Q51" s="1855"/>
    </row>
    <row r="52" spans="1:17">
      <c r="A52" s="1855"/>
      <c r="B52" s="2309"/>
      <c r="C52" s="2310"/>
      <c r="D52" s="2310"/>
      <c r="E52" s="2311"/>
      <c r="F52" s="2316"/>
      <c r="G52" s="2320" t="s">
        <v>714</v>
      </c>
      <c r="H52" s="2303" t="s">
        <v>660</v>
      </c>
      <c r="I52" s="2303" t="s">
        <v>661</v>
      </c>
      <c r="J52" s="2303" t="s">
        <v>692</v>
      </c>
      <c r="K52" s="2303" t="s">
        <v>715</v>
      </c>
      <c r="L52" s="2321" t="s">
        <v>716</v>
      </c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/>
      <c r="H53" s="2303"/>
      <c r="I53" s="2303"/>
      <c r="J53" s="2303"/>
      <c r="K53" s="2303"/>
      <c r="L53" s="2321"/>
      <c r="M53" s="1855"/>
      <c r="N53" s="1855"/>
      <c r="O53" s="1855"/>
      <c r="P53" s="1855"/>
      <c r="Q53" s="1855"/>
    </row>
    <row r="54" spans="1:17">
      <c r="A54" s="1855"/>
      <c r="B54" s="2309"/>
      <c r="C54" s="2310"/>
      <c r="D54" s="2310"/>
      <c r="E54" s="2311"/>
      <c r="F54" s="2316"/>
      <c r="G54" s="2320"/>
      <c r="H54" s="2303"/>
      <c r="I54" s="2303"/>
      <c r="J54" s="2303"/>
      <c r="K54" s="2303"/>
      <c r="L54" s="2321"/>
      <c r="M54" s="1855"/>
      <c r="N54" s="1855"/>
      <c r="O54" s="1855"/>
      <c r="P54" s="1855"/>
      <c r="Q54" s="1855"/>
    </row>
    <row r="55" spans="1:17">
      <c r="A55" s="1855"/>
      <c r="B55" s="2312"/>
      <c r="C55" s="2313"/>
      <c r="D55" s="2313"/>
      <c r="E55" s="2314"/>
      <c r="F55" s="2317"/>
      <c r="G55" s="2320"/>
      <c r="H55" s="2303"/>
      <c r="I55" s="2303"/>
      <c r="J55" s="2303"/>
      <c r="K55" s="2303"/>
      <c r="L55" s="2321"/>
      <c r="M55" s="1855"/>
      <c r="N55" s="1855"/>
      <c r="O55" s="1855"/>
      <c r="P55" s="1855"/>
      <c r="Q55" s="1855"/>
    </row>
    <row r="56" spans="1:17">
      <c r="A56" s="1855"/>
      <c r="B56" s="2303">
        <v>1</v>
      </c>
      <c r="C56" s="2303"/>
      <c r="D56" s="2303"/>
      <c r="E56" s="2303"/>
      <c r="F56" s="1861">
        <v>2</v>
      </c>
      <c r="G56" s="1861">
        <v>3</v>
      </c>
      <c r="H56" s="1861">
        <v>4</v>
      </c>
      <c r="I56" s="1861">
        <v>5</v>
      </c>
      <c r="J56" s="1861">
        <v>6</v>
      </c>
      <c r="K56" s="1861">
        <v>7</v>
      </c>
      <c r="L56" s="1861">
        <v>8</v>
      </c>
      <c r="M56" s="1855"/>
      <c r="N56" s="1855"/>
      <c r="O56" s="1855"/>
      <c r="P56" s="1855"/>
      <c r="Q56" s="1855"/>
    </row>
    <row r="57" spans="1:17" ht="14.4">
      <c r="A57" s="1855"/>
      <c r="B57" s="2303"/>
      <c r="C57" s="2303"/>
      <c r="D57" s="2303"/>
      <c r="E57" s="2303"/>
      <c r="F57" s="2304" t="s">
        <v>163</v>
      </c>
      <c r="G57" s="2305"/>
      <c r="H57" s="2305"/>
      <c r="I57" s="2305"/>
      <c r="J57" s="2305"/>
      <c r="K57" s="2305"/>
      <c r="L57" s="2285"/>
      <c r="M57" s="1855"/>
      <c r="N57" s="1855"/>
      <c r="O57" s="1855"/>
      <c r="P57" s="1855"/>
      <c r="Q57" s="1855"/>
    </row>
    <row r="58" spans="1:17" ht="37.950000000000003" customHeight="1">
      <c r="A58" s="1855"/>
      <c r="B58" s="2300" t="s">
        <v>717</v>
      </c>
      <c r="C58" s="2301"/>
      <c r="D58" s="2301"/>
      <c r="E58" s="2302"/>
      <c r="F58" s="1971">
        <f>0</f>
        <v>0</v>
      </c>
      <c r="G58" s="1971">
        <f>0</f>
        <v>0</v>
      </c>
      <c r="H58" s="1971">
        <f>0</f>
        <v>0</v>
      </c>
      <c r="I58" s="1971">
        <f>0</f>
        <v>0</v>
      </c>
      <c r="J58" s="1971">
        <f>0</f>
        <v>0</v>
      </c>
      <c r="K58" s="1971">
        <f>0</f>
        <v>0</v>
      </c>
      <c r="L58" s="1971">
        <f>0</f>
        <v>0</v>
      </c>
      <c r="M58" s="1855"/>
      <c r="N58" s="1855"/>
      <c r="O58" s="1855"/>
      <c r="P58" s="1855"/>
      <c r="Q58" s="1855"/>
    </row>
    <row r="59" spans="1:17" ht="30.6" customHeight="1">
      <c r="A59" s="1855"/>
      <c r="B59" s="2300" t="s">
        <v>718</v>
      </c>
      <c r="C59" s="2301"/>
      <c r="D59" s="2301"/>
      <c r="E59" s="2302"/>
      <c r="F59" s="1971">
        <f>0</f>
        <v>0</v>
      </c>
      <c r="G59" s="1971">
        <f>0</f>
        <v>0</v>
      </c>
      <c r="H59" s="1971">
        <f>0</f>
        <v>0</v>
      </c>
      <c r="I59" s="1971">
        <f>0</f>
        <v>0</v>
      </c>
      <c r="J59" s="1971">
        <f>0</f>
        <v>0</v>
      </c>
      <c r="K59" s="1971">
        <f>0</f>
        <v>0</v>
      </c>
      <c r="L59" s="1971">
        <f>0</f>
        <v>0</v>
      </c>
      <c r="M59" s="1855"/>
      <c r="N59" s="1855"/>
      <c r="O59" s="1855"/>
      <c r="P59" s="1855"/>
      <c r="Q59" s="1855"/>
    </row>
    <row r="60" spans="1:17" ht="23.55" customHeight="1">
      <c r="A60" s="1855"/>
      <c r="B60" s="2300" t="s">
        <v>719</v>
      </c>
      <c r="C60" s="2301"/>
      <c r="D60" s="2301"/>
      <c r="E60" s="2302"/>
      <c r="F60" s="1971">
        <f>750000</f>
        <v>750000</v>
      </c>
      <c r="G60" s="1971">
        <f>0</f>
        <v>0</v>
      </c>
      <c r="H60" s="1971">
        <f>0</f>
        <v>0</v>
      </c>
      <c r="I60" s="1971">
        <f>0</f>
        <v>0</v>
      </c>
      <c r="J60" s="1971">
        <f>0</f>
        <v>0</v>
      </c>
      <c r="K60" s="1971">
        <f>0</f>
        <v>0</v>
      </c>
      <c r="L60" s="1971">
        <f>750000</f>
        <v>750000</v>
      </c>
      <c r="M60" s="1855"/>
      <c r="N60" s="1855"/>
      <c r="O60" s="1855"/>
      <c r="P60" s="1855"/>
      <c r="Q60" s="1855"/>
    </row>
    <row r="61" spans="1:17">
      <c r="A61" s="1855"/>
      <c r="B61" s="2300" t="s">
        <v>720</v>
      </c>
      <c r="C61" s="2301"/>
      <c r="D61" s="2301"/>
      <c r="E61" s="2302"/>
      <c r="F61" s="1971">
        <f>0</f>
        <v>0</v>
      </c>
      <c r="G61" s="1971">
        <f>0</f>
        <v>0</v>
      </c>
      <c r="H61" s="1971">
        <f>0</f>
        <v>0</v>
      </c>
      <c r="I61" s="1971">
        <f>0</f>
        <v>0</v>
      </c>
      <c r="J61" s="1971">
        <f>0</f>
        <v>0</v>
      </c>
      <c r="K61" s="1971">
        <f>0</f>
        <v>0</v>
      </c>
      <c r="L61" s="1971">
        <f>0</f>
        <v>0</v>
      </c>
      <c r="M61" s="1855"/>
      <c r="N61" s="1855"/>
      <c r="O61" s="1855"/>
      <c r="P61" s="1855"/>
      <c r="Q61" s="1855"/>
    </row>
    <row r="62" spans="1:17" ht="34.950000000000003" customHeight="1">
      <c r="A62" s="1855"/>
      <c r="B62" s="2300" t="s">
        <v>721</v>
      </c>
      <c r="C62" s="2301"/>
      <c r="D62" s="2301"/>
      <c r="E62" s="2302"/>
      <c r="F62" s="1971">
        <f>0</f>
        <v>0</v>
      </c>
      <c r="G62" s="1971">
        <f>0</f>
        <v>0</v>
      </c>
      <c r="H62" s="1971">
        <f>0</f>
        <v>0</v>
      </c>
      <c r="I62" s="1971">
        <f>0</f>
        <v>0</v>
      </c>
      <c r="J62" s="1971">
        <f>0</f>
        <v>0</v>
      </c>
      <c r="K62" s="1971">
        <f>0</f>
        <v>0</v>
      </c>
      <c r="L62" s="1971">
        <f>0</f>
        <v>0</v>
      </c>
      <c r="M62" s="1855"/>
      <c r="N62" s="1855"/>
      <c r="O62" s="1855"/>
      <c r="P62" s="1855"/>
      <c r="Q62" s="1855"/>
    </row>
    <row r="63" spans="1:17" ht="24.6" customHeight="1">
      <c r="A63" s="1855"/>
      <c r="B63" s="2300" t="s">
        <v>722</v>
      </c>
      <c r="C63" s="2301"/>
      <c r="D63" s="2301"/>
      <c r="E63" s="2302"/>
      <c r="F63" s="1971">
        <f>0</f>
        <v>0</v>
      </c>
      <c r="G63" s="1971">
        <f>0</f>
        <v>0</v>
      </c>
      <c r="H63" s="1971">
        <f>0</f>
        <v>0</v>
      </c>
      <c r="I63" s="1971">
        <f>0</f>
        <v>0</v>
      </c>
      <c r="J63" s="1971">
        <f>0</f>
        <v>0</v>
      </c>
      <c r="K63" s="1971">
        <f>0</f>
        <v>0</v>
      </c>
      <c r="L63" s="1971">
        <f>0</f>
        <v>0</v>
      </c>
      <c r="M63" s="1855"/>
      <c r="N63" s="1855"/>
      <c r="O63" s="1855"/>
      <c r="P63" s="1855"/>
      <c r="Q63" s="1855"/>
    </row>
    <row r="64" spans="1:17" ht="35.549999999999997" customHeight="1">
      <c r="A64" s="1855"/>
      <c r="B64" s="2300" t="s">
        <v>723</v>
      </c>
      <c r="C64" s="2301"/>
      <c r="D64" s="2301"/>
      <c r="E64" s="2302"/>
      <c r="F64" s="1971">
        <f>0</f>
        <v>0</v>
      </c>
      <c r="G64" s="1971">
        <f>0</f>
        <v>0</v>
      </c>
      <c r="H64" s="1971">
        <f>0</f>
        <v>0</v>
      </c>
      <c r="I64" s="1971">
        <f>0</f>
        <v>0</v>
      </c>
      <c r="J64" s="1971">
        <f>0</f>
        <v>0</v>
      </c>
      <c r="K64" s="1971">
        <f>0</f>
        <v>0</v>
      </c>
      <c r="L64" s="1971">
        <f>0</f>
        <v>0</v>
      </c>
      <c r="M64" s="1855"/>
      <c r="N64" s="1855"/>
      <c r="O64" s="1855"/>
      <c r="P64" s="1855"/>
      <c r="Q64" s="1855"/>
    </row>
    <row r="65" spans="1:17">
      <c r="A65" s="1855"/>
      <c r="B65" s="1855"/>
      <c r="C65" s="1855"/>
      <c r="D65" s="1855"/>
      <c r="E65" s="1855"/>
      <c r="F65" s="1855"/>
      <c r="G65" s="1855"/>
      <c r="H65" s="1855"/>
      <c r="I65" s="1855"/>
      <c r="J65" s="1855"/>
      <c r="K65" s="1855"/>
      <c r="L65" s="1855"/>
      <c r="M65" s="1855"/>
      <c r="N65" s="1855"/>
      <c r="O65" s="1855"/>
      <c r="P65" s="1855"/>
      <c r="Q65" s="1855"/>
    </row>
    <row r="66" spans="1:17">
      <c r="A66" s="2255" t="s">
        <v>884</v>
      </c>
      <c r="B66" s="2255"/>
      <c r="C66" s="2255"/>
      <c r="D66" s="2255"/>
      <c r="E66" s="2255"/>
      <c r="F66" s="2255"/>
      <c r="G66" s="1855"/>
      <c r="H66" s="1855"/>
      <c r="I66" s="1855"/>
      <c r="J66" s="1855"/>
      <c r="K66" s="1855"/>
      <c r="L66" s="1855"/>
      <c r="M66" s="1855"/>
      <c r="N66" s="1855"/>
      <c r="O66" s="1855"/>
      <c r="P66" s="1855"/>
      <c r="Q66" s="1855"/>
    </row>
  </sheetData>
  <mergeCells count="64">
    <mergeCell ref="B60:E60"/>
    <mergeCell ref="B61:E61"/>
    <mergeCell ref="B62:E62"/>
    <mergeCell ref="B63:E63"/>
    <mergeCell ref="B64:E64"/>
    <mergeCell ref="A66:F66"/>
    <mergeCell ref="B56:E56"/>
    <mergeCell ref="B57:E57"/>
    <mergeCell ref="F57:L57"/>
    <mergeCell ref="B58:E58"/>
    <mergeCell ref="B59:E59"/>
    <mergeCell ref="B51:E55"/>
    <mergeCell ref="F51:F55"/>
    <mergeCell ref="G51:L51"/>
    <mergeCell ref="G52:G55"/>
    <mergeCell ref="H52:H55"/>
    <mergeCell ref="I52:I55"/>
    <mergeCell ref="J52:J55"/>
    <mergeCell ref="K52:K55"/>
    <mergeCell ref="L52:L55"/>
    <mergeCell ref="B30:Q30"/>
    <mergeCell ref="B49:M49"/>
    <mergeCell ref="K25:K28"/>
    <mergeCell ref="L25:L28"/>
    <mergeCell ref="M25:M28"/>
    <mergeCell ref="N25:N28"/>
    <mergeCell ref="O25:O28"/>
    <mergeCell ref="F25:F28"/>
    <mergeCell ref="G25:G28"/>
    <mergeCell ref="H25:H28"/>
    <mergeCell ref="I25:I28"/>
    <mergeCell ref="J25:J28"/>
    <mergeCell ref="B3:B7"/>
    <mergeCell ref="C3:N3"/>
    <mergeCell ref="L4:L7"/>
    <mergeCell ref="M4:M7"/>
    <mergeCell ref="N4:N7"/>
    <mergeCell ref="A1:M1"/>
    <mergeCell ref="C2:M2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  <mergeCell ref="A3:A7"/>
    <mergeCell ref="B9:Q9"/>
    <mergeCell ref="A22:M22"/>
    <mergeCell ref="A24:A28"/>
    <mergeCell ref="B24:B28"/>
    <mergeCell ref="C24:N24"/>
    <mergeCell ref="O24:Q24"/>
    <mergeCell ref="C25:C28"/>
    <mergeCell ref="D25:D28"/>
    <mergeCell ref="E25:E28"/>
    <mergeCell ref="P25:P28"/>
    <mergeCell ref="Q25:Q28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07A5D-A63B-432B-859D-04E734C6A3EB}">
  <dimension ref="A1:Q106"/>
  <sheetViews>
    <sheetView tabSelected="1" view="pageBreakPreview" topLeftCell="B7" zoomScaleNormal="100" zoomScaleSheetLayoutView="100" workbookViewId="0">
      <selection activeCell="B31" sqref="B31"/>
    </sheetView>
  </sheetViews>
  <sheetFormatPr defaultColWidth="9.21875" defaultRowHeight="13.8"/>
  <cols>
    <col min="1" max="1" width="5.77734375" style="383" hidden="1" customWidth="1"/>
    <col min="2" max="2" width="30.77734375" style="383" customWidth="1"/>
    <col min="3" max="3" width="14" style="383" customWidth="1"/>
    <col min="4" max="4" width="14.77734375" style="383" customWidth="1"/>
    <col min="5" max="5" width="15.77734375" style="383" customWidth="1"/>
    <col min="6" max="6" width="11.21875" style="383" customWidth="1"/>
    <col min="7" max="7" width="11.77734375" style="383" bestFit="1" customWidth="1"/>
    <col min="8" max="8" width="15.77734375" style="383" customWidth="1"/>
    <col min="9" max="9" width="13.5546875" style="383" bestFit="1" customWidth="1"/>
    <col min="10" max="10" width="7.77734375" style="383" bestFit="1" customWidth="1"/>
    <col min="11" max="11" width="8.21875" style="383" customWidth="1"/>
    <col min="12" max="12" width="8.77734375" style="383" customWidth="1"/>
    <col min="13" max="13" width="8.21875" style="383" customWidth="1"/>
    <col min="14" max="16384" width="9.21875" style="383"/>
  </cols>
  <sheetData>
    <row r="1" spans="2:12" ht="18">
      <c r="B1" s="444" t="s">
        <v>1045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</row>
    <row r="3" spans="2:12" ht="57.6">
      <c r="B3" s="2455" t="s">
        <v>584</v>
      </c>
      <c r="C3" s="1973" t="s">
        <v>899</v>
      </c>
      <c r="D3" s="1973" t="s">
        <v>900</v>
      </c>
      <c r="E3" s="1805" t="s">
        <v>887</v>
      </c>
      <c r="F3" s="1805" t="s">
        <v>888</v>
      </c>
      <c r="G3" s="1805" t="s">
        <v>889</v>
      </c>
      <c r="H3" s="1805" t="s">
        <v>890</v>
      </c>
      <c r="I3" s="1805" t="s">
        <v>891</v>
      </c>
      <c r="J3" s="1974" t="s">
        <v>585</v>
      </c>
      <c r="K3" s="1973" t="s">
        <v>586</v>
      </c>
      <c r="L3" s="1973" t="s">
        <v>587</v>
      </c>
    </row>
    <row r="4" spans="2:12">
      <c r="B4" s="2455"/>
      <c r="C4" s="2456" t="s">
        <v>163</v>
      </c>
      <c r="D4" s="2457"/>
      <c r="E4" s="2458" t="s">
        <v>597</v>
      </c>
      <c r="F4" s="2459"/>
      <c r="G4" s="2459"/>
      <c r="H4" s="2459"/>
      <c r="I4" s="2460"/>
      <c r="J4" s="2456" t="s">
        <v>169</v>
      </c>
      <c r="K4" s="2464"/>
      <c r="L4" s="2457"/>
    </row>
    <row r="5" spans="2:12">
      <c r="B5" s="1974">
        <v>1</v>
      </c>
      <c r="C5" s="1975">
        <v>2</v>
      </c>
      <c r="D5" s="1975">
        <v>3</v>
      </c>
      <c r="E5" s="2461"/>
      <c r="F5" s="2462"/>
      <c r="G5" s="2462"/>
      <c r="H5" s="2462"/>
      <c r="I5" s="2463"/>
      <c r="J5" s="1975">
        <v>4</v>
      </c>
      <c r="K5" s="1975">
        <v>5</v>
      </c>
      <c r="L5" s="1975">
        <v>6</v>
      </c>
    </row>
    <row r="6" spans="2:12">
      <c r="B6" s="1864" t="s">
        <v>588</v>
      </c>
      <c r="C6" s="1781">
        <f>2393088821</f>
        <v>2393088821</v>
      </c>
      <c r="D6" s="1781">
        <f>2429140888.19</f>
        <v>2429140888.1900001</v>
      </c>
      <c r="E6" s="1954" t="s">
        <v>597</v>
      </c>
      <c r="F6" s="1954" t="s">
        <v>597</v>
      </c>
      <c r="G6" s="1954" t="s">
        <v>597</v>
      </c>
      <c r="H6" s="1954" t="s">
        <v>597</v>
      </c>
      <c r="I6" s="1954" t="s">
        <v>597</v>
      </c>
      <c r="J6" s="1782">
        <f t="shared" ref="J6:J40" si="0">IF($D$6=0,"",100*$D6/$D$6)</f>
        <v>100</v>
      </c>
      <c r="K6" s="1782">
        <f t="shared" ref="K6:K40" si="1">IF(C6=0,"",100*D6/C6)</f>
        <v>101.50650769305483</v>
      </c>
      <c r="L6" s="1782"/>
    </row>
    <row r="7" spans="2:12" ht="26.4">
      <c r="B7" s="1783" t="s">
        <v>589</v>
      </c>
      <c r="C7" s="1781">
        <f>C6-C13</f>
        <v>2329183470</v>
      </c>
      <c r="D7" s="1781">
        <f>D6-D13</f>
        <v>2380732794.1399999</v>
      </c>
      <c r="E7" s="1954" t="s">
        <v>597</v>
      </c>
      <c r="F7" s="1954" t="s">
        <v>597</v>
      </c>
      <c r="G7" s="1954" t="s">
        <v>597</v>
      </c>
      <c r="H7" s="1954" t="s">
        <v>597</v>
      </c>
      <c r="I7" s="1954" t="s">
        <v>597</v>
      </c>
      <c r="J7" s="1782">
        <f t="shared" si="0"/>
        <v>98.007192819265839</v>
      </c>
      <c r="K7" s="1782">
        <f t="shared" si="1"/>
        <v>102.21319294095798</v>
      </c>
      <c r="L7" s="1782">
        <f t="shared" ref="L7:L12" si="2">IF($D$7=0,"",100*$D7/$D$7)</f>
        <v>100</v>
      </c>
    </row>
    <row r="8" spans="2:12" ht="20.399999999999999">
      <c r="B8" s="1784" t="s">
        <v>776</v>
      </c>
      <c r="C8" s="1785">
        <f>614760813</f>
        <v>614760813</v>
      </c>
      <c r="D8" s="1787">
        <f>614760813</f>
        <v>614760813</v>
      </c>
      <c r="E8" s="1954" t="s">
        <v>597</v>
      </c>
      <c r="F8" s="1954" t="s">
        <v>597</v>
      </c>
      <c r="G8" s="1954" t="s">
        <v>597</v>
      </c>
      <c r="H8" s="1954" t="s">
        <v>597</v>
      </c>
      <c r="I8" s="1954" t="s">
        <v>597</v>
      </c>
      <c r="J8" s="1786">
        <f t="shared" si="0"/>
        <v>25.307746289597478</v>
      </c>
      <c r="K8" s="1786">
        <f t="shared" si="1"/>
        <v>100</v>
      </c>
      <c r="L8" s="1786">
        <f t="shared" si="2"/>
        <v>25.822335648636795</v>
      </c>
    </row>
    <row r="9" spans="2:12" ht="20.399999999999999">
      <c r="B9" s="1784" t="s">
        <v>777</v>
      </c>
      <c r="C9" s="1785">
        <f>1099509097</f>
        <v>1099509097</v>
      </c>
      <c r="D9" s="1787">
        <f>1091834454.4</f>
        <v>1091834454.4000001</v>
      </c>
      <c r="E9" s="1954" t="s">
        <v>597</v>
      </c>
      <c r="F9" s="1954" t="s">
        <v>597</v>
      </c>
      <c r="G9" s="1954" t="s">
        <v>597</v>
      </c>
      <c r="H9" s="1954" t="s">
        <v>597</v>
      </c>
      <c r="I9" s="1954" t="s">
        <v>597</v>
      </c>
      <c r="J9" s="1786">
        <f t="shared" si="0"/>
        <v>44.947349892642379</v>
      </c>
      <c r="K9" s="1786">
        <f t="shared" si="1"/>
        <v>99.301993715109774</v>
      </c>
      <c r="L9" s="1786">
        <f t="shared" si="2"/>
        <v>45.861276708056906</v>
      </c>
    </row>
    <row r="10" spans="2:12" ht="30.6">
      <c r="B10" s="1784" t="s">
        <v>778</v>
      </c>
      <c r="C10" s="1785">
        <f>0</f>
        <v>0</v>
      </c>
      <c r="D10" s="1787">
        <f>0</f>
        <v>0</v>
      </c>
      <c r="E10" s="1954" t="s">
        <v>597</v>
      </c>
      <c r="F10" s="1954" t="s">
        <v>597</v>
      </c>
      <c r="G10" s="1954" t="s">
        <v>597</v>
      </c>
      <c r="H10" s="1954" t="s">
        <v>597</v>
      </c>
      <c r="I10" s="1954" t="s">
        <v>597</v>
      </c>
      <c r="J10" s="1786">
        <f t="shared" si="0"/>
        <v>0</v>
      </c>
      <c r="K10" s="1786" t="str">
        <f t="shared" si="1"/>
        <v/>
      </c>
      <c r="L10" s="1786">
        <f t="shared" si="2"/>
        <v>0</v>
      </c>
    </row>
    <row r="11" spans="2:12">
      <c r="B11" s="1784" t="s">
        <v>594</v>
      </c>
      <c r="C11" s="1785">
        <f>418125</f>
        <v>418125</v>
      </c>
      <c r="D11" s="1787">
        <f>378712.53</f>
        <v>378712.53</v>
      </c>
      <c r="E11" s="1954" t="s">
        <v>597</v>
      </c>
      <c r="F11" s="1954" t="s">
        <v>597</v>
      </c>
      <c r="G11" s="1954" t="s">
        <v>597</v>
      </c>
      <c r="H11" s="1954" t="s">
        <v>597</v>
      </c>
      <c r="I11" s="1954" t="s">
        <v>597</v>
      </c>
      <c r="J11" s="1786">
        <f t="shared" si="0"/>
        <v>1.5590389665796045E-2</v>
      </c>
      <c r="K11" s="1786">
        <f t="shared" si="1"/>
        <v>90.57399820627802</v>
      </c>
      <c r="L11" s="1786">
        <f t="shared" si="2"/>
        <v>1.5907393342594906E-2</v>
      </c>
    </row>
    <row r="12" spans="2:12">
      <c r="B12" s="1784" t="s">
        <v>595</v>
      </c>
      <c r="C12" s="1785">
        <f>C7-SUM(C8:C11)</f>
        <v>614495435</v>
      </c>
      <c r="D12" s="1785">
        <f>D7-SUM(D8:D11)</f>
        <v>673758814.2099998</v>
      </c>
      <c r="E12" s="1954" t="s">
        <v>597</v>
      </c>
      <c r="F12" s="1954" t="s">
        <v>597</v>
      </c>
      <c r="G12" s="1954" t="s">
        <v>597</v>
      </c>
      <c r="H12" s="1954" t="s">
        <v>597</v>
      </c>
      <c r="I12" s="1954" t="s">
        <v>597</v>
      </c>
      <c r="J12" s="1786">
        <f t="shared" si="0"/>
        <v>27.736506247360172</v>
      </c>
      <c r="K12" s="1786">
        <f t="shared" si="1"/>
        <v>109.64423425049524</v>
      </c>
      <c r="L12" s="1786">
        <f t="shared" si="2"/>
        <v>28.300480249963705</v>
      </c>
    </row>
    <row r="13" spans="2:12" ht="26.4">
      <c r="B13" s="1783" t="s">
        <v>779</v>
      </c>
      <c r="C13" s="1781">
        <f>C14+C33+C35</f>
        <v>63905351</v>
      </c>
      <c r="D13" s="1781">
        <f>D14+D33+D35</f>
        <v>48408094.049999997</v>
      </c>
      <c r="E13" s="1954" t="s">
        <v>597</v>
      </c>
      <c r="F13" s="1954" t="s">
        <v>597</v>
      </c>
      <c r="G13" s="1954" t="s">
        <v>597</v>
      </c>
      <c r="H13" s="1954" t="s">
        <v>597</v>
      </c>
      <c r="I13" s="1954" t="s">
        <v>597</v>
      </c>
      <c r="J13" s="1782">
        <f t="shared" si="0"/>
        <v>1.9928071807341652</v>
      </c>
      <c r="K13" s="1782">
        <f t="shared" si="1"/>
        <v>75.749672433533775</v>
      </c>
      <c r="L13" s="1955"/>
    </row>
    <row r="14" spans="2:12" ht="26.4">
      <c r="B14" s="1789" t="s">
        <v>598</v>
      </c>
      <c r="C14" s="1781">
        <f>C15+C17+C19+C21+C23+C25+C27+C29+C31</f>
        <v>44697332</v>
      </c>
      <c r="D14" s="1781">
        <f>D15+D17+D19+D21+D23+D25+D27+D29+D31</f>
        <v>35679039.049999997</v>
      </c>
      <c r="E14" s="1954" t="s">
        <v>597</v>
      </c>
      <c r="F14" s="1954" t="s">
        <v>597</v>
      </c>
      <c r="G14" s="1954" t="s">
        <v>597</v>
      </c>
      <c r="H14" s="1954" t="s">
        <v>597</v>
      </c>
      <c r="I14" s="1954" t="s">
        <v>597</v>
      </c>
      <c r="J14" s="1782">
        <f t="shared" si="0"/>
        <v>1.4687924946413931</v>
      </c>
      <c r="K14" s="1782">
        <f t="shared" si="1"/>
        <v>79.823643724417366</v>
      </c>
      <c r="L14" s="1788"/>
    </row>
    <row r="15" spans="2:12">
      <c r="B15" s="1790" t="s">
        <v>599</v>
      </c>
      <c r="C15" s="1785">
        <f>0</f>
        <v>0</v>
      </c>
      <c r="D15" s="1785">
        <f>0</f>
        <v>0</v>
      </c>
      <c r="E15" s="1954" t="s">
        <v>597</v>
      </c>
      <c r="F15" s="1954" t="s">
        <v>597</v>
      </c>
      <c r="G15" s="1954" t="s">
        <v>597</v>
      </c>
      <c r="H15" s="1954" t="s">
        <v>597</v>
      </c>
      <c r="I15" s="1954" t="s">
        <v>597</v>
      </c>
      <c r="J15" s="1786">
        <f t="shared" si="0"/>
        <v>0</v>
      </c>
      <c r="K15" s="1786" t="str">
        <f t="shared" si="1"/>
        <v/>
      </c>
      <c r="L15" s="1788"/>
    </row>
    <row r="16" spans="2:12">
      <c r="B16" s="1791" t="s">
        <v>600</v>
      </c>
      <c r="C16" s="1785">
        <f>0</f>
        <v>0</v>
      </c>
      <c r="D16" s="1785">
        <f>0</f>
        <v>0</v>
      </c>
      <c r="E16" s="1954" t="s">
        <v>597</v>
      </c>
      <c r="F16" s="1954" t="s">
        <v>597</v>
      </c>
      <c r="G16" s="1954" t="s">
        <v>597</v>
      </c>
      <c r="H16" s="1954" t="s">
        <v>597</v>
      </c>
      <c r="I16" s="1954" t="s">
        <v>597</v>
      </c>
      <c r="J16" s="1786">
        <f t="shared" si="0"/>
        <v>0</v>
      </c>
      <c r="K16" s="1786" t="str">
        <f t="shared" si="1"/>
        <v/>
      </c>
      <c r="L16" s="1788"/>
    </row>
    <row r="17" spans="2:12">
      <c r="B17" s="1790" t="s">
        <v>601</v>
      </c>
      <c r="C17" s="1785">
        <f>0</f>
        <v>0</v>
      </c>
      <c r="D17" s="1785">
        <f>0</f>
        <v>0</v>
      </c>
      <c r="E17" s="1954" t="s">
        <v>597</v>
      </c>
      <c r="F17" s="1954" t="s">
        <v>597</v>
      </c>
      <c r="G17" s="1954" t="s">
        <v>597</v>
      </c>
      <c r="H17" s="1954" t="s">
        <v>597</v>
      </c>
      <c r="I17" s="1954" t="s">
        <v>597</v>
      </c>
      <c r="J17" s="1786">
        <f t="shared" si="0"/>
        <v>0</v>
      </c>
      <c r="K17" s="1786" t="str">
        <f t="shared" si="1"/>
        <v/>
      </c>
      <c r="L17" s="1788"/>
    </row>
    <row r="18" spans="2:12">
      <c r="B18" s="1791" t="s">
        <v>600</v>
      </c>
      <c r="C18" s="1785">
        <f>0</f>
        <v>0</v>
      </c>
      <c r="D18" s="1785">
        <f>0</f>
        <v>0</v>
      </c>
      <c r="E18" s="1954" t="s">
        <v>597</v>
      </c>
      <c r="F18" s="1954" t="s">
        <v>597</v>
      </c>
      <c r="G18" s="1954" t="s">
        <v>597</v>
      </c>
      <c r="H18" s="1954" t="s">
        <v>597</v>
      </c>
      <c r="I18" s="1954" t="s">
        <v>597</v>
      </c>
      <c r="J18" s="1786">
        <f t="shared" si="0"/>
        <v>0</v>
      </c>
      <c r="K18" s="1786" t="str">
        <f t="shared" si="1"/>
        <v/>
      </c>
      <c r="L18" s="1788"/>
    </row>
    <row r="19" spans="2:12" ht="20.399999999999999">
      <c r="B19" s="1790" t="s">
        <v>602</v>
      </c>
      <c r="C19" s="1785">
        <f>0</f>
        <v>0</v>
      </c>
      <c r="D19" s="1785">
        <f>0</f>
        <v>0</v>
      </c>
      <c r="E19" s="1954" t="s">
        <v>597</v>
      </c>
      <c r="F19" s="1954" t="s">
        <v>597</v>
      </c>
      <c r="G19" s="1954" t="s">
        <v>597</v>
      </c>
      <c r="H19" s="1954" t="s">
        <v>597</v>
      </c>
      <c r="I19" s="1954" t="s">
        <v>597</v>
      </c>
      <c r="J19" s="1786">
        <f t="shared" si="0"/>
        <v>0</v>
      </c>
      <c r="K19" s="1786" t="str">
        <f t="shared" si="1"/>
        <v/>
      </c>
      <c r="L19" s="1788"/>
    </row>
    <row r="20" spans="2:12">
      <c r="B20" s="1791" t="s">
        <v>600</v>
      </c>
      <c r="C20" s="1785">
        <f>0</f>
        <v>0</v>
      </c>
      <c r="D20" s="1785">
        <f>0</f>
        <v>0</v>
      </c>
      <c r="E20" s="1954" t="s">
        <v>597</v>
      </c>
      <c r="F20" s="1954" t="s">
        <v>597</v>
      </c>
      <c r="G20" s="1954" t="s">
        <v>597</v>
      </c>
      <c r="H20" s="1954" t="s">
        <v>597</v>
      </c>
      <c r="I20" s="1954" t="s">
        <v>597</v>
      </c>
      <c r="J20" s="1786">
        <f t="shared" si="0"/>
        <v>0</v>
      </c>
      <c r="K20" s="1786" t="str">
        <f t="shared" si="1"/>
        <v/>
      </c>
      <c r="L20" s="1788"/>
    </row>
    <row r="21" spans="2:12" ht="20.399999999999999">
      <c r="B21" s="1976" t="s">
        <v>603</v>
      </c>
      <c r="C21" s="1785">
        <f>23975707</f>
        <v>23975707</v>
      </c>
      <c r="D21" s="1785">
        <f>23975707</f>
        <v>23975707</v>
      </c>
      <c r="E21" s="1954" t="s">
        <v>597</v>
      </c>
      <c r="F21" s="1954" t="s">
        <v>597</v>
      </c>
      <c r="G21" s="1954" t="s">
        <v>597</v>
      </c>
      <c r="H21" s="1954" t="s">
        <v>597</v>
      </c>
      <c r="I21" s="1954" t="s">
        <v>597</v>
      </c>
      <c r="J21" s="1786">
        <f t="shared" si="0"/>
        <v>0.98700355819479713</v>
      </c>
      <c r="K21" s="1786">
        <f t="shared" si="1"/>
        <v>100</v>
      </c>
      <c r="L21" s="1788"/>
    </row>
    <row r="22" spans="2:12">
      <c r="B22" s="1791" t="s">
        <v>600</v>
      </c>
      <c r="C22" s="1785">
        <f>0</f>
        <v>0</v>
      </c>
      <c r="D22" s="1785">
        <f>0</f>
        <v>0</v>
      </c>
      <c r="E22" s="1954" t="s">
        <v>597</v>
      </c>
      <c r="F22" s="1954" t="s">
        <v>597</v>
      </c>
      <c r="G22" s="1954" t="s">
        <v>597</v>
      </c>
      <c r="H22" s="1954" t="s">
        <v>597</v>
      </c>
      <c r="I22" s="1954" t="s">
        <v>597</v>
      </c>
      <c r="J22" s="1786">
        <f t="shared" si="0"/>
        <v>0</v>
      </c>
      <c r="K22" s="1786" t="str">
        <f t="shared" si="1"/>
        <v/>
      </c>
      <c r="L22" s="1788"/>
    </row>
    <row r="23" spans="2:12" ht="30.6">
      <c r="B23" s="1976" t="s">
        <v>604</v>
      </c>
      <c r="C23" s="1785">
        <f>0</f>
        <v>0</v>
      </c>
      <c r="D23" s="1785">
        <f>0</f>
        <v>0</v>
      </c>
      <c r="E23" s="1954" t="s">
        <v>597</v>
      </c>
      <c r="F23" s="1954" t="s">
        <v>597</v>
      </c>
      <c r="G23" s="1954" t="s">
        <v>597</v>
      </c>
      <c r="H23" s="1954" t="s">
        <v>597</v>
      </c>
      <c r="I23" s="1954" t="s">
        <v>597</v>
      </c>
      <c r="J23" s="1786">
        <f t="shared" si="0"/>
        <v>0</v>
      </c>
      <c r="K23" s="1786" t="str">
        <f t="shared" si="1"/>
        <v/>
      </c>
      <c r="L23" s="1788"/>
    </row>
    <row r="24" spans="2:12">
      <c r="B24" s="1791" t="s">
        <v>600</v>
      </c>
      <c r="C24" s="1785">
        <f>0</f>
        <v>0</v>
      </c>
      <c r="D24" s="1785">
        <f>0</f>
        <v>0</v>
      </c>
      <c r="E24" s="1954" t="s">
        <v>597</v>
      </c>
      <c r="F24" s="1954" t="s">
        <v>597</v>
      </c>
      <c r="G24" s="1954" t="s">
        <v>597</v>
      </c>
      <c r="H24" s="1954" t="s">
        <v>597</v>
      </c>
      <c r="I24" s="1954" t="s">
        <v>597</v>
      </c>
      <c r="J24" s="1786">
        <f t="shared" si="0"/>
        <v>0</v>
      </c>
      <c r="K24" s="1786" t="str">
        <f t="shared" si="1"/>
        <v/>
      </c>
      <c r="L24" s="1788"/>
    </row>
    <row r="25" spans="2:12">
      <c r="B25" s="1790" t="s">
        <v>605</v>
      </c>
      <c r="C25" s="1785">
        <f>11941451</f>
        <v>11941451</v>
      </c>
      <c r="D25" s="1785">
        <f>2923158.06</f>
        <v>2923158.06</v>
      </c>
      <c r="E25" s="1954" t="s">
        <v>597</v>
      </c>
      <c r="F25" s="1954" t="s">
        <v>597</v>
      </c>
      <c r="G25" s="1954" t="s">
        <v>597</v>
      </c>
      <c r="H25" s="1954" t="s">
        <v>597</v>
      </c>
      <c r="I25" s="1954" t="s">
        <v>597</v>
      </c>
      <c r="J25" s="1786">
        <f t="shared" si="0"/>
        <v>0.12033711482984841</v>
      </c>
      <c r="K25" s="1786">
        <f t="shared" si="1"/>
        <v>24.479086000520372</v>
      </c>
      <c r="L25" s="1788"/>
    </row>
    <row r="26" spans="2:12">
      <c r="B26" s="1791" t="s">
        <v>600</v>
      </c>
      <c r="C26" s="1785">
        <f>11941451</f>
        <v>11941451</v>
      </c>
      <c r="D26" s="1785">
        <f>2923158.06</f>
        <v>2923158.06</v>
      </c>
      <c r="E26" s="1954" t="s">
        <v>597</v>
      </c>
      <c r="F26" s="1954" t="s">
        <v>597</v>
      </c>
      <c r="G26" s="1954" t="s">
        <v>597</v>
      </c>
      <c r="H26" s="1954" t="s">
        <v>597</v>
      </c>
      <c r="I26" s="1954" t="s">
        <v>597</v>
      </c>
      <c r="J26" s="1786">
        <f t="shared" si="0"/>
        <v>0.12033711482984841</v>
      </c>
      <c r="K26" s="1786">
        <f t="shared" si="1"/>
        <v>24.479086000520372</v>
      </c>
      <c r="L26" s="1788"/>
    </row>
    <row r="27" spans="2:12" ht="40.799999999999997">
      <c r="B27" s="1790" t="s">
        <v>606</v>
      </c>
      <c r="C27" s="1785">
        <f>0</f>
        <v>0</v>
      </c>
      <c r="D27" s="1785">
        <f>0</f>
        <v>0</v>
      </c>
      <c r="E27" s="1954" t="s">
        <v>597</v>
      </c>
      <c r="F27" s="1954" t="s">
        <v>597</v>
      </c>
      <c r="G27" s="1954" t="s">
        <v>597</v>
      </c>
      <c r="H27" s="1954" t="s">
        <v>597</v>
      </c>
      <c r="I27" s="1954" t="s">
        <v>597</v>
      </c>
      <c r="J27" s="1786">
        <f t="shared" si="0"/>
        <v>0</v>
      </c>
      <c r="K27" s="1786" t="str">
        <f t="shared" si="1"/>
        <v/>
      </c>
      <c r="L27" s="1788"/>
    </row>
    <row r="28" spans="2:12">
      <c r="B28" s="1791" t="s">
        <v>607</v>
      </c>
      <c r="C28" s="1785">
        <f>0</f>
        <v>0</v>
      </c>
      <c r="D28" s="1785">
        <f>0</f>
        <v>0</v>
      </c>
      <c r="E28" s="1954" t="s">
        <v>597</v>
      </c>
      <c r="F28" s="1954" t="s">
        <v>597</v>
      </c>
      <c r="G28" s="1954" t="s">
        <v>597</v>
      </c>
      <c r="H28" s="1954" t="s">
        <v>597</v>
      </c>
      <c r="I28" s="1954" t="s">
        <v>597</v>
      </c>
      <c r="J28" s="1786">
        <f t="shared" si="0"/>
        <v>0</v>
      </c>
      <c r="K28" s="1786" t="str">
        <f t="shared" si="1"/>
        <v/>
      </c>
      <c r="L28" s="1788"/>
    </row>
    <row r="29" spans="2:12" ht="20.399999999999999">
      <c r="B29" s="1790" t="s">
        <v>1049</v>
      </c>
      <c r="C29" s="1785">
        <f>8780174</f>
        <v>8780174</v>
      </c>
      <c r="D29" s="1785">
        <f>8780173.99</f>
        <v>8780173.9900000002</v>
      </c>
      <c r="E29" s="1954" t="s">
        <v>597</v>
      </c>
      <c r="F29" s="1954" t="s">
        <v>597</v>
      </c>
      <c r="G29" s="1954" t="s">
        <v>597</v>
      </c>
      <c r="H29" s="1954" t="s">
        <v>597</v>
      </c>
      <c r="I29" s="1954" t="s">
        <v>597</v>
      </c>
      <c r="J29" s="1786">
        <f t="shared" si="0"/>
        <v>0.36145182161674771</v>
      </c>
      <c r="K29" s="1786">
        <f t="shared" si="1"/>
        <v>99.999999886107034</v>
      </c>
      <c r="L29" s="1788"/>
    </row>
    <row r="30" spans="2:12">
      <c r="B30" s="1791" t="s">
        <v>600</v>
      </c>
      <c r="C30" s="1785">
        <f>8780174</f>
        <v>8780174</v>
      </c>
      <c r="D30" s="1785">
        <f>8780173.99</f>
        <v>8780173.9900000002</v>
      </c>
      <c r="E30" s="1954" t="s">
        <v>597</v>
      </c>
      <c r="F30" s="1954" t="s">
        <v>597</v>
      </c>
      <c r="G30" s="1954" t="s">
        <v>597</v>
      </c>
      <c r="H30" s="1954" t="s">
        <v>597</v>
      </c>
      <c r="I30" s="1954" t="s">
        <v>597</v>
      </c>
      <c r="J30" s="1786">
        <f t="shared" si="0"/>
        <v>0.36145182161674771</v>
      </c>
      <c r="K30" s="1786">
        <f t="shared" si="1"/>
        <v>99.999999886107034</v>
      </c>
      <c r="L30" s="1788"/>
    </row>
    <row r="31" spans="2:12" ht="20.399999999999999">
      <c r="B31" s="1790" t="s">
        <v>608</v>
      </c>
      <c r="C31" s="1785">
        <f>0</f>
        <v>0</v>
      </c>
      <c r="D31" s="1785">
        <f>0</f>
        <v>0</v>
      </c>
      <c r="E31" s="1954" t="s">
        <v>597</v>
      </c>
      <c r="F31" s="1954" t="s">
        <v>597</v>
      </c>
      <c r="G31" s="1954" t="s">
        <v>597</v>
      </c>
      <c r="H31" s="1954" t="s">
        <v>597</v>
      </c>
      <c r="I31" s="1954" t="s">
        <v>597</v>
      </c>
      <c r="J31" s="1786">
        <f t="shared" si="0"/>
        <v>0</v>
      </c>
      <c r="K31" s="1786" t="str">
        <f t="shared" si="1"/>
        <v/>
      </c>
      <c r="L31" s="1788"/>
    </row>
    <row r="32" spans="2:12">
      <c r="B32" s="1791" t="s">
        <v>600</v>
      </c>
      <c r="C32" s="1785">
        <f>0</f>
        <v>0</v>
      </c>
      <c r="D32" s="1785">
        <f>0</f>
        <v>0</v>
      </c>
      <c r="E32" s="1954" t="s">
        <v>597</v>
      </c>
      <c r="F32" s="1954" t="s">
        <v>597</v>
      </c>
      <c r="G32" s="1954" t="s">
        <v>597</v>
      </c>
      <c r="H32" s="1954" t="s">
        <v>597</v>
      </c>
      <c r="I32" s="1954" t="s">
        <v>597</v>
      </c>
      <c r="J32" s="1786">
        <f t="shared" si="0"/>
        <v>0</v>
      </c>
      <c r="K32" s="1786" t="str">
        <f t="shared" si="1"/>
        <v/>
      </c>
      <c r="L32" s="1788"/>
    </row>
    <row r="33" spans="1:17">
      <c r="A33" s="450"/>
      <c r="B33" s="1789" t="s">
        <v>731</v>
      </c>
      <c r="C33" s="1785">
        <f>0</f>
        <v>0</v>
      </c>
      <c r="D33" s="1785">
        <f>0</f>
        <v>0</v>
      </c>
      <c r="E33" s="1954" t="s">
        <v>597</v>
      </c>
      <c r="F33" s="1954" t="s">
        <v>597</v>
      </c>
      <c r="G33" s="1954" t="s">
        <v>597</v>
      </c>
      <c r="H33" s="1954" t="s">
        <v>597</v>
      </c>
      <c r="I33" s="1954" t="s">
        <v>597</v>
      </c>
      <c r="J33" s="1782">
        <f t="shared" si="0"/>
        <v>0</v>
      </c>
      <c r="K33" s="1782" t="str">
        <f t="shared" si="1"/>
        <v/>
      </c>
      <c r="L33" s="1977"/>
      <c r="M33" s="399"/>
      <c r="N33" s="399"/>
      <c r="O33" s="400"/>
      <c r="P33" s="400"/>
      <c r="Q33" s="401"/>
    </row>
    <row r="34" spans="1:17">
      <c r="A34" s="450"/>
      <c r="B34" s="1790" t="s">
        <v>732</v>
      </c>
      <c r="C34" s="1785">
        <f>0</f>
        <v>0</v>
      </c>
      <c r="D34" s="1785">
        <f>0</f>
        <v>0</v>
      </c>
      <c r="E34" s="1954" t="s">
        <v>597</v>
      </c>
      <c r="F34" s="1954" t="s">
        <v>597</v>
      </c>
      <c r="G34" s="1954" t="s">
        <v>597</v>
      </c>
      <c r="H34" s="1954" t="s">
        <v>597</v>
      </c>
      <c r="I34" s="1954" t="s">
        <v>597</v>
      </c>
      <c r="J34" s="1786">
        <f t="shared" si="0"/>
        <v>0</v>
      </c>
      <c r="K34" s="1786" t="str">
        <f t="shared" si="1"/>
        <v/>
      </c>
      <c r="L34" s="1977"/>
      <c r="M34" s="399"/>
      <c r="N34" s="399"/>
      <c r="O34" s="400"/>
      <c r="P34" s="400"/>
      <c r="Q34" s="401"/>
    </row>
    <row r="35" spans="1:17">
      <c r="A35" s="450"/>
      <c r="B35" s="1789" t="s">
        <v>733</v>
      </c>
      <c r="C35" s="1785">
        <f>19208019</f>
        <v>19208019</v>
      </c>
      <c r="D35" s="1785">
        <f>12729055</f>
        <v>12729055</v>
      </c>
      <c r="E35" s="1954" t="s">
        <v>597</v>
      </c>
      <c r="F35" s="1954" t="s">
        <v>597</v>
      </c>
      <c r="G35" s="1954" t="s">
        <v>597</v>
      </c>
      <c r="H35" s="1954" t="s">
        <v>597</v>
      </c>
      <c r="I35" s="1954" t="s">
        <v>597</v>
      </c>
      <c r="J35" s="1786">
        <f t="shared" si="0"/>
        <v>0.52401468609277191</v>
      </c>
      <c r="K35" s="1786">
        <f t="shared" si="1"/>
        <v>66.269483594325891</v>
      </c>
      <c r="L35" s="1977"/>
      <c r="M35" s="399"/>
      <c r="N35" s="399"/>
      <c r="O35" s="400"/>
      <c r="P35" s="400"/>
      <c r="Q35" s="401"/>
    </row>
    <row r="36" spans="1:17">
      <c r="A36" s="450"/>
      <c r="B36" s="1790" t="s">
        <v>734</v>
      </c>
      <c r="C36" s="1785">
        <f>17309212</f>
        <v>17309212</v>
      </c>
      <c r="D36" s="1785">
        <f>11316251.01</f>
        <v>11316251.01</v>
      </c>
      <c r="E36" s="1954" t="s">
        <v>597</v>
      </c>
      <c r="F36" s="1954" t="s">
        <v>597</v>
      </c>
      <c r="G36" s="1954" t="s">
        <v>597</v>
      </c>
      <c r="H36" s="1954" t="s">
        <v>597</v>
      </c>
      <c r="I36" s="1954" t="s">
        <v>597</v>
      </c>
      <c r="J36" s="1786">
        <f t="shared" si="0"/>
        <v>0.46585404185559437</v>
      </c>
      <c r="K36" s="1786">
        <f t="shared" si="1"/>
        <v>65.377043218374126</v>
      </c>
      <c r="L36" s="1977"/>
      <c r="M36" s="399"/>
      <c r="N36" s="399"/>
      <c r="O36" s="400"/>
      <c r="P36" s="400"/>
      <c r="Q36" s="401"/>
    </row>
    <row r="37" spans="1:17">
      <c r="A37" s="450"/>
      <c r="B37" s="1978"/>
      <c r="C37" s="1803"/>
      <c r="D37" s="1803"/>
      <c r="E37" s="1803"/>
      <c r="F37" s="1803"/>
      <c r="G37" s="1803"/>
      <c r="H37" s="1803"/>
      <c r="I37" s="1803"/>
      <c r="J37" s="1803"/>
      <c r="K37" s="1803"/>
      <c r="L37" s="1977"/>
      <c r="M37" s="399"/>
      <c r="N37" s="399"/>
      <c r="O37" s="400"/>
      <c r="P37" s="400"/>
      <c r="Q37" s="401"/>
    </row>
    <row r="38" spans="1:17">
      <c r="A38" s="450"/>
      <c r="B38" s="1864" t="s">
        <v>588</v>
      </c>
      <c r="C38" s="1781">
        <f>+C6</f>
        <v>2393088821</v>
      </c>
      <c r="D38" s="1781">
        <f>+D6</f>
        <v>2429140888.1900001</v>
      </c>
      <c r="E38" s="1979" t="s">
        <v>597</v>
      </c>
      <c r="F38" s="1979" t="s">
        <v>597</v>
      </c>
      <c r="G38" s="1979" t="s">
        <v>597</v>
      </c>
      <c r="H38" s="1979" t="s">
        <v>597</v>
      </c>
      <c r="I38" s="1979" t="s">
        <v>597</v>
      </c>
      <c r="J38" s="1786">
        <f t="shared" si="0"/>
        <v>100</v>
      </c>
      <c r="K38" s="1786">
        <f t="shared" si="1"/>
        <v>101.50650769305483</v>
      </c>
      <c r="L38" s="1977"/>
      <c r="M38" s="399"/>
      <c r="N38" s="399"/>
      <c r="O38" s="400"/>
      <c r="P38" s="400"/>
      <c r="Q38" s="401"/>
    </row>
    <row r="39" spans="1:17">
      <c r="A39" s="450"/>
      <c r="B39" s="1864" t="s">
        <v>137</v>
      </c>
      <c r="C39" s="1785">
        <f>46523020</f>
        <v>46523020</v>
      </c>
      <c r="D39" s="1785">
        <f>33274662.26</f>
        <v>33274662.260000002</v>
      </c>
      <c r="E39" s="1979" t="s">
        <v>597</v>
      </c>
      <c r="F39" s="1979" t="s">
        <v>597</v>
      </c>
      <c r="G39" s="1979" t="s">
        <v>597</v>
      </c>
      <c r="H39" s="1979" t="s">
        <v>597</v>
      </c>
      <c r="I39" s="1979" t="s">
        <v>597</v>
      </c>
      <c r="J39" s="1786">
        <f t="shared" si="0"/>
        <v>1.3698119537559468</v>
      </c>
      <c r="K39" s="1786">
        <f t="shared" si="1"/>
        <v>71.523005729206744</v>
      </c>
      <c r="L39" s="1977"/>
      <c r="M39" s="399"/>
      <c r="N39" s="399"/>
      <c r="O39" s="400"/>
      <c r="P39" s="400"/>
      <c r="Q39" s="401"/>
    </row>
    <row r="40" spans="1:17">
      <c r="A40" s="450"/>
      <c r="B40" s="1864" t="s">
        <v>136</v>
      </c>
      <c r="C40" s="1785">
        <f>C38-C39</f>
        <v>2346565801</v>
      </c>
      <c r="D40" s="1785">
        <f>D38-D39</f>
        <v>2395866225.9299998</v>
      </c>
      <c r="E40" s="1979" t="s">
        <v>597</v>
      </c>
      <c r="F40" s="1979" t="s">
        <v>597</v>
      </c>
      <c r="G40" s="1979" t="s">
        <v>597</v>
      </c>
      <c r="H40" s="1979" t="s">
        <v>597</v>
      </c>
      <c r="I40" s="1979" t="s">
        <v>597</v>
      </c>
      <c r="J40" s="1786">
        <f t="shared" si="0"/>
        <v>98.630188046244044</v>
      </c>
      <c r="K40" s="1786">
        <f t="shared" si="1"/>
        <v>102.1009606851421</v>
      </c>
      <c r="L40" s="1977"/>
      <c r="M40" s="399"/>
      <c r="N40" s="399"/>
      <c r="O40" s="400"/>
      <c r="P40" s="400"/>
      <c r="Q40" s="401"/>
    </row>
    <row r="41" spans="1:17">
      <c r="A41" s="450"/>
      <c r="B41" s="1874" t="s">
        <v>610</v>
      </c>
      <c r="C41" s="1793"/>
      <c r="D41" s="1794"/>
      <c r="E41" s="1794"/>
      <c r="F41" s="1795"/>
      <c r="G41" s="1795"/>
      <c r="H41" s="1795"/>
      <c r="I41" s="1795"/>
      <c r="J41" s="1795"/>
      <c r="K41" s="1796"/>
      <c r="L41" s="1796"/>
      <c r="M41" s="401"/>
    </row>
    <row r="42" spans="1:17" ht="26.55" customHeight="1">
      <c r="B42" s="1804"/>
      <c r="C42" s="1793"/>
      <c r="D42" s="1794"/>
      <c r="E42" s="1794"/>
      <c r="F42" s="1795"/>
      <c r="G42" s="1795"/>
      <c r="H42" s="1795"/>
      <c r="I42" s="1795"/>
      <c r="J42" s="1795"/>
      <c r="K42" s="1796"/>
      <c r="L42" s="1796"/>
      <c r="M42" s="399"/>
    </row>
    <row r="43" spans="1:17" ht="32.549999999999997" customHeight="1">
      <c r="B43" s="2455" t="s">
        <v>584</v>
      </c>
      <c r="C43" s="2468" t="s">
        <v>901</v>
      </c>
      <c r="D43" s="2468" t="s">
        <v>902</v>
      </c>
      <c r="E43" s="2468" t="s">
        <v>903</v>
      </c>
      <c r="F43" s="2468" t="s">
        <v>611</v>
      </c>
      <c r="G43" s="2468"/>
      <c r="H43" s="2468"/>
      <c r="I43" s="2465" t="s">
        <v>904</v>
      </c>
      <c r="J43" s="2468" t="s">
        <v>585</v>
      </c>
      <c r="K43" s="2469" t="s">
        <v>586</v>
      </c>
      <c r="L43" s="1980"/>
      <c r="M43" s="399"/>
    </row>
    <row r="44" spans="1:17">
      <c r="B44" s="2455"/>
      <c r="C44" s="2468"/>
      <c r="D44" s="2468"/>
      <c r="E44" s="2471"/>
      <c r="F44" s="2472" t="s">
        <v>905</v>
      </c>
      <c r="G44" s="2473" t="s">
        <v>612</v>
      </c>
      <c r="H44" s="2471"/>
      <c r="I44" s="2466"/>
      <c r="J44" s="2468"/>
      <c r="K44" s="2469"/>
      <c r="L44" s="1981"/>
      <c r="M44" s="399"/>
    </row>
    <row r="45" spans="1:17" ht="57" customHeight="1">
      <c r="B45" s="2455"/>
      <c r="C45" s="2468"/>
      <c r="D45" s="2468"/>
      <c r="E45" s="2471"/>
      <c r="F45" s="2471"/>
      <c r="G45" s="1982" t="s">
        <v>906</v>
      </c>
      <c r="H45" s="1982" t="s">
        <v>907</v>
      </c>
      <c r="I45" s="2467"/>
      <c r="J45" s="2468"/>
      <c r="K45" s="2469"/>
      <c r="L45" s="1981"/>
    </row>
    <row r="46" spans="1:17">
      <c r="B46" s="2455"/>
      <c r="C46" s="2456" t="s">
        <v>163</v>
      </c>
      <c r="D46" s="2464"/>
      <c r="E46" s="2464"/>
      <c r="F46" s="2464"/>
      <c r="G46" s="2464"/>
      <c r="H46" s="2464"/>
      <c r="I46" s="2457"/>
      <c r="J46" s="2470" t="s">
        <v>169</v>
      </c>
      <c r="K46" s="2470"/>
      <c r="L46" s="1980"/>
    </row>
    <row r="47" spans="1:17">
      <c r="B47" s="1974">
        <v>1</v>
      </c>
      <c r="C47" s="1975">
        <v>2</v>
      </c>
      <c r="D47" s="1975">
        <v>3</v>
      </c>
      <c r="E47" s="1975">
        <v>4</v>
      </c>
      <c r="F47" s="1974">
        <v>5</v>
      </c>
      <c r="G47" s="1974">
        <v>6</v>
      </c>
      <c r="H47" s="1975">
        <v>7</v>
      </c>
      <c r="I47" s="1983">
        <v>8</v>
      </c>
      <c r="J47" s="1974">
        <v>9</v>
      </c>
      <c r="K47" s="1975">
        <v>10</v>
      </c>
      <c r="L47" s="1980"/>
      <c r="M47" s="457"/>
    </row>
    <row r="48" spans="1:17" ht="26.4">
      <c r="B48" s="1826" t="s">
        <v>613</v>
      </c>
      <c r="C48" s="1810">
        <f>2420266687</f>
        <v>2420266687</v>
      </c>
      <c r="D48" s="1810">
        <f>2310927036.07</f>
        <v>2310927036.0700002</v>
      </c>
      <c r="E48" s="1810">
        <f>5236208614.79</f>
        <v>5236208614.79</v>
      </c>
      <c r="F48" s="1810">
        <f>286806251.55</f>
        <v>286806251.55000001</v>
      </c>
      <c r="G48" s="1810">
        <f>0</f>
        <v>0</v>
      </c>
      <c r="H48" s="1810">
        <f>23776480.01</f>
        <v>23776480.010000002</v>
      </c>
      <c r="I48" s="1811">
        <f>1008095</f>
        <v>1008095</v>
      </c>
      <c r="J48" s="1812">
        <f>IF($D$48=0,"",100*$D48/$D$48)</f>
        <v>100</v>
      </c>
      <c r="K48" s="1812">
        <f>IF(C48=0,"",100*D48/C48)</f>
        <v>95.48233045898219</v>
      </c>
      <c r="L48" s="1832"/>
      <c r="M48" s="496"/>
    </row>
    <row r="49" spans="2:16">
      <c r="B49" s="1783" t="s">
        <v>614</v>
      </c>
      <c r="C49" s="1813">
        <f>261754123</f>
        <v>261754123</v>
      </c>
      <c r="D49" s="1813">
        <f>214024309.71</f>
        <v>214024309.71000001</v>
      </c>
      <c r="E49" s="1813">
        <f>214024309.71</f>
        <v>214024309.71000001</v>
      </c>
      <c r="F49" s="1813">
        <f>808175.69</f>
        <v>808175.69</v>
      </c>
      <c r="G49" s="1813">
        <f>0</f>
        <v>0</v>
      </c>
      <c r="H49" s="1813">
        <f>0</f>
        <v>0</v>
      </c>
      <c r="I49" s="1814">
        <f>0</f>
        <v>0</v>
      </c>
      <c r="J49" s="1812">
        <f t="shared" ref="J49:J57" si="3">IF($D$48=0,"",100*$D49/$D$48)</f>
        <v>9.2614048980954937</v>
      </c>
      <c r="K49" s="1812">
        <f t="shared" ref="K49:K57" si="4">IF(C49=0,"",100*D49/C49)</f>
        <v>81.765401536769687</v>
      </c>
      <c r="L49" s="1832"/>
      <c r="M49" s="455"/>
    </row>
    <row r="50" spans="2:16">
      <c r="B50" s="1784" t="s">
        <v>615</v>
      </c>
      <c r="C50" s="1785">
        <f>261254123</f>
        <v>261254123</v>
      </c>
      <c r="D50" s="1785">
        <f>213524309.71</f>
        <v>213524309.71000001</v>
      </c>
      <c r="E50" s="1785">
        <f>213524309.71</f>
        <v>213524309.71000001</v>
      </c>
      <c r="F50" s="1785">
        <f>808175.69</f>
        <v>808175.69</v>
      </c>
      <c r="G50" s="1785">
        <f>0</f>
        <v>0</v>
      </c>
      <c r="H50" s="1785">
        <f>0</f>
        <v>0</v>
      </c>
      <c r="I50" s="1815">
        <f>0</f>
        <v>0</v>
      </c>
      <c r="J50" s="1812">
        <f t="shared" si="3"/>
        <v>9.2397685594229273</v>
      </c>
      <c r="K50" s="1812">
        <f t="shared" si="4"/>
        <v>81.730503334487082</v>
      </c>
      <c r="L50" s="1832"/>
      <c r="M50" s="496"/>
    </row>
    <row r="51" spans="2:16" ht="26.4">
      <c r="B51" s="1783" t="s">
        <v>616</v>
      </c>
      <c r="C51" s="1813">
        <f t="shared" ref="C51:I51" si="5">C48-C49</f>
        <v>2158512564</v>
      </c>
      <c r="D51" s="1813">
        <f>D48-D49</f>
        <v>2096902726.3600001</v>
      </c>
      <c r="E51" s="1813">
        <f>E48-E49</f>
        <v>5022184305.0799999</v>
      </c>
      <c r="F51" s="1813">
        <f t="shared" si="5"/>
        <v>285998075.86000001</v>
      </c>
      <c r="G51" s="1813">
        <f t="shared" si="5"/>
        <v>0</v>
      </c>
      <c r="H51" s="1813">
        <f t="shared" si="5"/>
        <v>23776480.010000002</v>
      </c>
      <c r="I51" s="1814">
        <f t="shared" si="5"/>
        <v>1008095</v>
      </c>
      <c r="J51" s="1812">
        <f t="shared" si="3"/>
        <v>90.738595101904494</v>
      </c>
      <c r="K51" s="1812">
        <f t="shared" si="4"/>
        <v>97.145727170295956</v>
      </c>
      <c r="L51" s="1832"/>
      <c r="M51" s="455"/>
    </row>
    <row r="52" spans="2:16" ht="20.399999999999999">
      <c r="B52" s="1784" t="s">
        <v>617</v>
      </c>
      <c r="C52" s="1785">
        <f>86921581</f>
        <v>86921581</v>
      </c>
      <c r="D52" s="1785">
        <f>79400252.2299999</f>
        <v>79400252.2299999</v>
      </c>
      <c r="E52" s="1785">
        <f>79400252.2299999</f>
        <v>79400252.2299999</v>
      </c>
      <c r="F52" s="1785">
        <f>5964526.13</f>
        <v>5964526.1299999999</v>
      </c>
      <c r="G52" s="1785">
        <f>0</f>
        <v>0</v>
      </c>
      <c r="H52" s="1785">
        <f>0</f>
        <v>0</v>
      </c>
      <c r="I52" s="1815">
        <f>0</f>
        <v>0</v>
      </c>
      <c r="J52" s="1812">
        <f t="shared" si="3"/>
        <v>3.4358614958709062</v>
      </c>
      <c r="K52" s="1812">
        <f t="shared" si="4"/>
        <v>91.34699497700106</v>
      </c>
      <c r="L52" s="1832"/>
      <c r="M52" s="455"/>
    </row>
    <row r="53" spans="2:16">
      <c r="B53" s="1784" t="s">
        <v>571</v>
      </c>
      <c r="C53" s="1816">
        <f>106402031</f>
        <v>106402031</v>
      </c>
      <c r="D53" s="1816">
        <f>104417888.76</f>
        <v>104417888.76000001</v>
      </c>
      <c r="E53" s="1816">
        <f>104417888.76</f>
        <v>104417888.76000001</v>
      </c>
      <c r="F53" s="1816">
        <f>0</f>
        <v>0</v>
      </c>
      <c r="G53" s="1816">
        <f>0</f>
        <v>0</v>
      </c>
      <c r="H53" s="1816">
        <f>0</f>
        <v>0</v>
      </c>
      <c r="I53" s="1817">
        <f>0</f>
        <v>0</v>
      </c>
      <c r="J53" s="1812">
        <f t="shared" si="3"/>
        <v>4.5184416093713953</v>
      </c>
      <c r="K53" s="1812">
        <f t="shared" si="4"/>
        <v>98.135240256833072</v>
      </c>
      <c r="L53" s="1832"/>
      <c r="M53" s="455"/>
    </row>
    <row r="54" spans="2:16">
      <c r="B54" s="1784" t="s">
        <v>618</v>
      </c>
      <c r="C54" s="1785">
        <f>0</f>
        <v>0</v>
      </c>
      <c r="D54" s="1785">
        <f>0</f>
        <v>0</v>
      </c>
      <c r="E54" s="1785">
        <f>0</f>
        <v>0</v>
      </c>
      <c r="F54" s="1785">
        <f>0</f>
        <v>0</v>
      </c>
      <c r="G54" s="1785">
        <f>0</f>
        <v>0</v>
      </c>
      <c r="H54" s="1785">
        <f>0</f>
        <v>0</v>
      </c>
      <c r="I54" s="1815">
        <f>0</f>
        <v>0</v>
      </c>
      <c r="J54" s="1812">
        <f t="shared" si="3"/>
        <v>0</v>
      </c>
      <c r="K54" s="1812" t="str">
        <f t="shared" si="4"/>
        <v/>
      </c>
      <c r="L54" s="1832"/>
      <c r="M54" s="455"/>
    </row>
    <row r="55" spans="2:16" ht="20.399999999999999">
      <c r="B55" s="1784" t="s">
        <v>619</v>
      </c>
      <c r="C55" s="1816">
        <f>0</f>
        <v>0</v>
      </c>
      <c r="D55" s="1816">
        <f>0</f>
        <v>0</v>
      </c>
      <c r="E55" s="1816">
        <f>0</f>
        <v>0</v>
      </c>
      <c r="F55" s="1816">
        <f>0</f>
        <v>0</v>
      </c>
      <c r="G55" s="1816">
        <f>0</f>
        <v>0</v>
      </c>
      <c r="H55" s="1816">
        <f>0</f>
        <v>0</v>
      </c>
      <c r="I55" s="1817">
        <f>0</f>
        <v>0</v>
      </c>
      <c r="J55" s="1812">
        <f t="shared" si="3"/>
        <v>0</v>
      </c>
      <c r="K55" s="1812" t="str">
        <f t="shared" si="4"/>
        <v/>
      </c>
      <c r="L55" s="1832"/>
      <c r="M55" s="455"/>
    </row>
    <row r="56" spans="2:16">
      <c r="B56" s="1784" t="s">
        <v>620</v>
      </c>
      <c r="C56" s="1816">
        <f>1140724</f>
        <v>1140724</v>
      </c>
      <c r="D56" s="1816">
        <f>347994.88</f>
        <v>347994.88</v>
      </c>
      <c r="E56" s="1816">
        <f>347994.88</f>
        <v>347994.88</v>
      </c>
      <c r="F56" s="1816">
        <f>32839.49</f>
        <v>32839.49</v>
      </c>
      <c r="G56" s="1816">
        <f>0</f>
        <v>0</v>
      </c>
      <c r="H56" s="1816">
        <f>0</f>
        <v>0</v>
      </c>
      <c r="I56" s="1818">
        <f>0</f>
        <v>0</v>
      </c>
      <c r="J56" s="1812">
        <f t="shared" si="3"/>
        <v>1.5058670159998028E-2</v>
      </c>
      <c r="K56" s="1812">
        <f t="shared" si="4"/>
        <v>30.506492368004881</v>
      </c>
      <c r="L56" s="1832"/>
      <c r="M56" s="455"/>
    </row>
    <row r="57" spans="2:16">
      <c r="B57" s="1784" t="s">
        <v>621</v>
      </c>
      <c r="C57" s="1785">
        <f t="shared" ref="C57:I57" si="6">C51-C52-C53-C54-C55-C56</f>
        <v>1964048228</v>
      </c>
      <c r="D57" s="1785">
        <f>D51-D52-D53-D54-D55-D56</f>
        <v>1912736590.49</v>
      </c>
      <c r="E57" s="1959">
        <f>E51-E52-E53-E54-E55-E56</f>
        <v>4838018169.21</v>
      </c>
      <c r="F57" s="1959">
        <f t="shared" si="6"/>
        <v>280000710.24000001</v>
      </c>
      <c r="G57" s="1959">
        <f t="shared" si="6"/>
        <v>0</v>
      </c>
      <c r="H57" s="1959">
        <f t="shared" si="6"/>
        <v>23776480.010000002</v>
      </c>
      <c r="I57" s="1960">
        <f t="shared" si="6"/>
        <v>1008095</v>
      </c>
      <c r="J57" s="1812">
        <f t="shared" si="3"/>
        <v>82.769233326502189</v>
      </c>
      <c r="K57" s="1812">
        <f t="shared" si="4"/>
        <v>97.38745531914708</v>
      </c>
      <c r="L57" s="1832"/>
      <c r="M57" s="422"/>
    </row>
    <row r="58" spans="2:16" ht="18">
      <c r="B58" s="1826" t="s">
        <v>622</v>
      </c>
      <c r="C58" s="1813">
        <f>C6-C48</f>
        <v>-27177866</v>
      </c>
      <c r="D58" s="1813">
        <f>D6-D48</f>
        <v>118213852.11999989</v>
      </c>
      <c r="E58" s="1984"/>
      <c r="F58" s="1963"/>
      <c r="G58" s="1963"/>
      <c r="H58" s="1963"/>
      <c r="I58" s="2452"/>
      <c r="J58" s="2452"/>
      <c r="K58" s="1822"/>
      <c r="L58" s="1822"/>
      <c r="M58" s="494"/>
    </row>
    <row r="59" spans="2:16">
      <c r="B59" s="1980"/>
      <c r="C59" s="1980"/>
      <c r="D59" s="1980"/>
      <c r="E59" s="1980"/>
      <c r="F59" s="1980"/>
      <c r="G59" s="1980"/>
      <c r="H59" s="1980"/>
      <c r="I59" s="1980"/>
      <c r="J59" s="1980"/>
      <c r="K59" s="1980"/>
      <c r="L59" s="1980"/>
      <c r="M59" s="495"/>
      <c r="N59" s="495"/>
      <c r="O59" s="495"/>
      <c r="P59" s="495"/>
    </row>
    <row r="60" spans="2:16">
      <c r="B60" s="1980"/>
      <c r="C60" s="1980"/>
      <c r="D60" s="1980"/>
      <c r="E60" s="1980"/>
      <c r="F60" s="1980"/>
      <c r="G60" s="1980"/>
      <c r="H60" s="1980"/>
      <c r="I60" s="1980"/>
      <c r="J60" s="1980"/>
      <c r="K60" s="1980"/>
      <c r="L60" s="1980"/>
      <c r="M60" s="495"/>
      <c r="N60" s="495"/>
      <c r="O60" s="495"/>
      <c r="P60" s="495"/>
    </row>
    <row r="61" spans="2:16">
      <c r="B61" s="2286" t="s">
        <v>860</v>
      </c>
      <c r="C61" s="2287" t="s">
        <v>861</v>
      </c>
      <c r="D61" s="2287"/>
      <c r="E61" s="2287" t="s">
        <v>862</v>
      </c>
      <c r="F61" s="2287"/>
      <c r="G61" s="1827" t="s">
        <v>863</v>
      </c>
      <c r="H61" s="1980"/>
      <c r="I61" s="1980"/>
      <c r="J61" s="1980"/>
      <c r="K61" s="1980"/>
      <c r="L61" s="1980"/>
      <c r="M61" s="495"/>
      <c r="N61" s="495"/>
      <c r="O61" s="495"/>
      <c r="P61" s="495"/>
    </row>
    <row r="62" spans="2:16">
      <c r="B62" s="2286"/>
      <c r="C62" s="1828" t="s">
        <v>864</v>
      </c>
      <c r="D62" s="1828" t="s">
        <v>865</v>
      </c>
      <c r="E62" s="1828" t="s">
        <v>864</v>
      </c>
      <c r="F62" s="1828" t="s">
        <v>865</v>
      </c>
      <c r="G62" s="1828" t="s">
        <v>864</v>
      </c>
      <c r="H62" s="1980"/>
      <c r="I62" s="1980"/>
      <c r="J62" s="1980"/>
      <c r="K62" s="1980"/>
      <c r="L62" s="1980"/>
      <c r="M62" s="495"/>
      <c r="N62" s="495"/>
      <c r="O62" s="495"/>
      <c r="P62" s="495"/>
    </row>
    <row r="63" spans="2:16">
      <c r="B63" s="1829" t="s">
        <v>866</v>
      </c>
      <c r="C63" s="1830">
        <f>0</f>
        <v>0</v>
      </c>
      <c r="D63" s="1831">
        <f>0</f>
        <v>0</v>
      </c>
      <c r="E63" s="1830">
        <f>1</f>
        <v>1</v>
      </c>
      <c r="F63" s="1831">
        <f>+-27177866</f>
        <v>-27177866</v>
      </c>
      <c r="G63" s="1830">
        <f>0</f>
        <v>0</v>
      </c>
      <c r="H63" s="1980"/>
      <c r="I63" s="1980"/>
      <c r="J63" s="1980"/>
      <c r="K63" s="1980"/>
      <c r="L63" s="1980"/>
      <c r="M63" s="495"/>
      <c r="N63" s="495"/>
      <c r="O63" s="495"/>
      <c r="P63" s="495"/>
    </row>
    <row r="64" spans="2:16">
      <c r="B64" s="1829" t="s">
        <v>867</v>
      </c>
      <c r="C64" s="1830">
        <f>1</f>
        <v>1</v>
      </c>
      <c r="D64" s="1831">
        <f>118213852.12</f>
        <v>118213852.12</v>
      </c>
      <c r="E64" s="1830">
        <f>0</f>
        <v>0</v>
      </c>
      <c r="F64" s="1831">
        <f>0</f>
        <v>0</v>
      </c>
      <c r="G64" s="1830">
        <f>0</f>
        <v>0</v>
      </c>
      <c r="H64" s="1980"/>
      <c r="I64" s="1980"/>
      <c r="J64" s="1980"/>
      <c r="K64" s="1980"/>
      <c r="L64" s="1980"/>
      <c r="M64" s="495"/>
      <c r="N64" s="495"/>
      <c r="O64" s="495"/>
      <c r="P64" s="495"/>
    </row>
    <row r="65" spans="2:16">
      <c r="B65" s="1832"/>
      <c r="C65" s="1832"/>
      <c r="D65" s="1832"/>
      <c r="E65" s="1832"/>
      <c r="F65" s="1832"/>
      <c r="G65" s="1832"/>
      <c r="H65" s="1980"/>
      <c r="I65" s="1980"/>
      <c r="J65" s="1980"/>
      <c r="K65" s="1980"/>
      <c r="L65" s="1980"/>
      <c r="M65" s="495"/>
      <c r="N65" s="495"/>
      <c r="O65" s="495"/>
      <c r="P65" s="495"/>
    </row>
    <row r="66" spans="2:16">
      <c r="B66" s="2286" t="s">
        <v>868</v>
      </c>
      <c r="C66" s="2287" t="s">
        <v>861</v>
      </c>
      <c r="D66" s="2287"/>
      <c r="E66" s="2287" t="s">
        <v>862</v>
      </c>
      <c r="F66" s="2287"/>
      <c r="G66" s="1827" t="s">
        <v>863</v>
      </c>
      <c r="H66" s="1980"/>
      <c r="I66" s="1980"/>
      <c r="J66" s="1980"/>
      <c r="K66" s="1980"/>
      <c r="L66" s="1980"/>
      <c r="M66" s="495"/>
      <c r="N66" s="495"/>
      <c r="O66" s="495"/>
      <c r="P66" s="495"/>
    </row>
    <row r="67" spans="2:16">
      <c r="B67" s="2286"/>
      <c r="C67" s="1828" t="s">
        <v>864</v>
      </c>
      <c r="D67" s="1828" t="s">
        <v>865</v>
      </c>
      <c r="E67" s="1828" t="s">
        <v>864</v>
      </c>
      <c r="F67" s="1828" t="s">
        <v>865</v>
      </c>
      <c r="G67" s="1828" t="s">
        <v>864</v>
      </c>
      <c r="H67" s="1980"/>
      <c r="I67" s="1980"/>
      <c r="J67" s="1980"/>
      <c r="K67" s="1980"/>
      <c r="L67" s="1980"/>
      <c r="M67" s="495"/>
      <c r="N67" s="495"/>
      <c r="O67" s="495"/>
      <c r="P67" s="495"/>
    </row>
    <row r="68" spans="2:16">
      <c r="B68" s="1829" t="s">
        <v>866</v>
      </c>
      <c r="C68" s="1830">
        <f>1</f>
        <v>1</v>
      </c>
      <c r="D68" s="1831">
        <f>188053237</f>
        <v>188053237</v>
      </c>
      <c r="E68" s="1830">
        <f>0</f>
        <v>0</v>
      </c>
      <c r="F68" s="1831">
        <f>0</f>
        <v>0</v>
      </c>
      <c r="G68" s="1830">
        <f>0</f>
        <v>0</v>
      </c>
      <c r="H68" s="1980"/>
      <c r="I68" s="1980"/>
      <c r="J68" s="1980"/>
      <c r="K68" s="1980"/>
      <c r="L68" s="1980"/>
      <c r="M68" s="495"/>
      <c r="N68" s="495"/>
      <c r="O68" s="495"/>
      <c r="P68" s="495"/>
    </row>
    <row r="69" spans="2:16">
      <c r="B69" s="1829" t="s">
        <v>867</v>
      </c>
      <c r="C69" s="1830">
        <f>1</f>
        <v>1</v>
      </c>
      <c r="D69" s="1831">
        <f>298963499.57</f>
        <v>298963499.56999999</v>
      </c>
      <c r="E69" s="1830">
        <f>0</f>
        <v>0</v>
      </c>
      <c r="F69" s="1831">
        <f>0</f>
        <v>0</v>
      </c>
      <c r="G69" s="1830">
        <f>0</f>
        <v>0</v>
      </c>
      <c r="H69" s="1980"/>
      <c r="I69" s="1980"/>
      <c r="J69" s="1980"/>
      <c r="K69" s="1980"/>
      <c r="L69" s="1980"/>
      <c r="M69" s="495"/>
      <c r="N69" s="495"/>
      <c r="O69" s="495"/>
      <c r="P69" s="495"/>
    </row>
    <row r="70" spans="2:16">
      <c r="B70" s="1980"/>
      <c r="C70" s="1980"/>
      <c r="D70" s="1980"/>
      <c r="E70" s="1980"/>
      <c r="F70" s="1980"/>
      <c r="G70" s="1980"/>
      <c r="H70" s="1980"/>
      <c r="I70" s="1980"/>
      <c r="J70" s="1980"/>
      <c r="K70" s="1980"/>
      <c r="L70" s="1980"/>
      <c r="M70" s="495"/>
      <c r="N70" s="495"/>
      <c r="O70" s="495"/>
      <c r="P70" s="495"/>
    </row>
    <row r="71" spans="2:16">
      <c r="B71" s="1980"/>
      <c r="C71" s="1980"/>
      <c r="D71" s="1980"/>
      <c r="E71" s="1980"/>
      <c r="F71" s="1980"/>
      <c r="G71" s="1980"/>
      <c r="H71" s="1980"/>
      <c r="I71" s="1980"/>
      <c r="J71" s="1980"/>
      <c r="K71" s="1980"/>
      <c r="L71" s="1980"/>
      <c r="M71" s="495"/>
      <c r="N71" s="495"/>
      <c r="O71" s="495"/>
      <c r="P71" s="495"/>
    </row>
    <row r="72" spans="2:16">
      <c r="B72" s="1985" t="s">
        <v>1</v>
      </c>
      <c r="C72" s="1986" t="s">
        <v>627</v>
      </c>
      <c r="D72" s="1986" t="s">
        <v>628</v>
      </c>
      <c r="E72" s="2474" t="s">
        <v>597</v>
      </c>
      <c r="F72" s="2475"/>
      <c r="G72" s="2475"/>
      <c r="H72" s="2475"/>
      <c r="I72" s="2476"/>
      <c r="J72" s="1975" t="s">
        <v>5</v>
      </c>
      <c r="K72" s="1975" t="s">
        <v>4</v>
      </c>
      <c r="L72" s="1980"/>
      <c r="M72" s="495"/>
      <c r="N72" s="495"/>
      <c r="O72" s="495"/>
      <c r="P72" s="495"/>
    </row>
    <row r="73" spans="2:16">
      <c r="B73" s="1985"/>
      <c r="C73" s="2472" t="s">
        <v>163</v>
      </c>
      <c r="D73" s="2483"/>
      <c r="E73" s="2477"/>
      <c r="F73" s="2478"/>
      <c r="G73" s="2478"/>
      <c r="H73" s="2478"/>
      <c r="I73" s="2479"/>
      <c r="J73" s="2453" t="s">
        <v>169</v>
      </c>
      <c r="K73" s="2454"/>
      <c r="L73" s="1980"/>
      <c r="M73" s="495"/>
      <c r="N73" s="495"/>
      <c r="O73" s="495"/>
      <c r="P73" s="495"/>
    </row>
    <row r="74" spans="2:16">
      <c r="B74" s="1982">
        <v>1</v>
      </c>
      <c r="C74" s="1987">
        <v>2</v>
      </c>
      <c r="D74" s="1987">
        <v>3</v>
      </c>
      <c r="E74" s="2480"/>
      <c r="F74" s="2481"/>
      <c r="G74" s="2481"/>
      <c r="H74" s="2481"/>
      <c r="I74" s="2482"/>
      <c r="J74" s="1988">
        <v>4</v>
      </c>
      <c r="K74" s="1988">
        <v>5</v>
      </c>
      <c r="L74" s="1980"/>
      <c r="M74" s="495"/>
      <c r="N74" s="495"/>
      <c r="O74" s="495"/>
      <c r="P74" s="495"/>
    </row>
    <row r="75" spans="2:16" ht="26.4">
      <c r="B75" s="1989" t="s">
        <v>629</v>
      </c>
      <c r="C75" s="1843">
        <f>27177866</f>
        <v>27177866</v>
      </c>
      <c r="D75" s="1843">
        <f>638159475</f>
        <v>638159475</v>
      </c>
      <c r="E75" s="1970" t="s">
        <v>597</v>
      </c>
      <c r="F75" s="1970" t="s">
        <v>597</v>
      </c>
      <c r="G75" s="1970" t="s">
        <v>597</v>
      </c>
      <c r="H75" s="1970" t="s">
        <v>597</v>
      </c>
      <c r="I75" s="1970" t="s">
        <v>597</v>
      </c>
      <c r="J75" s="1775">
        <f>IF($D$75=0,"",100*$D75/$D$75)</f>
        <v>100</v>
      </c>
      <c r="K75" s="1812">
        <f t="shared" ref="K75:K89" si="7">IF(C75=0,"",100*D75/C75)</f>
        <v>2348.0852948498605</v>
      </c>
      <c r="L75" s="1980"/>
      <c r="M75" s="495"/>
      <c r="N75" s="495"/>
      <c r="O75" s="495"/>
      <c r="P75" s="495"/>
    </row>
    <row r="76" spans="2:16" ht="20.399999999999999">
      <c r="B76" s="1844" t="s">
        <v>753</v>
      </c>
      <c r="C76" s="1845">
        <f>0</f>
        <v>0</v>
      </c>
      <c r="D76" s="1845">
        <f>0</f>
        <v>0</v>
      </c>
      <c r="E76" s="1990" t="s">
        <v>597</v>
      </c>
      <c r="F76" s="1990" t="s">
        <v>597</v>
      </c>
      <c r="G76" s="1990" t="s">
        <v>597</v>
      </c>
      <c r="H76" s="1990" t="s">
        <v>597</v>
      </c>
      <c r="I76" s="1990" t="s">
        <v>597</v>
      </c>
      <c r="J76" s="1775">
        <f t="shared" ref="J76:J85" si="8">IF($D$75=0,"",100*$D76/$D$75)</f>
        <v>0</v>
      </c>
      <c r="K76" s="1812" t="str">
        <f t="shared" si="7"/>
        <v/>
      </c>
      <c r="L76" s="1980"/>
      <c r="M76" s="495"/>
      <c r="N76" s="495"/>
      <c r="O76" s="495"/>
      <c r="P76" s="495"/>
    </row>
    <row r="77" spans="2:16">
      <c r="B77" s="1846" t="s">
        <v>631</v>
      </c>
      <c r="C77" s="1845">
        <f>0</f>
        <v>0</v>
      </c>
      <c r="D77" s="1845">
        <f>0</f>
        <v>0</v>
      </c>
      <c r="E77" s="1990" t="s">
        <v>597</v>
      </c>
      <c r="F77" s="1990" t="s">
        <v>597</v>
      </c>
      <c r="G77" s="1990" t="s">
        <v>597</v>
      </c>
      <c r="H77" s="1990" t="s">
        <v>597</v>
      </c>
      <c r="I77" s="1990" t="s">
        <v>597</v>
      </c>
      <c r="J77" s="1775">
        <f t="shared" si="8"/>
        <v>0</v>
      </c>
      <c r="K77" s="1812" t="str">
        <f t="shared" si="7"/>
        <v/>
      </c>
      <c r="L77" s="1980"/>
      <c r="M77" s="495"/>
      <c r="N77" s="495"/>
      <c r="O77" s="495"/>
      <c r="P77" s="495"/>
    </row>
    <row r="78" spans="2:16">
      <c r="B78" s="1844" t="s">
        <v>632</v>
      </c>
      <c r="C78" s="1845">
        <f>0</f>
        <v>0</v>
      </c>
      <c r="D78" s="1845">
        <f>0</f>
        <v>0</v>
      </c>
      <c r="E78" s="1990" t="s">
        <v>597</v>
      </c>
      <c r="F78" s="1990" t="s">
        <v>597</v>
      </c>
      <c r="G78" s="1990" t="s">
        <v>597</v>
      </c>
      <c r="H78" s="1990" t="s">
        <v>597</v>
      </c>
      <c r="I78" s="1990" t="s">
        <v>597</v>
      </c>
      <c r="J78" s="1775">
        <f t="shared" si="8"/>
        <v>0</v>
      </c>
      <c r="K78" s="1812" t="str">
        <f t="shared" si="7"/>
        <v/>
      </c>
      <c r="L78" s="1980"/>
      <c r="M78" s="495"/>
    </row>
    <row r="79" spans="2:16" ht="40.799999999999997">
      <c r="B79" s="1844" t="s">
        <v>633</v>
      </c>
      <c r="C79" s="1845">
        <f>24151519</f>
        <v>24151519</v>
      </c>
      <c r="D79" s="1845">
        <f>635133127.07</f>
        <v>635133127.07000005</v>
      </c>
      <c r="E79" s="1990" t="s">
        <v>597</v>
      </c>
      <c r="F79" s="1990" t="s">
        <v>597</v>
      </c>
      <c r="G79" s="1990" t="s">
        <v>597</v>
      </c>
      <c r="H79" s="1990" t="s">
        <v>597</v>
      </c>
      <c r="I79" s="1990" t="s">
        <v>597</v>
      </c>
      <c r="J79" s="1775">
        <f t="shared" si="8"/>
        <v>99.52576933375471</v>
      </c>
      <c r="K79" s="1812">
        <f t="shared" si="7"/>
        <v>2629.7854270367015</v>
      </c>
      <c r="L79" s="1980"/>
    </row>
    <row r="80" spans="2:16" ht="30.6">
      <c r="B80" s="1844" t="s">
        <v>634</v>
      </c>
      <c r="C80" s="1845">
        <f>3026347</f>
        <v>3026347</v>
      </c>
      <c r="D80" s="1845">
        <f>3026347.93</f>
        <v>3026347.93</v>
      </c>
      <c r="E80" s="1990" t="s">
        <v>597</v>
      </c>
      <c r="F80" s="1990" t="s">
        <v>597</v>
      </c>
      <c r="G80" s="1990" t="s">
        <v>597</v>
      </c>
      <c r="H80" s="1990" t="s">
        <v>597</v>
      </c>
      <c r="I80" s="1990" t="s">
        <v>597</v>
      </c>
      <c r="J80" s="1775">
        <f t="shared" si="8"/>
        <v>0.47423066624529864</v>
      </c>
      <c r="K80" s="1812">
        <f t="shared" si="7"/>
        <v>100.00003073011786</v>
      </c>
      <c r="L80" s="1980"/>
    </row>
    <row r="81" spans="2:13">
      <c r="B81" s="1844" t="s">
        <v>635</v>
      </c>
      <c r="C81" s="1845">
        <f>0</f>
        <v>0</v>
      </c>
      <c r="D81" s="1845">
        <f>0</f>
        <v>0</v>
      </c>
      <c r="E81" s="1990" t="s">
        <v>597</v>
      </c>
      <c r="F81" s="1990" t="s">
        <v>597</v>
      </c>
      <c r="G81" s="1990" t="s">
        <v>597</v>
      </c>
      <c r="H81" s="1990" t="s">
        <v>597</v>
      </c>
      <c r="I81" s="1990" t="s">
        <v>597</v>
      </c>
      <c r="J81" s="1775">
        <f t="shared" si="8"/>
        <v>0</v>
      </c>
      <c r="K81" s="1812" t="str">
        <f t="shared" si="7"/>
        <v/>
      </c>
      <c r="L81" s="1980"/>
    </row>
    <row r="82" spans="2:13" ht="30.6">
      <c r="B82" s="1844" t="s">
        <v>746</v>
      </c>
      <c r="C82" s="1845">
        <f>0</f>
        <v>0</v>
      </c>
      <c r="D82" s="1845">
        <f>0</f>
        <v>0</v>
      </c>
      <c r="E82" s="1990" t="s">
        <v>597</v>
      </c>
      <c r="F82" s="1990" t="s">
        <v>597</v>
      </c>
      <c r="G82" s="1990" t="s">
        <v>597</v>
      </c>
      <c r="H82" s="1990" t="s">
        <v>597</v>
      </c>
      <c r="I82" s="1990" t="s">
        <v>597</v>
      </c>
      <c r="J82" s="1775">
        <f t="shared" si="8"/>
        <v>0</v>
      </c>
      <c r="K82" s="1812" t="str">
        <f t="shared" si="7"/>
        <v/>
      </c>
      <c r="L82" s="1980"/>
    </row>
    <row r="83" spans="2:13" ht="51">
      <c r="B83" s="1844" t="s">
        <v>637</v>
      </c>
      <c r="C83" s="1845">
        <f>0</f>
        <v>0</v>
      </c>
      <c r="D83" s="1845">
        <f>0</f>
        <v>0</v>
      </c>
      <c r="E83" s="1990" t="s">
        <v>597</v>
      </c>
      <c r="F83" s="1990" t="s">
        <v>597</v>
      </c>
      <c r="G83" s="1990" t="s">
        <v>597</v>
      </c>
      <c r="H83" s="1990" t="s">
        <v>597</v>
      </c>
      <c r="I83" s="1990" t="s">
        <v>597</v>
      </c>
      <c r="J83" s="1775">
        <f t="shared" si="8"/>
        <v>0</v>
      </c>
      <c r="K83" s="1812" t="str">
        <f>IF(C83=0,"",100*D83/C83)</f>
        <v/>
      </c>
      <c r="L83" s="1980"/>
    </row>
    <row r="84" spans="2:13">
      <c r="B84" s="1844" t="s">
        <v>644</v>
      </c>
      <c r="C84" s="1845">
        <f>0</f>
        <v>0</v>
      </c>
      <c r="D84" s="1845">
        <f>0</f>
        <v>0</v>
      </c>
      <c r="E84" s="1990" t="s">
        <v>597</v>
      </c>
      <c r="F84" s="1990" t="s">
        <v>597</v>
      </c>
      <c r="G84" s="1990" t="s">
        <v>597</v>
      </c>
      <c r="H84" s="1990" t="s">
        <v>597</v>
      </c>
      <c r="I84" s="1990" t="s">
        <v>597</v>
      </c>
      <c r="J84" s="1775">
        <f t="shared" si="8"/>
        <v>0</v>
      </c>
      <c r="K84" s="1812" t="str">
        <f>IF(C84=0,"",100*D84/C84)</f>
        <v/>
      </c>
      <c r="L84" s="1980"/>
    </row>
    <row r="85" spans="2:13" ht="20.399999999999999">
      <c r="B85" s="1846" t="s">
        <v>639</v>
      </c>
      <c r="C85" s="1845">
        <f>0</f>
        <v>0</v>
      </c>
      <c r="D85" s="1845">
        <f>0</f>
        <v>0</v>
      </c>
      <c r="E85" s="1990" t="s">
        <v>597</v>
      </c>
      <c r="F85" s="1990" t="s">
        <v>597</v>
      </c>
      <c r="G85" s="1990" t="s">
        <v>597</v>
      </c>
      <c r="H85" s="1990" t="s">
        <v>597</v>
      </c>
      <c r="I85" s="1990" t="s">
        <v>597</v>
      </c>
      <c r="J85" s="1775">
        <f t="shared" si="8"/>
        <v>0</v>
      </c>
      <c r="K85" s="1812" t="str">
        <f>IF(C85=0,"",100*D85/C85)</f>
        <v/>
      </c>
      <c r="L85" s="1980"/>
    </row>
    <row r="86" spans="2:13" ht="26.4">
      <c r="B86" s="1989" t="s">
        <v>640</v>
      </c>
      <c r="C86" s="1843">
        <f>0</f>
        <v>0</v>
      </c>
      <c r="D86" s="1843">
        <f>0</f>
        <v>0</v>
      </c>
      <c r="E86" s="1970" t="s">
        <v>597</v>
      </c>
      <c r="F86" s="1970" t="s">
        <v>597</v>
      </c>
      <c r="G86" s="1970" t="s">
        <v>597</v>
      </c>
      <c r="H86" s="1970" t="s">
        <v>597</v>
      </c>
      <c r="I86" s="1970" t="s">
        <v>597</v>
      </c>
      <c r="J86" s="1775" t="str">
        <f t="shared" ref="J86:J91" si="9">IF($D$86=0,"",100*$D86/$D$86)</f>
        <v/>
      </c>
      <c r="K86" s="1812" t="str">
        <f t="shared" si="7"/>
        <v/>
      </c>
      <c r="L86" s="1980"/>
    </row>
    <row r="87" spans="2:13" ht="20.399999999999999">
      <c r="B87" s="1844" t="s">
        <v>641</v>
      </c>
      <c r="C87" s="1845">
        <f>0</f>
        <v>0</v>
      </c>
      <c r="D87" s="1845">
        <f>0</f>
        <v>0</v>
      </c>
      <c r="E87" s="1990" t="s">
        <v>597</v>
      </c>
      <c r="F87" s="1990" t="s">
        <v>597</v>
      </c>
      <c r="G87" s="1990" t="s">
        <v>597</v>
      </c>
      <c r="H87" s="1990" t="s">
        <v>597</v>
      </c>
      <c r="I87" s="1990" t="s">
        <v>597</v>
      </c>
      <c r="J87" s="1775" t="str">
        <f t="shared" si="9"/>
        <v/>
      </c>
      <c r="K87" s="1812" t="str">
        <f t="shared" si="7"/>
        <v/>
      </c>
      <c r="L87" s="1980"/>
    </row>
    <row r="88" spans="2:13">
      <c r="B88" s="1846" t="s">
        <v>642</v>
      </c>
      <c r="C88" s="1845">
        <f>0</f>
        <v>0</v>
      </c>
      <c r="D88" s="1845">
        <f>0</f>
        <v>0</v>
      </c>
      <c r="E88" s="1990" t="s">
        <v>597</v>
      </c>
      <c r="F88" s="1990" t="s">
        <v>597</v>
      </c>
      <c r="G88" s="1990" t="s">
        <v>597</v>
      </c>
      <c r="H88" s="1990" t="s">
        <v>597</v>
      </c>
      <c r="I88" s="1990" t="s">
        <v>597</v>
      </c>
      <c r="J88" s="1775" t="str">
        <f t="shared" si="9"/>
        <v/>
      </c>
      <c r="K88" s="1812" t="str">
        <f t="shared" si="7"/>
        <v/>
      </c>
      <c r="L88" s="1980"/>
    </row>
    <row r="89" spans="2:13">
      <c r="B89" s="1844" t="s">
        <v>643</v>
      </c>
      <c r="C89" s="1845">
        <f>0</f>
        <v>0</v>
      </c>
      <c r="D89" s="1845">
        <f>0</f>
        <v>0</v>
      </c>
      <c r="E89" s="1990" t="s">
        <v>597</v>
      </c>
      <c r="F89" s="1990" t="s">
        <v>597</v>
      </c>
      <c r="G89" s="1990" t="s">
        <v>597</v>
      </c>
      <c r="H89" s="1990" t="s">
        <v>597</v>
      </c>
      <c r="I89" s="1990" t="s">
        <v>597</v>
      </c>
      <c r="J89" s="1775" t="str">
        <f t="shared" si="9"/>
        <v/>
      </c>
      <c r="K89" s="1812" t="str">
        <f t="shared" si="7"/>
        <v/>
      </c>
      <c r="L89" s="1980"/>
    </row>
    <row r="90" spans="2:13">
      <c r="B90" s="1844" t="s">
        <v>644</v>
      </c>
      <c r="C90" s="1845">
        <f>0</f>
        <v>0</v>
      </c>
      <c r="D90" s="1845">
        <f>0</f>
        <v>0</v>
      </c>
      <c r="E90" s="1990" t="s">
        <v>597</v>
      </c>
      <c r="F90" s="1990" t="s">
        <v>597</v>
      </c>
      <c r="G90" s="1990" t="s">
        <v>597</v>
      </c>
      <c r="H90" s="1990" t="s">
        <v>597</v>
      </c>
      <c r="I90" s="1990" t="s">
        <v>597</v>
      </c>
      <c r="J90" s="1775" t="str">
        <f t="shared" si="9"/>
        <v/>
      </c>
      <c r="K90" s="1812" t="str">
        <f>IF(C90=0,"",100*D90/C90)</f>
        <v/>
      </c>
      <c r="L90" s="1980"/>
    </row>
    <row r="91" spans="2:13" ht="20.399999999999999">
      <c r="B91" s="1846" t="s">
        <v>645</v>
      </c>
      <c r="C91" s="1845">
        <f>0</f>
        <v>0</v>
      </c>
      <c r="D91" s="1845">
        <f>0</f>
        <v>0</v>
      </c>
      <c r="E91" s="1990" t="s">
        <v>597</v>
      </c>
      <c r="F91" s="1990" t="s">
        <v>597</v>
      </c>
      <c r="G91" s="1990" t="s">
        <v>597</v>
      </c>
      <c r="H91" s="1990" t="s">
        <v>597</v>
      </c>
      <c r="I91" s="1990" t="s">
        <v>597</v>
      </c>
      <c r="J91" s="1775" t="str">
        <f t="shared" si="9"/>
        <v/>
      </c>
      <c r="K91" s="1812" t="str">
        <f>IF(C91=0,"",100*D91/C91)</f>
        <v/>
      </c>
      <c r="L91" s="1980"/>
      <c r="M91" s="495"/>
    </row>
    <row r="92" spans="2:13">
      <c r="B92" s="1832"/>
      <c r="C92" s="1832"/>
      <c r="D92" s="1832"/>
      <c r="E92" s="1832"/>
      <c r="F92" s="1832"/>
      <c r="G92" s="1832"/>
      <c r="H92" s="1832"/>
      <c r="I92" s="1980"/>
      <c r="J92" s="1980"/>
      <c r="K92" s="1980"/>
      <c r="L92" s="1980"/>
    </row>
    <row r="93" spans="2:13">
      <c r="B93" s="1910" t="s">
        <v>1</v>
      </c>
      <c r="C93" s="1839" t="s">
        <v>627</v>
      </c>
      <c r="D93" s="1807" t="s">
        <v>628</v>
      </c>
      <c r="E93" s="1980"/>
      <c r="F93" s="1980"/>
      <c r="G93" s="1980"/>
      <c r="H93" s="1980"/>
      <c r="I93" s="1980"/>
      <c r="J93" s="1806"/>
      <c r="K93" s="1806"/>
      <c r="L93" s="1806"/>
    </row>
    <row r="94" spans="2:13">
      <c r="B94" s="1910"/>
      <c r="C94" s="2283" t="s">
        <v>163</v>
      </c>
      <c r="D94" s="2284"/>
      <c r="E94" s="1980"/>
      <c r="F94" s="1980"/>
      <c r="G94" s="1980"/>
      <c r="H94" s="1980"/>
      <c r="I94" s="1980"/>
      <c r="J94" s="1806"/>
      <c r="K94" s="1806"/>
      <c r="L94" s="1806"/>
    </row>
    <row r="95" spans="2:13">
      <c r="B95" s="1809">
        <v>1</v>
      </c>
      <c r="C95" s="1840">
        <v>2</v>
      </c>
      <c r="D95" s="1841">
        <v>3</v>
      </c>
      <c r="E95" s="1980"/>
      <c r="F95" s="1980"/>
      <c r="G95" s="1980"/>
      <c r="H95" s="1980"/>
      <c r="I95" s="1980"/>
      <c r="J95" s="1806"/>
      <c r="K95" s="1806"/>
      <c r="L95" s="1806"/>
    </row>
    <row r="96" spans="2:13" ht="30.6">
      <c r="B96" s="1991" t="s">
        <v>756</v>
      </c>
      <c r="C96" s="1845">
        <f>27177866</f>
        <v>27177866</v>
      </c>
      <c r="D96" s="1787">
        <f>0</f>
        <v>0</v>
      </c>
      <c r="E96" s="1980"/>
      <c r="F96" s="1980"/>
      <c r="G96" s="1980"/>
      <c r="H96" s="1980"/>
      <c r="I96" s="1980"/>
      <c r="J96" s="1806"/>
      <c r="K96" s="1806"/>
      <c r="L96" s="1806"/>
    </row>
    <row r="97" spans="2:12" ht="30.6">
      <c r="B97" s="1848" t="s">
        <v>647</v>
      </c>
      <c r="C97" s="1845">
        <f>0</f>
        <v>0</v>
      </c>
      <c r="D97" s="1787">
        <f>0</f>
        <v>0</v>
      </c>
      <c r="E97" s="1980"/>
      <c r="F97" s="1980"/>
      <c r="G97" s="1980"/>
      <c r="H97" s="1980"/>
      <c r="I97" s="1980"/>
      <c r="J97" s="1806"/>
      <c r="K97" s="1806"/>
      <c r="L97" s="1806"/>
    </row>
    <row r="98" spans="2:12">
      <c r="B98" s="1848" t="s">
        <v>648</v>
      </c>
      <c r="C98" s="1845">
        <f>0</f>
        <v>0</v>
      </c>
      <c r="D98" s="1787">
        <f>0</f>
        <v>0</v>
      </c>
      <c r="E98" s="1980"/>
      <c r="F98" s="1980"/>
      <c r="G98" s="1980"/>
      <c r="H98" s="1980"/>
      <c r="I98" s="1980"/>
      <c r="J98" s="1806"/>
      <c r="K98" s="1806"/>
      <c r="L98" s="1806"/>
    </row>
    <row r="99" spans="2:12" ht="20.399999999999999">
      <c r="B99" s="1848" t="s">
        <v>649</v>
      </c>
      <c r="C99" s="1845">
        <f>0</f>
        <v>0</v>
      </c>
      <c r="D99" s="1787">
        <f>0</f>
        <v>0</v>
      </c>
      <c r="E99" s="1980"/>
      <c r="F99" s="1980"/>
      <c r="G99" s="1980"/>
      <c r="H99" s="1980"/>
      <c r="I99" s="1980"/>
      <c r="J99" s="1806"/>
      <c r="K99" s="1806"/>
      <c r="L99" s="1806"/>
    </row>
    <row r="100" spans="2:12" ht="51">
      <c r="B100" s="1848" t="s">
        <v>650</v>
      </c>
      <c r="C100" s="1845">
        <f>24151519</f>
        <v>24151519</v>
      </c>
      <c r="D100" s="1787">
        <f>0</f>
        <v>0</v>
      </c>
      <c r="E100" s="1980"/>
      <c r="F100" s="1980"/>
      <c r="G100" s="1980"/>
      <c r="H100" s="1980"/>
      <c r="I100" s="1980"/>
      <c r="J100" s="1806"/>
      <c r="K100" s="1806"/>
      <c r="L100" s="1806"/>
    </row>
    <row r="101" spans="2:12" ht="61.2">
      <c r="B101" s="1848" t="s">
        <v>651</v>
      </c>
      <c r="C101" s="1845">
        <f>0</f>
        <v>0</v>
      </c>
      <c r="D101" s="1787">
        <f>0</f>
        <v>0</v>
      </c>
      <c r="E101" s="1980"/>
      <c r="F101" s="1980"/>
      <c r="G101" s="1980"/>
      <c r="H101" s="1980"/>
      <c r="I101" s="1980"/>
      <c r="J101" s="1806"/>
      <c r="K101" s="1806"/>
      <c r="L101" s="1806"/>
    </row>
    <row r="102" spans="2:12" ht="112.2">
      <c r="B102" s="1848" t="s">
        <v>652</v>
      </c>
      <c r="C102" s="1845">
        <f>3026347</f>
        <v>3026347</v>
      </c>
      <c r="D102" s="1787">
        <f>0</f>
        <v>0</v>
      </c>
      <c r="E102" s="1980"/>
      <c r="F102" s="1980"/>
      <c r="G102" s="1980"/>
      <c r="H102" s="1980"/>
      <c r="I102" s="1980"/>
      <c r="J102" s="1806"/>
      <c r="K102" s="1806"/>
      <c r="L102" s="1806"/>
    </row>
    <row r="103" spans="2:12" ht="20.399999999999999">
      <c r="B103" s="1848" t="s">
        <v>653</v>
      </c>
      <c r="C103" s="1845">
        <f>0</f>
        <v>0</v>
      </c>
      <c r="D103" s="1787">
        <f>0</f>
        <v>0</v>
      </c>
      <c r="E103" s="1980"/>
      <c r="F103" s="1980"/>
      <c r="G103" s="1980"/>
      <c r="H103" s="1980"/>
      <c r="I103" s="1980"/>
      <c r="J103" s="1806"/>
      <c r="K103" s="1806"/>
      <c r="L103" s="1806"/>
    </row>
    <row r="104" spans="2:12" ht="20.399999999999999">
      <c r="B104" s="1848" t="s">
        <v>639</v>
      </c>
      <c r="C104" s="1845">
        <f>0</f>
        <v>0</v>
      </c>
      <c r="D104" s="1787">
        <f>0</f>
        <v>0</v>
      </c>
      <c r="E104" s="1980"/>
      <c r="F104" s="1980"/>
      <c r="G104" s="1980"/>
      <c r="H104" s="1980"/>
      <c r="I104" s="1980"/>
      <c r="J104" s="1806"/>
      <c r="K104" s="1806"/>
      <c r="L104" s="1806"/>
    </row>
    <row r="105" spans="2:12">
      <c r="B105" s="1980"/>
      <c r="C105" s="1980"/>
      <c r="D105" s="1980"/>
      <c r="E105" s="1980"/>
      <c r="F105" s="1980"/>
      <c r="G105" s="1980"/>
      <c r="H105" s="1980"/>
      <c r="I105" s="1980"/>
      <c r="J105" s="1980"/>
      <c r="K105" s="1980"/>
      <c r="L105" s="1980"/>
    </row>
    <row r="106" spans="2:12">
      <c r="B106" s="2255" t="s">
        <v>884</v>
      </c>
      <c r="C106" s="2255"/>
      <c r="D106" s="2255"/>
      <c r="E106" s="2255"/>
    </row>
  </sheetData>
  <mergeCells count="28">
    <mergeCell ref="G44:H44"/>
    <mergeCell ref="C46:I46"/>
    <mergeCell ref="B106:E106"/>
    <mergeCell ref="B61:B62"/>
    <mergeCell ref="C61:D61"/>
    <mergeCell ref="E61:F61"/>
    <mergeCell ref="B66:B67"/>
    <mergeCell ref="C66:D66"/>
    <mergeCell ref="E66:F66"/>
    <mergeCell ref="C94:D94"/>
    <mergeCell ref="E72:I74"/>
    <mergeCell ref="C73:D73"/>
    <mergeCell ref="J46:K46"/>
    <mergeCell ref="I58:J58"/>
    <mergeCell ref="J73:K73"/>
    <mergeCell ref="B3:B4"/>
    <mergeCell ref="C4:D4"/>
    <mergeCell ref="E4:I5"/>
    <mergeCell ref="J4:L4"/>
    <mergeCell ref="I43:I45"/>
    <mergeCell ref="J43:J45"/>
    <mergeCell ref="K43:K45"/>
    <mergeCell ref="B43:B46"/>
    <mergeCell ref="C43:C45"/>
    <mergeCell ref="D43:D45"/>
    <mergeCell ref="E43:E45"/>
    <mergeCell ref="F43:H43"/>
    <mergeCell ref="F44:F45"/>
  </mergeCells>
  <pageMargins left="0.70866141732283472" right="0.70866141732283472" top="0.74803149606299213" bottom="0.55118110236220474" header="0.31496062992125984" footer="0.31496062992125984"/>
  <pageSetup paperSize="9" scale="85" orientation="landscape" r:id="rId1"/>
  <rowBreaks count="3" manualBreakCount="3">
    <brk id="28" max="16383" man="1"/>
    <brk id="58" max="11" man="1"/>
    <brk id="85" max="11" man="1"/>
  </rowBreak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6428-5818-4B99-969E-489B39C78C99}">
  <dimension ref="A1:Q67"/>
  <sheetViews>
    <sheetView view="pageBreakPreview" topLeftCell="A43" zoomScaleNormal="100" zoomScaleSheetLayoutView="100" workbookViewId="0">
      <selection activeCell="F71" sqref="F71"/>
    </sheetView>
  </sheetViews>
  <sheetFormatPr defaultColWidth="9.21875" defaultRowHeight="13.8"/>
  <cols>
    <col min="1" max="1" width="22.5546875" style="431" customWidth="1"/>
    <col min="2" max="2" width="11.21875" style="431" customWidth="1"/>
    <col min="3" max="3" width="11.77734375" style="431" customWidth="1"/>
    <col min="4" max="4" width="11.44140625" style="431" customWidth="1"/>
    <col min="5" max="5" width="9.77734375" style="431" bestFit="1" customWidth="1"/>
    <col min="6" max="6" width="7.21875" style="431" customWidth="1"/>
    <col min="7" max="7" width="10.77734375" style="431" bestFit="1" customWidth="1"/>
    <col min="8" max="8" width="7.5546875" style="431" customWidth="1"/>
    <col min="9" max="9" width="9.21875" style="431" bestFit="1" customWidth="1"/>
    <col min="10" max="10" width="11.21875" style="431" customWidth="1"/>
    <col min="11" max="11" width="9.21875" style="431" customWidth="1"/>
    <col min="12" max="12" width="11.21875" style="431" customWidth="1"/>
    <col min="13" max="13" width="11.77734375" style="431" customWidth="1"/>
    <col min="14" max="14" width="10.21875" style="431" customWidth="1"/>
    <col min="15" max="15" width="7.21875" style="431" customWidth="1"/>
    <col min="16" max="16" width="8" style="431" customWidth="1"/>
    <col min="17" max="17" width="7.77734375" style="431" customWidth="1"/>
    <col min="18" max="16384" width="9.21875" style="431"/>
  </cols>
  <sheetData>
    <row r="1" spans="1:17">
      <c r="A1" s="2105" t="s">
        <v>654</v>
      </c>
      <c r="B1" s="2105"/>
      <c r="C1" s="2105"/>
      <c r="D1" s="2105"/>
      <c r="E1" s="2105"/>
      <c r="F1" s="2105"/>
      <c r="G1" s="2105"/>
      <c r="H1" s="2105"/>
      <c r="I1" s="2105"/>
      <c r="J1" s="2105"/>
      <c r="K1" s="2105"/>
      <c r="L1" s="2105"/>
      <c r="M1" s="2105"/>
    </row>
    <row r="2" spans="1:17">
      <c r="B2" s="432"/>
      <c r="C2" s="2106"/>
      <c r="D2" s="2106"/>
      <c r="E2" s="2106"/>
      <c r="F2" s="2106"/>
      <c r="G2" s="2106"/>
      <c r="H2" s="2106"/>
      <c r="I2" s="2106"/>
      <c r="J2" s="2106"/>
      <c r="K2" s="2106"/>
      <c r="L2" s="2106"/>
      <c r="M2" s="2106"/>
      <c r="N2" s="432"/>
      <c r="O2" s="432"/>
      <c r="P2" s="432"/>
      <c r="Q2" s="432"/>
    </row>
    <row r="3" spans="1:17">
      <c r="A3" s="2332" t="s">
        <v>1</v>
      </c>
      <c r="B3" s="2339" t="s">
        <v>655</v>
      </c>
      <c r="C3" s="2344" t="s">
        <v>656</v>
      </c>
      <c r="D3" s="2345"/>
      <c r="E3" s="2345"/>
      <c r="F3" s="2345"/>
      <c r="G3" s="2345"/>
      <c r="H3" s="2345"/>
      <c r="I3" s="2345"/>
      <c r="J3" s="2345"/>
      <c r="K3" s="2345"/>
      <c r="L3" s="2345"/>
      <c r="M3" s="2345"/>
      <c r="N3" s="2346"/>
      <c r="O3" s="2344" t="s">
        <v>657</v>
      </c>
      <c r="P3" s="2345"/>
      <c r="Q3" s="2346"/>
    </row>
    <row r="4" spans="1:17" ht="10.95" customHeight="1">
      <c r="A4" s="2333"/>
      <c r="B4" s="2340"/>
      <c r="C4" s="2341" t="s">
        <v>658</v>
      </c>
      <c r="D4" s="2341" t="s">
        <v>659</v>
      </c>
      <c r="E4" s="2341" t="s">
        <v>660</v>
      </c>
      <c r="F4" s="2341" t="s">
        <v>661</v>
      </c>
      <c r="G4" s="2341" t="s">
        <v>662</v>
      </c>
      <c r="H4" s="2341" t="s">
        <v>663</v>
      </c>
      <c r="I4" s="2410" t="s">
        <v>664</v>
      </c>
      <c r="J4" s="2341" t="s">
        <v>665</v>
      </c>
      <c r="K4" s="2341" t="s">
        <v>666</v>
      </c>
      <c r="L4" s="2341" t="s">
        <v>667</v>
      </c>
      <c r="M4" s="2341" t="s">
        <v>668</v>
      </c>
      <c r="N4" s="2340" t="s">
        <v>669</v>
      </c>
      <c r="O4" s="2338" t="s">
        <v>670</v>
      </c>
      <c r="P4" s="2338" t="s">
        <v>671</v>
      </c>
      <c r="Q4" s="2338" t="s">
        <v>672</v>
      </c>
    </row>
    <row r="5" spans="1:17">
      <c r="A5" s="2333"/>
      <c r="B5" s="2340"/>
      <c r="C5" s="2338"/>
      <c r="D5" s="2338"/>
      <c r="E5" s="2338"/>
      <c r="F5" s="2338"/>
      <c r="G5" s="2338"/>
      <c r="H5" s="2338"/>
      <c r="I5" s="2410"/>
      <c r="J5" s="2338"/>
      <c r="K5" s="2338"/>
      <c r="L5" s="2338"/>
      <c r="M5" s="2338"/>
      <c r="N5" s="2340"/>
      <c r="O5" s="2338"/>
      <c r="P5" s="2338"/>
      <c r="Q5" s="2338"/>
    </row>
    <row r="6" spans="1:17">
      <c r="A6" s="2333"/>
      <c r="B6" s="2340"/>
      <c r="C6" s="2338"/>
      <c r="D6" s="2338"/>
      <c r="E6" s="2338"/>
      <c r="F6" s="2338"/>
      <c r="G6" s="2338"/>
      <c r="H6" s="2338"/>
      <c r="I6" s="2410"/>
      <c r="J6" s="2338"/>
      <c r="K6" s="2338"/>
      <c r="L6" s="2338"/>
      <c r="M6" s="2338"/>
      <c r="N6" s="2340"/>
      <c r="O6" s="2338"/>
      <c r="P6" s="2338"/>
      <c r="Q6" s="2338"/>
    </row>
    <row r="7" spans="1:17" ht="25.95" customHeight="1">
      <c r="A7" s="2334"/>
      <c r="B7" s="2341"/>
      <c r="C7" s="2338"/>
      <c r="D7" s="2338"/>
      <c r="E7" s="2338"/>
      <c r="F7" s="2338"/>
      <c r="G7" s="2338"/>
      <c r="H7" s="2338"/>
      <c r="I7" s="2411"/>
      <c r="J7" s="2338"/>
      <c r="K7" s="2338"/>
      <c r="L7" s="2338"/>
      <c r="M7" s="2338"/>
      <c r="N7" s="2341"/>
      <c r="O7" s="2338"/>
      <c r="P7" s="2338"/>
      <c r="Q7" s="2338"/>
    </row>
    <row r="8" spans="1:17">
      <c r="A8" s="2072">
        <v>1</v>
      </c>
      <c r="B8" s="2072">
        <v>2</v>
      </c>
      <c r="C8" s="2072">
        <v>3</v>
      </c>
      <c r="D8" s="2072">
        <v>4</v>
      </c>
      <c r="E8" s="2072">
        <v>5</v>
      </c>
      <c r="F8" s="2072">
        <v>6</v>
      </c>
      <c r="G8" s="2072">
        <v>7</v>
      </c>
      <c r="H8" s="2072">
        <v>8</v>
      </c>
      <c r="I8" s="2072">
        <v>9</v>
      </c>
      <c r="J8" s="2072">
        <v>10</v>
      </c>
      <c r="K8" s="2072">
        <v>11</v>
      </c>
      <c r="L8" s="2072">
        <v>12</v>
      </c>
      <c r="M8" s="2072">
        <v>13</v>
      </c>
      <c r="N8" s="2072">
        <v>14</v>
      </c>
      <c r="O8" s="2072">
        <v>15</v>
      </c>
      <c r="P8" s="2072">
        <v>16</v>
      </c>
      <c r="Q8" s="2072">
        <v>17</v>
      </c>
    </row>
    <row r="9" spans="1:17">
      <c r="A9" s="2074"/>
      <c r="B9" s="2304" t="s">
        <v>163</v>
      </c>
      <c r="C9" s="2318"/>
      <c r="D9" s="2318"/>
      <c r="E9" s="2318"/>
      <c r="F9" s="2318"/>
      <c r="G9" s="2318"/>
      <c r="H9" s="2318"/>
      <c r="I9" s="2318"/>
      <c r="J9" s="2318"/>
      <c r="K9" s="2318"/>
      <c r="L9" s="2318"/>
      <c r="M9" s="2318"/>
      <c r="N9" s="2318"/>
      <c r="O9" s="2318"/>
      <c r="P9" s="2318"/>
      <c r="Q9" s="2319"/>
    </row>
    <row r="10" spans="1:17" ht="30.6">
      <c r="A10" s="1914" t="s">
        <v>775</v>
      </c>
      <c r="B10" s="1971">
        <f>0</f>
        <v>0</v>
      </c>
      <c r="C10" s="1971">
        <f>0</f>
        <v>0</v>
      </c>
      <c r="D10" s="1971">
        <f>0</f>
        <v>0</v>
      </c>
      <c r="E10" s="1971">
        <f>0</f>
        <v>0</v>
      </c>
      <c r="F10" s="1971">
        <f>0</f>
        <v>0</v>
      </c>
      <c r="G10" s="1971">
        <f>0</f>
        <v>0</v>
      </c>
      <c r="H10" s="1971">
        <f>0</f>
        <v>0</v>
      </c>
      <c r="I10" s="1971">
        <f>0</f>
        <v>0</v>
      </c>
      <c r="J10" s="1971">
        <f>0</f>
        <v>0</v>
      </c>
      <c r="K10" s="1971">
        <f>0</f>
        <v>0</v>
      </c>
      <c r="L10" s="1971">
        <f>0</f>
        <v>0</v>
      </c>
      <c r="M10" s="1971">
        <f>0</f>
        <v>0</v>
      </c>
      <c r="N10" s="1971">
        <f>0</f>
        <v>0</v>
      </c>
      <c r="O10" s="1971">
        <f>0</f>
        <v>0</v>
      </c>
      <c r="P10" s="1971">
        <f>0</f>
        <v>0</v>
      </c>
      <c r="Q10" s="1971">
        <f>0</f>
        <v>0</v>
      </c>
    </row>
    <row r="11" spans="1:17" ht="20.399999999999999">
      <c r="A11" s="1914" t="s">
        <v>749</v>
      </c>
      <c r="B11" s="1971">
        <f>0</f>
        <v>0</v>
      </c>
      <c r="C11" s="1971">
        <f>0</f>
        <v>0</v>
      </c>
      <c r="D11" s="1971">
        <f>0</f>
        <v>0</v>
      </c>
      <c r="E11" s="1971">
        <f>0</f>
        <v>0</v>
      </c>
      <c r="F11" s="1971">
        <f>0</f>
        <v>0</v>
      </c>
      <c r="G11" s="1971">
        <f>0</f>
        <v>0</v>
      </c>
      <c r="H11" s="1971">
        <f>0</f>
        <v>0</v>
      </c>
      <c r="I11" s="1971">
        <f>0</f>
        <v>0</v>
      </c>
      <c r="J11" s="1971">
        <f>0</f>
        <v>0</v>
      </c>
      <c r="K11" s="1971">
        <f>0</f>
        <v>0</v>
      </c>
      <c r="L11" s="1971">
        <f>0</f>
        <v>0</v>
      </c>
      <c r="M11" s="1971">
        <f>0</f>
        <v>0</v>
      </c>
      <c r="N11" s="1971">
        <f>0</f>
        <v>0</v>
      </c>
      <c r="O11" s="1971">
        <f>0</f>
        <v>0</v>
      </c>
      <c r="P11" s="1971">
        <f>0</f>
        <v>0</v>
      </c>
      <c r="Q11" s="1971">
        <f>0</f>
        <v>0</v>
      </c>
    </row>
    <row r="12" spans="1:17">
      <c r="A12" s="1914" t="s">
        <v>675</v>
      </c>
      <c r="B12" s="1971">
        <f>0</f>
        <v>0</v>
      </c>
      <c r="C12" s="1971">
        <f>0</f>
        <v>0</v>
      </c>
      <c r="D12" s="1971">
        <f>0</f>
        <v>0</v>
      </c>
      <c r="E12" s="1971">
        <f>0</f>
        <v>0</v>
      </c>
      <c r="F12" s="1971">
        <f>0</f>
        <v>0</v>
      </c>
      <c r="G12" s="1971">
        <f>0</f>
        <v>0</v>
      </c>
      <c r="H12" s="1971">
        <f>0</f>
        <v>0</v>
      </c>
      <c r="I12" s="1971">
        <f>0</f>
        <v>0</v>
      </c>
      <c r="J12" s="1971">
        <f>0</f>
        <v>0</v>
      </c>
      <c r="K12" s="1971">
        <f>0</f>
        <v>0</v>
      </c>
      <c r="L12" s="1971">
        <f>0</f>
        <v>0</v>
      </c>
      <c r="M12" s="1971">
        <f>0</f>
        <v>0</v>
      </c>
      <c r="N12" s="1971">
        <f>0</f>
        <v>0</v>
      </c>
      <c r="O12" s="1971">
        <f>0</f>
        <v>0</v>
      </c>
      <c r="P12" s="1971">
        <f>0</f>
        <v>0</v>
      </c>
      <c r="Q12" s="1971">
        <f>0</f>
        <v>0</v>
      </c>
    </row>
    <row r="13" spans="1:17">
      <c r="A13" s="1914" t="s">
        <v>676</v>
      </c>
      <c r="B13" s="1971">
        <f>0</f>
        <v>0</v>
      </c>
      <c r="C13" s="1971">
        <f>0</f>
        <v>0</v>
      </c>
      <c r="D13" s="1971">
        <f>0</f>
        <v>0</v>
      </c>
      <c r="E13" s="1971">
        <f>0</f>
        <v>0</v>
      </c>
      <c r="F13" s="1971">
        <f>0</f>
        <v>0</v>
      </c>
      <c r="G13" s="1971">
        <f>0</f>
        <v>0</v>
      </c>
      <c r="H13" s="1971">
        <f>0</f>
        <v>0</v>
      </c>
      <c r="I13" s="1971">
        <f>0</f>
        <v>0</v>
      </c>
      <c r="J13" s="1971">
        <f>0</f>
        <v>0</v>
      </c>
      <c r="K13" s="1971">
        <f>0</f>
        <v>0</v>
      </c>
      <c r="L13" s="1971">
        <f>0</f>
        <v>0</v>
      </c>
      <c r="M13" s="1971">
        <f>0</f>
        <v>0</v>
      </c>
      <c r="N13" s="1971">
        <f>0</f>
        <v>0</v>
      </c>
      <c r="O13" s="1971">
        <f>0</f>
        <v>0</v>
      </c>
      <c r="P13" s="1971">
        <f>0</f>
        <v>0</v>
      </c>
      <c r="Q13" s="1971">
        <f>0</f>
        <v>0</v>
      </c>
    </row>
    <row r="14" spans="1:17" ht="20.399999999999999">
      <c r="A14" s="1914" t="s">
        <v>750</v>
      </c>
      <c r="B14" s="1971">
        <f>0</f>
        <v>0</v>
      </c>
      <c r="C14" s="1971">
        <f>0</f>
        <v>0</v>
      </c>
      <c r="D14" s="1971">
        <f>0</f>
        <v>0</v>
      </c>
      <c r="E14" s="1971">
        <f>0</f>
        <v>0</v>
      </c>
      <c r="F14" s="1971">
        <f>0</f>
        <v>0</v>
      </c>
      <c r="G14" s="1971">
        <f>0</f>
        <v>0</v>
      </c>
      <c r="H14" s="1971">
        <f>0</f>
        <v>0</v>
      </c>
      <c r="I14" s="1971">
        <f>0</f>
        <v>0</v>
      </c>
      <c r="J14" s="1971">
        <f>0</f>
        <v>0</v>
      </c>
      <c r="K14" s="1971">
        <f>0</f>
        <v>0</v>
      </c>
      <c r="L14" s="1971">
        <f>0</f>
        <v>0</v>
      </c>
      <c r="M14" s="1971">
        <f>0</f>
        <v>0</v>
      </c>
      <c r="N14" s="1971">
        <f>0</f>
        <v>0</v>
      </c>
      <c r="O14" s="1971">
        <f>0</f>
        <v>0</v>
      </c>
      <c r="P14" s="1971">
        <f>0</f>
        <v>0</v>
      </c>
      <c r="Q14" s="1971">
        <f>0</f>
        <v>0</v>
      </c>
    </row>
    <row r="15" spans="1:17">
      <c r="A15" s="1914" t="s">
        <v>678</v>
      </c>
      <c r="B15" s="1971">
        <f>0</f>
        <v>0</v>
      </c>
      <c r="C15" s="1971">
        <f>0</f>
        <v>0</v>
      </c>
      <c r="D15" s="1971">
        <f>0</f>
        <v>0</v>
      </c>
      <c r="E15" s="1971">
        <f>0</f>
        <v>0</v>
      </c>
      <c r="F15" s="1971">
        <f>0</f>
        <v>0</v>
      </c>
      <c r="G15" s="1971">
        <f>0</f>
        <v>0</v>
      </c>
      <c r="H15" s="1971">
        <f>0</f>
        <v>0</v>
      </c>
      <c r="I15" s="1971">
        <f>0</f>
        <v>0</v>
      </c>
      <c r="J15" s="1971">
        <f>0</f>
        <v>0</v>
      </c>
      <c r="K15" s="1971">
        <f>0</f>
        <v>0</v>
      </c>
      <c r="L15" s="1971">
        <f>0</f>
        <v>0</v>
      </c>
      <c r="M15" s="1971">
        <f>0</f>
        <v>0</v>
      </c>
      <c r="N15" s="1971">
        <f>0</f>
        <v>0</v>
      </c>
      <c r="O15" s="1971">
        <f>0</f>
        <v>0</v>
      </c>
      <c r="P15" s="1971">
        <f>0</f>
        <v>0</v>
      </c>
      <c r="Q15" s="1971">
        <f>0</f>
        <v>0</v>
      </c>
    </row>
    <row r="16" spans="1:17">
      <c r="A16" s="1914" t="s">
        <v>679</v>
      </c>
      <c r="B16" s="1971">
        <f>0</f>
        <v>0</v>
      </c>
      <c r="C16" s="1971">
        <f>0</f>
        <v>0</v>
      </c>
      <c r="D16" s="1971">
        <f>0</f>
        <v>0</v>
      </c>
      <c r="E16" s="1971">
        <f>0</f>
        <v>0</v>
      </c>
      <c r="F16" s="1971">
        <f>0</f>
        <v>0</v>
      </c>
      <c r="G16" s="1971">
        <f>0</f>
        <v>0</v>
      </c>
      <c r="H16" s="1971">
        <f>0</f>
        <v>0</v>
      </c>
      <c r="I16" s="1971">
        <f>0</f>
        <v>0</v>
      </c>
      <c r="J16" s="1971">
        <f>0</f>
        <v>0</v>
      </c>
      <c r="K16" s="1971">
        <f>0</f>
        <v>0</v>
      </c>
      <c r="L16" s="1971">
        <f>0</f>
        <v>0</v>
      </c>
      <c r="M16" s="1971">
        <f>0</f>
        <v>0</v>
      </c>
      <c r="N16" s="1971">
        <f>0</f>
        <v>0</v>
      </c>
      <c r="O16" s="1971">
        <f>0</f>
        <v>0</v>
      </c>
      <c r="P16" s="1971">
        <f>0</f>
        <v>0</v>
      </c>
      <c r="Q16" s="1971">
        <f>0</f>
        <v>0</v>
      </c>
    </row>
    <row r="17" spans="1:17">
      <c r="A17" s="1914" t="s">
        <v>680</v>
      </c>
      <c r="B17" s="1971">
        <f>0</f>
        <v>0</v>
      </c>
      <c r="C17" s="1971">
        <f>0</f>
        <v>0</v>
      </c>
      <c r="D17" s="1971">
        <f>0</f>
        <v>0</v>
      </c>
      <c r="E17" s="1971">
        <f>0</f>
        <v>0</v>
      </c>
      <c r="F17" s="1971">
        <f>0</f>
        <v>0</v>
      </c>
      <c r="G17" s="1971">
        <f>0</f>
        <v>0</v>
      </c>
      <c r="H17" s="1971">
        <f>0</f>
        <v>0</v>
      </c>
      <c r="I17" s="1971">
        <f>0</f>
        <v>0</v>
      </c>
      <c r="J17" s="1971">
        <f>0</f>
        <v>0</v>
      </c>
      <c r="K17" s="1971">
        <f>0</f>
        <v>0</v>
      </c>
      <c r="L17" s="1971">
        <f>0</f>
        <v>0</v>
      </c>
      <c r="M17" s="1971">
        <f>0</f>
        <v>0</v>
      </c>
      <c r="N17" s="1971">
        <f>0</f>
        <v>0</v>
      </c>
      <c r="O17" s="1971">
        <f>0</f>
        <v>0</v>
      </c>
      <c r="P17" s="1971">
        <f>0</f>
        <v>0</v>
      </c>
      <c r="Q17" s="1971">
        <f>0</f>
        <v>0</v>
      </c>
    </row>
    <row r="18" spans="1:17" ht="20.399999999999999">
      <c r="A18" s="1914" t="s">
        <v>681</v>
      </c>
      <c r="B18" s="1971">
        <f>0</f>
        <v>0</v>
      </c>
      <c r="C18" s="1971">
        <f>0</f>
        <v>0</v>
      </c>
      <c r="D18" s="1971">
        <f>0</f>
        <v>0</v>
      </c>
      <c r="E18" s="1971">
        <f>0</f>
        <v>0</v>
      </c>
      <c r="F18" s="1971">
        <f>0</f>
        <v>0</v>
      </c>
      <c r="G18" s="1971">
        <f>0</f>
        <v>0</v>
      </c>
      <c r="H18" s="1971">
        <f>0</f>
        <v>0</v>
      </c>
      <c r="I18" s="1971">
        <f>0</f>
        <v>0</v>
      </c>
      <c r="J18" s="1971">
        <f>0</f>
        <v>0</v>
      </c>
      <c r="K18" s="1971">
        <f>0</f>
        <v>0</v>
      </c>
      <c r="L18" s="1971">
        <f>0</f>
        <v>0</v>
      </c>
      <c r="M18" s="1971">
        <f>0</f>
        <v>0</v>
      </c>
      <c r="N18" s="1971">
        <f>0</f>
        <v>0</v>
      </c>
      <c r="O18" s="1971">
        <f>0</f>
        <v>0</v>
      </c>
      <c r="P18" s="1971">
        <f>0</f>
        <v>0</v>
      </c>
      <c r="Q18" s="1971">
        <f>0</f>
        <v>0</v>
      </c>
    </row>
    <row r="19" spans="1:17" ht="20.399999999999999">
      <c r="A19" s="1914" t="s">
        <v>682</v>
      </c>
      <c r="B19" s="1971">
        <f>0</f>
        <v>0</v>
      </c>
      <c r="C19" s="1971">
        <f>0</f>
        <v>0</v>
      </c>
      <c r="D19" s="1971">
        <f>0</f>
        <v>0</v>
      </c>
      <c r="E19" s="1971">
        <f>0</f>
        <v>0</v>
      </c>
      <c r="F19" s="1971">
        <f>0</f>
        <v>0</v>
      </c>
      <c r="G19" s="1971">
        <f>0</f>
        <v>0</v>
      </c>
      <c r="H19" s="1971">
        <f>0</f>
        <v>0</v>
      </c>
      <c r="I19" s="1971">
        <f>0</f>
        <v>0</v>
      </c>
      <c r="J19" s="1971">
        <f>0</f>
        <v>0</v>
      </c>
      <c r="K19" s="1971">
        <f>0</f>
        <v>0</v>
      </c>
      <c r="L19" s="1971">
        <f>0</f>
        <v>0</v>
      </c>
      <c r="M19" s="1971">
        <f>0</f>
        <v>0</v>
      </c>
      <c r="N19" s="1971">
        <f>0</f>
        <v>0</v>
      </c>
      <c r="O19" s="1971">
        <f>0</f>
        <v>0</v>
      </c>
      <c r="P19" s="1971">
        <f>0</f>
        <v>0</v>
      </c>
      <c r="Q19" s="1971">
        <f>0</f>
        <v>0</v>
      </c>
    </row>
    <row r="20" spans="1:17">
      <c r="A20" s="1914" t="s">
        <v>683</v>
      </c>
      <c r="B20" s="1971">
        <f>0</f>
        <v>0</v>
      </c>
      <c r="C20" s="1971">
        <f>0</f>
        <v>0</v>
      </c>
      <c r="D20" s="1971">
        <f>0</f>
        <v>0</v>
      </c>
      <c r="E20" s="1971">
        <f>0</f>
        <v>0</v>
      </c>
      <c r="F20" s="1971">
        <f>0</f>
        <v>0</v>
      </c>
      <c r="G20" s="1971">
        <f>0</f>
        <v>0</v>
      </c>
      <c r="H20" s="1971">
        <f>0</f>
        <v>0</v>
      </c>
      <c r="I20" s="1971">
        <f>0</f>
        <v>0</v>
      </c>
      <c r="J20" s="1971">
        <f>0</f>
        <v>0</v>
      </c>
      <c r="K20" s="1971">
        <f>0</f>
        <v>0</v>
      </c>
      <c r="L20" s="1971">
        <f>0</f>
        <v>0</v>
      </c>
      <c r="M20" s="1971">
        <f>0</f>
        <v>0</v>
      </c>
      <c r="N20" s="1971">
        <f>0</f>
        <v>0</v>
      </c>
      <c r="O20" s="1971">
        <f>0</f>
        <v>0</v>
      </c>
      <c r="P20" s="1971">
        <f>0</f>
        <v>0</v>
      </c>
      <c r="Q20" s="1971">
        <f>0</f>
        <v>0</v>
      </c>
    </row>
    <row r="21" spans="1:17">
      <c r="A21" s="1853"/>
      <c r="B21" s="1854"/>
      <c r="C21" s="1854"/>
      <c r="D21" s="1854"/>
      <c r="E21" s="1854"/>
      <c r="F21" s="1854"/>
      <c r="G21" s="1854"/>
      <c r="H21" s="1854"/>
      <c r="I21" s="1854"/>
      <c r="J21" s="1854"/>
      <c r="K21" s="1854"/>
      <c r="L21" s="1854"/>
      <c r="M21" s="1854"/>
      <c r="N21" s="1854"/>
      <c r="O21" s="1854"/>
      <c r="P21" s="1854"/>
      <c r="Q21" s="1854"/>
    </row>
    <row r="22" spans="1:17" ht="26.55" customHeight="1">
      <c r="A22" s="2105" t="s">
        <v>684</v>
      </c>
      <c r="B22" s="2105"/>
      <c r="C22" s="2105"/>
      <c r="D22" s="2105"/>
      <c r="E22" s="2105"/>
      <c r="F22" s="2105"/>
      <c r="G22" s="2105"/>
      <c r="H22" s="2105"/>
      <c r="I22" s="2105"/>
      <c r="J22" s="2105"/>
      <c r="K22" s="2105"/>
      <c r="L22" s="2105"/>
      <c r="M22" s="2105"/>
      <c r="N22" s="1855"/>
      <c r="O22" s="1855"/>
      <c r="P22" s="1855"/>
      <c r="Q22" s="1855"/>
    </row>
    <row r="23" spans="1:17">
      <c r="A23" s="1855"/>
      <c r="B23" s="1855"/>
      <c r="C23" s="1855"/>
      <c r="D23" s="1855"/>
      <c r="E23" s="1855"/>
      <c r="F23" s="1855"/>
      <c r="G23" s="1855"/>
      <c r="H23" s="1855"/>
      <c r="I23" s="1855"/>
      <c r="J23" s="1855"/>
      <c r="K23" s="1855"/>
      <c r="L23" s="1855"/>
      <c r="M23" s="1855"/>
      <c r="N23" s="1855"/>
      <c r="O23" s="1855"/>
      <c r="P23" s="1855"/>
      <c r="Q23" s="1855"/>
    </row>
    <row r="24" spans="1:17">
      <c r="A24" s="2332" t="s">
        <v>1</v>
      </c>
      <c r="B24" s="2339" t="s">
        <v>685</v>
      </c>
      <c r="C24" s="2335" t="s">
        <v>686</v>
      </c>
      <c r="D24" s="2336"/>
      <c r="E24" s="2336"/>
      <c r="F24" s="2336"/>
      <c r="G24" s="2336"/>
      <c r="H24" s="2336"/>
      <c r="I24" s="2336"/>
      <c r="J24" s="2336"/>
      <c r="K24" s="2336"/>
      <c r="L24" s="2336"/>
      <c r="M24" s="2336"/>
      <c r="N24" s="2337"/>
      <c r="O24" s="2335" t="s">
        <v>687</v>
      </c>
      <c r="P24" s="2336"/>
      <c r="Q24" s="2337"/>
    </row>
    <row r="25" spans="1:17">
      <c r="A25" s="2333"/>
      <c r="B25" s="2340"/>
      <c r="C25" s="2340" t="s">
        <v>688</v>
      </c>
      <c r="D25" s="2338" t="s">
        <v>689</v>
      </c>
      <c r="E25" s="2338" t="s">
        <v>690</v>
      </c>
      <c r="F25" s="2338" t="s">
        <v>691</v>
      </c>
      <c r="G25" s="2338" t="s">
        <v>692</v>
      </c>
      <c r="H25" s="2338" t="s">
        <v>663</v>
      </c>
      <c r="I25" s="2338" t="s">
        <v>693</v>
      </c>
      <c r="J25" s="2338" t="s">
        <v>665</v>
      </c>
      <c r="K25" s="2338" t="s">
        <v>666</v>
      </c>
      <c r="L25" s="2338" t="s">
        <v>667</v>
      </c>
      <c r="M25" s="2338" t="s">
        <v>668</v>
      </c>
      <c r="N25" s="2320" t="s">
        <v>669</v>
      </c>
      <c r="O25" s="2338" t="s">
        <v>670</v>
      </c>
      <c r="P25" s="2338" t="s">
        <v>671</v>
      </c>
      <c r="Q25" s="2339" t="s">
        <v>672</v>
      </c>
    </row>
    <row r="26" spans="1:17">
      <c r="A26" s="2333"/>
      <c r="B26" s="2340"/>
      <c r="C26" s="2340"/>
      <c r="D26" s="2338"/>
      <c r="E26" s="2338"/>
      <c r="F26" s="2338"/>
      <c r="G26" s="2338"/>
      <c r="H26" s="2338"/>
      <c r="I26" s="2338"/>
      <c r="J26" s="2338"/>
      <c r="K26" s="2338"/>
      <c r="L26" s="2338"/>
      <c r="M26" s="2338"/>
      <c r="N26" s="2320"/>
      <c r="O26" s="2338"/>
      <c r="P26" s="2338"/>
      <c r="Q26" s="2340"/>
    </row>
    <row r="27" spans="1:17">
      <c r="A27" s="2333"/>
      <c r="B27" s="2340"/>
      <c r="C27" s="2340"/>
      <c r="D27" s="2338"/>
      <c r="E27" s="2338"/>
      <c r="F27" s="2338"/>
      <c r="G27" s="2338"/>
      <c r="H27" s="2338"/>
      <c r="I27" s="2338"/>
      <c r="J27" s="2338"/>
      <c r="K27" s="2338"/>
      <c r="L27" s="2338"/>
      <c r="M27" s="2338"/>
      <c r="N27" s="2320"/>
      <c r="O27" s="2338"/>
      <c r="P27" s="2338"/>
      <c r="Q27" s="2340"/>
    </row>
    <row r="28" spans="1:17" ht="19.95" customHeight="1">
      <c r="A28" s="2334"/>
      <c r="B28" s="2341"/>
      <c r="C28" s="2341"/>
      <c r="D28" s="2338"/>
      <c r="E28" s="2338"/>
      <c r="F28" s="2338"/>
      <c r="G28" s="2338"/>
      <c r="H28" s="2338"/>
      <c r="I28" s="2338"/>
      <c r="J28" s="2338"/>
      <c r="K28" s="2338"/>
      <c r="L28" s="2338"/>
      <c r="M28" s="2338"/>
      <c r="N28" s="2320"/>
      <c r="O28" s="2338"/>
      <c r="P28" s="2338"/>
      <c r="Q28" s="2341"/>
    </row>
    <row r="29" spans="1:17">
      <c r="A29" s="1849">
        <v>1</v>
      </c>
      <c r="B29" s="1849">
        <v>2</v>
      </c>
      <c r="C29" s="1849">
        <v>3</v>
      </c>
      <c r="D29" s="1849">
        <v>4</v>
      </c>
      <c r="E29" s="1849">
        <v>5</v>
      </c>
      <c r="F29" s="1849">
        <v>6</v>
      </c>
      <c r="G29" s="1849">
        <v>7</v>
      </c>
      <c r="H29" s="1849">
        <v>8</v>
      </c>
      <c r="I29" s="1849">
        <v>9</v>
      </c>
      <c r="J29" s="1849">
        <v>10</v>
      </c>
      <c r="K29" s="1849">
        <v>11</v>
      </c>
      <c r="L29" s="1849">
        <v>12</v>
      </c>
      <c r="M29" s="1849">
        <v>13</v>
      </c>
      <c r="N29" s="1849">
        <v>14</v>
      </c>
      <c r="O29" s="1849">
        <v>15</v>
      </c>
      <c r="P29" s="1849">
        <v>16</v>
      </c>
      <c r="Q29" s="1849">
        <v>17</v>
      </c>
    </row>
    <row r="30" spans="1:17">
      <c r="A30" s="1849"/>
      <c r="B30" s="2322" t="s">
        <v>163</v>
      </c>
      <c r="C30" s="2323"/>
      <c r="D30" s="2323"/>
      <c r="E30" s="2323"/>
      <c r="F30" s="2323"/>
      <c r="G30" s="2323"/>
      <c r="H30" s="2323"/>
      <c r="I30" s="2323"/>
      <c r="J30" s="2323"/>
      <c r="K30" s="2323"/>
      <c r="L30" s="2323"/>
      <c r="M30" s="2323"/>
      <c r="N30" s="2323"/>
      <c r="O30" s="2323"/>
      <c r="P30" s="2323"/>
      <c r="Q30" s="2324"/>
    </row>
    <row r="31" spans="1:17" ht="20.399999999999999">
      <c r="A31" s="1916" t="s">
        <v>694</v>
      </c>
      <c r="B31" s="1972">
        <f>0</f>
        <v>0</v>
      </c>
      <c r="C31" s="1972">
        <f>0</f>
        <v>0</v>
      </c>
      <c r="D31" s="1972">
        <f>0</f>
        <v>0</v>
      </c>
      <c r="E31" s="1972">
        <f>0</f>
        <v>0</v>
      </c>
      <c r="F31" s="1972">
        <f>0</f>
        <v>0</v>
      </c>
      <c r="G31" s="1972">
        <f>0</f>
        <v>0</v>
      </c>
      <c r="H31" s="1972">
        <f>0</f>
        <v>0</v>
      </c>
      <c r="I31" s="1972">
        <f>0</f>
        <v>0</v>
      </c>
      <c r="J31" s="1972">
        <f>0</f>
        <v>0</v>
      </c>
      <c r="K31" s="1972">
        <f>0</f>
        <v>0</v>
      </c>
      <c r="L31" s="1972">
        <f>0</f>
        <v>0</v>
      </c>
      <c r="M31" s="1972">
        <f>0</f>
        <v>0</v>
      </c>
      <c r="N31" s="1972">
        <f>0</f>
        <v>0</v>
      </c>
      <c r="O31" s="1972">
        <f>0</f>
        <v>0</v>
      </c>
      <c r="P31" s="1972">
        <f>0</f>
        <v>0</v>
      </c>
      <c r="Q31" s="1972">
        <f>0</f>
        <v>0</v>
      </c>
    </row>
    <row r="32" spans="1:17">
      <c r="A32" s="1953" t="s">
        <v>695</v>
      </c>
      <c r="B32" s="1972">
        <f>0</f>
        <v>0</v>
      </c>
      <c r="C32" s="1972">
        <f>0</f>
        <v>0</v>
      </c>
      <c r="D32" s="1972">
        <f>0</f>
        <v>0</v>
      </c>
      <c r="E32" s="1972">
        <f>0</f>
        <v>0</v>
      </c>
      <c r="F32" s="1972">
        <f>0</f>
        <v>0</v>
      </c>
      <c r="G32" s="1972">
        <f>0</f>
        <v>0</v>
      </c>
      <c r="H32" s="1972">
        <f>0</f>
        <v>0</v>
      </c>
      <c r="I32" s="1972">
        <f>0</f>
        <v>0</v>
      </c>
      <c r="J32" s="1972">
        <f>0</f>
        <v>0</v>
      </c>
      <c r="K32" s="1972">
        <f>0</f>
        <v>0</v>
      </c>
      <c r="L32" s="1972">
        <f>0</f>
        <v>0</v>
      </c>
      <c r="M32" s="1972">
        <f>0</f>
        <v>0</v>
      </c>
      <c r="N32" s="1972">
        <f>0</f>
        <v>0</v>
      </c>
      <c r="O32" s="1972">
        <f>0</f>
        <v>0</v>
      </c>
      <c r="P32" s="1972">
        <f>0</f>
        <v>0</v>
      </c>
      <c r="Q32" s="1972">
        <f>0</f>
        <v>0</v>
      </c>
    </row>
    <row r="33" spans="1:17">
      <c r="A33" s="1953" t="s">
        <v>696</v>
      </c>
      <c r="B33" s="1972">
        <f>0</f>
        <v>0</v>
      </c>
      <c r="C33" s="1972">
        <f>0</f>
        <v>0</v>
      </c>
      <c r="D33" s="1972">
        <f>0</f>
        <v>0</v>
      </c>
      <c r="E33" s="1972">
        <f>0</f>
        <v>0</v>
      </c>
      <c r="F33" s="1972">
        <f>0</f>
        <v>0</v>
      </c>
      <c r="G33" s="1972">
        <f>0</f>
        <v>0</v>
      </c>
      <c r="H33" s="1972">
        <f>0</f>
        <v>0</v>
      </c>
      <c r="I33" s="1972">
        <f>0</f>
        <v>0</v>
      </c>
      <c r="J33" s="1972">
        <f>0</f>
        <v>0</v>
      </c>
      <c r="K33" s="1972">
        <f>0</f>
        <v>0</v>
      </c>
      <c r="L33" s="1972">
        <f>0</f>
        <v>0</v>
      </c>
      <c r="M33" s="1972">
        <f>0</f>
        <v>0</v>
      </c>
      <c r="N33" s="1972">
        <f>0</f>
        <v>0</v>
      </c>
      <c r="O33" s="1972">
        <f>0</f>
        <v>0</v>
      </c>
      <c r="P33" s="1972">
        <f>0</f>
        <v>0</v>
      </c>
      <c r="Q33" s="1972">
        <f>0</f>
        <v>0</v>
      </c>
    </row>
    <row r="34" spans="1:17">
      <c r="A34" s="1916" t="s">
        <v>697</v>
      </c>
      <c r="B34" s="1972">
        <f>0</f>
        <v>0</v>
      </c>
      <c r="C34" s="1972">
        <f>0</f>
        <v>0</v>
      </c>
      <c r="D34" s="1972">
        <f>0</f>
        <v>0</v>
      </c>
      <c r="E34" s="1972">
        <f>0</f>
        <v>0</v>
      </c>
      <c r="F34" s="1972">
        <f>0</f>
        <v>0</v>
      </c>
      <c r="G34" s="1972">
        <f>0</f>
        <v>0</v>
      </c>
      <c r="H34" s="1972">
        <f>0</f>
        <v>0</v>
      </c>
      <c r="I34" s="1972">
        <f>0</f>
        <v>0</v>
      </c>
      <c r="J34" s="1972">
        <f>0</f>
        <v>0</v>
      </c>
      <c r="K34" s="1972">
        <f>0</f>
        <v>0</v>
      </c>
      <c r="L34" s="1972">
        <f>0</f>
        <v>0</v>
      </c>
      <c r="M34" s="1972">
        <f>0</f>
        <v>0</v>
      </c>
      <c r="N34" s="1972">
        <f>0</f>
        <v>0</v>
      </c>
      <c r="O34" s="1972">
        <f>0</f>
        <v>0</v>
      </c>
      <c r="P34" s="1972">
        <f>0</f>
        <v>0</v>
      </c>
      <c r="Q34" s="1972">
        <f>0</f>
        <v>0</v>
      </c>
    </row>
    <row r="35" spans="1:17">
      <c r="A35" s="1953" t="s">
        <v>698</v>
      </c>
      <c r="B35" s="1972">
        <f>0</f>
        <v>0</v>
      </c>
      <c r="C35" s="1972">
        <f>0</f>
        <v>0</v>
      </c>
      <c r="D35" s="1972">
        <f>0</f>
        <v>0</v>
      </c>
      <c r="E35" s="1972">
        <f>0</f>
        <v>0</v>
      </c>
      <c r="F35" s="1972">
        <f>0</f>
        <v>0</v>
      </c>
      <c r="G35" s="1972">
        <f>0</f>
        <v>0</v>
      </c>
      <c r="H35" s="1972">
        <f>0</f>
        <v>0</v>
      </c>
      <c r="I35" s="1972">
        <f>0</f>
        <v>0</v>
      </c>
      <c r="J35" s="1972">
        <f>0</f>
        <v>0</v>
      </c>
      <c r="K35" s="1972">
        <f>0</f>
        <v>0</v>
      </c>
      <c r="L35" s="1972">
        <f>0</f>
        <v>0</v>
      </c>
      <c r="M35" s="1972">
        <f>0</f>
        <v>0</v>
      </c>
      <c r="N35" s="1972">
        <f>0</f>
        <v>0</v>
      </c>
      <c r="O35" s="1972">
        <f>0</f>
        <v>0</v>
      </c>
      <c r="P35" s="1972">
        <f>0</f>
        <v>0</v>
      </c>
      <c r="Q35" s="1972">
        <f>0</f>
        <v>0</v>
      </c>
    </row>
    <row r="36" spans="1:17">
      <c r="A36" s="1953" t="s">
        <v>699</v>
      </c>
      <c r="B36" s="1972">
        <f>0</f>
        <v>0</v>
      </c>
      <c r="C36" s="1972">
        <f>0</f>
        <v>0</v>
      </c>
      <c r="D36" s="1972">
        <f>0</f>
        <v>0</v>
      </c>
      <c r="E36" s="1972">
        <f>0</f>
        <v>0</v>
      </c>
      <c r="F36" s="1972">
        <f>0</f>
        <v>0</v>
      </c>
      <c r="G36" s="1972">
        <f>0</f>
        <v>0</v>
      </c>
      <c r="H36" s="1972">
        <f>0</f>
        <v>0</v>
      </c>
      <c r="I36" s="1972">
        <f>0</f>
        <v>0</v>
      </c>
      <c r="J36" s="1972">
        <f>0</f>
        <v>0</v>
      </c>
      <c r="K36" s="1972">
        <f>0</f>
        <v>0</v>
      </c>
      <c r="L36" s="1972">
        <f>0</f>
        <v>0</v>
      </c>
      <c r="M36" s="1972">
        <f>0</f>
        <v>0</v>
      </c>
      <c r="N36" s="1972">
        <f>0</f>
        <v>0</v>
      </c>
      <c r="O36" s="1972">
        <f>0</f>
        <v>0</v>
      </c>
      <c r="P36" s="1972">
        <f>0</f>
        <v>0</v>
      </c>
      <c r="Q36" s="1972">
        <f>0</f>
        <v>0</v>
      </c>
    </row>
    <row r="37" spans="1:17" ht="20.399999999999999">
      <c r="A37" s="1916" t="s">
        <v>700</v>
      </c>
      <c r="B37" s="1972">
        <f>756398754.19</f>
        <v>756398754.19000006</v>
      </c>
      <c r="C37" s="1972">
        <f>756398754.19</f>
        <v>756398754.19000006</v>
      </c>
      <c r="D37" s="1972">
        <f>251720.99</f>
        <v>251720.99</v>
      </c>
      <c r="E37" s="1972">
        <f>0</f>
        <v>0</v>
      </c>
      <c r="F37" s="1972">
        <f>0</f>
        <v>0</v>
      </c>
      <c r="G37" s="1972">
        <f>251720.99</f>
        <v>251720.99</v>
      </c>
      <c r="H37" s="1972">
        <f>0</f>
        <v>0</v>
      </c>
      <c r="I37" s="1972">
        <f>0</f>
        <v>0</v>
      </c>
      <c r="J37" s="1972">
        <f>756121624.06</f>
        <v>756121624.05999994</v>
      </c>
      <c r="K37" s="1972">
        <f>0</f>
        <v>0</v>
      </c>
      <c r="L37" s="1972">
        <f>25409.14</f>
        <v>25409.14</v>
      </c>
      <c r="M37" s="1972">
        <f>0</f>
        <v>0</v>
      </c>
      <c r="N37" s="1972">
        <f>0</f>
        <v>0</v>
      </c>
      <c r="O37" s="1972">
        <f>0</f>
        <v>0</v>
      </c>
      <c r="P37" s="1972">
        <f>0</f>
        <v>0</v>
      </c>
      <c r="Q37" s="1972">
        <f>0</f>
        <v>0</v>
      </c>
    </row>
    <row r="38" spans="1:17">
      <c r="A38" s="1953" t="s">
        <v>701</v>
      </c>
      <c r="B38" s="1972">
        <f>251720.99</f>
        <v>251720.99</v>
      </c>
      <c r="C38" s="1972">
        <f>251720.99</f>
        <v>251720.99</v>
      </c>
      <c r="D38" s="1972">
        <f>251720.99</f>
        <v>251720.99</v>
      </c>
      <c r="E38" s="1972">
        <f>0</f>
        <v>0</v>
      </c>
      <c r="F38" s="1972">
        <f>0</f>
        <v>0</v>
      </c>
      <c r="G38" s="1972">
        <f>251720.99</f>
        <v>251720.99</v>
      </c>
      <c r="H38" s="1972">
        <f>0</f>
        <v>0</v>
      </c>
      <c r="I38" s="1972">
        <f>0</f>
        <v>0</v>
      </c>
      <c r="J38" s="1972">
        <f>0</f>
        <v>0</v>
      </c>
      <c r="K38" s="1972">
        <f>0</f>
        <v>0</v>
      </c>
      <c r="L38" s="1972">
        <f>0</f>
        <v>0</v>
      </c>
      <c r="M38" s="1972">
        <f>0</f>
        <v>0</v>
      </c>
      <c r="N38" s="1972">
        <f>0</f>
        <v>0</v>
      </c>
      <c r="O38" s="1972">
        <f>0</f>
        <v>0</v>
      </c>
      <c r="P38" s="1972">
        <f>0</f>
        <v>0</v>
      </c>
      <c r="Q38" s="1972">
        <f>0</f>
        <v>0</v>
      </c>
    </row>
    <row r="39" spans="1:17">
      <c r="A39" s="1953" t="s">
        <v>702</v>
      </c>
      <c r="B39" s="1972">
        <f>756121624.06</f>
        <v>756121624.05999994</v>
      </c>
      <c r="C39" s="1972">
        <f>756121624.06</f>
        <v>756121624.05999994</v>
      </c>
      <c r="D39" s="1972">
        <f>0</f>
        <v>0</v>
      </c>
      <c r="E39" s="1972">
        <f>0</f>
        <v>0</v>
      </c>
      <c r="F39" s="1972">
        <f>0</f>
        <v>0</v>
      </c>
      <c r="G39" s="1972">
        <f>0</f>
        <v>0</v>
      </c>
      <c r="H39" s="1972">
        <f>0</f>
        <v>0</v>
      </c>
      <c r="I39" s="1972">
        <f>0</f>
        <v>0</v>
      </c>
      <c r="J39" s="1972">
        <f>756121624.06</f>
        <v>756121624.05999994</v>
      </c>
      <c r="K39" s="1972">
        <f>0</f>
        <v>0</v>
      </c>
      <c r="L39" s="1972">
        <f>0</f>
        <v>0</v>
      </c>
      <c r="M39" s="1972">
        <f>0</f>
        <v>0</v>
      </c>
      <c r="N39" s="1972">
        <f>0</f>
        <v>0</v>
      </c>
      <c r="O39" s="1972">
        <f>0</f>
        <v>0</v>
      </c>
      <c r="P39" s="1972">
        <f>0</f>
        <v>0</v>
      </c>
      <c r="Q39" s="1972">
        <f>0</f>
        <v>0</v>
      </c>
    </row>
    <row r="40" spans="1:17">
      <c r="A40" s="1953" t="s">
        <v>703</v>
      </c>
      <c r="B40" s="1972">
        <f>25409.14</f>
        <v>25409.14</v>
      </c>
      <c r="C40" s="1972">
        <f>25409.14</f>
        <v>25409.14</v>
      </c>
      <c r="D40" s="1972">
        <f>0</f>
        <v>0</v>
      </c>
      <c r="E40" s="1972">
        <f>0</f>
        <v>0</v>
      </c>
      <c r="F40" s="1972">
        <f>0</f>
        <v>0</v>
      </c>
      <c r="G40" s="1972">
        <f>0</f>
        <v>0</v>
      </c>
      <c r="H40" s="1972">
        <f>0</f>
        <v>0</v>
      </c>
      <c r="I40" s="1972">
        <f>0</f>
        <v>0</v>
      </c>
      <c r="J40" s="1972">
        <f>0</f>
        <v>0</v>
      </c>
      <c r="K40" s="1972">
        <f>0</f>
        <v>0</v>
      </c>
      <c r="L40" s="1972">
        <f>25409.14</f>
        <v>25409.14</v>
      </c>
      <c r="M40" s="1972">
        <f>0</f>
        <v>0</v>
      </c>
      <c r="N40" s="1972">
        <f>0</f>
        <v>0</v>
      </c>
      <c r="O40" s="1972">
        <f>0</f>
        <v>0</v>
      </c>
      <c r="P40" s="1972">
        <f>0</f>
        <v>0</v>
      </c>
      <c r="Q40" s="1972">
        <f>0</f>
        <v>0</v>
      </c>
    </row>
    <row r="41" spans="1:17" ht="20.399999999999999">
      <c r="A41" s="2504" t="s">
        <v>704</v>
      </c>
      <c r="B41" s="1972">
        <f>410735494.22</f>
        <v>410735494.22000003</v>
      </c>
      <c r="C41" s="1972">
        <f>410735494.22</f>
        <v>410735494.22000003</v>
      </c>
      <c r="D41" s="1972">
        <f>0</f>
        <v>0</v>
      </c>
      <c r="E41" s="1972">
        <f>0</f>
        <v>0</v>
      </c>
      <c r="F41" s="1972">
        <f>0</f>
        <v>0</v>
      </c>
      <c r="G41" s="1972">
        <f>0</f>
        <v>0</v>
      </c>
      <c r="H41" s="1972">
        <f>0</f>
        <v>0</v>
      </c>
      <c r="I41" s="1972">
        <f>0</f>
        <v>0</v>
      </c>
      <c r="J41" s="1972">
        <f>0</f>
        <v>0</v>
      </c>
      <c r="K41" s="1972">
        <f>0</f>
        <v>0</v>
      </c>
      <c r="L41" s="1972">
        <f>8216963.43</f>
        <v>8216963.4299999997</v>
      </c>
      <c r="M41" s="1972">
        <f>402518530.79</f>
        <v>402518530.79000002</v>
      </c>
      <c r="N41" s="1972">
        <f>0</f>
        <v>0</v>
      </c>
      <c r="O41" s="1972">
        <f>0</f>
        <v>0</v>
      </c>
      <c r="P41" s="1972">
        <f>0</f>
        <v>0</v>
      </c>
      <c r="Q41" s="1972">
        <f>0</f>
        <v>0</v>
      </c>
    </row>
    <row r="42" spans="1:17" ht="20.399999999999999">
      <c r="A42" s="1953" t="s">
        <v>705</v>
      </c>
      <c r="B42" s="1972">
        <f>4756128.93</f>
        <v>4756128.93</v>
      </c>
      <c r="C42" s="1972">
        <f>4756128.93</f>
        <v>4756128.93</v>
      </c>
      <c r="D42" s="1972">
        <f>0</f>
        <v>0</v>
      </c>
      <c r="E42" s="1972">
        <f>0</f>
        <v>0</v>
      </c>
      <c r="F42" s="1972">
        <f>0</f>
        <v>0</v>
      </c>
      <c r="G42" s="1972">
        <f>0</f>
        <v>0</v>
      </c>
      <c r="H42" s="1972">
        <f>0</f>
        <v>0</v>
      </c>
      <c r="I42" s="1972">
        <f>0</f>
        <v>0</v>
      </c>
      <c r="J42" s="1972">
        <f>0</f>
        <v>0</v>
      </c>
      <c r="K42" s="1972">
        <f>0</f>
        <v>0</v>
      </c>
      <c r="L42" s="1972">
        <f>4514817</f>
        <v>4514817</v>
      </c>
      <c r="M42" s="1972">
        <f>241311.93</f>
        <v>241311.93</v>
      </c>
      <c r="N42" s="1972">
        <f>0</f>
        <v>0</v>
      </c>
      <c r="O42" s="1972">
        <f>0</f>
        <v>0</v>
      </c>
      <c r="P42" s="1972">
        <f>0</f>
        <v>0</v>
      </c>
      <c r="Q42" s="1972">
        <f>0</f>
        <v>0</v>
      </c>
    </row>
    <row r="43" spans="1:17">
      <c r="A43" s="1953" t="s">
        <v>706</v>
      </c>
      <c r="B43" s="1972">
        <f>405979365.29</f>
        <v>405979365.29000002</v>
      </c>
      <c r="C43" s="1972">
        <f>405979365.29</f>
        <v>405979365.29000002</v>
      </c>
      <c r="D43" s="1972">
        <f>0</f>
        <v>0</v>
      </c>
      <c r="E43" s="1972">
        <f>0</f>
        <v>0</v>
      </c>
      <c r="F43" s="1972">
        <f>0</f>
        <v>0</v>
      </c>
      <c r="G43" s="1972">
        <f>0</f>
        <v>0</v>
      </c>
      <c r="H43" s="1972">
        <f>0</f>
        <v>0</v>
      </c>
      <c r="I43" s="1972">
        <f>0</f>
        <v>0</v>
      </c>
      <c r="J43" s="1972">
        <f>0</f>
        <v>0</v>
      </c>
      <c r="K43" s="1972">
        <f>0</f>
        <v>0</v>
      </c>
      <c r="L43" s="1972">
        <f>3702146.43</f>
        <v>3702146.43</v>
      </c>
      <c r="M43" s="1972">
        <f>402277218.86</f>
        <v>402277218.86000001</v>
      </c>
      <c r="N43" s="1972">
        <f>0</f>
        <v>0</v>
      </c>
      <c r="O43" s="1972">
        <f>0</f>
        <v>0</v>
      </c>
      <c r="P43" s="1972">
        <f>0</f>
        <v>0</v>
      </c>
      <c r="Q43" s="1972">
        <f>0</f>
        <v>0</v>
      </c>
    </row>
    <row r="44" spans="1:17" ht="20.399999999999999">
      <c r="A44" s="1916" t="s">
        <v>707</v>
      </c>
      <c r="B44" s="1972">
        <f>212906969.87</f>
        <v>212906969.87</v>
      </c>
      <c r="C44" s="1972">
        <f>212906969.87</f>
        <v>212906969.87</v>
      </c>
      <c r="D44" s="1972">
        <f>207045628.89</f>
        <v>207045628.88999999</v>
      </c>
      <c r="E44" s="1972">
        <f>30736281.09</f>
        <v>30736281.09</v>
      </c>
      <c r="F44" s="1972">
        <f>0</f>
        <v>0</v>
      </c>
      <c r="G44" s="1972">
        <f>176304105.54</f>
        <v>176304105.53999999</v>
      </c>
      <c r="H44" s="1972">
        <f>5242.26</f>
        <v>5242.26</v>
      </c>
      <c r="I44" s="1972">
        <f>0</f>
        <v>0</v>
      </c>
      <c r="J44" s="1972">
        <f>0</f>
        <v>0</v>
      </c>
      <c r="K44" s="1972">
        <f>0</f>
        <v>0</v>
      </c>
      <c r="L44" s="1972">
        <f>4748178.06</f>
        <v>4748178.0599999996</v>
      </c>
      <c r="M44" s="1972">
        <f>1113162.92</f>
        <v>1113162.92</v>
      </c>
      <c r="N44" s="1972">
        <f>0</f>
        <v>0</v>
      </c>
      <c r="O44" s="1972">
        <f>0</f>
        <v>0</v>
      </c>
      <c r="P44" s="1972">
        <f>0</f>
        <v>0</v>
      </c>
      <c r="Q44" s="1972">
        <f>0</f>
        <v>0</v>
      </c>
    </row>
    <row r="45" spans="1:17" ht="20.399999999999999">
      <c r="A45" s="1953" t="s">
        <v>708</v>
      </c>
      <c r="B45" s="1972">
        <f>4058637.76</f>
        <v>4058637.76</v>
      </c>
      <c r="C45" s="1972">
        <f>4058637.76</f>
        <v>4058637.76</v>
      </c>
      <c r="D45" s="1972">
        <f>0</f>
        <v>0</v>
      </c>
      <c r="E45" s="1972">
        <f>0</f>
        <v>0</v>
      </c>
      <c r="F45" s="1972">
        <f>0</f>
        <v>0</v>
      </c>
      <c r="G45" s="1972">
        <f>0</f>
        <v>0</v>
      </c>
      <c r="H45" s="1972">
        <f>0</f>
        <v>0</v>
      </c>
      <c r="I45" s="1972">
        <f>0</f>
        <v>0</v>
      </c>
      <c r="J45" s="1972">
        <f>0</f>
        <v>0</v>
      </c>
      <c r="K45" s="1972">
        <f>0</f>
        <v>0</v>
      </c>
      <c r="L45" s="1972">
        <f>4057938.76</f>
        <v>4057938.76</v>
      </c>
      <c r="M45" s="1972">
        <f>699</f>
        <v>699</v>
      </c>
      <c r="N45" s="1972">
        <f>0</f>
        <v>0</v>
      </c>
      <c r="O45" s="1972">
        <f>0</f>
        <v>0</v>
      </c>
      <c r="P45" s="1972">
        <f>0</f>
        <v>0</v>
      </c>
      <c r="Q45" s="1972">
        <f>0</f>
        <v>0</v>
      </c>
    </row>
    <row r="46" spans="1:17" ht="20.399999999999999">
      <c r="A46" s="1953" t="s">
        <v>709</v>
      </c>
      <c r="B46" s="1972">
        <f>0</f>
        <v>0</v>
      </c>
      <c r="C46" s="1972">
        <f>0</f>
        <v>0</v>
      </c>
      <c r="D46" s="1972">
        <f>0</f>
        <v>0</v>
      </c>
      <c r="E46" s="1972">
        <f>0</f>
        <v>0</v>
      </c>
      <c r="F46" s="1972">
        <f>0</f>
        <v>0</v>
      </c>
      <c r="G46" s="1972">
        <f>0</f>
        <v>0</v>
      </c>
      <c r="H46" s="1972">
        <f>0</f>
        <v>0</v>
      </c>
      <c r="I46" s="1972">
        <f>0</f>
        <v>0</v>
      </c>
      <c r="J46" s="1972">
        <f>0</f>
        <v>0</v>
      </c>
      <c r="K46" s="1972">
        <f>0</f>
        <v>0</v>
      </c>
      <c r="L46" s="1972">
        <f>0</f>
        <v>0</v>
      </c>
      <c r="M46" s="1972">
        <f>0</f>
        <v>0</v>
      </c>
      <c r="N46" s="1972">
        <f>0</f>
        <v>0</v>
      </c>
      <c r="O46" s="1972">
        <f>0</f>
        <v>0</v>
      </c>
      <c r="P46" s="1972">
        <f>0</f>
        <v>0</v>
      </c>
      <c r="Q46" s="1972">
        <f>0</f>
        <v>0</v>
      </c>
    </row>
    <row r="47" spans="1:17" ht="20.399999999999999">
      <c r="A47" s="1953" t="s">
        <v>710</v>
      </c>
      <c r="B47" s="1972">
        <f>208848332.11</f>
        <v>208848332.11000001</v>
      </c>
      <c r="C47" s="1972">
        <f>208848332.11</f>
        <v>208848332.11000001</v>
      </c>
      <c r="D47" s="1972">
        <f>207045628.89</f>
        <v>207045628.88999999</v>
      </c>
      <c r="E47" s="1972">
        <f>30736281.09</f>
        <v>30736281.09</v>
      </c>
      <c r="F47" s="1972">
        <f>0</f>
        <v>0</v>
      </c>
      <c r="G47" s="1972">
        <f>176304105.54</f>
        <v>176304105.53999999</v>
      </c>
      <c r="H47" s="1972">
        <f>5242.26</f>
        <v>5242.26</v>
      </c>
      <c r="I47" s="1972">
        <f>0</f>
        <v>0</v>
      </c>
      <c r="J47" s="1972">
        <f>0</f>
        <v>0</v>
      </c>
      <c r="K47" s="1972">
        <f>0</f>
        <v>0</v>
      </c>
      <c r="L47" s="1972">
        <f>690239.3</f>
        <v>690239.3</v>
      </c>
      <c r="M47" s="1972">
        <f>1112463.92</f>
        <v>1112463.92</v>
      </c>
      <c r="N47" s="1972">
        <f>0</f>
        <v>0</v>
      </c>
      <c r="O47" s="1972">
        <f>0</f>
        <v>0</v>
      </c>
      <c r="P47" s="1972">
        <f>0</f>
        <v>0</v>
      </c>
      <c r="Q47" s="1972">
        <f>0</f>
        <v>0</v>
      </c>
    </row>
    <row r="48" spans="1:17">
      <c r="A48" s="1855"/>
      <c r="B48" s="1855"/>
      <c r="C48" s="1855"/>
      <c r="D48" s="1855"/>
      <c r="E48" s="1855"/>
      <c r="F48" s="1855"/>
      <c r="G48" s="1855"/>
      <c r="H48" s="1855"/>
      <c r="I48" s="1855"/>
      <c r="J48" s="1855"/>
      <c r="K48" s="1855"/>
      <c r="L48" s="1855"/>
      <c r="M48" s="1855"/>
      <c r="N48" s="1855"/>
      <c r="O48" s="1855"/>
      <c r="P48" s="1855"/>
      <c r="Q48" s="1855"/>
    </row>
    <row r="49" spans="1:17" ht="22.95" customHeight="1">
      <c r="A49" s="1992"/>
      <c r="B49" s="1992"/>
      <c r="C49" s="1992"/>
      <c r="D49" s="1992"/>
      <c r="E49" s="1992"/>
      <c r="F49" s="1992"/>
      <c r="G49" s="1992"/>
      <c r="H49" s="1992"/>
      <c r="I49" s="1992"/>
      <c r="J49" s="1992"/>
      <c r="K49" s="1992"/>
      <c r="L49" s="1992"/>
      <c r="M49" s="1992"/>
      <c r="N49" s="1855"/>
      <c r="O49" s="1855"/>
      <c r="P49" s="1855"/>
      <c r="Q49" s="1855"/>
    </row>
    <row r="50" spans="1:17" ht="13.95" customHeight="1">
      <c r="A50" s="1855"/>
      <c r="B50" s="2105" t="s">
        <v>711</v>
      </c>
      <c r="C50" s="2105"/>
      <c r="D50" s="2105"/>
      <c r="E50" s="2105"/>
      <c r="F50" s="2105"/>
      <c r="G50" s="2105"/>
      <c r="H50" s="2105"/>
      <c r="I50" s="2105"/>
      <c r="J50" s="2105"/>
      <c r="K50" s="2105"/>
      <c r="L50" s="2105"/>
      <c r="M50" s="2105"/>
      <c r="N50" s="1855"/>
      <c r="O50" s="1855"/>
      <c r="P50" s="1855"/>
      <c r="Q50" s="1855"/>
    </row>
    <row r="51" spans="1:17">
      <c r="A51" s="1855"/>
      <c r="B51" s="2105"/>
      <c r="C51" s="2105"/>
      <c r="D51" s="2105"/>
      <c r="E51" s="2105"/>
      <c r="F51" s="2105"/>
      <c r="G51" s="2105"/>
      <c r="H51" s="2105"/>
      <c r="I51" s="2105"/>
      <c r="J51" s="2105"/>
      <c r="K51" s="2105"/>
      <c r="L51" s="2105"/>
      <c r="M51" s="2105"/>
      <c r="N51" s="2105"/>
      <c r="O51" s="1855"/>
      <c r="P51" s="1855"/>
      <c r="Q51" s="1855"/>
    </row>
    <row r="52" spans="1:17">
      <c r="A52" s="1855"/>
      <c r="B52" s="2306" t="s">
        <v>1</v>
      </c>
      <c r="C52" s="2307"/>
      <c r="D52" s="2307"/>
      <c r="E52" s="2308"/>
      <c r="F52" s="2315" t="s">
        <v>712</v>
      </c>
      <c r="G52" s="2304" t="s">
        <v>713</v>
      </c>
      <c r="H52" s="2318"/>
      <c r="I52" s="2318"/>
      <c r="J52" s="2318"/>
      <c r="K52" s="2318"/>
      <c r="L52" s="2319"/>
      <c r="M52" s="1855"/>
      <c r="N52" s="1855"/>
      <c r="O52" s="1855"/>
      <c r="P52" s="1855"/>
      <c r="Q52" s="1855"/>
    </row>
    <row r="53" spans="1:17">
      <c r="A53" s="1855"/>
      <c r="B53" s="2309"/>
      <c r="C53" s="2310"/>
      <c r="D53" s="2310"/>
      <c r="E53" s="2311"/>
      <c r="F53" s="2316"/>
      <c r="G53" s="2320" t="s">
        <v>714</v>
      </c>
      <c r="H53" s="2303" t="s">
        <v>660</v>
      </c>
      <c r="I53" s="2303" t="s">
        <v>661</v>
      </c>
      <c r="J53" s="2303" t="s">
        <v>692</v>
      </c>
      <c r="K53" s="2303" t="s">
        <v>715</v>
      </c>
      <c r="L53" s="2321" t="s">
        <v>716</v>
      </c>
      <c r="M53" s="1855"/>
      <c r="N53" s="1855"/>
      <c r="O53" s="1855"/>
      <c r="P53" s="1855"/>
      <c r="Q53" s="1855"/>
    </row>
    <row r="54" spans="1:17">
      <c r="A54" s="1855"/>
      <c r="B54" s="2309"/>
      <c r="C54" s="2310"/>
      <c r="D54" s="2310"/>
      <c r="E54" s="2311"/>
      <c r="F54" s="2316"/>
      <c r="G54" s="2320"/>
      <c r="H54" s="2303"/>
      <c r="I54" s="2303"/>
      <c r="J54" s="2303"/>
      <c r="K54" s="2303"/>
      <c r="L54" s="2321"/>
      <c r="M54" s="1855"/>
      <c r="N54" s="1855"/>
      <c r="O54" s="1855"/>
      <c r="P54" s="1855"/>
      <c r="Q54" s="1855"/>
    </row>
    <row r="55" spans="1:17">
      <c r="A55" s="1855"/>
      <c r="B55" s="2309"/>
      <c r="C55" s="2310"/>
      <c r="D55" s="2310"/>
      <c r="E55" s="2311"/>
      <c r="F55" s="2316"/>
      <c r="G55" s="2320"/>
      <c r="H55" s="2303"/>
      <c r="I55" s="2303"/>
      <c r="J55" s="2303"/>
      <c r="K55" s="2303"/>
      <c r="L55" s="2321"/>
      <c r="M55" s="1855"/>
      <c r="N55" s="1855"/>
      <c r="O55" s="1855"/>
      <c r="P55" s="1855"/>
      <c r="Q55" s="1855"/>
    </row>
    <row r="56" spans="1:17">
      <c r="A56" s="1855"/>
      <c r="B56" s="2312"/>
      <c r="C56" s="2313"/>
      <c r="D56" s="2313"/>
      <c r="E56" s="2314"/>
      <c r="F56" s="2317"/>
      <c r="G56" s="2320"/>
      <c r="H56" s="2303"/>
      <c r="I56" s="2303"/>
      <c r="J56" s="2303"/>
      <c r="K56" s="2303"/>
      <c r="L56" s="2321"/>
      <c r="M56" s="1855"/>
      <c r="N56" s="1855"/>
      <c r="O56" s="1855"/>
      <c r="P56" s="1855"/>
      <c r="Q56" s="1855"/>
    </row>
    <row r="57" spans="1:17">
      <c r="A57" s="1855"/>
      <c r="B57" s="2303">
        <v>1</v>
      </c>
      <c r="C57" s="2303"/>
      <c r="D57" s="2303"/>
      <c r="E57" s="2303"/>
      <c r="F57" s="1861">
        <v>2</v>
      </c>
      <c r="G57" s="1861">
        <v>3</v>
      </c>
      <c r="H57" s="1861">
        <v>4</v>
      </c>
      <c r="I57" s="1861">
        <v>5</v>
      </c>
      <c r="J57" s="1861">
        <v>6</v>
      </c>
      <c r="K57" s="1861">
        <v>7</v>
      </c>
      <c r="L57" s="1861">
        <v>8</v>
      </c>
      <c r="M57" s="1855"/>
      <c r="N57" s="1855"/>
      <c r="O57" s="1855"/>
      <c r="P57" s="1855"/>
      <c r="Q57" s="1855"/>
    </row>
    <row r="58" spans="1:17" ht="14.4">
      <c r="A58" s="1855"/>
      <c r="B58" s="2303"/>
      <c r="C58" s="2303"/>
      <c r="D58" s="2303"/>
      <c r="E58" s="2303"/>
      <c r="F58" s="2304" t="s">
        <v>163</v>
      </c>
      <c r="G58" s="2305"/>
      <c r="H58" s="2305"/>
      <c r="I58" s="2305"/>
      <c r="J58" s="2305"/>
      <c r="K58" s="2305"/>
      <c r="L58" s="2285"/>
      <c r="M58" s="1855"/>
      <c r="N58" s="1855"/>
      <c r="O58" s="1855"/>
      <c r="P58" s="1855"/>
      <c r="Q58" s="1855"/>
    </row>
    <row r="59" spans="1:17" ht="32.549999999999997" customHeight="1">
      <c r="A59" s="1855"/>
      <c r="B59" s="2300" t="s">
        <v>717</v>
      </c>
      <c r="C59" s="2301"/>
      <c r="D59" s="2301"/>
      <c r="E59" s="2302"/>
      <c r="F59" s="1971">
        <f>0</f>
        <v>0</v>
      </c>
      <c r="G59" s="1971">
        <f>0</f>
        <v>0</v>
      </c>
      <c r="H59" s="1971">
        <f>0</f>
        <v>0</v>
      </c>
      <c r="I59" s="1971">
        <f>0</f>
        <v>0</v>
      </c>
      <c r="J59" s="1971">
        <f>0</f>
        <v>0</v>
      </c>
      <c r="K59" s="1971">
        <f>0</f>
        <v>0</v>
      </c>
      <c r="L59" s="1971">
        <f>0</f>
        <v>0</v>
      </c>
      <c r="M59" s="1855"/>
      <c r="N59" s="1855"/>
      <c r="O59" s="1855"/>
      <c r="P59" s="1855"/>
      <c r="Q59" s="1855"/>
    </row>
    <row r="60" spans="1:17" ht="31.2" customHeight="1">
      <c r="A60" s="1855"/>
      <c r="B60" s="2300" t="s">
        <v>718</v>
      </c>
      <c r="C60" s="2301"/>
      <c r="D60" s="2301"/>
      <c r="E60" s="2302"/>
      <c r="F60" s="1971">
        <f>0</f>
        <v>0</v>
      </c>
      <c r="G60" s="1971">
        <f>0</f>
        <v>0</v>
      </c>
      <c r="H60" s="1971">
        <f>0</f>
        <v>0</v>
      </c>
      <c r="I60" s="1971">
        <f>0</f>
        <v>0</v>
      </c>
      <c r="J60" s="1971">
        <f>0</f>
        <v>0</v>
      </c>
      <c r="K60" s="1971">
        <f>0</f>
        <v>0</v>
      </c>
      <c r="L60" s="1971">
        <f>0</f>
        <v>0</v>
      </c>
      <c r="M60" s="1855"/>
      <c r="N60" s="1855"/>
      <c r="O60" s="1855"/>
      <c r="P60" s="1855"/>
      <c r="Q60" s="1855"/>
    </row>
    <row r="61" spans="1:17" ht="23.55" customHeight="1">
      <c r="A61" s="1855"/>
      <c r="B61" s="2300" t="s">
        <v>719</v>
      </c>
      <c r="C61" s="2301"/>
      <c r="D61" s="2301"/>
      <c r="E61" s="2302"/>
      <c r="F61" s="1971">
        <f>0</f>
        <v>0</v>
      </c>
      <c r="G61" s="1971">
        <f>0</f>
        <v>0</v>
      </c>
      <c r="H61" s="1971">
        <f>0</f>
        <v>0</v>
      </c>
      <c r="I61" s="1971">
        <f>0</f>
        <v>0</v>
      </c>
      <c r="J61" s="1971">
        <f>0</f>
        <v>0</v>
      </c>
      <c r="K61" s="1971">
        <f>0</f>
        <v>0</v>
      </c>
      <c r="L61" s="1971">
        <f>0</f>
        <v>0</v>
      </c>
      <c r="M61" s="1855"/>
      <c r="N61" s="1855"/>
      <c r="O61" s="1855"/>
      <c r="P61" s="1855"/>
      <c r="Q61" s="1855"/>
    </row>
    <row r="62" spans="1:17">
      <c r="A62" s="1855"/>
      <c r="B62" s="2300" t="s">
        <v>720</v>
      </c>
      <c r="C62" s="2301"/>
      <c r="D62" s="2301"/>
      <c r="E62" s="2302"/>
      <c r="F62" s="1971">
        <f>0</f>
        <v>0</v>
      </c>
      <c r="G62" s="1971">
        <f>0</f>
        <v>0</v>
      </c>
      <c r="H62" s="1971">
        <f>0</f>
        <v>0</v>
      </c>
      <c r="I62" s="1971">
        <f>0</f>
        <v>0</v>
      </c>
      <c r="J62" s="1971">
        <f>0</f>
        <v>0</v>
      </c>
      <c r="K62" s="1971">
        <f>0</f>
        <v>0</v>
      </c>
      <c r="L62" s="1971">
        <f>0</f>
        <v>0</v>
      </c>
      <c r="M62" s="1855"/>
      <c r="N62" s="1855"/>
      <c r="O62" s="1855"/>
      <c r="P62" s="1855"/>
      <c r="Q62" s="1855"/>
    </row>
    <row r="63" spans="1:17" ht="27" customHeight="1">
      <c r="A63" s="1855"/>
      <c r="B63" s="2300" t="s">
        <v>721</v>
      </c>
      <c r="C63" s="2301"/>
      <c r="D63" s="2301"/>
      <c r="E63" s="2302"/>
      <c r="F63" s="1971">
        <f>0</f>
        <v>0</v>
      </c>
      <c r="G63" s="1971">
        <f>0</f>
        <v>0</v>
      </c>
      <c r="H63" s="1971">
        <f>0</f>
        <v>0</v>
      </c>
      <c r="I63" s="1971">
        <f>0</f>
        <v>0</v>
      </c>
      <c r="J63" s="1971">
        <f>0</f>
        <v>0</v>
      </c>
      <c r="K63" s="1971">
        <f>0</f>
        <v>0</v>
      </c>
      <c r="L63" s="1971">
        <f>0</f>
        <v>0</v>
      </c>
      <c r="M63" s="1855"/>
      <c r="N63" s="1855"/>
      <c r="O63" s="1855"/>
      <c r="P63" s="1855"/>
      <c r="Q63" s="1855"/>
    </row>
    <row r="64" spans="1:17" ht="25.2" customHeight="1">
      <c r="A64" s="1855"/>
      <c r="B64" s="2300" t="s">
        <v>722</v>
      </c>
      <c r="C64" s="2301"/>
      <c r="D64" s="2301"/>
      <c r="E64" s="2302"/>
      <c r="F64" s="1971">
        <f>0</f>
        <v>0</v>
      </c>
      <c r="G64" s="1971">
        <f>0</f>
        <v>0</v>
      </c>
      <c r="H64" s="1971">
        <f>0</f>
        <v>0</v>
      </c>
      <c r="I64" s="1971">
        <f>0</f>
        <v>0</v>
      </c>
      <c r="J64" s="1971">
        <f>0</f>
        <v>0</v>
      </c>
      <c r="K64" s="1971">
        <f>0</f>
        <v>0</v>
      </c>
      <c r="L64" s="1971">
        <f>0</f>
        <v>0</v>
      </c>
      <c r="M64" s="1855"/>
      <c r="N64" s="1855"/>
      <c r="O64" s="1855"/>
      <c r="P64" s="1855"/>
      <c r="Q64" s="1855"/>
    </row>
    <row r="65" spans="1:17" ht="25.95" customHeight="1">
      <c r="A65" s="1855"/>
      <c r="B65" s="2300" t="s">
        <v>723</v>
      </c>
      <c r="C65" s="2301"/>
      <c r="D65" s="2301"/>
      <c r="E65" s="2302"/>
      <c r="F65" s="1971">
        <f>0</f>
        <v>0</v>
      </c>
      <c r="G65" s="1971">
        <f>0</f>
        <v>0</v>
      </c>
      <c r="H65" s="1971">
        <f>0</f>
        <v>0</v>
      </c>
      <c r="I65" s="1971">
        <f>0</f>
        <v>0</v>
      </c>
      <c r="J65" s="1971">
        <f>0</f>
        <v>0</v>
      </c>
      <c r="K65" s="1971">
        <f>0</f>
        <v>0</v>
      </c>
      <c r="L65" s="1971">
        <f>0</f>
        <v>0</v>
      </c>
      <c r="M65" s="1855"/>
      <c r="N65" s="1855"/>
      <c r="O65" s="1855"/>
      <c r="P65" s="1855"/>
      <c r="Q65" s="1855"/>
    </row>
    <row r="66" spans="1:17">
      <c r="A66" s="1855"/>
      <c r="B66" s="1855"/>
      <c r="C66" s="1855"/>
      <c r="D66" s="1855"/>
      <c r="E66" s="1855"/>
      <c r="F66" s="1855"/>
      <c r="G66" s="1855"/>
      <c r="H66" s="1855"/>
      <c r="I66" s="1855"/>
      <c r="J66" s="1855"/>
      <c r="K66" s="1855"/>
      <c r="L66" s="1855"/>
      <c r="M66" s="1855"/>
      <c r="N66" s="1855"/>
      <c r="O66" s="1855"/>
      <c r="P66" s="1855"/>
      <c r="Q66" s="1855"/>
    </row>
    <row r="67" spans="1:17">
      <c r="A67" s="710" t="s">
        <v>884</v>
      </c>
      <c r="B67" s="710"/>
      <c r="C67" s="710"/>
      <c r="D67" s="710"/>
    </row>
  </sheetData>
  <mergeCells count="64">
    <mergeCell ref="B61:E61"/>
    <mergeCell ref="B62:E62"/>
    <mergeCell ref="B63:E63"/>
    <mergeCell ref="B64:E64"/>
    <mergeCell ref="B65:E65"/>
    <mergeCell ref="B57:E57"/>
    <mergeCell ref="B58:E58"/>
    <mergeCell ref="F58:L58"/>
    <mergeCell ref="B59:E59"/>
    <mergeCell ref="B60:E60"/>
    <mergeCell ref="B30:Q30"/>
    <mergeCell ref="B50:M50"/>
    <mergeCell ref="B52:E56"/>
    <mergeCell ref="F52:F56"/>
    <mergeCell ref="G52:L52"/>
    <mergeCell ref="G53:G56"/>
    <mergeCell ref="H53:H56"/>
    <mergeCell ref="I53:I56"/>
    <mergeCell ref="J53:J56"/>
    <mergeCell ref="K53:K56"/>
    <mergeCell ref="L53:L56"/>
    <mergeCell ref="B51:N51"/>
    <mergeCell ref="O24:Q24"/>
    <mergeCell ref="C25:C2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O25:O28"/>
    <mergeCell ref="P25:P28"/>
    <mergeCell ref="Q25:Q28"/>
    <mergeCell ref="A22:M22"/>
    <mergeCell ref="A24:A28"/>
    <mergeCell ref="B24:B28"/>
    <mergeCell ref="C24:N24"/>
    <mergeCell ref="A1:M1"/>
    <mergeCell ref="C2:M2"/>
    <mergeCell ref="A3:A7"/>
    <mergeCell ref="B3:B7"/>
    <mergeCell ref="C3:N3"/>
    <mergeCell ref="L4:L7"/>
    <mergeCell ref="M4:M7"/>
    <mergeCell ref="N4:N7"/>
    <mergeCell ref="B9:Q9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O4:O7"/>
    <mergeCell ref="P4:P7"/>
    <mergeCell ref="Q4:Q7"/>
  </mergeCells>
  <pageMargins left="0.70866141732283472" right="0.31496062992125984" top="0.74803149606299213" bottom="0.55118110236220474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063A5-B3B1-4F92-B4E0-AE5AF30801BF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2C44F5-2971-49C3-B548-A1B281E29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4B8F5E-8EED-408E-8DAC-45FB6C69D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96</vt:i4>
      </vt:variant>
      <vt:variant>
        <vt:lpstr>Nazwane zakresy</vt:lpstr>
      </vt:variant>
      <vt:variant>
        <vt:i4>60</vt:i4>
      </vt:variant>
    </vt:vector>
  </HeadingPairs>
  <TitlesOfParts>
    <vt:vector size="156" baseType="lpstr">
      <vt:lpstr>1</vt:lpstr>
      <vt:lpstr>1cd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18cd</vt:lpstr>
      <vt:lpstr>19</vt:lpstr>
      <vt:lpstr>19cd</vt:lpstr>
      <vt:lpstr>20</vt:lpstr>
      <vt:lpstr>20cd</vt:lpstr>
      <vt:lpstr>21</vt:lpstr>
      <vt:lpstr>21cd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37cd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52cd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70cd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85cd</vt:lpstr>
      <vt:lpstr>86</vt:lpstr>
      <vt:lpstr>86cd</vt:lpstr>
      <vt:lpstr>'1'!Obszar_wydruku</vt:lpstr>
      <vt:lpstr>'10'!Obszar_wydruku</vt:lpstr>
      <vt:lpstr>'12'!Obszar_wydruku</vt:lpstr>
      <vt:lpstr>'13'!Obszar_wydruku</vt:lpstr>
      <vt:lpstr>'16'!Obszar_wydruku</vt:lpstr>
      <vt:lpstr>'18'!Obszar_wydruku</vt:lpstr>
      <vt:lpstr>'18cd'!Obszar_wydruku</vt:lpstr>
      <vt:lpstr>'19'!Obszar_wydruku</vt:lpstr>
      <vt:lpstr>'19cd'!Obszar_wydruku</vt:lpstr>
      <vt:lpstr>'1cd'!Obszar_wydruku</vt:lpstr>
      <vt:lpstr>'2'!Obszar_wydruku</vt:lpstr>
      <vt:lpstr>'20'!Obszar_wydruku</vt:lpstr>
      <vt:lpstr>'20cd'!Obszar_wydruku</vt:lpstr>
      <vt:lpstr>'21'!Obszar_wydruku</vt:lpstr>
      <vt:lpstr>'21cd'!Obszar_wydruku</vt:lpstr>
      <vt:lpstr>'23'!Obszar_wydruku</vt:lpstr>
      <vt:lpstr>'25'!Obszar_wydruku</vt:lpstr>
      <vt:lpstr>'27'!Obszar_wydruku</vt:lpstr>
      <vt:lpstr>'3'!Obszar_wydruku</vt:lpstr>
      <vt:lpstr>'33'!Obszar_wydruku</vt:lpstr>
      <vt:lpstr>'37'!Obszar_wydruku</vt:lpstr>
      <vt:lpstr>'37cd'!Obszar_wydruku</vt:lpstr>
      <vt:lpstr>'39'!Obszar_wydruku</vt:lpstr>
      <vt:lpstr>'4'!Obszar_wydruku</vt:lpstr>
      <vt:lpstr>'41'!Obszar_wydruku</vt:lpstr>
      <vt:lpstr>'42'!Obszar_wydruku</vt:lpstr>
      <vt:lpstr>'46'!Obszar_wydruku</vt:lpstr>
      <vt:lpstr>'49'!Obszar_wydruku</vt:lpstr>
      <vt:lpstr>'5'!Obszar_wydruku</vt:lpstr>
      <vt:lpstr>'52'!Obszar_wydruku</vt:lpstr>
      <vt:lpstr>'52cd'!Obszar_wydruku</vt:lpstr>
      <vt:lpstr>'56'!Obszar_wydruku</vt:lpstr>
      <vt:lpstr>'68'!Obszar_wydruku</vt:lpstr>
      <vt:lpstr>'7'!Obszar_wydruku</vt:lpstr>
      <vt:lpstr>'70'!Obszar_wydruku</vt:lpstr>
      <vt:lpstr>'70cd'!Obszar_wydruku</vt:lpstr>
      <vt:lpstr>'73'!Obszar_wydruku</vt:lpstr>
      <vt:lpstr>'79'!Obszar_wydruku</vt:lpstr>
      <vt:lpstr>'85'!Obszar_wydruku</vt:lpstr>
      <vt:lpstr>'85cd'!Obszar_wydruku</vt:lpstr>
      <vt:lpstr>'86'!Obszar_wydruku</vt:lpstr>
      <vt:lpstr>'86cd'!Obszar_wydruku</vt:lpstr>
      <vt:lpstr>'33'!Tytuły_wydruku</vt:lpstr>
      <vt:lpstr>'34'!Tytuły_wydruku</vt:lpstr>
      <vt:lpstr>'37cd'!Tytuły_wydruku</vt:lpstr>
      <vt:lpstr>'41'!Tytuły_wydruku</vt:lpstr>
      <vt:lpstr>'42'!Tytuły_wydruku</vt:lpstr>
      <vt:lpstr>'49'!Tytuły_wydruku</vt:lpstr>
      <vt:lpstr>'51'!Tytuły_wydruku</vt:lpstr>
      <vt:lpstr>'52cd'!Tytuły_wydruku</vt:lpstr>
      <vt:lpstr>'56'!Tytuły_wydruku</vt:lpstr>
      <vt:lpstr>'57'!Tytuły_wydruku</vt:lpstr>
      <vt:lpstr>'65'!Tytuły_wydruku</vt:lpstr>
      <vt:lpstr>'66'!Tytuły_wydruku</vt:lpstr>
      <vt:lpstr>'67'!Tytuły_wydruku</vt:lpstr>
      <vt:lpstr>'68'!Tytuły_wydruku</vt:lpstr>
      <vt:lpstr>'70cd'!Tytuły_wydruku</vt:lpstr>
      <vt:lpstr>'82'!Tytuły_wydruku</vt:lpstr>
      <vt:lpstr>'85cd'!Tytuły_wydruku</vt:lpstr>
      <vt:lpstr>'86cd'!Tytuły_wydruku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Broniarek</dc:creator>
  <cp:lastModifiedBy>Fitas Katarzyna</cp:lastModifiedBy>
  <cp:lastPrinted>2026-05-25T10:06:19Z</cp:lastPrinted>
  <dcterms:created xsi:type="dcterms:W3CDTF">2024-04-02T08:30:56Z</dcterms:created>
  <dcterms:modified xsi:type="dcterms:W3CDTF">2026-05-25T10:54:29Z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UxC4dwLulzfINJ8nQH+xvX5LNGipWa4BRSZhPgxsCvlciEjEfnKkFAE4l+wpcy8NcyLk+uWL09dFooEN2o5/Cw==</vt:lpwstr>
  </property>
  <property fmtid="{D5CDD505-2E9C-101B-9397-08002B2CF9AE}" pid="5" name="MFClassificationDate">
    <vt:lpwstr>2024-04-03T10:59:57.6227423+02:00</vt:lpwstr>
  </property>
  <property fmtid="{D5CDD505-2E9C-101B-9397-08002B2CF9AE}" pid="6" name="MFClassifiedBySID">
    <vt:lpwstr>UxC4dwLulzfINJ8nQH+xvX5LNGipWa4BRSZhPgxsCvm42mrIC/DSDv0ggS+FjUN/2v1BBotkLlY5aAiEhoi6uefL2y8gUfVIOaQ2SpdSLCHIks+LhUNcD2owJyoQbgW4</vt:lpwstr>
  </property>
  <property fmtid="{D5CDD505-2E9C-101B-9397-08002B2CF9AE}" pid="7" name="MFGRNItemId">
    <vt:lpwstr>GRN-5f5bc1e7-e561-4fff-9055-5a8861f5bd36</vt:lpwstr>
  </property>
  <property fmtid="{D5CDD505-2E9C-101B-9397-08002B2CF9AE}" pid="8" name="MFHash">
    <vt:lpwstr>zPjJck2AYESePzB+wrLze5Uo093zhlyI30h1WH2P4rU=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