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II kwartał\2025.11.14 Dane ostateczne\Zbiorówki_2025_k3_2025.11.14\Publikacja\"/>
    </mc:Choice>
  </mc:AlternateContent>
  <xr:revisionPtr revIDLastSave="0" documentId="13_ncr:1_{B74B602F-C7E6-40EA-B25D-FB825261B3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doch_wyd!$A$1:$M$131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1" i="4" l="1"/>
  <c r="C130" i="4"/>
  <c r="C129" i="4"/>
  <c r="D127" i="4"/>
  <c r="C127" i="4"/>
  <c r="D126" i="4"/>
  <c r="C126" i="4"/>
  <c r="D125" i="4"/>
  <c r="C125" i="4"/>
  <c r="D124" i="4"/>
  <c r="C124" i="4"/>
  <c r="D123" i="4"/>
  <c r="C123" i="4"/>
  <c r="D122" i="4"/>
  <c r="C122" i="4"/>
  <c r="D121" i="4"/>
  <c r="C121" i="4"/>
  <c r="D120" i="4"/>
  <c r="C120" i="4"/>
  <c r="D119" i="4"/>
  <c r="C119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103" i="4"/>
  <c r="C103" i="4"/>
  <c r="D102" i="4"/>
  <c r="C102" i="4"/>
  <c r="D101" i="4"/>
  <c r="C101" i="4"/>
  <c r="D100" i="4"/>
  <c r="J100" i="4" s="1"/>
  <c r="C100" i="4"/>
  <c r="D99" i="4"/>
  <c r="C99" i="4"/>
  <c r="D98" i="4"/>
  <c r="C98" i="4"/>
  <c r="I92" i="4"/>
  <c r="H92" i="4"/>
  <c r="G92" i="4"/>
  <c r="F92" i="4"/>
  <c r="E92" i="4"/>
  <c r="D92" i="4"/>
  <c r="C92" i="4"/>
  <c r="I91" i="4"/>
  <c r="H91" i="4"/>
  <c r="G91" i="4"/>
  <c r="F91" i="4"/>
  <c r="E91" i="4"/>
  <c r="D91" i="4"/>
  <c r="C91" i="4"/>
  <c r="G88" i="4"/>
  <c r="F88" i="4"/>
  <c r="E88" i="4"/>
  <c r="D88" i="4"/>
  <c r="C88" i="4"/>
  <c r="G87" i="4"/>
  <c r="F87" i="4"/>
  <c r="E87" i="4"/>
  <c r="D87" i="4"/>
  <c r="C87" i="4"/>
  <c r="G83" i="4"/>
  <c r="F83" i="4"/>
  <c r="E83" i="4"/>
  <c r="D83" i="4"/>
  <c r="C83" i="4"/>
  <c r="G82" i="4"/>
  <c r="F82" i="4"/>
  <c r="E82" i="4"/>
  <c r="D82" i="4"/>
  <c r="C82" i="4"/>
  <c r="I74" i="4"/>
  <c r="H74" i="4"/>
  <c r="G74" i="4"/>
  <c r="F74" i="4"/>
  <c r="E74" i="4"/>
  <c r="D74" i="4"/>
  <c r="C74" i="4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8" i="4"/>
  <c r="H68" i="4"/>
  <c r="G68" i="4"/>
  <c r="F68" i="4"/>
  <c r="E68" i="4"/>
  <c r="D68" i="4"/>
  <c r="C68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56" i="4"/>
  <c r="H56" i="4"/>
  <c r="G56" i="4"/>
  <c r="F56" i="4"/>
  <c r="E56" i="4"/>
  <c r="D56" i="4"/>
  <c r="C56" i="4"/>
  <c r="D53" i="4"/>
  <c r="C53" i="4"/>
  <c r="D52" i="4"/>
  <c r="C52" i="4"/>
  <c r="D51" i="4"/>
  <c r="C51" i="4"/>
  <c r="D50" i="4"/>
  <c r="C50" i="4"/>
  <c r="D49" i="4"/>
  <c r="C49" i="4"/>
  <c r="D48" i="4"/>
  <c r="C48" i="4"/>
  <c r="D47" i="4"/>
  <c r="C47" i="4"/>
  <c r="D46" i="4"/>
  <c r="C46" i="4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F6" i="4"/>
  <c r="E6" i="4"/>
  <c r="D6" i="4"/>
  <c r="C6" i="4"/>
  <c r="K31" i="4"/>
  <c r="K47" i="4"/>
  <c r="D129" i="4"/>
  <c r="B59" i="4" s="1"/>
  <c r="K11" i="4"/>
  <c r="K33" i="4"/>
  <c r="K49" i="4"/>
  <c r="G7" i="4"/>
  <c r="G25" i="4"/>
  <c r="G55" i="4"/>
  <c r="G57" i="4" s="1"/>
  <c r="K6" i="4"/>
  <c r="C55" i="4"/>
  <c r="C57" i="4" s="1"/>
  <c r="C76" i="4"/>
  <c r="K19" i="4"/>
  <c r="K35" i="4"/>
  <c r="K51" i="4"/>
  <c r="J35" i="4"/>
  <c r="J32" i="4"/>
  <c r="J17" i="4"/>
  <c r="J42" i="4"/>
  <c r="J30" i="4"/>
  <c r="J13" i="4"/>
  <c r="J50" i="4"/>
  <c r="J51" i="4"/>
  <c r="J45" i="4"/>
  <c r="J29" i="4"/>
  <c r="J15" i="4"/>
  <c r="J28" i="4"/>
  <c r="J44" i="4"/>
  <c r="J23" i="4"/>
  <c r="J40" i="4"/>
  <c r="J16" i="4"/>
  <c r="J18" i="4"/>
  <c r="J22" i="4"/>
  <c r="J43" i="4"/>
  <c r="J24" i="4"/>
  <c r="J14" i="4"/>
  <c r="J21" i="4"/>
  <c r="J36" i="4"/>
  <c r="J48" i="4"/>
  <c r="D76" i="4"/>
  <c r="J8" i="4"/>
  <c r="J20" i="4"/>
  <c r="J31" i="4"/>
  <c r="J12" i="4"/>
  <c r="J33" i="4"/>
  <c r="J38" i="4"/>
  <c r="J9" i="4"/>
  <c r="J37" i="4"/>
  <c r="J6" i="4"/>
  <c r="J10" i="4"/>
  <c r="J34" i="4"/>
  <c r="J52" i="4"/>
  <c r="J19" i="4"/>
  <c r="J41" i="4"/>
  <c r="J49" i="4"/>
  <c r="J46" i="4"/>
  <c r="J47" i="4"/>
  <c r="J11" i="4"/>
  <c r="J39" i="4"/>
  <c r="D55" i="4"/>
  <c r="J53" i="4"/>
  <c r="K14" i="4"/>
  <c r="K23" i="4"/>
  <c r="K37" i="4"/>
  <c r="K53" i="4"/>
  <c r="F7" i="4"/>
  <c r="F25" i="4" s="1"/>
  <c r="F55" i="4"/>
  <c r="F57" i="4" s="1"/>
  <c r="K12" i="4"/>
  <c r="K39" i="4"/>
  <c r="K41" i="4"/>
  <c r="K15" i="4"/>
  <c r="K43" i="4"/>
  <c r="F69" i="4"/>
  <c r="F75" i="4"/>
  <c r="K72" i="4"/>
  <c r="K92" i="4"/>
  <c r="K29" i="4"/>
  <c r="K45" i="4"/>
  <c r="K67" i="4"/>
  <c r="J105" i="4"/>
  <c r="J104" i="4"/>
  <c r="J99" i="4"/>
  <c r="J107" i="4"/>
  <c r="J102" i="4"/>
  <c r="J106" i="4"/>
  <c r="J98" i="4"/>
  <c r="J101" i="4"/>
  <c r="J103" i="4"/>
  <c r="J108" i="4"/>
  <c r="K20" i="4"/>
  <c r="E69" i="4"/>
  <c r="E75" i="4"/>
  <c r="K73" i="4"/>
  <c r="E93" i="4"/>
  <c r="K100" i="4"/>
  <c r="K104" i="4"/>
  <c r="K108" i="4"/>
  <c r="K112" i="4"/>
  <c r="F93" i="4"/>
  <c r="H7" i="4"/>
  <c r="H25" i="4" s="1"/>
  <c r="H55" i="4"/>
  <c r="H57" i="4" s="1"/>
  <c r="K10" i="4"/>
  <c r="K18" i="4"/>
  <c r="G69" i="4"/>
  <c r="G75" i="4" s="1"/>
  <c r="K71" i="4"/>
  <c r="G93" i="4"/>
  <c r="K101" i="4"/>
  <c r="K105" i="4"/>
  <c r="K109" i="4"/>
  <c r="K113" i="4"/>
  <c r="K9" i="4"/>
  <c r="K17" i="4"/>
  <c r="K32" i="4"/>
  <c r="K44" i="4"/>
  <c r="K52" i="4"/>
  <c r="H69" i="4"/>
  <c r="H75" i="4" s="1"/>
  <c r="K70" i="4"/>
  <c r="H93" i="4"/>
  <c r="J110" i="4"/>
  <c r="J114" i="4"/>
  <c r="J113" i="4"/>
  <c r="J111" i="4"/>
  <c r="J112" i="4"/>
  <c r="J109" i="4"/>
  <c r="I7" i="4"/>
  <c r="I25" i="4"/>
  <c r="I55" i="4"/>
  <c r="I57" i="4"/>
  <c r="K28" i="4"/>
  <c r="C27" i="4"/>
  <c r="C26" i="4" s="1"/>
  <c r="K36" i="4"/>
  <c r="K40" i="4"/>
  <c r="K48" i="4"/>
  <c r="K8" i="4"/>
  <c r="K16" i="4"/>
  <c r="K24" i="4"/>
  <c r="D27" i="4"/>
  <c r="D26" i="4" s="1"/>
  <c r="J26" i="4" s="1"/>
  <c r="I69" i="4"/>
  <c r="I75" i="4"/>
  <c r="K68" i="4"/>
  <c r="I93" i="4"/>
  <c r="K98" i="4"/>
  <c r="K102" i="4"/>
  <c r="K106" i="4"/>
  <c r="K110" i="4"/>
  <c r="K114" i="4"/>
  <c r="K22" i="4"/>
  <c r="K66" i="4"/>
  <c r="C69" i="4"/>
  <c r="K91" i="4"/>
  <c r="C93" i="4"/>
  <c r="K99" i="4"/>
  <c r="K103" i="4"/>
  <c r="K107" i="4"/>
  <c r="K111" i="4"/>
  <c r="E55" i="4"/>
  <c r="E57" i="4"/>
  <c r="E7" i="4"/>
  <c r="K13" i="4"/>
  <c r="K21" i="4"/>
  <c r="K30" i="4"/>
  <c r="K34" i="4"/>
  <c r="K38" i="4"/>
  <c r="K42" i="4"/>
  <c r="K46" i="4"/>
  <c r="K50" i="4"/>
  <c r="K56" i="4"/>
  <c r="J71" i="4"/>
  <c r="J74" i="4"/>
  <c r="J70" i="4"/>
  <c r="D69" i="4"/>
  <c r="D75" i="4"/>
  <c r="J75" i="4"/>
  <c r="J67" i="4"/>
  <c r="J68" i="4"/>
  <c r="J73" i="4"/>
  <c r="J72" i="4"/>
  <c r="J66" i="4"/>
  <c r="K74" i="4"/>
  <c r="D93" i="4"/>
  <c r="J93" i="4" s="1"/>
  <c r="J91" i="4"/>
  <c r="J92" i="4"/>
  <c r="J69" i="4"/>
  <c r="C75" i="4"/>
  <c r="K69" i="4"/>
  <c r="B94" i="4"/>
  <c r="B1" i="4"/>
  <c r="K55" i="4"/>
  <c r="D57" i="4"/>
  <c r="J56" i="4"/>
  <c r="J55" i="4"/>
  <c r="E25" i="4" l="1"/>
  <c r="K93" i="4"/>
  <c r="D77" i="4"/>
  <c r="K75" i="4"/>
  <c r="J57" i="4"/>
  <c r="K27" i="4"/>
  <c r="D7" i="4"/>
  <c r="L11" i="4" s="1"/>
  <c r="J27" i="4"/>
  <c r="C7" i="4"/>
  <c r="C25" i="4" s="1"/>
  <c r="K26" i="4"/>
  <c r="C77" i="4"/>
  <c r="K57" i="4"/>
  <c r="L16" i="4" l="1"/>
  <c r="J7" i="4"/>
  <c r="D25" i="4"/>
  <c r="J25" i="4" s="1"/>
  <c r="L21" i="4"/>
  <c r="L10" i="4"/>
  <c r="L15" i="4"/>
  <c r="L9" i="4"/>
  <c r="L13" i="4"/>
  <c r="L12" i="4"/>
  <c r="L8" i="4"/>
  <c r="L17" i="4"/>
  <c r="L22" i="4"/>
  <c r="L7" i="4"/>
  <c r="L20" i="4"/>
  <c r="L23" i="4"/>
  <c r="L19" i="4"/>
  <c r="L14" i="4"/>
  <c r="L24" i="4"/>
  <c r="L18" i="4"/>
  <c r="K7" i="4"/>
  <c r="L25" i="4"/>
  <c r="K25" i="4"/>
</calcChain>
</file>

<file path=xl/sharedStrings.xml><?xml version="1.0" encoding="utf-8"?>
<sst xmlns="http://schemas.openxmlformats.org/spreadsheetml/2006/main" count="373" uniqueCount="124">
  <si>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</si>
  <si>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</si>
  <si>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</si>
  <si>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</si>
  <si>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</si>
  <si>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</si>
  <si>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</si>
  <si>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</si>
  <si>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</si>
  <si>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</si>
  <si>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</si>
  <si>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</si>
  <si>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</si>
  <si>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</si>
  <si>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</si>
  <si>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</si>
  <si>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</si>
  <si>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</si>
  <si>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</si>
  <si>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podatek od środków transportowych</t>
  </si>
  <si>
    <t>dochody z majątku</t>
  </si>
  <si>
    <t xml:space="preserve">pozostałe dochody </t>
  </si>
  <si>
    <t>Struktura</t>
  </si>
  <si>
    <t>Wskaźnik</t>
  </si>
  <si>
    <t>podatek od czynności cywilnoprawnych</t>
  </si>
  <si>
    <t>wpływy z opłaty eksploatacyjnej</t>
  </si>
  <si>
    <t>wpływy z opłaty targowej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</si>
  <si>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</si>
  <si>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</si>
  <si>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</si>
  <si>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</si>
  <si>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</si>
  <si>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</si>
  <si>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</si>
  <si>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</si>
  <si>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część rekompensująca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</si>
  <si>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</si>
  <si>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</si>
  <si>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</si>
  <si>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</si>
  <si>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</si>
  <si>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</si>
  <si>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</si>
  <si>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</si>
  <si>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</si>
  <si>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#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</si>
  <si>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</si>
  <si>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</si>
  <si>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</si>
  <si>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</si>
  <si>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</si>
  <si>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</si>
  <si>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</si>
  <si>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</si>
  <si>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</si>
  <si>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</si>
  <si>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</si>
  <si>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r>
      <t xml:space="preserve">Dotacje </t>
    </r>
    <r>
      <rPr>
        <b/>
        <sz val="10"/>
        <color indexed="8"/>
        <rFont val="Arial"/>
        <charset val="238"/>
      </rPr>
      <t>§§ 200 i 620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</si>
  <si>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620</t>
    </r>
  </si>
  <si>
    <t>WYDATKI OGÓŁEM UE
z tego: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</si>
  <si>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</si>
  <si>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</si>
  <si>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</si>
  <si>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</si>
  <si>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</si>
  <si>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</si>
  <si>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</si>
  <si>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</si>
  <si>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</si>
  <si>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</si>
  <si>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Dotacje </t>
    </r>
    <r>
      <rPr>
        <b/>
        <sz val="10"/>
        <color indexed="8"/>
        <rFont val="Arial"/>
        <charset val="238"/>
      </rPr>
      <t>§§ 205 i 625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</si>
  <si>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625</t>
    </r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</si>
  <si>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</si>
  <si>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</si>
  <si>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</si>
  <si>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</si>
  <si>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wolne środki , o których mowa w art. 217 ust.2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</si>
  <si>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</si>
  <si>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</si>
  <si>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(m.in.. z Rządowego Funduszu Inwestycji Lokalnych)</t>
  </si>
  <si>
    <t>w tym: inwestycyjne</t>
  </si>
  <si>
    <t>spłaty udzielonych pożyczek w latach ubiegłych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</si>
  <si>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</si>
  <si>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</si>
  <si>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</si>
  <si>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</si>
  <si>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</si>
  <si>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</si>
  <si>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</si>
  <si>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Dotacje ogółem 
z tego: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</si>
  <si>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</si>
  <si>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</si>
  <si>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</si>
  <si>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kredyty, pożyczki, emisja papierów wartościowych 
w tym: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</si>
  <si>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</si>
  <si>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</si>
  <si>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</si>
  <si>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</si>
  <si>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</si>
  <si>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FINANSOWANIE DEFICYTU (E1+E2+E3+E4+E5+E6+E7+E8)  
z tego:</t>
  </si>
  <si>
    <t>podatek dochodowy od osób fizycznych</t>
  </si>
  <si>
    <t>podatek dochodowy od osób prawnych</t>
  </si>
  <si>
    <t>Subwencja ogólna, w tym: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</si>
  <si>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</si>
  <si>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</si>
  <si>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</si>
  <si>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</si>
  <si>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</si>
  <si>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podatek od nieruchomości</t>
  </si>
  <si>
    <t>podatek rolny</t>
  </si>
  <si>
    <t>podatek leśny       </t>
  </si>
  <si>
    <t>podatek od dział. gosp. osób fizycznych, opłacany w formie karty podatkowej</t>
  </si>
  <si>
    <t>wpływy z opłaty skarbowej       </t>
  </si>
  <si>
    <t>podatek od spadków i darowizn       </t>
  </si>
  <si>
    <t>opłata miejscowa</t>
  </si>
  <si>
    <t>opłata uzdrowiskowa</t>
  </si>
  <si>
    <t>opłata od posiadania psów</t>
  </si>
  <si>
    <t>opłata reklamowa</t>
  </si>
  <si>
    <t>Wynik budżetu</t>
  </si>
  <si>
    <t>Planowany</t>
  </si>
  <si>
    <t>Wykonany</t>
  </si>
  <si>
    <t>Wynik operacyjny (Db-Wb)</t>
  </si>
  <si>
    <t>Dochody bieżące 
minus  wydatki bieżące (Db-Wb)</t>
  </si>
  <si>
    <t>zrównoważony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</si>
</sst>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8"/>
      <color indexed="62"/>
      <name val="Cambri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sz val="8"/>
      <name val="Arial CE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1" applyNumberFormat="0" applyAlignment="0" applyProtection="0"/>
    <xf numFmtId="0" fontId="27" fillId="0" borderId="7" applyNumberFormat="0" applyFill="0" applyAlignment="0" applyProtection="0"/>
    <xf numFmtId="0" fontId="28" fillId="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36" fillId="0" borderId="0"/>
    <xf numFmtId="0" fontId="1" fillId="4" borderId="8" applyNumberFormat="0" applyFont="0" applyAlignment="0" applyProtection="0"/>
    <xf numFmtId="0" fontId="15" fillId="4" borderId="8" applyNumberFormat="0" applyFont="0" applyAlignment="0" applyProtection="0"/>
    <xf numFmtId="0" fontId="29" fillId="16" borderId="3" applyNumberFormat="0" applyAlignment="0" applyProtection="0"/>
    <xf numFmtId="0" fontId="14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/>
    </xf>
    <xf numFmtId="4" fontId="11" fillId="2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0" fontId="6" fillId="0" borderId="10" xfId="0" applyFont="1" applyFill="1" applyBorder="1" applyAlignment="1">
      <alignment horizontal="left" vertical="center" wrapText="1" indent="1"/>
    </xf>
    <xf numFmtId="0" fontId="2" fillId="0" borderId="10" xfId="0" applyFont="1" applyBorder="1"/>
    <xf numFmtId="165" fontId="13" fillId="20" borderId="10" xfId="0" applyNumberFormat="1" applyFont="1" applyFill="1" applyBorder="1" applyAlignment="1">
      <alignment horizontal="right" vertical="center"/>
    </xf>
    <xf numFmtId="165" fontId="4" fillId="0" borderId="10" xfId="0" applyNumberFormat="1" applyFont="1" applyFill="1" applyBorder="1" applyAlignment="1">
      <alignment horizontal="right" vertical="center"/>
    </xf>
    <xf numFmtId="165" fontId="6" fillId="0" borderId="10" xfId="0" applyNumberFormat="1" applyFont="1" applyFill="1" applyBorder="1" applyAlignment="1">
      <alignment horizontal="right" vertical="center"/>
    </xf>
    <xf numFmtId="165" fontId="11" fillId="20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left" vertical="center" wrapText="1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5" fontId="11" fillId="20" borderId="10" xfId="29" applyNumberFormat="1" applyFont="1" applyFill="1" applyBorder="1" applyAlignment="1">
      <alignment horizontal="right" vertical="center"/>
    </xf>
    <xf numFmtId="4" fontId="11" fillId="20" borderId="13" xfId="0" applyNumberFormat="1" applyFont="1" applyFill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20" borderId="13" xfId="0" applyNumberFormat="1" applyFont="1" applyFill="1" applyBorder="1" applyAlignment="1">
      <alignment horizontal="right" vertical="center"/>
    </xf>
    <xf numFmtId="4" fontId="6" fillId="22" borderId="13" xfId="0" applyNumberFormat="1" applyFont="1" applyFill="1" applyBorder="1" applyAlignment="1">
      <alignment horizontal="right" vertical="center"/>
    </xf>
    <xf numFmtId="0" fontId="37" fillId="23" borderId="10" xfId="41" applyFont="1" applyFill="1" applyBorder="1" applyAlignment="1">
      <alignment horizontal="left" vertical="center" wrapText="1"/>
    </xf>
    <xf numFmtId="165" fontId="11" fillId="22" borderId="10" xfId="29" applyNumberFormat="1" applyFont="1" applyFill="1" applyBorder="1" applyAlignment="1">
      <alignment horizontal="right" vertical="center"/>
    </xf>
    <xf numFmtId="165" fontId="11" fillId="22" borderId="10" xfId="0" applyNumberFormat="1" applyFont="1" applyFill="1" applyBorder="1" applyAlignment="1">
      <alignment horizontal="right" vertical="center"/>
    </xf>
    <xf numFmtId="165" fontId="11" fillId="23" borderId="10" xfId="0" applyNumberFormat="1" applyFont="1" applyFill="1" applyBorder="1" applyAlignment="1">
      <alignment horizontal="right" vertical="center"/>
    </xf>
    <xf numFmtId="4" fontId="11" fillId="20" borderId="1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horizontal="right" vertical="center"/>
    </xf>
    <xf numFmtId="0" fontId="7" fillId="23" borderId="10" xfId="0" applyFont="1" applyFill="1" applyBorder="1" applyAlignment="1">
      <alignment horizontal="left" vertical="center" wrapText="1"/>
    </xf>
    <xf numFmtId="4" fontId="13" fillId="23" borderId="10" xfId="0" applyNumberFormat="1" applyFont="1" applyFill="1" applyBorder="1" applyAlignment="1">
      <alignment horizontal="right" vertical="center"/>
    </xf>
    <xf numFmtId="165" fontId="13" fillId="23" borderId="10" xfId="0" applyNumberFormat="1" applyFont="1" applyFill="1" applyBorder="1" applyAlignment="1">
      <alignment horizontal="right" vertical="center"/>
    </xf>
    <xf numFmtId="4" fontId="4" fillId="23" borderId="1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0" fontId="10" fillId="23" borderId="10" xfId="0" applyFont="1" applyFill="1" applyBorder="1" applyAlignment="1">
      <alignment horizontal="left" vertical="center" wrapText="1"/>
    </xf>
    <xf numFmtId="4" fontId="11" fillId="23" borderId="10" xfId="0" applyNumberFormat="1" applyFont="1" applyFill="1" applyBorder="1" applyAlignment="1">
      <alignment horizontal="right" vertical="center"/>
    </xf>
    <xf numFmtId="165" fontId="6" fillId="23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 wrapText="1"/>
    </xf>
    <xf numFmtId="165" fontId="11" fillId="0" borderId="10" xfId="0" applyNumberFormat="1" applyFont="1" applyFill="1" applyBorder="1" applyAlignment="1">
      <alignment horizontal="right" vertical="center"/>
    </xf>
    <xf numFmtId="4" fontId="6" fillId="0" borderId="13" xfId="0" applyNumberFormat="1" applyFont="1" applyFill="1" applyBorder="1" applyAlignment="1">
      <alignment horizontal="right" vertical="center"/>
    </xf>
    <xf numFmtId="165" fontId="11" fillId="0" borderId="10" xfId="29" applyNumberFormat="1" applyFont="1" applyFill="1" applyBorder="1" applyAlignment="1">
      <alignment horizontal="right" vertical="center"/>
    </xf>
    <xf numFmtId="4" fontId="11" fillId="23" borderId="10" xfId="0" applyNumberFormat="1" applyFont="1" applyFill="1" applyBorder="1" applyAlignment="1">
      <alignment vertical="center"/>
    </xf>
    <xf numFmtId="4" fontId="13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0" fontId="4" fillId="19" borderId="10" xfId="0" applyFont="1" applyFill="1" applyBorder="1" applyAlignment="1">
      <alignment vertical="center"/>
    </xf>
    <xf numFmtId="0" fontId="6" fillId="19" borderId="13" xfId="0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vertical="center" wrapText="1"/>
    </xf>
    <xf numFmtId="4" fontId="6" fillId="22" borderId="10" xfId="0" applyNumberFormat="1" applyFont="1" applyFill="1" applyBorder="1" applyAlignment="1">
      <alignment horizontal="right" vertical="center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21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4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4"/>
    </xf>
    <xf numFmtId="0" fontId="37" fillId="0" borderId="10" xfId="41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 wrapText="1" indent="3"/>
    </xf>
    <xf numFmtId="0" fontId="2" fillId="0" borderId="15" xfId="0" applyFont="1" applyBorder="1"/>
    <xf numFmtId="0" fontId="10" fillId="0" borderId="0" xfId="41" applyFont="1" applyFill="1" applyBorder="1" applyAlignment="1">
      <alignment horizontal="left" vertical="center"/>
    </xf>
    <xf numFmtId="0" fontId="10" fillId="23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6" fillId="21" borderId="10" xfId="0" applyFont="1" applyFill="1" applyBorder="1" applyAlignment="1">
      <alignment horizontal="left" vertical="center" wrapText="1" indent="2"/>
    </xf>
    <xf numFmtId="0" fontId="10" fillId="0" borderId="0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vertical="center" wrapText="1"/>
    </xf>
    <xf numFmtId="0" fontId="7" fillId="20" borderId="10" xfId="0" applyFont="1" applyFill="1" applyBorder="1" applyAlignment="1">
      <alignment horizontal="center" vertical="center" wrapText="1"/>
    </xf>
    <xf numFmtId="167" fontId="34" fillId="0" borderId="10" xfId="0" applyNumberFormat="1" applyFont="1" applyBorder="1" applyAlignment="1">
      <alignment vertical="center" wrapText="1"/>
    </xf>
    <xf numFmtId="0" fontId="2" fillId="0" borderId="10" xfId="0" applyNumberFormat="1" applyFont="1" applyBorder="1"/>
    <xf numFmtId="0" fontId="34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right" vertical="center" wrapText="1"/>
    </xf>
    <xf numFmtId="0" fontId="6" fillId="0" borderId="0" xfId="0" applyFont="1"/>
    <xf numFmtId="0" fontId="11" fillId="0" borderId="10" xfId="0" applyFont="1" applyBorder="1" applyAlignment="1">
      <alignment horizontal="center" vertical="center"/>
    </xf>
    <xf numFmtId="3" fontId="34" fillId="0" borderId="10" xfId="0" applyNumberFormat="1" applyFont="1" applyBorder="1" applyAlignment="1">
      <alignment vertical="center" wrapText="1"/>
    </xf>
    <xf numFmtId="0" fontId="7" fillId="23" borderId="10" xfId="0" applyFont="1" applyFill="1" applyBorder="1" applyAlignment="1">
      <alignment horizontal="left" vertical="center" wrapText="1"/>
    </xf>
    <xf numFmtId="0" fontId="35" fillId="0" borderId="10" xfId="0" applyFont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166" fontId="2" fillId="0" borderId="13" xfId="0" applyNumberFormat="1" applyFont="1" applyBorder="1" applyAlignment="1">
      <alignment horizontal="center"/>
    </xf>
    <xf numFmtId="166" fontId="2" fillId="0" borderId="16" xfId="0" applyNumberFormat="1" applyFont="1" applyBorder="1" applyAlignment="1">
      <alignment horizontal="center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5" xfId="0" applyFont="1" applyFill="1" applyBorder="1" applyAlignment="1">
      <alignment horizontal="center" vertical="center" wrapText="1"/>
    </xf>
    <xf numFmtId="0" fontId="4" fillId="19" borderId="24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</cellXfs>
  <cellStyles count="4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Input" xfId="37" xr:uid="{00000000-0005-0000-0000-000024000000}"/>
    <cellStyle name="Linked Cell" xfId="38" xr:uid="{00000000-0005-0000-0000-000025000000}"/>
    <cellStyle name="Neutral" xfId="39" xr:uid="{00000000-0005-0000-0000-000026000000}"/>
    <cellStyle name="Normalny" xfId="0" builtinId="0"/>
    <cellStyle name="Normalny 2" xfId="40" xr:uid="{00000000-0005-0000-0000-000028000000}"/>
    <cellStyle name="Normalny 2 2" xfId="41" xr:uid="{00000000-0005-0000-0000-000029000000}"/>
    <cellStyle name="Note" xfId="42" xr:uid="{00000000-0005-0000-0000-00002A000000}"/>
    <cellStyle name="Note 2" xfId="43" xr:uid="{00000000-0005-0000-0000-00002B000000}"/>
    <cellStyle name="Output" xfId="44" xr:uid="{00000000-0005-0000-0000-00002C000000}"/>
    <cellStyle name="Title" xfId="45" xr:uid="{00000000-0005-0000-0000-00002D000000}"/>
    <cellStyle name="Total" xfId="46" xr:uid="{00000000-0005-0000-0000-00002E000000}"/>
    <cellStyle name="Warning Text" xfId="47" xr:uid="{00000000-0005-0000-0000-00002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31"/>
  <sheetViews>
    <sheetView tabSelected="1" zoomScaleNormal="100" workbookViewId="0"/>
  </sheetViews>
  <sheetFormatPr defaultRowHeight="12.75" outlineLevelRow="1" outlineLevelCol="1" x14ac:dyDescent="0.2"/>
  <cols>
    <col min="1" max="1" width="0.42578125" style="1" customWidth="1"/>
    <col min="2" max="2" width="45.7109375" style="1" customWidth="1"/>
    <col min="3" max="3" width="14.5703125" style="1" customWidth="1"/>
    <col min="4" max="4" width="15.7109375" style="1" customWidth="1"/>
    <col min="5" max="5" width="14.5703125" style="1" customWidth="1" outlineLevel="1"/>
    <col min="6" max="6" width="15.7109375" style="1" customWidth="1" outlineLevel="1"/>
    <col min="7" max="8" width="13" style="1" customWidth="1" outlineLevel="1"/>
    <col min="9" max="9" width="12" style="1" customWidth="1" outlineLevel="1"/>
    <col min="10" max="10" width="13" style="1" customWidth="1"/>
    <col min="11" max="11" width="7.42578125" style="1" customWidth="1"/>
    <col min="12" max="12" width="8.42578125" style="1" bestFit="1" customWidth="1"/>
    <col min="13" max="13" width="2.85546875" style="1" customWidth="1"/>
    <col min="14" max="16384" width="9.140625" style="1"/>
  </cols>
  <sheetData>
    <row r="1" spans="2:13" ht="20.25" x14ac:dyDescent="0.2">
      <c r="B1" s="86" t="str">
        <f>CONCATENATE("Informacja z wykonania budżetów jednostek samorządu terytorialnego za ",$D$129," ",$C$130," roku")</f>
        <v>Informacja z wykonania budżetów jednostek samorządu terytorialnego za III Kwartały 2025 roku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3" spans="2:13" ht="57.75" x14ac:dyDescent="0.2">
      <c r="B3" s="117" t="s">
        <v>0</v>
      </c>
      <c r="C3" s="15" t="s">
        <v>28</v>
      </c>
      <c r="D3" s="15" t="s">
        <v>29</v>
      </c>
      <c r="E3" s="15" t="s">
        <v>30</v>
      </c>
      <c r="F3" s="15" t="s">
        <v>31</v>
      </c>
      <c r="G3" s="15" t="s">
        <v>32</v>
      </c>
      <c r="H3" s="15" t="s">
        <v>33</v>
      </c>
      <c r="I3" s="15" t="s">
        <v>34</v>
      </c>
      <c r="J3" s="17" t="s">
        <v>2</v>
      </c>
      <c r="K3" s="15" t="s">
        <v>18</v>
      </c>
      <c r="L3" s="15" t="s">
        <v>3</v>
      </c>
    </row>
    <row r="4" spans="2:13" x14ac:dyDescent="0.2">
      <c r="B4" s="117"/>
      <c r="C4" s="119" t="s">
        <v>64</v>
      </c>
      <c r="D4" s="120"/>
      <c r="E4" s="120"/>
      <c r="F4" s="120"/>
      <c r="G4" s="120"/>
      <c r="H4" s="120"/>
      <c r="I4" s="121"/>
      <c r="J4" s="118" t="s">
        <v>4</v>
      </c>
      <c r="K4" s="118"/>
      <c r="L4" s="118"/>
    </row>
    <row r="5" spans="2:13" x14ac:dyDescent="0.2">
      <c r="B5" s="17">
        <v>1</v>
      </c>
      <c r="C5" s="19">
        <v>2</v>
      </c>
      <c r="D5" s="19">
        <v>3</v>
      </c>
      <c r="E5" s="17">
        <v>4</v>
      </c>
      <c r="F5" s="19">
        <v>5</v>
      </c>
      <c r="G5" s="19">
        <v>6</v>
      </c>
      <c r="H5" s="17">
        <v>7</v>
      </c>
      <c r="I5" s="19">
        <v>8</v>
      </c>
      <c r="J5" s="19">
        <v>9</v>
      </c>
      <c r="K5" s="17">
        <v>10</v>
      </c>
      <c r="L5" s="19">
        <v>11</v>
      </c>
    </row>
    <row r="6" spans="2:13" x14ac:dyDescent="0.2">
      <c r="B6" s="56" t="s">
        <v>5</v>
      </c>
      <c r="C6" s="57">
        <f>475447718845.24</f>
        <v>475447718845.23999</v>
      </c>
      <c r="D6" s="57">
        <f>361294558501.83</f>
        <v>361294558501.83002</v>
      </c>
      <c r="E6" s="57">
        <f>4655446309.19</f>
        <v>4655446309.1899996</v>
      </c>
      <c r="F6" s="57">
        <f>654482464.56</f>
        <v>654482464.55999994</v>
      </c>
      <c r="G6" s="57">
        <f>77872411.47</f>
        <v>77872411.469999999</v>
      </c>
      <c r="H6" s="57">
        <f>179611185.42</f>
        <v>179611185.41999999</v>
      </c>
      <c r="I6" s="57">
        <f>5225446.2</f>
        <v>5225446.2</v>
      </c>
      <c r="J6" s="58">
        <f t="shared" ref="J6:J53" si="0">IF($D$6=0,"",100*$D6/$D$6)</f>
        <v>100</v>
      </c>
      <c r="K6" s="58">
        <f t="shared" ref="K6:K53" si="1">IF(C6=0,"",100*D6/C6)</f>
        <v>75.990386362424161</v>
      </c>
      <c r="L6" s="58"/>
    </row>
    <row r="7" spans="2:13" ht="25.5" x14ac:dyDescent="0.2">
      <c r="B7" s="75" t="s">
        <v>46</v>
      </c>
      <c r="C7" s="25">
        <f>C6-C26-C50</f>
        <v>318684221095.76001</v>
      </c>
      <c r="D7" s="25">
        <f>D6-D26-D50</f>
        <v>255504647556.22998</v>
      </c>
      <c r="E7" s="25">
        <f>E6</f>
        <v>4655446309.1899996</v>
      </c>
      <c r="F7" s="25">
        <f>F6</f>
        <v>654482464.55999994</v>
      </c>
      <c r="G7" s="25">
        <f>G6</f>
        <v>77872411.469999999</v>
      </c>
      <c r="H7" s="25">
        <f>H6</f>
        <v>179611185.41999999</v>
      </c>
      <c r="I7" s="25">
        <f>I6</f>
        <v>5225446.2</v>
      </c>
      <c r="J7" s="34">
        <f t="shared" si="0"/>
        <v>70.719207235150165</v>
      </c>
      <c r="K7" s="34">
        <f t="shared" si="1"/>
        <v>80.174866103412924</v>
      </c>
      <c r="L7" s="34">
        <f t="shared" ref="L7:L25" si="2">IF($D$7=0,"",100*$D7/$D$7)</f>
        <v>100.00000000000001</v>
      </c>
    </row>
    <row r="8" spans="2:13" outlineLevel="1" x14ac:dyDescent="0.2">
      <c r="B8" s="31" t="s">
        <v>100</v>
      </c>
      <c r="C8" s="23">
        <f>173448593986.54</f>
        <v>173448593986.54001</v>
      </c>
      <c r="D8" s="23">
        <f>146767569509</f>
        <v>146767569509</v>
      </c>
      <c r="E8" s="23">
        <f>0</f>
        <v>0</v>
      </c>
      <c r="F8" s="23">
        <f>0</f>
        <v>0</v>
      </c>
      <c r="G8" s="23">
        <f>0</f>
        <v>0</v>
      </c>
      <c r="H8" s="23">
        <f>0</f>
        <v>0</v>
      </c>
      <c r="I8" s="24">
        <f>0</f>
        <v>0</v>
      </c>
      <c r="J8" s="35">
        <f t="shared" si="0"/>
        <v>40.622690282853128</v>
      </c>
      <c r="K8" s="35">
        <f t="shared" si="1"/>
        <v>84.617330204700011</v>
      </c>
      <c r="L8" s="35">
        <f t="shared" si="2"/>
        <v>57.442230860673583</v>
      </c>
    </row>
    <row r="9" spans="2:13" outlineLevel="1" x14ac:dyDescent="0.2">
      <c r="B9" s="31" t="s">
        <v>101</v>
      </c>
      <c r="C9" s="23">
        <f>28157076399.44</f>
        <v>28157076399.439999</v>
      </c>
      <c r="D9" s="23">
        <f>21117996476.37</f>
        <v>21117996476.369999</v>
      </c>
      <c r="E9" s="23">
        <f>0</f>
        <v>0</v>
      </c>
      <c r="F9" s="23">
        <f>0</f>
        <v>0</v>
      </c>
      <c r="G9" s="23">
        <f>0</f>
        <v>0</v>
      </c>
      <c r="H9" s="23">
        <f>0</f>
        <v>0</v>
      </c>
      <c r="I9" s="24">
        <f>0</f>
        <v>0</v>
      </c>
      <c r="J9" s="35">
        <f t="shared" si="0"/>
        <v>5.8450912086634803</v>
      </c>
      <c r="K9" s="35">
        <f t="shared" si="1"/>
        <v>75.000671862331572</v>
      </c>
      <c r="L9" s="35">
        <f t="shared" si="2"/>
        <v>8.2652103115746556</v>
      </c>
    </row>
    <row r="10" spans="2:13" outlineLevel="1" x14ac:dyDescent="0.2">
      <c r="B10" s="31" t="s">
        <v>108</v>
      </c>
      <c r="C10" s="23">
        <f>36970382428.27</f>
        <v>36970382428.269997</v>
      </c>
      <c r="D10" s="23">
        <f>28885309989.38</f>
        <v>28885309989.380001</v>
      </c>
      <c r="E10" s="23">
        <f>2726512588.17</f>
        <v>2726512588.1700001</v>
      </c>
      <c r="F10" s="23">
        <f>647523390.05</f>
        <v>647523390.04999995</v>
      </c>
      <c r="G10" s="23">
        <f>54218298.64</f>
        <v>54218298.640000001</v>
      </c>
      <c r="H10" s="23">
        <f>136742084.56</f>
        <v>136742084.56</v>
      </c>
      <c r="I10" s="24">
        <f>3941977.1</f>
        <v>3941977.1</v>
      </c>
      <c r="J10" s="35">
        <f t="shared" si="0"/>
        <v>7.9949474216157315</v>
      </c>
      <c r="K10" s="35">
        <f t="shared" si="1"/>
        <v>78.130947239789393</v>
      </c>
      <c r="L10" s="35">
        <f t="shared" si="2"/>
        <v>11.305199441831324</v>
      </c>
    </row>
    <row r="11" spans="2:13" outlineLevel="1" x14ac:dyDescent="0.2">
      <c r="B11" s="31" t="s">
        <v>109</v>
      </c>
      <c r="C11" s="23">
        <f>2288465689.29</f>
        <v>2288465689.29</v>
      </c>
      <c r="D11" s="23">
        <f>1826185859.36</f>
        <v>1826185859.3599999</v>
      </c>
      <c r="E11" s="23">
        <f>259088942.8</f>
        <v>259088942.80000001</v>
      </c>
      <c r="F11" s="23">
        <f>4245918.94</f>
        <v>4245918.9400000004</v>
      </c>
      <c r="G11" s="23">
        <f>1886232.14</f>
        <v>1886232.14</v>
      </c>
      <c r="H11" s="23">
        <f>1746023.43</f>
        <v>1746023.43</v>
      </c>
      <c r="I11" s="24">
        <f>2156.67</f>
        <v>2156.67</v>
      </c>
      <c r="J11" s="35">
        <f t="shared" si="0"/>
        <v>0.50545623131790129</v>
      </c>
      <c r="K11" s="35">
        <f t="shared" si="1"/>
        <v>79.799573483077964</v>
      </c>
      <c r="L11" s="35">
        <f t="shared" si="2"/>
        <v>0.71473684601298837</v>
      </c>
    </row>
    <row r="12" spans="2:13" outlineLevel="1" x14ac:dyDescent="0.2">
      <c r="B12" s="31" t="s">
        <v>110</v>
      </c>
      <c r="C12" s="23">
        <f>455650831.44</f>
        <v>455650831.44</v>
      </c>
      <c r="D12" s="23">
        <f>336369494.14</f>
        <v>336369494.13999999</v>
      </c>
      <c r="E12" s="23">
        <f>1601676.43</f>
        <v>1601676.43</v>
      </c>
      <c r="F12" s="23">
        <f>623996.44</f>
        <v>623996.43999999994</v>
      </c>
      <c r="G12" s="23">
        <f>66931</f>
        <v>66931</v>
      </c>
      <c r="H12" s="23">
        <f>17741.4</f>
        <v>17741.400000000001</v>
      </c>
      <c r="I12" s="24">
        <f>1.46</f>
        <v>1.46</v>
      </c>
      <c r="J12" s="35">
        <f t="shared" si="0"/>
        <v>9.31011791416992E-2</v>
      </c>
      <c r="K12" s="35">
        <f t="shared" si="1"/>
        <v>73.821766785098703</v>
      </c>
      <c r="L12" s="35">
        <f t="shared" si="2"/>
        <v>0.13164907071444709</v>
      </c>
    </row>
    <row r="13" spans="2:13" outlineLevel="1" x14ac:dyDescent="0.2">
      <c r="B13" s="31" t="s">
        <v>19</v>
      </c>
      <c r="C13" s="23">
        <f>1538532621.99</f>
        <v>1538532621.99</v>
      </c>
      <c r="D13" s="23">
        <f>1362367459.31</f>
        <v>1362367459.3099999</v>
      </c>
      <c r="E13" s="23">
        <f>1639948836.88</f>
        <v>1639948836.8800001</v>
      </c>
      <c r="F13" s="23">
        <f>2089159.13</f>
        <v>2089159.13</v>
      </c>
      <c r="G13" s="23">
        <f>1279825.21</f>
        <v>1279825.21</v>
      </c>
      <c r="H13" s="23">
        <f>6902514.49</f>
        <v>6902514.4900000002</v>
      </c>
      <c r="I13" s="24">
        <f>40525</f>
        <v>40525</v>
      </c>
      <c r="J13" s="35">
        <f t="shared" si="0"/>
        <v>0.37707942930535426</v>
      </c>
      <c r="K13" s="35">
        <f t="shared" si="1"/>
        <v>88.549793474502934</v>
      </c>
      <c r="L13" s="35">
        <f t="shared" si="2"/>
        <v>0.53320652768563748</v>
      </c>
    </row>
    <row r="14" spans="2:13" outlineLevel="1" x14ac:dyDescent="0.2">
      <c r="B14" s="31" t="s">
        <v>24</v>
      </c>
      <c r="C14" s="23">
        <f>3802433695.96</f>
        <v>3802433695.96</v>
      </c>
      <c r="D14" s="23">
        <f>3082510092.43</f>
        <v>3082510092.4299998</v>
      </c>
      <c r="E14" s="23">
        <f>0</f>
        <v>0</v>
      </c>
      <c r="F14" s="23">
        <f>0</f>
        <v>0</v>
      </c>
      <c r="G14" s="23">
        <f>127384.35</f>
        <v>127384.35</v>
      </c>
      <c r="H14" s="23">
        <f>628540.05</f>
        <v>628540.05000000005</v>
      </c>
      <c r="I14" s="24">
        <f>0</f>
        <v>0</v>
      </c>
      <c r="J14" s="35">
        <f t="shared" si="0"/>
        <v>0.85318475462574306</v>
      </c>
      <c r="K14" s="35">
        <f t="shared" si="1"/>
        <v>81.06676773102177</v>
      </c>
      <c r="L14" s="35">
        <f t="shared" si="2"/>
        <v>1.2064399305110953</v>
      </c>
    </row>
    <row r="15" spans="2:13" ht="22.5" outlineLevel="1" x14ac:dyDescent="0.2">
      <c r="B15" s="31" t="s">
        <v>111</v>
      </c>
      <c r="C15" s="23">
        <f>183695199.04</f>
        <v>183695199.03999999</v>
      </c>
      <c r="D15" s="23">
        <f>132928138.65</f>
        <v>132928138.65000001</v>
      </c>
      <c r="E15" s="23">
        <f>0</f>
        <v>0</v>
      </c>
      <c r="F15" s="23">
        <f>0</f>
        <v>0</v>
      </c>
      <c r="G15" s="23">
        <f>23347.18</f>
        <v>23347.18</v>
      </c>
      <c r="H15" s="23">
        <f>328070.45</f>
        <v>328070.45</v>
      </c>
      <c r="I15" s="24">
        <f>0</f>
        <v>0</v>
      </c>
      <c r="J15" s="35">
        <f t="shared" si="0"/>
        <v>3.6792178437784775E-2</v>
      </c>
      <c r="K15" s="35">
        <f t="shared" si="1"/>
        <v>72.36342557926875</v>
      </c>
      <c r="L15" s="35">
        <f t="shared" si="2"/>
        <v>5.2025722397376725E-2</v>
      </c>
    </row>
    <row r="16" spans="2:13" outlineLevel="1" x14ac:dyDescent="0.2">
      <c r="B16" s="31" t="s">
        <v>112</v>
      </c>
      <c r="C16" s="23">
        <f>669994488.08</f>
        <v>669994488.08000004</v>
      </c>
      <c r="D16" s="23">
        <f>506841461.22</f>
        <v>506841461.22000003</v>
      </c>
      <c r="E16" s="23">
        <f>0</f>
        <v>0</v>
      </c>
      <c r="F16" s="23">
        <f>0</f>
        <v>0</v>
      </c>
      <c r="G16" s="23">
        <f>804</f>
        <v>804</v>
      </c>
      <c r="H16" s="23">
        <f>123</f>
        <v>123</v>
      </c>
      <c r="I16" s="24">
        <f>0</f>
        <v>0</v>
      </c>
      <c r="J16" s="35">
        <f t="shared" si="0"/>
        <v>0.14028483111445278</v>
      </c>
      <c r="K16" s="35">
        <f t="shared" si="1"/>
        <v>75.648601628418334</v>
      </c>
      <c r="L16" s="35">
        <f t="shared" si="2"/>
        <v>0.19836878353003629</v>
      </c>
    </row>
    <row r="17" spans="2:12" outlineLevel="1" x14ac:dyDescent="0.2">
      <c r="B17" s="31" t="s">
        <v>25</v>
      </c>
      <c r="C17" s="23">
        <f>506247298.9</f>
        <v>506247298.89999998</v>
      </c>
      <c r="D17" s="23">
        <f>511616688.81</f>
        <v>511616688.81</v>
      </c>
      <c r="E17" s="23">
        <f>0</f>
        <v>0</v>
      </c>
      <c r="F17" s="23">
        <f>0</f>
        <v>0</v>
      </c>
      <c r="G17" s="23">
        <f>39420</f>
        <v>39420</v>
      </c>
      <c r="H17" s="23">
        <f>342064.22</f>
        <v>342064.22</v>
      </c>
      <c r="I17" s="24">
        <f>0</f>
        <v>0</v>
      </c>
      <c r="J17" s="35">
        <f t="shared" si="0"/>
        <v>0.14160653039766405</v>
      </c>
      <c r="K17" s="35">
        <f t="shared" si="1"/>
        <v>101.06062588811179</v>
      </c>
      <c r="L17" s="35">
        <f t="shared" si="2"/>
        <v>0.2002377231503808</v>
      </c>
    </row>
    <row r="18" spans="2:12" outlineLevel="1" x14ac:dyDescent="0.2">
      <c r="B18" s="31" t="s">
        <v>113</v>
      </c>
      <c r="C18" s="23">
        <f>561473486.99</f>
        <v>561473486.99000001</v>
      </c>
      <c r="D18" s="23">
        <f>499952442.19</f>
        <v>499952442.19</v>
      </c>
      <c r="E18" s="23">
        <f>0</f>
        <v>0</v>
      </c>
      <c r="F18" s="23">
        <f>0</f>
        <v>0</v>
      </c>
      <c r="G18" s="23">
        <f>4252317.44</f>
        <v>4252317.4400000004</v>
      </c>
      <c r="H18" s="23">
        <f>12238734.7</f>
        <v>12238734.699999999</v>
      </c>
      <c r="I18" s="24">
        <f>0</f>
        <v>0</v>
      </c>
      <c r="J18" s="35">
        <f t="shared" si="0"/>
        <v>0.13837807141716685</v>
      </c>
      <c r="K18" s="35">
        <f t="shared" si="1"/>
        <v>89.042929679581519</v>
      </c>
      <c r="L18" s="35">
        <f t="shared" si="2"/>
        <v>0.19567254332623182</v>
      </c>
    </row>
    <row r="19" spans="2:12" outlineLevel="1" x14ac:dyDescent="0.2">
      <c r="B19" s="31" t="s">
        <v>26</v>
      </c>
      <c r="C19" s="23">
        <f>128967145.86</f>
        <v>128967145.86</v>
      </c>
      <c r="D19" s="23">
        <f>97311179.08</f>
        <v>97311179.079999998</v>
      </c>
      <c r="E19" s="23">
        <f>1573181</f>
        <v>1573181</v>
      </c>
      <c r="F19" s="23">
        <f>0</f>
        <v>0</v>
      </c>
      <c r="G19" s="23">
        <f>0</f>
        <v>0</v>
      </c>
      <c r="H19" s="23">
        <f>3013.85</f>
        <v>3013.85</v>
      </c>
      <c r="I19" s="24">
        <f>0</f>
        <v>0</v>
      </c>
      <c r="J19" s="35">
        <f t="shared" si="0"/>
        <v>2.693402842365452E-2</v>
      </c>
      <c r="K19" s="35">
        <f>IF(C19=0,"",100*D19/C19)</f>
        <v>75.454239474009867</v>
      </c>
      <c r="L19" s="35">
        <f t="shared" si="2"/>
        <v>3.8085874370870035E-2</v>
      </c>
    </row>
    <row r="20" spans="2:12" outlineLevel="1" x14ac:dyDescent="0.2">
      <c r="B20" s="31" t="s">
        <v>114</v>
      </c>
      <c r="C20" s="23">
        <f>78013557.68</f>
        <v>78013557.680000007</v>
      </c>
      <c r="D20" s="23">
        <f>68435600.86</f>
        <v>68435600.859999999</v>
      </c>
      <c r="E20" s="23">
        <f>490245.57</f>
        <v>490245.57</v>
      </c>
      <c r="F20" s="23">
        <f>0</f>
        <v>0</v>
      </c>
      <c r="G20" s="23">
        <f>0</f>
        <v>0</v>
      </c>
      <c r="H20" s="23">
        <f>0</f>
        <v>0</v>
      </c>
      <c r="I20" s="24">
        <f>0</f>
        <v>0</v>
      </c>
      <c r="J20" s="35">
        <f t="shared" si="0"/>
        <v>1.894177458519718E-2</v>
      </c>
      <c r="K20" s="35">
        <f>IF(C20=0,"",100*D20/C20)</f>
        <v>87.722702175322709</v>
      </c>
      <c r="L20" s="35">
        <f t="shared" si="2"/>
        <v>2.6784483771450415E-2</v>
      </c>
    </row>
    <row r="21" spans="2:12" outlineLevel="1" x14ac:dyDescent="0.2">
      <c r="B21" s="31" t="s">
        <v>115</v>
      </c>
      <c r="C21" s="23">
        <f>128401555</f>
        <v>128401555</v>
      </c>
      <c r="D21" s="23">
        <f>100175098.36</f>
        <v>100175098.36</v>
      </c>
      <c r="E21" s="23">
        <f>300400.82</f>
        <v>300400.82</v>
      </c>
      <c r="F21" s="23">
        <f>0</f>
        <v>0</v>
      </c>
      <c r="G21" s="23">
        <f>247.8</f>
        <v>247.8</v>
      </c>
      <c r="H21" s="23">
        <f>0</f>
        <v>0</v>
      </c>
      <c r="I21" s="24">
        <f>0</f>
        <v>0</v>
      </c>
      <c r="J21" s="35">
        <f t="shared" si="0"/>
        <v>2.7726711073477902E-2</v>
      </c>
      <c r="K21" s="35">
        <f>IF(C21=0,"",100*D21/C21)</f>
        <v>78.017044544359294</v>
      </c>
      <c r="L21" s="35">
        <f t="shared" si="2"/>
        <v>3.9206761723562793E-2</v>
      </c>
    </row>
    <row r="22" spans="2:12" outlineLevel="1" x14ac:dyDescent="0.2">
      <c r="B22" s="31" t="s">
        <v>116</v>
      </c>
      <c r="C22" s="23">
        <f>3623814</f>
        <v>3623814</v>
      </c>
      <c r="D22" s="23">
        <f>3166841.88</f>
        <v>3166841.88</v>
      </c>
      <c r="E22" s="23">
        <f>1588571.56</f>
        <v>1588571.56</v>
      </c>
      <c r="F22" s="23">
        <f>0</f>
        <v>0</v>
      </c>
      <c r="G22" s="23">
        <f>1242</f>
        <v>1242</v>
      </c>
      <c r="H22" s="23">
        <f>0</f>
        <v>0</v>
      </c>
      <c r="I22" s="24">
        <f>1194.26</f>
        <v>1194.26</v>
      </c>
      <c r="J22" s="35">
        <f t="shared" si="0"/>
        <v>8.7652631501892921E-4</v>
      </c>
      <c r="K22" s="35">
        <f>IF(C22=0,"",100*D22/C22)</f>
        <v>87.389746824754255</v>
      </c>
      <c r="L22" s="35">
        <f t="shared" si="2"/>
        <v>1.2394459006085437E-3</v>
      </c>
    </row>
    <row r="23" spans="2:12" outlineLevel="1" x14ac:dyDescent="0.2">
      <c r="B23" s="31" t="s">
        <v>117</v>
      </c>
      <c r="C23" s="23">
        <f>1714775</f>
        <v>1714775</v>
      </c>
      <c r="D23" s="23">
        <f>1715983.38</f>
        <v>1715983.38</v>
      </c>
      <c r="E23" s="23">
        <f>1289746</f>
        <v>1289746</v>
      </c>
      <c r="F23" s="23">
        <f>0</f>
        <v>0</v>
      </c>
      <c r="G23" s="23">
        <f>983</f>
        <v>983</v>
      </c>
      <c r="H23" s="23">
        <f>0</f>
        <v>0</v>
      </c>
      <c r="I23" s="24">
        <f>0</f>
        <v>0</v>
      </c>
      <c r="J23" s="35">
        <f t="shared" si="0"/>
        <v>4.7495411697193006E-4</v>
      </c>
      <c r="K23" s="35">
        <f>IF(C23=0,"",100*D23/C23)</f>
        <v>100.07046872038606</v>
      </c>
      <c r="L23" s="35">
        <f t="shared" si="2"/>
        <v>6.7160554471806875E-4</v>
      </c>
    </row>
    <row r="24" spans="2:12" outlineLevel="1" x14ac:dyDescent="0.2">
      <c r="B24" s="31" t="s">
        <v>20</v>
      </c>
      <c r="C24" s="23">
        <f>11656395060.53</f>
        <v>11656395060.530001</v>
      </c>
      <c r="D24" s="23">
        <f>7500638084.86</f>
        <v>7500638084.8599997</v>
      </c>
      <c r="E24" s="23">
        <f>0</f>
        <v>0</v>
      </c>
      <c r="F24" s="23">
        <f>0</f>
        <v>0</v>
      </c>
      <c r="G24" s="23">
        <f>20986.65</f>
        <v>20986.65</v>
      </c>
      <c r="H24" s="23">
        <f>68810.86</f>
        <v>68810.86</v>
      </c>
      <c r="I24" s="24">
        <f>0</f>
        <v>0</v>
      </c>
      <c r="J24" s="35">
        <f t="shared" si="0"/>
        <v>2.0760451294817961</v>
      </c>
      <c r="K24" s="35">
        <f t="shared" si="1"/>
        <v>64.347836924797534</v>
      </c>
      <c r="L24" s="35">
        <f t="shared" si="2"/>
        <v>2.9356170843073621</v>
      </c>
    </row>
    <row r="25" spans="2:12" outlineLevel="1" x14ac:dyDescent="0.2">
      <c r="B25" s="31" t="s">
        <v>21</v>
      </c>
      <c r="C25" s="23">
        <f>C7-C8-C9-C10-C11-C12-C13-C14-C15-C16-C17-C18-C19-C20-C21-C22-C23-C24</f>
        <v>58104559061.750015</v>
      </c>
      <c r="D25" s="23">
        <f t="shared" ref="D25:I25" si="3">D7-D8-D9-D10-D11-D12-D13-D14-D15-D16-D17-D18-D19-D20-D21-D22-D23-D24</f>
        <v>42703557156.949982</v>
      </c>
      <c r="E25" s="23">
        <f t="shared" si="3"/>
        <v>23052119.959999371</v>
      </c>
      <c r="F25" s="23">
        <f t="shared" si="3"/>
        <v>-9.7788870334625244E-9</v>
      </c>
      <c r="G25" s="23">
        <f t="shared" si="3"/>
        <v>15954392.059999993</v>
      </c>
      <c r="H25" s="23">
        <f t="shared" si="3"/>
        <v>20593464.409999989</v>
      </c>
      <c r="I25" s="23">
        <f t="shared" si="3"/>
        <v>1239591.7100000002</v>
      </c>
      <c r="J25" s="35">
        <f t="shared" si="0"/>
        <v>11.819595992263935</v>
      </c>
      <c r="K25" s="35">
        <f t="shared" si="1"/>
        <v>73.494331333909997</v>
      </c>
      <c r="L25" s="35">
        <f t="shared" si="2"/>
        <v>16.713416982973676</v>
      </c>
    </row>
    <row r="26" spans="2:12" ht="25.5" x14ac:dyDescent="0.2">
      <c r="B26" s="76" t="s">
        <v>89</v>
      </c>
      <c r="C26" s="57">
        <f>C27+C46+C48</f>
        <v>107303066279.74998</v>
      </c>
      <c r="D26" s="57">
        <f>D27+D46+D48</f>
        <v>65180154373.019997</v>
      </c>
      <c r="E26" s="59" t="s">
        <v>45</v>
      </c>
      <c r="F26" s="59" t="s">
        <v>45</v>
      </c>
      <c r="G26" s="59" t="s">
        <v>45</v>
      </c>
      <c r="H26" s="59" t="s">
        <v>45</v>
      </c>
      <c r="I26" s="59" t="s">
        <v>45</v>
      </c>
      <c r="J26" s="58">
        <f t="shared" si="0"/>
        <v>18.040724068278447</v>
      </c>
      <c r="K26" s="58">
        <f t="shared" si="1"/>
        <v>60.743981167405529</v>
      </c>
      <c r="L26" s="60"/>
    </row>
    <row r="27" spans="2:12" ht="25.5" outlineLevel="1" x14ac:dyDescent="0.2">
      <c r="B27" s="81" t="s">
        <v>47</v>
      </c>
      <c r="C27" s="57">
        <f>C28+C30+C32+C34+C36+C38+C40+C42+C44</f>
        <v>80180461844.73999</v>
      </c>
      <c r="D27" s="57">
        <f>D28+D30+D32+D34+D36+D38+D40+D42+D44</f>
        <v>53351918623.400002</v>
      </c>
      <c r="E27" s="59" t="s">
        <v>45</v>
      </c>
      <c r="F27" s="59" t="s">
        <v>45</v>
      </c>
      <c r="G27" s="59" t="s">
        <v>45</v>
      </c>
      <c r="H27" s="59" t="s">
        <v>45</v>
      </c>
      <c r="I27" s="59" t="s">
        <v>45</v>
      </c>
      <c r="J27" s="58">
        <f t="shared" si="0"/>
        <v>14.766875771567914</v>
      </c>
      <c r="K27" s="58">
        <f t="shared" si="1"/>
        <v>66.539799591962563</v>
      </c>
      <c r="L27" s="60"/>
    </row>
    <row r="28" spans="2:12" outlineLevel="1" x14ac:dyDescent="0.2">
      <c r="B28" s="80" t="s">
        <v>9</v>
      </c>
      <c r="C28" s="24">
        <f>29800257163.37</f>
        <v>29800257163.369999</v>
      </c>
      <c r="D28" s="24">
        <f>24674834022.35</f>
        <v>24674834022.349998</v>
      </c>
      <c r="E28" s="24" t="s">
        <v>45</v>
      </c>
      <c r="F28" s="24" t="s">
        <v>45</v>
      </c>
      <c r="G28" s="24" t="s">
        <v>45</v>
      </c>
      <c r="H28" s="24" t="s">
        <v>45</v>
      </c>
      <c r="I28" s="24" t="s">
        <v>45</v>
      </c>
      <c r="J28" s="35">
        <f t="shared" si="0"/>
        <v>6.8295614870781449</v>
      </c>
      <c r="K28" s="35">
        <f t="shared" si="1"/>
        <v>82.800741909972217</v>
      </c>
      <c r="L28" s="30"/>
    </row>
    <row r="29" spans="2:12" outlineLevel="1" x14ac:dyDescent="0.2">
      <c r="B29" s="82" t="s">
        <v>6</v>
      </c>
      <c r="C29" s="24">
        <f>770244246.5</f>
        <v>770244246.5</v>
      </c>
      <c r="D29" s="24">
        <f>198841465.35</f>
        <v>198841465.34999999</v>
      </c>
      <c r="E29" s="24" t="s">
        <v>45</v>
      </c>
      <c r="F29" s="24" t="s">
        <v>45</v>
      </c>
      <c r="G29" s="24" t="s">
        <v>45</v>
      </c>
      <c r="H29" s="24" t="s">
        <v>45</v>
      </c>
      <c r="I29" s="24" t="s">
        <v>45</v>
      </c>
      <c r="J29" s="35">
        <f t="shared" si="0"/>
        <v>5.5035831753052225E-2</v>
      </c>
      <c r="K29" s="35">
        <f t="shared" si="1"/>
        <v>25.815378206788072</v>
      </c>
      <c r="L29" s="30"/>
    </row>
    <row r="30" spans="2:12" outlineLevel="1" x14ac:dyDescent="0.2">
      <c r="B30" s="80" t="s">
        <v>7</v>
      </c>
      <c r="C30" s="24">
        <f>10817294800.56</f>
        <v>10817294800.559999</v>
      </c>
      <c r="D30" s="24">
        <f>6533572916.13</f>
        <v>6533572916.1300001</v>
      </c>
      <c r="E30" s="24" t="s">
        <v>45</v>
      </c>
      <c r="F30" s="24" t="s">
        <v>45</v>
      </c>
      <c r="G30" s="24" t="s">
        <v>45</v>
      </c>
      <c r="H30" s="24" t="s">
        <v>45</v>
      </c>
      <c r="I30" s="24" t="s">
        <v>45</v>
      </c>
      <c r="J30" s="35">
        <f t="shared" si="0"/>
        <v>1.8083784442319262</v>
      </c>
      <c r="K30" s="35">
        <f t="shared" si="1"/>
        <v>60.399323829020211</v>
      </c>
      <c r="L30" s="30"/>
    </row>
    <row r="31" spans="2:12" outlineLevel="1" x14ac:dyDescent="0.2">
      <c r="B31" s="82" t="s">
        <v>6</v>
      </c>
      <c r="C31" s="24">
        <f>2799750848.93</f>
        <v>2799750848.9299998</v>
      </c>
      <c r="D31" s="24">
        <f>927925717.47</f>
        <v>927925717.47000003</v>
      </c>
      <c r="E31" s="24" t="s">
        <v>45</v>
      </c>
      <c r="F31" s="24" t="s">
        <v>45</v>
      </c>
      <c r="G31" s="24" t="s">
        <v>45</v>
      </c>
      <c r="H31" s="24" t="s">
        <v>45</v>
      </c>
      <c r="I31" s="24" t="s">
        <v>45</v>
      </c>
      <c r="J31" s="35">
        <f t="shared" si="0"/>
        <v>0.25683357128814877</v>
      </c>
      <c r="K31" s="35">
        <f t="shared" si="1"/>
        <v>33.143153356829295</v>
      </c>
      <c r="L31" s="30"/>
    </row>
    <row r="32" spans="2:12" ht="22.5" outlineLevel="1" x14ac:dyDescent="0.2">
      <c r="B32" s="80" t="s">
        <v>10</v>
      </c>
      <c r="C32" s="24">
        <f>297965679.4</f>
        <v>297965679.39999998</v>
      </c>
      <c r="D32" s="24">
        <f>234849482.53</f>
        <v>234849482.53</v>
      </c>
      <c r="E32" s="24" t="s">
        <v>45</v>
      </c>
      <c r="F32" s="24" t="s">
        <v>45</v>
      </c>
      <c r="G32" s="24" t="s">
        <v>45</v>
      </c>
      <c r="H32" s="24" t="s">
        <v>45</v>
      </c>
      <c r="I32" s="24" t="s">
        <v>45</v>
      </c>
      <c r="J32" s="35">
        <f t="shared" si="0"/>
        <v>6.5002219658066185E-2</v>
      </c>
      <c r="K32" s="35">
        <f t="shared" si="1"/>
        <v>78.817628594979723</v>
      </c>
      <c r="L32" s="30"/>
    </row>
    <row r="33" spans="2:12" outlineLevel="1" x14ac:dyDescent="0.2">
      <c r="B33" s="82" t="s">
        <v>6</v>
      </c>
      <c r="C33" s="24">
        <f>46711515.2</f>
        <v>46711515.200000003</v>
      </c>
      <c r="D33" s="24">
        <f>13661587.32</f>
        <v>13661587.32</v>
      </c>
      <c r="E33" s="24" t="s">
        <v>45</v>
      </c>
      <c r="F33" s="24" t="s">
        <v>45</v>
      </c>
      <c r="G33" s="24" t="s">
        <v>45</v>
      </c>
      <c r="H33" s="24" t="s">
        <v>45</v>
      </c>
      <c r="I33" s="24" t="s">
        <v>45</v>
      </c>
      <c r="J33" s="35">
        <f t="shared" si="0"/>
        <v>3.7812878712179115E-3</v>
      </c>
      <c r="K33" s="35">
        <f t="shared" si="1"/>
        <v>29.246722701043957</v>
      </c>
      <c r="L33" s="30"/>
    </row>
    <row r="34" spans="2:12" ht="22.5" outlineLevel="1" x14ac:dyDescent="0.2">
      <c r="B34" s="80" t="s">
        <v>11</v>
      </c>
      <c r="C34" s="24">
        <f>2459625580.36</f>
        <v>2459625580.3600001</v>
      </c>
      <c r="D34" s="24">
        <f>1528862460.99</f>
        <v>1528862460.99</v>
      </c>
      <c r="E34" s="24" t="s">
        <v>45</v>
      </c>
      <c r="F34" s="24" t="s">
        <v>45</v>
      </c>
      <c r="G34" s="24" t="s">
        <v>45</v>
      </c>
      <c r="H34" s="24" t="s">
        <v>45</v>
      </c>
      <c r="I34" s="24" t="s">
        <v>45</v>
      </c>
      <c r="J34" s="35">
        <f t="shared" si="0"/>
        <v>0.4231623269748902</v>
      </c>
      <c r="K34" s="35">
        <f t="shared" si="1"/>
        <v>62.158341220627157</v>
      </c>
      <c r="L34" s="30"/>
    </row>
    <row r="35" spans="2:12" outlineLevel="1" x14ac:dyDescent="0.2">
      <c r="B35" s="82" t="s">
        <v>6</v>
      </c>
      <c r="C35" s="24">
        <f>474035219.6</f>
        <v>474035219.60000002</v>
      </c>
      <c r="D35" s="24">
        <f>120035348.45</f>
        <v>120035348.45</v>
      </c>
      <c r="E35" s="24" t="s">
        <v>45</v>
      </c>
      <c r="F35" s="24" t="s">
        <v>45</v>
      </c>
      <c r="G35" s="24" t="s">
        <v>45</v>
      </c>
      <c r="H35" s="24" t="s">
        <v>45</v>
      </c>
      <c r="I35" s="24" t="s">
        <v>45</v>
      </c>
      <c r="J35" s="35">
        <f t="shared" si="0"/>
        <v>3.3223680131731624E-2</v>
      </c>
      <c r="K35" s="35">
        <f t="shared" si="1"/>
        <v>25.322031673361341</v>
      </c>
      <c r="L35" s="30"/>
    </row>
    <row r="36" spans="2:12" ht="22.5" outlineLevel="1" x14ac:dyDescent="0.2">
      <c r="B36" s="80" t="s">
        <v>65</v>
      </c>
      <c r="C36" s="24">
        <f>3138523134.7</f>
        <v>3138523134.6999998</v>
      </c>
      <c r="D36" s="24">
        <f>1560872607.15</f>
        <v>1560872607.1500001</v>
      </c>
      <c r="E36" s="24" t="s">
        <v>45</v>
      </c>
      <c r="F36" s="24" t="s">
        <v>45</v>
      </c>
      <c r="G36" s="24" t="s">
        <v>45</v>
      </c>
      <c r="H36" s="24" t="s">
        <v>45</v>
      </c>
      <c r="I36" s="24" t="s">
        <v>45</v>
      </c>
      <c r="J36" s="35">
        <f t="shared" si="0"/>
        <v>0.43202217426756345</v>
      </c>
      <c r="K36" s="35">
        <f t="shared" si="1"/>
        <v>49.732709945411898</v>
      </c>
      <c r="L36" s="30"/>
    </row>
    <row r="37" spans="2:12" outlineLevel="1" x14ac:dyDescent="0.2">
      <c r="B37" s="82" t="s">
        <v>6</v>
      </c>
      <c r="C37" s="24">
        <f>2540434625.84</f>
        <v>2540434625.8400002</v>
      </c>
      <c r="D37" s="24">
        <f>1137371218.98</f>
        <v>1137371218.98</v>
      </c>
      <c r="E37" s="24" t="s">
        <v>45</v>
      </c>
      <c r="F37" s="24" t="s">
        <v>45</v>
      </c>
      <c r="G37" s="24" t="s">
        <v>45</v>
      </c>
      <c r="H37" s="24" t="s">
        <v>45</v>
      </c>
      <c r="I37" s="24" t="s">
        <v>45</v>
      </c>
      <c r="J37" s="35">
        <f t="shared" si="0"/>
        <v>0.31480441435273898</v>
      </c>
      <c r="K37" s="35">
        <f t="shared" si="1"/>
        <v>44.770733614289554</v>
      </c>
      <c r="L37" s="30"/>
    </row>
    <row r="38" spans="2:12" outlineLevel="1" x14ac:dyDescent="0.2">
      <c r="B38" s="80" t="s">
        <v>8</v>
      </c>
      <c r="C38" s="24">
        <f>1224165171.71</f>
        <v>1224165171.71</v>
      </c>
      <c r="D38" s="24">
        <f>465119205.75</f>
        <v>465119205.75</v>
      </c>
      <c r="E38" s="24" t="s">
        <v>45</v>
      </c>
      <c r="F38" s="24" t="s">
        <v>45</v>
      </c>
      <c r="G38" s="24" t="s">
        <v>45</v>
      </c>
      <c r="H38" s="24" t="s">
        <v>45</v>
      </c>
      <c r="I38" s="24" t="s">
        <v>45</v>
      </c>
      <c r="J38" s="35">
        <f t="shared" si="0"/>
        <v>0.12873684222610401</v>
      </c>
      <c r="K38" s="35">
        <f t="shared" si="1"/>
        <v>37.994807931048129</v>
      </c>
      <c r="L38" s="30"/>
    </row>
    <row r="39" spans="2:12" outlineLevel="1" x14ac:dyDescent="0.2">
      <c r="B39" s="82" t="s">
        <v>6</v>
      </c>
      <c r="C39" s="24">
        <f>1102453559.21</f>
        <v>1102453559.21</v>
      </c>
      <c r="D39" s="24">
        <f>377307965.64</f>
        <v>377307965.63999999</v>
      </c>
      <c r="E39" s="24" t="s">
        <v>45</v>
      </c>
      <c r="F39" s="24" t="s">
        <v>45</v>
      </c>
      <c r="G39" s="24" t="s">
        <v>45</v>
      </c>
      <c r="H39" s="24" t="s">
        <v>45</v>
      </c>
      <c r="I39" s="24" t="s">
        <v>45</v>
      </c>
      <c r="J39" s="35">
        <f t="shared" si="0"/>
        <v>0.1044322303675351</v>
      </c>
      <c r="K39" s="35">
        <f t="shared" si="1"/>
        <v>34.224386368743971</v>
      </c>
      <c r="L39" s="30"/>
    </row>
    <row r="40" spans="2:12" ht="33.75" outlineLevel="1" x14ac:dyDescent="0.2">
      <c r="B40" s="80" t="s">
        <v>82</v>
      </c>
      <c r="C40" s="24">
        <f>23200173.67</f>
        <v>23200173.670000002</v>
      </c>
      <c r="D40" s="24">
        <f>6141745.94</f>
        <v>6141745.9400000004</v>
      </c>
      <c r="E40" s="24" t="s">
        <v>45</v>
      </c>
      <c r="F40" s="24" t="s">
        <v>45</v>
      </c>
      <c r="G40" s="24" t="s">
        <v>45</v>
      </c>
      <c r="H40" s="24" t="s">
        <v>45</v>
      </c>
      <c r="I40" s="24" t="s">
        <v>45</v>
      </c>
      <c r="J40" s="35">
        <f t="shared" si="0"/>
        <v>1.6999276062910566E-3</v>
      </c>
      <c r="K40" s="35">
        <f t="shared" si="1"/>
        <v>26.472844675045916</v>
      </c>
      <c r="L40" s="30"/>
    </row>
    <row r="41" spans="2:12" outlineLevel="1" x14ac:dyDescent="0.2">
      <c r="B41" s="82" t="s">
        <v>80</v>
      </c>
      <c r="C41" s="24">
        <f>21152735.53</f>
        <v>21152735.530000001</v>
      </c>
      <c r="D41" s="24">
        <f>4358974.5</f>
        <v>4358974.5</v>
      </c>
      <c r="E41" s="24" t="s">
        <v>45</v>
      </c>
      <c r="F41" s="24" t="s">
        <v>45</v>
      </c>
      <c r="G41" s="24" t="s">
        <v>45</v>
      </c>
      <c r="H41" s="24" t="s">
        <v>45</v>
      </c>
      <c r="I41" s="24" t="s">
        <v>45</v>
      </c>
      <c r="J41" s="35">
        <f t="shared" si="0"/>
        <v>1.2064877251612195E-3</v>
      </c>
      <c r="K41" s="35">
        <f t="shared" si="1"/>
        <v>20.607143193455318</v>
      </c>
      <c r="L41" s="30"/>
    </row>
    <row r="42" spans="2:12" ht="33.75" outlineLevel="1" x14ac:dyDescent="0.2">
      <c r="B42" s="83" t="s">
        <v>79</v>
      </c>
      <c r="C42" s="24">
        <f>29349754445.99</f>
        <v>29349754445.990002</v>
      </c>
      <c r="D42" s="24">
        <f>15343147525.28</f>
        <v>15343147525.280001</v>
      </c>
      <c r="E42" s="24" t="s">
        <v>45</v>
      </c>
      <c r="F42" s="24" t="s">
        <v>45</v>
      </c>
      <c r="G42" s="24" t="s">
        <v>45</v>
      </c>
      <c r="H42" s="24" t="s">
        <v>45</v>
      </c>
      <c r="I42" s="24" t="s">
        <v>45</v>
      </c>
      <c r="J42" s="35">
        <f t="shared" si="0"/>
        <v>4.2467142568941529</v>
      </c>
      <c r="K42" s="35">
        <f t="shared" si="1"/>
        <v>52.276919568491664</v>
      </c>
      <c r="L42" s="30"/>
    </row>
    <row r="43" spans="2:12" outlineLevel="1" x14ac:dyDescent="0.2">
      <c r="B43" s="84" t="s">
        <v>6</v>
      </c>
      <c r="C43" s="24">
        <f>29229936959.63</f>
        <v>29229936959.630001</v>
      </c>
      <c r="D43" s="24">
        <f>15252987583.06</f>
        <v>15252987583.059999</v>
      </c>
      <c r="E43" s="24" t="s">
        <v>45</v>
      </c>
      <c r="F43" s="24" t="s">
        <v>45</v>
      </c>
      <c r="G43" s="24" t="s">
        <v>45</v>
      </c>
      <c r="H43" s="24" t="s">
        <v>45</v>
      </c>
      <c r="I43" s="24" t="s">
        <v>45</v>
      </c>
      <c r="J43" s="35">
        <f t="shared" si="0"/>
        <v>4.2217595654662317</v>
      </c>
      <c r="K43" s="35">
        <f t="shared" si="1"/>
        <v>52.182759080617174</v>
      </c>
      <c r="L43" s="30"/>
    </row>
    <row r="44" spans="2:12" ht="22.5" outlineLevel="1" x14ac:dyDescent="0.2">
      <c r="B44" s="83" t="s">
        <v>90</v>
      </c>
      <c r="C44" s="24">
        <f>3069675694.98</f>
        <v>3069675694.98</v>
      </c>
      <c r="D44" s="24">
        <f>3004518657.28</f>
        <v>3004518657.2800002</v>
      </c>
      <c r="E44" s="24" t="s">
        <v>45</v>
      </c>
      <c r="F44" s="24" t="s">
        <v>45</v>
      </c>
      <c r="G44" s="24" t="s">
        <v>45</v>
      </c>
      <c r="H44" s="24" t="s">
        <v>45</v>
      </c>
      <c r="I44" s="24" t="s">
        <v>45</v>
      </c>
      <c r="J44" s="35">
        <f t="shared" si="0"/>
        <v>0.83159809263077555</v>
      </c>
      <c r="K44" s="35">
        <f t="shared" si="1"/>
        <v>97.877396696773062</v>
      </c>
      <c r="L44" s="30"/>
    </row>
    <row r="45" spans="2:12" outlineLevel="1" x14ac:dyDescent="0.2">
      <c r="B45" s="84" t="s">
        <v>6</v>
      </c>
      <c r="C45" s="24">
        <f>1926984.58</f>
        <v>1926984.58</v>
      </c>
      <c r="D45" s="24">
        <f>1910184.58</f>
        <v>1910184.58</v>
      </c>
      <c r="E45" s="24" t="s">
        <v>45</v>
      </c>
      <c r="F45" s="24" t="s">
        <v>45</v>
      </c>
      <c r="G45" s="24" t="s">
        <v>45</v>
      </c>
      <c r="H45" s="24" t="s">
        <v>45</v>
      </c>
      <c r="I45" s="24" t="s">
        <v>45</v>
      </c>
      <c r="J45" s="35">
        <f t="shared" si="0"/>
        <v>5.2870560462380304E-4</v>
      </c>
      <c r="K45" s="35">
        <f t="shared" si="1"/>
        <v>99.128171539390308</v>
      </c>
      <c r="L45" s="30"/>
    </row>
    <row r="46" spans="2:12" outlineLevel="1" x14ac:dyDescent="0.2">
      <c r="B46" s="81" t="s">
        <v>57</v>
      </c>
      <c r="C46" s="57">
        <f>3049846411.18</f>
        <v>3049846411.1799998</v>
      </c>
      <c r="D46" s="57">
        <f>1232934925.7</f>
        <v>1232934925.7</v>
      </c>
      <c r="E46" s="59" t="s">
        <v>45</v>
      </c>
      <c r="F46" s="59" t="s">
        <v>45</v>
      </c>
      <c r="G46" s="59" t="s">
        <v>45</v>
      </c>
      <c r="H46" s="59" t="s">
        <v>45</v>
      </c>
      <c r="I46" s="59" t="s">
        <v>45</v>
      </c>
      <c r="J46" s="58">
        <f t="shared" si="0"/>
        <v>0.34125477306178553</v>
      </c>
      <c r="K46" s="58">
        <f t="shared" si="1"/>
        <v>40.42613166290468</v>
      </c>
      <c r="L46" s="30"/>
    </row>
    <row r="47" spans="2:12" outlineLevel="1" x14ac:dyDescent="0.2">
      <c r="B47" s="87" t="s">
        <v>58</v>
      </c>
      <c r="C47" s="23">
        <f>1526630781.33</f>
        <v>1526630781.3299999</v>
      </c>
      <c r="D47" s="23">
        <f>390438049.04</f>
        <v>390438049.04000002</v>
      </c>
      <c r="E47" s="23" t="s">
        <v>45</v>
      </c>
      <c r="F47" s="23" t="s">
        <v>45</v>
      </c>
      <c r="G47" s="23" t="s">
        <v>45</v>
      </c>
      <c r="H47" s="23" t="s">
        <v>45</v>
      </c>
      <c r="I47" s="23" t="s">
        <v>45</v>
      </c>
      <c r="J47" s="35">
        <f t="shared" si="0"/>
        <v>0.10806640727140161</v>
      </c>
      <c r="K47" s="35">
        <f t="shared" si="1"/>
        <v>25.575145858113157</v>
      </c>
      <c r="L47" s="30"/>
    </row>
    <row r="48" spans="2:12" outlineLevel="1" x14ac:dyDescent="0.2">
      <c r="B48" s="81" t="s">
        <v>70</v>
      </c>
      <c r="C48" s="57">
        <f>24072758023.83</f>
        <v>24072758023.830002</v>
      </c>
      <c r="D48" s="57">
        <f>10595300823.92</f>
        <v>10595300823.92</v>
      </c>
      <c r="E48" s="59" t="s">
        <v>45</v>
      </c>
      <c r="F48" s="59" t="s">
        <v>45</v>
      </c>
      <c r="G48" s="59" t="s">
        <v>45</v>
      </c>
      <c r="H48" s="59" t="s">
        <v>45</v>
      </c>
      <c r="I48" s="59" t="s">
        <v>45</v>
      </c>
      <c r="J48" s="58">
        <f t="shared" si="0"/>
        <v>2.9325935236487468</v>
      </c>
      <c r="K48" s="58">
        <f t="shared" si="1"/>
        <v>44.013655657700482</v>
      </c>
      <c r="L48" s="30"/>
    </row>
    <row r="49" spans="1:26" outlineLevel="1" x14ac:dyDescent="0.2">
      <c r="B49" s="87" t="s">
        <v>71</v>
      </c>
      <c r="C49" s="23">
        <f>18136894506.5</f>
        <v>18136894506.5</v>
      </c>
      <c r="D49" s="23">
        <f>6987418745.64</f>
        <v>6987418745.6400003</v>
      </c>
      <c r="E49" s="23" t="s">
        <v>45</v>
      </c>
      <c r="F49" s="23" t="s">
        <v>45</v>
      </c>
      <c r="G49" s="23" t="s">
        <v>45</v>
      </c>
      <c r="H49" s="23" t="s">
        <v>45</v>
      </c>
      <c r="I49" s="23" t="s">
        <v>45</v>
      </c>
      <c r="J49" s="35">
        <f t="shared" si="0"/>
        <v>1.933995013546435</v>
      </c>
      <c r="K49" s="35">
        <f t="shared" si="1"/>
        <v>38.525993207579226</v>
      </c>
      <c r="L49" s="30"/>
    </row>
    <row r="50" spans="1:26" x14ac:dyDescent="0.2">
      <c r="B50" s="76" t="s">
        <v>102</v>
      </c>
      <c r="C50" s="57">
        <f>49460431469.73</f>
        <v>49460431469.730003</v>
      </c>
      <c r="D50" s="57">
        <f>40609756572.58</f>
        <v>40609756572.580002</v>
      </c>
      <c r="E50" s="59" t="s">
        <v>45</v>
      </c>
      <c r="F50" s="59" t="s">
        <v>45</v>
      </c>
      <c r="G50" s="59" t="s">
        <v>45</v>
      </c>
      <c r="H50" s="59" t="s">
        <v>45</v>
      </c>
      <c r="I50" s="59" t="s">
        <v>45</v>
      </c>
      <c r="J50" s="58">
        <f t="shared" si="0"/>
        <v>11.24006869657139</v>
      </c>
      <c r="K50" s="58">
        <f t="shared" si="1"/>
        <v>82.105544504668032</v>
      </c>
      <c r="L50" s="30"/>
    </row>
    <row r="51" spans="1:26" outlineLevel="1" x14ac:dyDescent="0.2">
      <c r="B51" s="31" t="s">
        <v>35</v>
      </c>
      <c r="C51" s="23">
        <f>3430257</f>
        <v>3430257</v>
      </c>
      <c r="D51" s="23">
        <f>0</f>
        <v>0</v>
      </c>
      <c r="E51" s="23" t="s">
        <v>45</v>
      </c>
      <c r="F51" s="23" t="s">
        <v>45</v>
      </c>
      <c r="G51" s="23" t="s">
        <v>45</v>
      </c>
      <c r="H51" s="23" t="s">
        <v>45</v>
      </c>
      <c r="I51" s="23" t="s">
        <v>45</v>
      </c>
      <c r="J51" s="35">
        <f t="shared" si="0"/>
        <v>0</v>
      </c>
      <c r="K51" s="35">
        <f t="shared" si="1"/>
        <v>0</v>
      </c>
      <c r="L51" s="30"/>
    </row>
    <row r="52" spans="1:26" ht="22.5" outlineLevel="1" x14ac:dyDescent="0.2">
      <c r="B52" s="31" t="s">
        <v>103</v>
      </c>
      <c r="C52" s="23">
        <f>3393978785.2</f>
        <v>3393978785.1999998</v>
      </c>
      <c r="D52" s="23">
        <f>2929564806.03</f>
        <v>2929564806.0300002</v>
      </c>
      <c r="E52" s="23" t="s">
        <v>45</v>
      </c>
      <c r="F52" s="23" t="s">
        <v>45</v>
      </c>
      <c r="G52" s="23" t="s">
        <v>45</v>
      </c>
      <c r="H52" s="23" t="s">
        <v>45</v>
      </c>
      <c r="I52" s="23" t="s">
        <v>45</v>
      </c>
      <c r="J52" s="35">
        <f t="shared" si="0"/>
        <v>0.8108521806079626</v>
      </c>
      <c r="K52" s="35">
        <f t="shared" si="1"/>
        <v>86.316532643187017</v>
      </c>
      <c r="L52" s="30"/>
    </row>
    <row r="53" spans="1:26" outlineLevel="1" x14ac:dyDescent="0.2">
      <c r="B53" s="87" t="s">
        <v>6</v>
      </c>
      <c r="C53" s="23">
        <f>686029786.22</f>
        <v>686029786.22000003</v>
      </c>
      <c r="D53" s="23">
        <f>694107489.58</f>
        <v>694107489.58000004</v>
      </c>
      <c r="E53" s="23" t="s">
        <v>45</v>
      </c>
      <c r="F53" s="23" t="s">
        <v>45</v>
      </c>
      <c r="G53" s="23" t="s">
        <v>45</v>
      </c>
      <c r="H53" s="23" t="s">
        <v>45</v>
      </c>
      <c r="I53" s="23" t="s">
        <v>45</v>
      </c>
      <c r="J53" s="35">
        <f t="shared" si="0"/>
        <v>0.19211678483568531</v>
      </c>
      <c r="K53" s="35">
        <f t="shared" si="1"/>
        <v>101.17745665308614</v>
      </c>
      <c r="L53" s="30"/>
    </row>
    <row r="54" spans="1:26" s="6" customFormat="1" x14ac:dyDescent="0.2">
      <c r="A54" s="3"/>
      <c r="B54" s="21"/>
      <c r="C54" s="8"/>
      <c r="D54" s="9"/>
      <c r="E54" s="16"/>
      <c r="F54" s="16"/>
      <c r="G54" s="16"/>
      <c r="H54" s="16"/>
      <c r="I54" s="16"/>
      <c r="J54" s="10"/>
      <c r="K54" s="10"/>
      <c r="L54" s="4"/>
    </row>
    <row r="55" spans="1:26" s="6" customFormat="1" x14ac:dyDescent="0.2">
      <c r="A55" s="3"/>
      <c r="B55" s="61" t="s">
        <v>5</v>
      </c>
      <c r="C55" s="62">
        <f t="shared" ref="C55:I55" si="4">+C6</f>
        <v>475447718845.23999</v>
      </c>
      <c r="D55" s="62">
        <f t="shared" si="4"/>
        <v>361294558501.83002</v>
      </c>
      <c r="E55" s="62">
        <f t="shared" si="4"/>
        <v>4655446309.1899996</v>
      </c>
      <c r="F55" s="62">
        <f t="shared" si="4"/>
        <v>654482464.55999994</v>
      </c>
      <c r="G55" s="62">
        <f t="shared" si="4"/>
        <v>77872411.469999999</v>
      </c>
      <c r="H55" s="62">
        <f t="shared" si="4"/>
        <v>179611185.41999999</v>
      </c>
      <c r="I55" s="62">
        <f t="shared" si="4"/>
        <v>5225446.2</v>
      </c>
      <c r="J55" s="63">
        <f>IF($D$55=0,"",100*$D55/$D$55)</f>
        <v>100</v>
      </c>
      <c r="K55" s="63">
        <f>IF(C55=0,"",100*D55/C55)</f>
        <v>75.990386362424161</v>
      </c>
      <c r="L55" s="4"/>
    </row>
    <row r="56" spans="1:26" s="6" customFormat="1" x14ac:dyDescent="0.2">
      <c r="A56" s="3"/>
      <c r="B56" s="54" t="s">
        <v>60</v>
      </c>
      <c r="C56" s="55">
        <f>72602266700.8899</f>
        <v>72602266700.889893</v>
      </c>
      <c r="D56" s="55">
        <f>33850839999.87</f>
        <v>33850839999.869999</v>
      </c>
      <c r="E56" s="55">
        <f>0</f>
        <v>0</v>
      </c>
      <c r="F56" s="55">
        <f>0</f>
        <v>0</v>
      </c>
      <c r="G56" s="55">
        <f>0</f>
        <v>0</v>
      </c>
      <c r="H56" s="55">
        <f>0</f>
        <v>0</v>
      </c>
      <c r="I56" s="55">
        <f>0</f>
        <v>0</v>
      </c>
      <c r="J56" s="36">
        <f>IF($D$55=0,"",100*$D56/$D$55)</f>
        <v>9.369319078659343</v>
      </c>
      <c r="K56" s="36">
        <f>IF(C56=0,"",100*D56/C56)</f>
        <v>46.625045660530439</v>
      </c>
      <c r="L56" s="4"/>
    </row>
    <row r="57" spans="1:26" s="6" customFormat="1" x14ac:dyDescent="0.2">
      <c r="A57" s="3"/>
      <c r="B57" s="54" t="s">
        <v>61</v>
      </c>
      <c r="C57" s="55">
        <f>+C55-C56</f>
        <v>402845452144.3501</v>
      </c>
      <c r="D57" s="55">
        <f t="shared" ref="D57:I57" si="5">+D55-D56</f>
        <v>327443718501.96002</v>
      </c>
      <c r="E57" s="55">
        <f t="shared" si="5"/>
        <v>4655446309.1899996</v>
      </c>
      <c r="F57" s="55">
        <f t="shared" si="5"/>
        <v>654482464.55999994</v>
      </c>
      <c r="G57" s="55">
        <f t="shared" si="5"/>
        <v>77872411.469999999</v>
      </c>
      <c r="H57" s="55">
        <f t="shared" si="5"/>
        <v>179611185.41999999</v>
      </c>
      <c r="I57" s="55">
        <f t="shared" si="5"/>
        <v>5225446.2</v>
      </c>
      <c r="J57" s="36">
        <f>IF($D$55=0,"",100*$D57/$D$55)</f>
        <v>90.630680921340669</v>
      </c>
      <c r="K57" s="36">
        <f>IF(C57=0,"",100*D57/C57)</f>
        <v>81.282714440233605</v>
      </c>
      <c r="L57" s="4"/>
    </row>
    <row r="58" spans="1:26" s="6" customFormat="1" x14ac:dyDescent="0.2">
      <c r="A58" s="3"/>
      <c r="B58" s="91" t="s">
        <v>91</v>
      </c>
      <c r="C58" s="91"/>
      <c r="D58" s="91"/>
      <c r="E58" s="91"/>
      <c r="F58" s="91"/>
      <c r="G58" s="16"/>
      <c r="H58" s="16"/>
      <c r="I58" s="16"/>
      <c r="J58" s="16"/>
      <c r="K58" s="10"/>
      <c r="L58" s="10"/>
      <c r="M58" s="4"/>
    </row>
    <row r="59" spans="1:26" ht="20.25" x14ac:dyDescent="0.2">
      <c r="B59" s="86" t="str">
        <f>CONCATENATE("Informacja z wykonania budżetów jednostek samorządu terytorialnego za ",$D$129," ",$C$130," roku")</f>
        <v>Informacja z wykonania budżetów jednostek samorządu terytorialnego za III Kwartały 2025 roku</v>
      </c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</row>
    <row r="60" spans="1:26" s="6" customFormat="1" x14ac:dyDescent="0.2">
      <c r="B60" s="7"/>
      <c r="C60" s="8"/>
      <c r="D60" s="9"/>
      <c r="E60" s="9"/>
      <c r="F60" s="5"/>
      <c r="G60" s="5"/>
      <c r="H60" s="5"/>
      <c r="I60" s="5"/>
      <c r="J60" s="5"/>
      <c r="K60" s="10"/>
      <c r="L60" s="10"/>
      <c r="M60" s="4"/>
    </row>
    <row r="61" spans="1:26" ht="35.450000000000003" customHeight="1" x14ac:dyDescent="0.2">
      <c r="B61" s="117" t="s">
        <v>0</v>
      </c>
      <c r="C61" s="105" t="s">
        <v>41</v>
      </c>
      <c r="D61" s="105" t="s">
        <v>43</v>
      </c>
      <c r="E61" s="105" t="s">
        <v>42</v>
      </c>
      <c r="F61" s="105" t="s">
        <v>12</v>
      </c>
      <c r="G61" s="105"/>
      <c r="H61" s="105"/>
      <c r="I61" s="131" t="s">
        <v>72</v>
      </c>
      <c r="J61" s="131" t="s">
        <v>2</v>
      </c>
      <c r="K61" s="128" t="s">
        <v>18</v>
      </c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x14ac:dyDescent="0.2">
      <c r="B62" s="117"/>
      <c r="C62" s="105"/>
      <c r="D62" s="105"/>
      <c r="E62" s="105"/>
      <c r="F62" s="122" t="s">
        <v>44</v>
      </c>
      <c r="G62" s="106" t="s">
        <v>27</v>
      </c>
      <c r="H62" s="107"/>
      <c r="I62" s="132"/>
      <c r="J62" s="132"/>
      <c r="K62" s="129"/>
      <c r="L62" s="12"/>
      <c r="M62" s="13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35.25" x14ac:dyDescent="0.2">
      <c r="B63" s="117"/>
      <c r="C63" s="105"/>
      <c r="D63" s="105"/>
      <c r="E63" s="105"/>
      <c r="F63" s="107"/>
      <c r="G63" s="18" t="s">
        <v>39</v>
      </c>
      <c r="H63" s="18" t="s">
        <v>40</v>
      </c>
      <c r="I63" s="133"/>
      <c r="J63" s="133"/>
      <c r="K63" s="130"/>
      <c r="L63" s="12"/>
      <c r="M63" s="11"/>
      <c r="N63" s="22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x14ac:dyDescent="0.2">
      <c r="B64" s="117"/>
      <c r="C64" s="119" t="s">
        <v>64</v>
      </c>
      <c r="D64" s="120"/>
      <c r="E64" s="120"/>
      <c r="F64" s="120"/>
      <c r="G64" s="120"/>
      <c r="H64" s="121"/>
      <c r="I64" s="71"/>
      <c r="J64" s="118" t="s">
        <v>4</v>
      </c>
      <c r="K64" s="118"/>
      <c r="N64" s="22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2:26" x14ac:dyDescent="0.2">
      <c r="B65" s="17">
        <v>1</v>
      </c>
      <c r="C65" s="19">
        <v>2</v>
      </c>
      <c r="D65" s="19">
        <v>3</v>
      </c>
      <c r="E65" s="19">
        <v>4</v>
      </c>
      <c r="F65" s="17">
        <v>5</v>
      </c>
      <c r="G65" s="17">
        <v>6</v>
      </c>
      <c r="H65" s="19">
        <v>7</v>
      </c>
      <c r="I65" s="19">
        <v>8</v>
      </c>
      <c r="J65" s="17">
        <v>9</v>
      </c>
      <c r="K65" s="19">
        <v>10</v>
      </c>
      <c r="M65" s="11"/>
      <c r="N65" s="22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2:26" ht="25.5" x14ac:dyDescent="0.2">
      <c r="B66" s="56" t="s">
        <v>48</v>
      </c>
      <c r="C66" s="62">
        <f>514662009605.75</f>
        <v>514662009605.75</v>
      </c>
      <c r="D66" s="62">
        <f>318613516666.99</f>
        <v>318613516666.98999</v>
      </c>
      <c r="E66" s="62">
        <f>423051754158.49</f>
        <v>423051754158.48999</v>
      </c>
      <c r="F66" s="62">
        <f>11783622285.65</f>
        <v>11783622285.65</v>
      </c>
      <c r="G66" s="62">
        <f>7425242.07</f>
        <v>7425242.0700000003</v>
      </c>
      <c r="H66" s="62">
        <f>69522414.89</f>
        <v>69522414.890000001</v>
      </c>
      <c r="I66" s="68">
        <f>0</f>
        <v>0</v>
      </c>
      <c r="J66" s="50">
        <f>IF($D$66=0,"",100*$D66/$D$66)</f>
        <v>100</v>
      </c>
      <c r="K66" s="50">
        <f>IF(C66=0,"",100*D66/C66)</f>
        <v>61.907331553587888</v>
      </c>
    </row>
    <row r="67" spans="2:26" x14ac:dyDescent="0.2">
      <c r="B67" s="75" t="s">
        <v>14</v>
      </c>
      <c r="C67" s="27">
        <f>128181334146.4</f>
        <v>128181334146.39999</v>
      </c>
      <c r="D67" s="27">
        <f>50930271801.17</f>
        <v>50930271801.169998</v>
      </c>
      <c r="E67" s="27">
        <f>88024102990.4498</f>
        <v>88024102990.449799</v>
      </c>
      <c r="F67" s="27">
        <f>3675990971.04</f>
        <v>3675990971.04</v>
      </c>
      <c r="G67" s="27">
        <f>1113082.76</f>
        <v>1113082.76</v>
      </c>
      <c r="H67" s="27">
        <f>1851556.34</f>
        <v>1851556.34</v>
      </c>
      <c r="I67" s="69">
        <f>0</f>
        <v>0</v>
      </c>
      <c r="J67" s="50">
        <f t="shared" ref="J67:J75" si="6">IF($D$66=0,"",100*$D67/$D$66)</f>
        <v>15.984968978702039</v>
      </c>
      <c r="K67" s="50">
        <f t="shared" ref="K67:K75" si="7">IF(C67=0,"",100*D67/C67)</f>
        <v>39.732986195167008</v>
      </c>
    </row>
    <row r="68" spans="2:26" outlineLevel="1" x14ac:dyDescent="0.2">
      <c r="B68" s="31" t="s">
        <v>13</v>
      </c>
      <c r="C68" s="23">
        <f>122520095181.15</f>
        <v>122520095181.14999</v>
      </c>
      <c r="D68" s="23">
        <f>47556176890.42</f>
        <v>47556176890.419998</v>
      </c>
      <c r="E68" s="23">
        <f>84306465805.4898</f>
        <v>84306465805.489807</v>
      </c>
      <c r="F68" s="23">
        <f>3642744183.48</f>
        <v>3642744183.48</v>
      </c>
      <c r="G68" s="23">
        <f>1113082.76</f>
        <v>1113082.76</v>
      </c>
      <c r="H68" s="23">
        <f>1851556.34</f>
        <v>1851556.34</v>
      </c>
      <c r="I68" s="70">
        <f>0</f>
        <v>0</v>
      </c>
      <c r="J68" s="50">
        <f t="shared" si="6"/>
        <v>14.925975956043633</v>
      </c>
      <c r="K68" s="50">
        <f t="shared" si="7"/>
        <v>38.815001588193859</v>
      </c>
    </row>
    <row r="69" spans="2:26" ht="25.5" x14ac:dyDescent="0.2">
      <c r="B69" s="76" t="s">
        <v>49</v>
      </c>
      <c r="C69" s="62">
        <f t="shared" ref="C69:I69" si="8">C66-C67</f>
        <v>386480675459.34998</v>
      </c>
      <c r="D69" s="62">
        <f t="shared" si="8"/>
        <v>267683244865.82001</v>
      </c>
      <c r="E69" s="62">
        <f t="shared" si="8"/>
        <v>335027651168.04016</v>
      </c>
      <c r="F69" s="62">
        <f t="shared" si="8"/>
        <v>8107631314.6099997</v>
      </c>
      <c r="G69" s="62">
        <f t="shared" si="8"/>
        <v>6312159.3100000005</v>
      </c>
      <c r="H69" s="62">
        <f t="shared" si="8"/>
        <v>67670858.549999997</v>
      </c>
      <c r="I69" s="68">
        <f t="shared" si="8"/>
        <v>0</v>
      </c>
      <c r="J69" s="50">
        <f t="shared" si="6"/>
        <v>84.015031021297958</v>
      </c>
      <c r="K69" s="50">
        <f t="shared" si="7"/>
        <v>69.261741107150101</v>
      </c>
    </row>
    <row r="70" spans="2:26" outlineLevel="1" x14ac:dyDescent="0.2">
      <c r="B70" s="31" t="s">
        <v>87</v>
      </c>
      <c r="C70" s="23">
        <f>179109316880.17</f>
        <v>179109316880.17001</v>
      </c>
      <c r="D70" s="23">
        <f>130617044393.18</f>
        <v>130617044393.17999</v>
      </c>
      <c r="E70" s="23">
        <f>167415515743.68</f>
        <v>167415515743.67999</v>
      </c>
      <c r="F70" s="23">
        <f>3879218602.96</f>
        <v>3879218602.96</v>
      </c>
      <c r="G70" s="23">
        <f>623643.02</f>
        <v>623643.02</v>
      </c>
      <c r="H70" s="23">
        <f>2207991.28</f>
        <v>2207991.2799999998</v>
      </c>
      <c r="I70" s="70">
        <f>0</f>
        <v>0</v>
      </c>
      <c r="J70" s="50">
        <f t="shared" si="6"/>
        <v>40.995449835136455</v>
      </c>
      <c r="K70" s="50">
        <f t="shared" si="7"/>
        <v>72.925879383799483</v>
      </c>
    </row>
    <row r="71" spans="2:26" outlineLevel="1" x14ac:dyDescent="0.2">
      <c r="B71" s="31" t="s">
        <v>38</v>
      </c>
      <c r="C71" s="23">
        <f>52583851592.04</f>
        <v>52583851592.040001</v>
      </c>
      <c r="D71" s="23">
        <f>39206944327.24</f>
        <v>39206944327.239998</v>
      </c>
      <c r="E71" s="23">
        <f>46037687654.7201</f>
        <v>46037687654.7201</v>
      </c>
      <c r="F71" s="23">
        <f>268535257.24</f>
        <v>268535257.24000001</v>
      </c>
      <c r="G71" s="23">
        <f>0</f>
        <v>0</v>
      </c>
      <c r="H71" s="23">
        <f>32214371.76</f>
        <v>32214371.760000002</v>
      </c>
      <c r="I71" s="70">
        <f>0</f>
        <v>0</v>
      </c>
      <c r="J71" s="50">
        <f t="shared" si="6"/>
        <v>12.305486828488354</v>
      </c>
      <c r="K71" s="50">
        <f t="shared" si="7"/>
        <v>74.560807434606104</v>
      </c>
    </row>
    <row r="72" spans="2:26" outlineLevel="1" x14ac:dyDescent="0.2">
      <c r="B72" s="31" t="s">
        <v>37</v>
      </c>
      <c r="C72" s="23">
        <f>7218597747.57</f>
        <v>7218597747.5699997</v>
      </c>
      <c r="D72" s="23">
        <f>4377016183.32</f>
        <v>4377016183.3199997</v>
      </c>
      <c r="E72" s="23">
        <f>5470647004.62</f>
        <v>5470647004.6199999</v>
      </c>
      <c r="F72" s="23">
        <f>228222676.5</f>
        <v>228222676.5</v>
      </c>
      <c r="G72" s="23">
        <f>0</f>
        <v>0</v>
      </c>
      <c r="H72" s="23">
        <f>0</f>
        <v>0</v>
      </c>
      <c r="I72" s="70">
        <f>0</f>
        <v>0</v>
      </c>
      <c r="J72" s="50">
        <f t="shared" si="6"/>
        <v>1.3737697725783526</v>
      </c>
      <c r="K72" s="50">
        <f t="shared" si="7"/>
        <v>60.635269291649301</v>
      </c>
    </row>
    <row r="73" spans="2:26" outlineLevel="1" x14ac:dyDescent="0.2">
      <c r="B73" s="31" t="s">
        <v>55</v>
      </c>
      <c r="C73" s="23">
        <f>371325661.14</f>
        <v>371325661.13999999</v>
      </c>
      <c r="D73" s="23">
        <f>32293580.74</f>
        <v>32293580.739999998</v>
      </c>
      <c r="E73" s="23">
        <f>48940061.34</f>
        <v>48940061.340000004</v>
      </c>
      <c r="F73" s="23">
        <f>61721.19</f>
        <v>61721.19</v>
      </c>
      <c r="G73" s="23">
        <f>0</f>
        <v>0</v>
      </c>
      <c r="H73" s="23">
        <f>0</f>
        <v>0</v>
      </c>
      <c r="I73" s="70">
        <f>0</f>
        <v>0</v>
      </c>
      <c r="J73" s="50">
        <f t="shared" si="6"/>
        <v>1.0135659364932957E-2</v>
      </c>
      <c r="K73" s="50">
        <f t="shared" si="7"/>
        <v>8.6968351825877264</v>
      </c>
    </row>
    <row r="74" spans="2:26" outlineLevel="1" x14ac:dyDescent="0.2">
      <c r="B74" s="31" t="s">
        <v>56</v>
      </c>
      <c r="C74" s="23">
        <f>25843937321.99</f>
        <v>25843937321.990002</v>
      </c>
      <c r="D74" s="23">
        <f>20138507640.61</f>
        <v>20138507640.610001</v>
      </c>
      <c r="E74" s="23">
        <f>23109018167.21</f>
        <v>23109018167.209999</v>
      </c>
      <c r="F74" s="23">
        <f>201602945.91</f>
        <v>201602945.91</v>
      </c>
      <c r="G74" s="23">
        <f>224059.65</f>
        <v>224059.65</v>
      </c>
      <c r="H74" s="23">
        <f>289183.17</f>
        <v>289183.17</v>
      </c>
      <c r="I74" s="70">
        <f>0</f>
        <v>0</v>
      </c>
      <c r="J74" s="50">
        <f t="shared" si="6"/>
        <v>6.3206695846675149</v>
      </c>
      <c r="K74" s="50">
        <f t="shared" si="7"/>
        <v>77.923527633208636</v>
      </c>
    </row>
    <row r="75" spans="2:26" outlineLevel="1" x14ac:dyDescent="0.2">
      <c r="B75" s="31" t="s">
        <v>36</v>
      </c>
      <c r="C75" s="23">
        <f t="shared" ref="C75:I75" si="9">C69-C70-C71-C72-C73-C74</f>
        <v>121353646256.43993</v>
      </c>
      <c r="D75" s="23">
        <f t="shared" si="9"/>
        <v>73311438740.730011</v>
      </c>
      <c r="E75" s="23">
        <f t="shared" si="9"/>
        <v>92945842536.470093</v>
      </c>
      <c r="F75" s="23">
        <f t="shared" si="9"/>
        <v>3529990110.8099999</v>
      </c>
      <c r="G75" s="23">
        <f t="shared" si="9"/>
        <v>5464456.6400000006</v>
      </c>
      <c r="H75" s="23">
        <f t="shared" si="9"/>
        <v>32959312.339999992</v>
      </c>
      <c r="I75" s="70">
        <f t="shared" si="9"/>
        <v>0</v>
      </c>
      <c r="J75" s="50">
        <f t="shared" si="6"/>
        <v>23.009519341062362</v>
      </c>
      <c r="K75" s="50">
        <f t="shared" si="7"/>
        <v>60.411401719080658</v>
      </c>
    </row>
    <row r="76" spans="2:26" x14ac:dyDescent="0.2">
      <c r="B76" s="20" t="s">
        <v>15</v>
      </c>
      <c r="C76" s="27">
        <f>C6-C66</f>
        <v>-39214290760.51001</v>
      </c>
      <c r="D76" s="27">
        <f>D6-D66</f>
        <v>42681041834.840027</v>
      </c>
      <c r="E76" s="29"/>
      <c r="F76" s="29"/>
      <c r="G76" s="14"/>
    </row>
    <row r="77" spans="2:26" ht="25.5" x14ac:dyDescent="0.2">
      <c r="B77" s="95" t="s">
        <v>122</v>
      </c>
      <c r="C77" s="51">
        <f>+C57-C69</f>
        <v>16364776685.000122</v>
      </c>
      <c r="D77" s="51">
        <f>+D57-D69</f>
        <v>59760473636.140015</v>
      </c>
      <c r="E77" s="29"/>
      <c r="F77" s="29"/>
      <c r="G77" s="14"/>
    </row>
    <row r="78" spans="2:26" outlineLevel="1" x14ac:dyDescent="0.2">
      <c r="B78" s="93"/>
      <c r="C78" s="94"/>
      <c r="D78" s="94"/>
      <c r="E78" s="29"/>
      <c r="F78" s="29"/>
      <c r="G78" s="14"/>
    </row>
    <row r="79" spans="2:26" outlineLevel="1" x14ac:dyDescent="0.2">
      <c r="B79" s="93"/>
      <c r="C79" s="94"/>
      <c r="D79" s="94"/>
      <c r="E79" s="29"/>
      <c r="F79" s="29"/>
      <c r="G79" s="14"/>
    </row>
    <row r="80" spans="2:26" outlineLevel="1" x14ac:dyDescent="0.2">
      <c r="B80" s="103" t="s">
        <v>118</v>
      </c>
      <c r="C80" s="104" t="s">
        <v>104</v>
      </c>
      <c r="D80" s="104"/>
      <c r="E80" s="104" t="s">
        <v>105</v>
      </c>
      <c r="F80" s="104"/>
      <c r="G80" s="101" t="s">
        <v>123</v>
      </c>
    </row>
    <row r="81" spans="2:13" outlineLevel="1" x14ac:dyDescent="0.2">
      <c r="B81" s="103"/>
      <c r="C81" s="98" t="s">
        <v>106</v>
      </c>
      <c r="D81" s="98" t="s">
        <v>107</v>
      </c>
      <c r="E81" s="98" t="s">
        <v>106</v>
      </c>
      <c r="F81" s="98" t="s">
        <v>107</v>
      </c>
      <c r="G81" s="98" t="s">
        <v>106</v>
      </c>
    </row>
    <row r="82" spans="2:13" outlineLevel="1" x14ac:dyDescent="0.2">
      <c r="B82" s="99" t="s">
        <v>119</v>
      </c>
      <c r="C82" s="102">
        <f>169</f>
        <v>169</v>
      </c>
      <c r="D82" s="96">
        <f>464145213.15</f>
        <v>464145213.14999998</v>
      </c>
      <c r="E82" s="102">
        <f>2634</f>
        <v>2634</v>
      </c>
      <c r="F82" s="96">
        <f>+-39678435973.6599</f>
        <v>-39678435973.659897</v>
      </c>
      <c r="G82" s="102">
        <f>6</f>
        <v>6</v>
      </c>
    </row>
    <row r="83" spans="2:13" outlineLevel="1" x14ac:dyDescent="0.2">
      <c r="B83" s="99" t="s">
        <v>120</v>
      </c>
      <c r="C83" s="102">
        <f>2605</f>
        <v>2605</v>
      </c>
      <c r="D83" s="96">
        <f>43538167581.3</f>
        <v>43538167581.300003</v>
      </c>
      <c r="E83" s="102">
        <f>204</f>
        <v>204</v>
      </c>
      <c r="F83" s="96">
        <f>+-857125746.46</f>
        <v>-857125746.46000004</v>
      </c>
      <c r="G83" s="102">
        <f>0</f>
        <v>0</v>
      </c>
    </row>
    <row r="84" spans="2:13" outlineLevel="1" x14ac:dyDescent="0.2">
      <c r="B84" s="100"/>
      <c r="C84" s="100"/>
      <c r="D84" s="100"/>
      <c r="E84" s="100"/>
      <c r="F84" s="100"/>
      <c r="G84" s="100"/>
    </row>
    <row r="85" spans="2:13" outlineLevel="1" x14ac:dyDescent="0.2">
      <c r="B85" s="103" t="s">
        <v>121</v>
      </c>
      <c r="C85" s="104" t="s">
        <v>104</v>
      </c>
      <c r="D85" s="104"/>
      <c r="E85" s="104" t="s">
        <v>105</v>
      </c>
      <c r="F85" s="104"/>
      <c r="G85" s="101" t="s">
        <v>123</v>
      </c>
    </row>
    <row r="86" spans="2:13" outlineLevel="1" x14ac:dyDescent="0.2">
      <c r="B86" s="103"/>
      <c r="C86" s="98" t="s">
        <v>106</v>
      </c>
      <c r="D86" s="98" t="s">
        <v>107</v>
      </c>
      <c r="E86" s="98" t="s">
        <v>106</v>
      </c>
      <c r="F86" s="98" t="s">
        <v>107</v>
      </c>
      <c r="G86" s="98" t="s">
        <v>106</v>
      </c>
    </row>
    <row r="87" spans="2:13" outlineLevel="1" x14ac:dyDescent="0.2">
      <c r="B87" s="99" t="s">
        <v>119</v>
      </c>
      <c r="C87" s="102">
        <f>2301</f>
        <v>2301</v>
      </c>
      <c r="D87" s="96">
        <f>18465213542.74</f>
        <v>18465213542.740002</v>
      </c>
      <c r="E87" s="102">
        <f>504</f>
        <v>504</v>
      </c>
      <c r="F87" s="96">
        <f>+-2100436857.74</f>
        <v>-2100436857.74</v>
      </c>
      <c r="G87" s="102">
        <f>4</f>
        <v>4</v>
      </c>
    </row>
    <row r="88" spans="2:13" outlineLevel="1" x14ac:dyDescent="0.2">
      <c r="B88" s="99" t="s">
        <v>120</v>
      </c>
      <c r="C88" s="102">
        <f>2805</f>
        <v>2805</v>
      </c>
      <c r="D88" s="96">
        <f>59764154783.78</f>
        <v>59764154783.779999</v>
      </c>
      <c r="E88" s="102">
        <f>4</f>
        <v>4</v>
      </c>
      <c r="F88" s="96">
        <f>+-3681147.64</f>
        <v>-3681147.64</v>
      </c>
      <c r="G88" s="102">
        <f>0</f>
        <v>0</v>
      </c>
    </row>
    <row r="89" spans="2:13" x14ac:dyDescent="0.2">
      <c r="B89" s="52"/>
      <c r="C89" s="53"/>
      <c r="D89" s="53"/>
      <c r="E89" s="53"/>
      <c r="F89" s="2"/>
      <c r="G89" s="2"/>
      <c r="H89" s="2"/>
      <c r="I89" s="2"/>
      <c r="L89" s="11"/>
      <c r="M89" s="11"/>
    </row>
    <row r="90" spans="2:13" x14ac:dyDescent="0.2">
      <c r="B90" s="89" t="s">
        <v>92</v>
      </c>
      <c r="C90" s="53"/>
      <c r="D90" s="53"/>
      <c r="E90" s="53"/>
      <c r="F90" s="2"/>
      <c r="G90" s="2"/>
      <c r="H90" s="2"/>
      <c r="I90" s="2"/>
      <c r="L90" s="11"/>
      <c r="M90" s="11"/>
    </row>
    <row r="91" spans="2:13" ht="25.5" x14ac:dyDescent="0.2">
      <c r="B91" s="90" t="s">
        <v>59</v>
      </c>
      <c r="C91" s="62">
        <f>35061967102.6898</f>
        <v>35061967102.689796</v>
      </c>
      <c r="D91" s="62">
        <f>13318663504.33</f>
        <v>13318663504.33</v>
      </c>
      <c r="E91" s="62">
        <f>22092476042.69</f>
        <v>22092476042.689999</v>
      </c>
      <c r="F91" s="62">
        <f>680357461.72</f>
        <v>680357461.72000003</v>
      </c>
      <c r="G91" s="62">
        <f>205442.95</f>
        <v>205442.95</v>
      </c>
      <c r="H91" s="62">
        <f>760908.67</f>
        <v>760908.67</v>
      </c>
      <c r="I91" s="68">
        <f>0</f>
        <v>0</v>
      </c>
      <c r="J91" s="50">
        <f>IF($D$91=0,"",100*$D91/$D$91)</f>
        <v>100</v>
      </c>
      <c r="K91" s="50">
        <f>IF(C91=0,"",100*D91/C91)</f>
        <v>37.986070391664512</v>
      </c>
      <c r="L91" s="11"/>
    </row>
    <row r="92" spans="2:13" x14ac:dyDescent="0.2">
      <c r="B92" s="54" t="s">
        <v>62</v>
      </c>
      <c r="C92" s="64">
        <f>25615045888.34</f>
        <v>25615045888.34</v>
      </c>
      <c r="D92" s="64">
        <f>9091705063.32</f>
        <v>9091705063.3199997</v>
      </c>
      <c r="E92" s="64">
        <f>16192833387.47</f>
        <v>16192833387.469999</v>
      </c>
      <c r="F92" s="64">
        <f>598142697.419999</f>
        <v>598142697.419999</v>
      </c>
      <c r="G92" s="64">
        <f>205442.95</f>
        <v>205442.95</v>
      </c>
      <c r="H92" s="64">
        <f>754045.17</f>
        <v>754045.17</v>
      </c>
      <c r="I92" s="73">
        <f>0</f>
        <v>0</v>
      </c>
      <c r="J92" s="50">
        <f>IF($D$91=0,"",100*$D92/$D$91)</f>
        <v>68.262893347851431</v>
      </c>
      <c r="K92" s="50">
        <f>IF(C92=0,"",100*D92/C92)</f>
        <v>35.493612242399124</v>
      </c>
      <c r="L92" s="11"/>
    </row>
    <row r="93" spans="2:13" x14ac:dyDescent="0.2">
      <c r="B93" s="54" t="s">
        <v>63</v>
      </c>
      <c r="C93" s="64">
        <f t="shared" ref="C93:I93" si="10">C91-C92</f>
        <v>9446921214.3497963</v>
      </c>
      <c r="D93" s="64">
        <f t="shared" si="10"/>
        <v>4226958441.0100002</v>
      </c>
      <c r="E93" s="64">
        <f t="shared" si="10"/>
        <v>5899642655.2199993</v>
      </c>
      <c r="F93" s="64">
        <f t="shared" si="10"/>
        <v>82214764.300001025</v>
      </c>
      <c r="G93" s="64">
        <f t="shared" si="10"/>
        <v>0</v>
      </c>
      <c r="H93" s="64">
        <f t="shared" si="10"/>
        <v>6863.5</v>
      </c>
      <c r="I93" s="73">
        <f t="shared" si="10"/>
        <v>0</v>
      </c>
      <c r="J93" s="50">
        <f>IF($D$91=0,"",100*$D93/$D$91)</f>
        <v>31.737106652148569</v>
      </c>
      <c r="K93" s="50">
        <f>IF(C93=0,"",100*D93/C93)</f>
        <v>44.744296529003378</v>
      </c>
    </row>
    <row r="94" spans="2:13" ht="20.25" x14ac:dyDescent="0.2">
      <c r="B94" s="86" t="str">
        <f>CONCATENATE("Informacja z wykonania budżetów jednostek samorządu terytorialnego za ",$D$129," ",$C$130," roku")</f>
        <v>Informacja z wykonania budżetów jednostek samorządu terytorialnego za III Kwartały 2025 roku</v>
      </c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</row>
    <row r="95" spans="2:13" x14ac:dyDescent="0.2">
      <c r="B95" s="41" t="s">
        <v>16</v>
      </c>
      <c r="C95" s="72" t="s">
        <v>17</v>
      </c>
      <c r="D95" s="72" t="s">
        <v>1</v>
      </c>
      <c r="E95" s="108" t="s">
        <v>45</v>
      </c>
      <c r="F95" s="109"/>
      <c r="G95" s="109"/>
      <c r="H95" s="109"/>
      <c r="I95" s="110"/>
      <c r="J95" s="19" t="s">
        <v>22</v>
      </c>
      <c r="K95" s="19" t="s">
        <v>23</v>
      </c>
    </row>
    <row r="96" spans="2:13" x14ac:dyDescent="0.2">
      <c r="B96" s="41"/>
      <c r="C96" s="122" t="s">
        <v>64</v>
      </c>
      <c r="D96" s="123"/>
      <c r="E96" s="111"/>
      <c r="F96" s="112"/>
      <c r="G96" s="112"/>
      <c r="H96" s="112"/>
      <c r="I96" s="113"/>
      <c r="J96" s="126" t="s">
        <v>4</v>
      </c>
      <c r="K96" s="127"/>
    </row>
    <row r="97" spans="2:11" x14ac:dyDescent="0.2">
      <c r="B97" s="39">
        <v>1</v>
      </c>
      <c r="C97" s="72">
        <v>2</v>
      </c>
      <c r="D97" s="72">
        <v>3</v>
      </c>
      <c r="E97" s="114"/>
      <c r="F97" s="115"/>
      <c r="G97" s="115"/>
      <c r="H97" s="115"/>
      <c r="I97" s="116"/>
      <c r="J97" s="40">
        <v>4</v>
      </c>
      <c r="K97" s="40">
        <v>5</v>
      </c>
    </row>
    <row r="98" spans="2:11" ht="25.5" x14ac:dyDescent="0.2">
      <c r="B98" s="38" t="s">
        <v>50</v>
      </c>
      <c r="C98" s="43">
        <f>55109119251.74</f>
        <v>55109119251.739998</v>
      </c>
      <c r="D98" s="43">
        <f>47517572668.52</f>
        <v>47517572668.519997</v>
      </c>
      <c r="E98" s="43" t="s">
        <v>45</v>
      </c>
      <c r="F98" s="43" t="s">
        <v>45</v>
      </c>
      <c r="G98" s="43" t="s">
        <v>45</v>
      </c>
      <c r="H98" s="43" t="s">
        <v>45</v>
      </c>
      <c r="I98" s="43" t="s">
        <v>45</v>
      </c>
      <c r="J98" s="42">
        <f>IF($D$98=0,"",100*$D98/$D$98)</f>
        <v>100</v>
      </c>
      <c r="K98" s="37">
        <f t="shared" ref="K98:K113" si="11">IF(C98=0,"",100*D98/C98)</f>
        <v>86.224518398594611</v>
      </c>
    </row>
    <row r="99" spans="2:11" ht="22.5" x14ac:dyDescent="0.2">
      <c r="B99" s="77" t="s">
        <v>93</v>
      </c>
      <c r="C99" s="44">
        <f>27572353557.7</f>
        <v>27572353557.700001</v>
      </c>
      <c r="D99" s="44">
        <f>4994796869.54</f>
        <v>4994796869.54</v>
      </c>
      <c r="E99" s="43" t="s">
        <v>45</v>
      </c>
      <c r="F99" s="43" t="s">
        <v>45</v>
      </c>
      <c r="G99" s="43" t="s">
        <v>45</v>
      </c>
      <c r="H99" s="43" t="s">
        <v>45</v>
      </c>
      <c r="I99" s="43" t="s">
        <v>45</v>
      </c>
      <c r="J99" s="48">
        <f t="shared" ref="J99:J108" si="12">IF($D$98=0,"",100*$D99/$D$98)</f>
        <v>10.511473101505903</v>
      </c>
      <c r="K99" s="49">
        <f t="shared" si="11"/>
        <v>18.115235825217127</v>
      </c>
    </row>
    <row r="100" spans="2:11" x14ac:dyDescent="0.2">
      <c r="B100" s="78" t="s">
        <v>73</v>
      </c>
      <c r="C100" s="66">
        <f>2783334622.22</f>
        <v>2783334622.2199998</v>
      </c>
      <c r="D100" s="66">
        <f>616114000</f>
        <v>616114000</v>
      </c>
      <c r="E100" s="43" t="s">
        <v>45</v>
      </c>
      <c r="F100" s="43" t="s">
        <v>45</v>
      </c>
      <c r="G100" s="43" t="s">
        <v>45</v>
      </c>
      <c r="H100" s="43" t="s">
        <v>45</v>
      </c>
      <c r="I100" s="43" t="s">
        <v>45</v>
      </c>
      <c r="J100" s="67">
        <f t="shared" si="12"/>
        <v>1.2966024260076956</v>
      </c>
      <c r="K100" s="65">
        <f t="shared" si="11"/>
        <v>22.135822084826611</v>
      </c>
    </row>
    <row r="101" spans="2:11" x14ac:dyDescent="0.2">
      <c r="B101" s="32" t="s">
        <v>74</v>
      </c>
      <c r="C101" s="66">
        <f>471066694.35</f>
        <v>471066694.35000002</v>
      </c>
      <c r="D101" s="66">
        <f>220566747.88</f>
        <v>220566747.88</v>
      </c>
      <c r="E101" s="43" t="s">
        <v>45</v>
      </c>
      <c r="F101" s="43" t="s">
        <v>45</v>
      </c>
      <c r="G101" s="43" t="s">
        <v>45</v>
      </c>
      <c r="H101" s="43" t="s">
        <v>45</v>
      </c>
      <c r="I101" s="43" t="s">
        <v>45</v>
      </c>
      <c r="J101" s="67">
        <f t="shared" si="12"/>
        <v>0.46417932460199857</v>
      </c>
      <c r="K101" s="65">
        <f t="shared" si="11"/>
        <v>46.822827961621947</v>
      </c>
    </row>
    <row r="102" spans="2:11" ht="33.75" x14ac:dyDescent="0.2">
      <c r="B102" s="32" t="s">
        <v>83</v>
      </c>
      <c r="C102" s="66">
        <f>5998894236.64</f>
        <v>5998894236.6400003</v>
      </c>
      <c r="D102" s="66">
        <f>12032841894.39</f>
        <v>12032841894.389999</v>
      </c>
      <c r="E102" s="43" t="s">
        <v>45</v>
      </c>
      <c r="F102" s="43" t="s">
        <v>45</v>
      </c>
      <c r="G102" s="43" t="s">
        <v>45</v>
      </c>
      <c r="H102" s="43" t="s">
        <v>45</v>
      </c>
      <c r="I102" s="43" t="s">
        <v>45</v>
      </c>
      <c r="J102" s="67">
        <f t="shared" si="12"/>
        <v>25.322930483698002</v>
      </c>
      <c r="K102" s="65">
        <f t="shared" si="11"/>
        <v>200.58433137387055</v>
      </c>
    </row>
    <row r="103" spans="2:11" ht="22.5" x14ac:dyDescent="0.2">
      <c r="B103" s="32" t="s">
        <v>84</v>
      </c>
      <c r="C103" s="66">
        <f>4638148419.22</f>
        <v>4638148419.2200003</v>
      </c>
      <c r="D103" s="66">
        <f>5859205656.72</f>
        <v>5859205656.7200003</v>
      </c>
      <c r="E103" s="43" t="s">
        <v>45</v>
      </c>
      <c r="F103" s="43" t="s">
        <v>45</v>
      </c>
      <c r="G103" s="43" t="s">
        <v>45</v>
      </c>
      <c r="H103" s="43" t="s">
        <v>45</v>
      </c>
      <c r="I103" s="43" t="s">
        <v>45</v>
      </c>
      <c r="J103" s="67">
        <f t="shared" si="12"/>
        <v>12.330608083862996</v>
      </c>
      <c r="K103" s="65">
        <f t="shared" si="11"/>
        <v>126.32639422317895</v>
      </c>
    </row>
    <row r="104" spans="2:11" x14ac:dyDescent="0.2">
      <c r="B104" s="32" t="s">
        <v>75</v>
      </c>
      <c r="C104" s="66">
        <f>0</f>
        <v>0</v>
      </c>
      <c r="D104" s="66">
        <f>0</f>
        <v>0</v>
      </c>
      <c r="E104" s="43" t="s">
        <v>45</v>
      </c>
      <c r="F104" s="43" t="s">
        <v>45</v>
      </c>
      <c r="G104" s="43" t="s">
        <v>45</v>
      </c>
      <c r="H104" s="43" t="s">
        <v>45</v>
      </c>
      <c r="I104" s="43" t="s">
        <v>45</v>
      </c>
      <c r="J104" s="67">
        <f t="shared" si="12"/>
        <v>0</v>
      </c>
      <c r="K104" s="65" t="str">
        <f t="shared" si="11"/>
        <v/>
      </c>
    </row>
    <row r="105" spans="2:11" ht="22.5" x14ac:dyDescent="0.2">
      <c r="B105" s="32" t="s">
        <v>76</v>
      </c>
      <c r="C105" s="66">
        <f>14723511327.3</f>
        <v>14723511327.299999</v>
      </c>
      <c r="D105" s="66">
        <f>21325461431.13</f>
        <v>21325461431.130001</v>
      </c>
      <c r="E105" s="43" t="s">
        <v>45</v>
      </c>
      <c r="F105" s="43" t="s">
        <v>45</v>
      </c>
      <c r="G105" s="43" t="s">
        <v>45</v>
      </c>
      <c r="H105" s="43" t="s">
        <v>45</v>
      </c>
      <c r="I105" s="43" t="s">
        <v>45</v>
      </c>
      <c r="J105" s="67">
        <f t="shared" si="12"/>
        <v>44.879105209972025</v>
      </c>
      <c r="K105" s="65">
        <f t="shared" si="11"/>
        <v>144.83950843701811</v>
      </c>
    </row>
    <row r="106" spans="2:11" ht="33.75" x14ac:dyDescent="0.2">
      <c r="B106" s="32" t="s">
        <v>94</v>
      </c>
      <c r="C106" s="66">
        <f>0</f>
        <v>0</v>
      </c>
      <c r="D106" s="66">
        <f>456443271.02</f>
        <v>456443271.01999998</v>
      </c>
      <c r="E106" s="43"/>
      <c r="F106" s="43"/>
      <c r="G106" s="43"/>
      <c r="H106" s="43"/>
      <c r="I106" s="43"/>
      <c r="J106" s="67">
        <f>IF($D$98=0,"",100*$D106/$D$98)</f>
        <v>0.96057783549703479</v>
      </c>
      <c r="K106" s="65" t="str">
        <f>IF(C106=0,"",100*D106/C106)</f>
        <v/>
      </c>
    </row>
    <row r="107" spans="2:11" x14ac:dyDescent="0.2">
      <c r="B107" s="32" t="s">
        <v>95</v>
      </c>
      <c r="C107" s="66">
        <f>1705145016.53</f>
        <v>1705145016.53</v>
      </c>
      <c r="D107" s="66">
        <f>2628256797.84</f>
        <v>2628256797.8400002</v>
      </c>
      <c r="E107" s="43"/>
      <c r="F107" s="43"/>
      <c r="G107" s="43"/>
      <c r="H107" s="43"/>
      <c r="I107" s="43"/>
      <c r="J107" s="48">
        <f t="shared" si="12"/>
        <v>5.5311259608620507</v>
      </c>
      <c r="K107" s="49">
        <f>IF(C107=0,"",100*D107/C107)</f>
        <v>154.13684891086558</v>
      </c>
    </row>
    <row r="108" spans="2:11" x14ac:dyDescent="0.2">
      <c r="B108" s="78" t="s">
        <v>96</v>
      </c>
      <c r="C108" s="66">
        <f>1667074792.09</f>
        <v>1667074792.0899999</v>
      </c>
      <c r="D108" s="66">
        <f>1688858479.29</f>
        <v>1688858479.29</v>
      </c>
      <c r="E108" s="43" t="s">
        <v>45</v>
      </c>
      <c r="F108" s="43" t="s">
        <v>45</v>
      </c>
      <c r="G108" s="43" t="s">
        <v>45</v>
      </c>
      <c r="H108" s="43" t="s">
        <v>45</v>
      </c>
      <c r="I108" s="43" t="s">
        <v>45</v>
      </c>
      <c r="J108" s="67">
        <f t="shared" si="12"/>
        <v>3.5541766644339874</v>
      </c>
      <c r="K108" s="65">
        <f>IF(C108=0,"",100*D108/C108)</f>
        <v>101.30670125319872</v>
      </c>
    </row>
    <row r="109" spans="2:11" ht="25.5" x14ac:dyDescent="0.2">
      <c r="B109" s="38" t="s">
        <v>51</v>
      </c>
      <c r="C109" s="26">
        <f>15409251869.12</f>
        <v>15409251869.120001</v>
      </c>
      <c r="D109" s="26">
        <f>11761414794.73</f>
        <v>11761414794.73</v>
      </c>
      <c r="E109" s="43" t="s">
        <v>45</v>
      </c>
      <c r="F109" s="43" t="s">
        <v>45</v>
      </c>
      <c r="G109" s="43" t="s">
        <v>45</v>
      </c>
      <c r="H109" s="43" t="s">
        <v>45</v>
      </c>
      <c r="I109" s="43" t="s">
        <v>45</v>
      </c>
      <c r="J109" s="42">
        <f t="shared" ref="J109:J114" si="13">IF($D$109=0,"",100*$D109/$D$109)</f>
        <v>100</v>
      </c>
      <c r="K109" s="37">
        <f t="shared" si="11"/>
        <v>76.326968334522249</v>
      </c>
    </row>
    <row r="110" spans="2:11" ht="22.5" x14ac:dyDescent="0.2">
      <c r="B110" s="77" t="s">
        <v>77</v>
      </c>
      <c r="C110" s="66">
        <f>14245058009.45</f>
        <v>14245058009.450001</v>
      </c>
      <c r="D110" s="66">
        <f>8193579144.37</f>
        <v>8193579144.3699999</v>
      </c>
      <c r="E110" s="43" t="s">
        <v>45</v>
      </c>
      <c r="F110" s="43" t="s">
        <v>45</v>
      </c>
      <c r="G110" s="43" t="s">
        <v>45</v>
      </c>
      <c r="H110" s="43" t="s">
        <v>45</v>
      </c>
      <c r="I110" s="43" t="s">
        <v>45</v>
      </c>
      <c r="J110" s="48">
        <f t="shared" si="13"/>
        <v>69.66491095987314</v>
      </c>
      <c r="K110" s="49">
        <f t="shared" si="11"/>
        <v>57.518748880730975</v>
      </c>
    </row>
    <row r="111" spans="2:11" x14ac:dyDescent="0.2">
      <c r="B111" s="78" t="s">
        <v>78</v>
      </c>
      <c r="C111" s="66">
        <f>1066601016</f>
        <v>1066601016</v>
      </c>
      <c r="D111" s="66">
        <f>63936684</f>
        <v>63936684</v>
      </c>
      <c r="E111" s="43" t="s">
        <v>45</v>
      </c>
      <c r="F111" s="43" t="s">
        <v>45</v>
      </c>
      <c r="G111" s="43" t="s">
        <v>45</v>
      </c>
      <c r="H111" s="43" t="s">
        <v>45</v>
      </c>
      <c r="I111" s="43" t="s">
        <v>45</v>
      </c>
      <c r="J111" s="67">
        <f t="shared" si="13"/>
        <v>0.54361388587917547</v>
      </c>
      <c r="K111" s="65">
        <f t="shared" si="11"/>
        <v>5.9944330673692141</v>
      </c>
    </row>
    <row r="112" spans="2:11" x14ac:dyDescent="0.2">
      <c r="B112" s="32" t="s">
        <v>85</v>
      </c>
      <c r="C112" s="66">
        <f>690996774</f>
        <v>690996774</v>
      </c>
      <c r="D112" s="66">
        <f>602190188.79</f>
        <v>602190188.78999996</v>
      </c>
      <c r="E112" s="43" t="s">
        <v>45</v>
      </c>
      <c r="F112" s="43" t="s">
        <v>45</v>
      </c>
      <c r="G112" s="43" t="s">
        <v>45</v>
      </c>
      <c r="H112" s="43" t="s">
        <v>45</v>
      </c>
      <c r="I112" s="43" t="s">
        <v>45</v>
      </c>
      <c r="J112" s="67">
        <f t="shared" si="13"/>
        <v>5.1200488997278342</v>
      </c>
      <c r="K112" s="65">
        <f t="shared" si="11"/>
        <v>87.148046336609966</v>
      </c>
    </row>
    <row r="113" spans="2:11" x14ac:dyDescent="0.2">
      <c r="B113" s="79" t="s">
        <v>97</v>
      </c>
      <c r="C113" s="66">
        <f>473197085.67</f>
        <v>473197085.67000002</v>
      </c>
      <c r="D113" s="66">
        <f>2965645461.57</f>
        <v>2965645461.5700002</v>
      </c>
      <c r="E113" s="43" t="s">
        <v>45</v>
      </c>
      <c r="F113" s="43" t="s">
        <v>45</v>
      </c>
      <c r="G113" s="43" t="s">
        <v>45</v>
      </c>
      <c r="H113" s="43" t="s">
        <v>45</v>
      </c>
      <c r="I113" s="43" t="s">
        <v>45</v>
      </c>
      <c r="J113" s="48">
        <f t="shared" si="13"/>
        <v>25.215040140399033</v>
      </c>
      <c r="K113" s="49">
        <f t="shared" si="11"/>
        <v>626.72521690849828</v>
      </c>
    </row>
    <row r="114" spans="2:11" x14ac:dyDescent="0.2">
      <c r="B114" s="92" t="s">
        <v>98</v>
      </c>
      <c r="C114" s="66">
        <f>340245610.05</f>
        <v>340245610.05000001</v>
      </c>
      <c r="D114" s="66">
        <f>171908290.69</f>
        <v>171908290.69</v>
      </c>
      <c r="E114" s="43" t="s">
        <v>45</v>
      </c>
      <c r="F114" s="43" t="s">
        <v>45</v>
      </c>
      <c r="G114" s="43" t="s">
        <v>45</v>
      </c>
      <c r="H114" s="43" t="s">
        <v>45</v>
      </c>
      <c r="I114" s="43" t="s">
        <v>45</v>
      </c>
      <c r="J114" s="48">
        <f t="shared" si="13"/>
        <v>1.4616293506375431</v>
      </c>
      <c r="K114" s="49">
        <f>IF(C114=0,"",100*D114/C114)</f>
        <v>50.524763762488398</v>
      </c>
    </row>
    <row r="116" spans="2:11" x14ac:dyDescent="0.2">
      <c r="B116" s="41" t="s">
        <v>16</v>
      </c>
      <c r="C116" s="72" t="s">
        <v>17</v>
      </c>
      <c r="D116" s="19" t="s">
        <v>1</v>
      </c>
    </row>
    <row r="117" spans="2:11" x14ac:dyDescent="0.2">
      <c r="B117" s="41"/>
      <c r="C117" s="122" t="s">
        <v>64</v>
      </c>
      <c r="D117" s="123"/>
    </row>
    <row r="118" spans="2:11" x14ac:dyDescent="0.2">
      <c r="B118" s="39">
        <v>1</v>
      </c>
      <c r="C118" s="72">
        <v>2</v>
      </c>
      <c r="D118" s="19">
        <v>3</v>
      </c>
    </row>
    <row r="119" spans="2:11" ht="22.5" x14ac:dyDescent="0.2">
      <c r="B119" s="47" t="s">
        <v>99</v>
      </c>
      <c r="C119" s="45">
        <f>39676334935.44</f>
        <v>39676334935.440002</v>
      </c>
      <c r="D119" s="28">
        <f>0</f>
        <v>0</v>
      </c>
    </row>
    <row r="120" spans="2:11" ht="22.5" x14ac:dyDescent="0.2">
      <c r="B120" s="85" t="s">
        <v>66</v>
      </c>
      <c r="C120" s="46">
        <f>1700861284.83</f>
        <v>1700861284.8299999</v>
      </c>
      <c r="D120" s="74">
        <f>0</f>
        <v>0</v>
      </c>
    </row>
    <row r="121" spans="2:11" x14ac:dyDescent="0.2">
      <c r="B121" s="85" t="s">
        <v>67</v>
      </c>
      <c r="C121" s="46">
        <f>16016372911.01</f>
        <v>16016372911.01</v>
      </c>
      <c r="D121" s="74">
        <f>0</f>
        <v>0</v>
      </c>
    </row>
    <row r="122" spans="2:11" x14ac:dyDescent="0.2">
      <c r="B122" s="85" t="s">
        <v>68</v>
      </c>
      <c r="C122" s="46">
        <f>0</f>
        <v>0</v>
      </c>
      <c r="D122" s="74">
        <f>0</f>
        <v>0</v>
      </c>
    </row>
    <row r="123" spans="2:11" ht="33.75" x14ac:dyDescent="0.2">
      <c r="B123" s="85" t="s">
        <v>86</v>
      </c>
      <c r="C123" s="46">
        <f>4896362023.72</f>
        <v>4896362023.7200003</v>
      </c>
      <c r="D123" s="74">
        <f>0</f>
        <v>0</v>
      </c>
    </row>
    <row r="124" spans="2:11" ht="56.25" x14ac:dyDescent="0.2">
      <c r="B124" s="85" t="s">
        <v>69</v>
      </c>
      <c r="C124" s="46">
        <f>11082237639.64</f>
        <v>11082237639.639999</v>
      </c>
      <c r="D124" s="74">
        <f>0</f>
        <v>0</v>
      </c>
    </row>
    <row r="125" spans="2:11" ht="90" x14ac:dyDescent="0.2">
      <c r="B125" s="85" t="s">
        <v>88</v>
      </c>
      <c r="C125" s="46">
        <f>4334692708.91</f>
        <v>4334692708.9099998</v>
      </c>
      <c r="D125" s="74">
        <f>0</f>
        <v>0</v>
      </c>
    </row>
    <row r="126" spans="2:11" x14ac:dyDescent="0.2">
      <c r="B126" s="85" t="s">
        <v>81</v>
      </c>
      <c r="C126" s="46">
        <f>165278460.68</f>
        <v>165278460.68000001</v>
      </c>
      <c r="D126" s="74">
        <f>0</f>
        <v>0</v>
      </c>
    </row>
    <row r="127" spans="2:11" x14ac:dyDescent="0.2">
      <c r="B127" s="85" t="s">
        <v>96</v>
      </c>
      <c r="C127" s="46">
        <f>1480529906.65</f>
        <v>1480529906.6500001</v>
      </c>
      <c r="D127" s="74">
        <f>0</f>
        <v>0</v>
      </c>
    </row>
    <row r="129" spans="2:4" x14ac:dyDescent="0.2">
      <c r="B129" s="33" t="s">
        <v>52</v>
      </c>
      <c r="C129" s="97">
        <f>3</f>
        <v>3</v>
      </c>
      <c r="D129" s="33" t="str">
        <f>IF(C129=1,"I Kwartał",IF(C129=2,"II Kwartały",IF(C129=3,"III Kwartały",IF(C129=4,"IV Kwartały",IF(C129="M1","Styczeń",IF(C129="M11","Listopad",IF(C129="M12","Grudzień","-")))))))</f>
        <v>III Kwartały</v>
      </c>
    </row>
    <row r="130" spans="2:4" x14ac:dyDescent="0.2">
      <c r="B130" s="33" t="s">
        <v>53</v>
      </c>
      <c r="C130" s="88">
        <f>2025</f>
        <v>2025</v>
      </c>
    </row>
    <row r="131" spans="2:4" x14ac:dyDescent="0.2">
      <c r="B131" s="33" t="s">
        <v>54</v>
      </c>
      <c r="C131" s="124" t="str">
        <f>"Nov 14 2025 12:00AM"</f>
        <v>Nov 14 2025 12:00AM</v>
      </c>
      <c r="D131" s="125"/>
    </row>
  </sheetData>
  <mergeCells count="26">
    <mergeCell ref="C131:D131"/>
    <mergeCell ref="C117:D117"/>
    <mergeCell ref="J96:K96"/>
    <mergeCell ref="J64:K64"/>
    <mergeCell ref="K61:K63"/>
    <mergeCell ref="I61:I63"/>
    <mergeCell ref="J61:J63"/>
    <mergeCell ref="F61:H61"/>
    <mergeCell ref="C61:C63"/>
    <mergeCell ref="G62:H62"/>
    <mergeCell ref="E95:I97"/>
    <mergeCell ref="B3:B4"/>
    <mergeCell ref="J4:L4"/>
    <mergeCell ref="B61:B64"/>
    <mergeCell ref="C4:I4"/>
    <mergeCell ref="D61:D63"/>
    <mergeCell ref="E61:E63"/>
    <mergeCell ref="C64:H64"/>
    <mergeCell ref="C96:D96"/>
    <mergeCell ref="F62:F63"/>
    <mergeCell ref="B80:B81"/>
    <mergeCell ref="C80:D80"/>
    <mergeCell ref="E80:F80"/>
    <mergeCell ref="B85:B86"/>
    <mergeCell ref="C85:D85"/>
    <mergeCell ref="E85:F85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75" orientation="landscape" useFirstPageNumber="1" r:id="rId1"/>
  <headerFooter alignWithMargins="0">
    <oddFooter>&amp;RStrona &amp;P z &amp;N</oddFooter>
  </headerFooter>
  <rowBreaks count="2" manualBreakCount="2">
    <brk id="45" max="12" man="1"/>
    <brk id="9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2025-02-06T15:04:44Z</cp:lastPrinted>
  <dcterms:created xsi:type="dcterms:W3CDTF">2001-05-17T08:58:03Z</dcterms:created>
  <dcterms:modified xsi:type="dcterms:W3CDTF">2025-11-20T08:23:29Z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2025-01-31T14:00:36.4926801+01:00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GRN-4a6a8bce-14a0-44be-8a2d-20d4f4ebfc44</vt:lpwstr>
  </property>
  <property fmtid="{D5CDD505-2E9C-101B-9397-08002B2CF9AE}" pid="7" name="MFHash">
    <vt:lpwstr>hJ+ngg+9s+tGkx/Vu3SXQN++GIMm8CSpPy5/CP61cQE=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