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HHCY\Documents\```ST7\Besti@\2024\IV kwartał\2025.03.18 dane ostateczne\Zbiorówki_2024_k4_2025.03.18\Publikacja\"/>
    </mc:Choice>
  </mc:AlternateContent>
  <xr:revisionPtr revIDLastSave="0" documentId="13_ncr:1_{5A175803-6760-4C4A-975D-33988BF87A2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zob_nal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96" i="7" l="1"/>
  <c r="B95" i="7"/>
  <c r="B94" i="7"/>
  <c r="B93" i="7"/>
  <c r="I90" i="7"/>
  <c r="G90" i="7"/>
  <c r="I89" i="7"/>
  <c r="G89" i="7"/>
  <c r="I88" i="7"/>
  <c r="G88" i="7"/>
  <c r="L82" i="7"/>
  <c r="K82" i="7"/>
  <c r="J82" i="7"/>
  <c r="I82" i="7"/>
  <c r="H82" i="7"/>
  <c r="G82" i="7"/>
  <c r="F82" i="7"/>
  <c r="L81" i="7"/>
  <c r="K81" i="7"/>
  <c r="J81" i="7"/>
  <c r="I81" i="7"/>
  <c r="H81" i="7"/>
  <c r="G81" i="7"/>
  <c r="F81" i="7"/>
  <c r="L80" i="7"/>
  <c r="K80" i="7"/>
  <c r="J80" i="7"/>
  <c r="I80" i="7"/>
  <c r="H80" i="7"/>
  <c r="G80" i="7"/>
  <c r="F80" i="7"/>
  <c r="L79" i="7"/>
  <c r="K79" i="7"/>
  <c r="J79" i="7"/>
  <c r="I79" i="7"/>
  <c r="H79" i="7"/>
  <c r="G79" i="7"/>
  <c r="F79" i="7"/>
  <c r="L78" i="7"/>
  <c r="K78" i="7"/>
  <c r="J78" i="7"/>
  <c r="I78" i="7"/>
  <c r="H78" i="7"/>
  <c r="G78" i="7"/>
  <c r="F78" i="7"/>
  <c r="L77" i="7"/>
  <c r="K77" i="7"/>
  <c r="J77" i="7"/>
  <c r="I77" i="7"/>
  <c r="H77" i="7"/>
  <c r="G77" i="7"/>
  <c r="F77" i="7"/>
  <c r="L76" i="7"/>
  <c r="K76" i="7"/>
  <c r="J76" i="7"/>
  <c r="I76" i="7"/>
  <c r="H76" i="7"/>
  <c r="G76" i="7"/>
  <c r="F76" i="7"/>
  <c r="Q56" i="7"/>
  <c r="P56" i="7"/>
  <c r="O56" i="7"/>
  <c r="N56" i="7"/>
  <c r="M56" i="7"/>
  <c r="L56" i="7"/>
  <c r="K56" i="7"/>
  <c r="J56" i="7"/>
  <c r="I56" i="7"/>
  <c r="H56" i="7"/>
  <c r="G56" i="7"/>
  <c r="F56" i="7"/>
  <c r="E56" i="7"/>
  <c r="D56" i="7"/>
  <c r="C56" i="7"/>
  <c r="B56" i="7"/>
  <c r="Q55" i="7"/>
  <c r="P55" i="7"/>
  <c r="O55" i="7"/>
  <c r="N55" i="7"/>
  <c r="M55" i="7"/>
  <c r="L55" i="7"/>
  <c r="K55" i="7"/>
  <c r="J55" i="7"/>
  <c r="I55" i="7"/>
  <c r="H55" i="7"/>
  <c r="G55" i="7"/>
  <c r="F55" i="7"/>
  <c r="E55" i="7"/>
  <c r="D55" i="7"/>
  <c r="C55" i="7"/>
  <c r="B55" i="7"/>
  <c r="Q54" i="7"/>
  <c r="P54" i="7"/>
  <c r="O54" i="7"/>
  <c r="N54" i="7"/>
  <c r="M54" i="7"/>
  <c r="L54" i="7"/>
  <c r="K54" i="7"/>
  <c r="J54" i="7"/>
  <c r="I54" i="7"/>
  <c r="H54" i="7"/>
  <c r="G54" i="7"/>
  <c r="F54" i="7"/>
  <c r="E54" i="7"/>
  <c r="D54" i="7"/>
  <c r="C54" i="7"/>
  <c r="B54" i="7"/>
  <c r="Q53" i="7"/>
  <c r="P53" i="7"/>
  <c r="O53" i="7"/>
  <c r="N53" i="7"/>
  <c r="M53" i="7"/>
  <c r="L53" i="7"/>
  <c r="K53" i="7"/>
  <c r="J53" i="7"/>
  <c r="I53" i="7"/>
  <c r="H53" i="7"/>
  <c r="G53" i="7"/>
  <c r="F53" i="7"/>
  <c r="E53" i="7"/>
  <c r="D53" i="7"/>
  <c r="C53" i="7"/>
  <c r="B53" i="7"/>
  <c r="Q52" i="7"/>
  <c r="P52" i="7"/>
  <c r="O52" i="7"/>
  <c r="N52" i="7"/>
  <c r="M52" i="7"/>
  <c r="L52" i="7"/>
  <c r="K52" i="7"/>
  <c r="J52" i="7"/>
  <c r="I52" i="7"/>
  <c r="H52" i="7"/>
  <c r="G52" i="7"/>
  <c r="F52" i="7"/>
  <c r="E52" i="7"/>
  <c r="D52" i="7"/>
  <c r="C52" i="7"/>
  <c r="B52" i="7"/>
  <c r="Q51" i="7"/>
  <c r="P51" i="7"/>
  <c r="O51" i="7"/>
  <c r="N51" i="7"/>
  <c r="M51" i="7"/>
  <c r="L51" i="7"/>
  <c r="K51" i="7"/>
  <c r="J51" i="7"/>
  <c r="I51" i="7"/>
  <c r="H51" i="7"/>
  <c r="G51" i="7"/>
  <c r="F51" i="7"/>
  <c r="E51" i="7"/>
  <c r="D51" i="7"/>
  <c r="C51" i="7"/>
  <c r="B51" i="7"/>
  <c r="Q50" i="7"/>
  <c r="P50" i="7"/>
  <c r="O50" i="7"/>
  <c r="N50" i="7"/>
  <c r="M50" i="7"/>
  <c r="L50" i="7"/>
  <c r="K50" i="7"/>
  <c r="J50" i="7"/>
  <c r="I50" i="7"/>
  <c r="H50" i="7"/>
  <c r="G50" i="7"/>
  <c r="F50" i="7"/>
  <c r="E50" i="7"/>
  <c r="D50" i="7"/>
  <c r="C50" i="7"/>
  <c r="B50" i="7"/>
  <c r="Q49" i="7"/>
  <c r="P49" i="7"/>
  <c r="O49" i="7"/>
  <c r="N49" i="7"/>
  <c r="M49" i="7"/>
  <c r="L49" i="7"/>
  <c r="K49" i="7"/>
  <c r="J49" i="7"/>
  <c r="I49" i="7"/>
  <c r="H49" i="7"/>
  <c r="G49" i="7"/>
  <c r="F49" i="7"/>
  <c r="E49" i="7"/>
  <c r="D49" i="7"/>
  <c r="C49" i="7"/>
  <c r="B49" i="7"/>
  <c r="Q48" i="7"/>
  <c r="P48" i="7"/>
  <c r="O48" i="7"/>
  <c r="N48" i="7"/>
  <c r="M48" i="7"/>
  <c r="L48" i="7"/>
  <c r="K48" i="7"/>
  <c r="J48" i="7"/>
  <c r="I48" i="7"/>
  <c r="H48" i="7"/>
  <c r="G48" i="7"/>
  <c r="F48" i="7"/>
  <c r="E48" i="7"/>
  <c r="D48" i="7"/>
  <c r="C48" i="7"/>
  <c r="B48" i="7"/>
  <c r="Q47" i="7"/>
  <c r="P47" i="7"/>
  <c r="O47" i="7"/>
  <c r="N47" i="7"/>
  <c r="M47" i="7"/>
  <c r="L47" i="7"/>
  <c r="K47" i="7"/>
  <c r="J47" i="7"/>
  <c r="I47" i="7"/>
  <c r="H47" i="7"/>
  <c r="G47" i="7"/>
  <c r="F47" i="7"/>
  <c r="E47" i="7"/>
  <c r="D47" i="7"/>
  <c r="C47" i="7"/>
  <c r="B47" i="7"/>
  <c r="Q46" i="7"/>
  <c r="P46" i="7"/>
  <c r="O46" i="7"/>
  <c r="N46" i="7"/>
  <c r="M46" i="7"/>
  <c r="L46" i="7"/>
  <c r="K46" i="7"/>
  <c r="J46" i="7"/>
  <c r="I46" i="7"/>
  <c r="H46" i="7"/>
  <c r="G46" i="7"/>
  <c r="F46" i="7"/>
  <c r="E46" i="7"/>
  <c r="D46" i="7"/>
  <c r="C46" i="7"/>
  <c r="B46" i="7"/>
  <c r="Q45" i="7"/>
  <c r="P45" i="7"/>
  <c r="O45" i="7"/>
  <c r="N45" i="7"/>
  <c r="M45" i="7"/>
  <c r="L45" i="7"/>
  <c r="K45" i="7"/>
  <c r="J45" i="7"/>
  <c r="I45" i="7"/>
  <c r="H45" i="7"/>
  <c r="G45" i="7"/>
  <c r="F45" i="7"/>
  <c r="E45" i="7"/>
  <c r="D45" i="7"/>
  <c r="C45" i="7"/>
  <c r="B45" i="7"/>
  <c r="Q44" i="7"/>
  <c r="P44" i="7"/>
  <c r="O44" i="7"/>
  <c r="N44" i="7"/>
  <c r="M44" i="7"/>
  <c r="L44" i="7"/>
  <c r="K44" i="7"/>
  <c r="J44" i="7"/>
  <c r="I44" i="7"/>
  <c r="H44" i="7"/>
  <c r="G44" i="7"/>
  <c r="F44" i="7"/>
  <c r="E44" i="7"/>
  <c r="D44" i="7"/>
  <c r="C44" i="7"/>
  <c r="B44" i="7"/>
  <c r="Q43" i="7"/>
  <c r="P43" i="7"/>
  <c r="O43" i="7"/>
  <c r="N43" i="7"/>
  <c r="M43" i="7"/>
  <c r="L43" i="7"/>
  <c r="K43" i="7"/>
  <c r="J43" i="7"/>
  <c r="I43" i="7"/>
  <c r="H43" i="7"/>
  <c r="G43" i="7"/>
  <c r="F43" i="7"/>
  <c r="E43" i="7"/>
  <c r="D43" i="7"/>
  <c r="C43" i="7"/>
  <c r="B43" i="7"/>
  <c r="Q42" i="7"/>
  <c r="P42" i="7"/>
  <c r="O42" i="7"/>
  <c r="N42" i="7"/>
  <c r="M42" i="7"/>
  <c r="L42" i="7"/>
  <c r="K42" i="7"/>
  <c r="J42" i="7"/>
  <c r="I42" i="7"/>
  <c r="H42" i="7"/>
  <c r="G42" i="7"/>
  <c r="F42" i="7"/>
  <c r="E42" i="7"/>
  <c r="D42" i="7"/>
  <c r="C42" i="7"/>
  <c r="B42" i="7"/>
  <c r="Q41" i="7"/>
  <c r="P41" i="7"/>
  <c r="O41" i="7"/>
  <c r="N41" i="7"/>
  <c r="M41" i="7"/>
  <c r="L41" i="7"/>
  <c r="K41" i="7"/>
  <c r="J41" i="7"/>
  <c r="I41" i="7"/>
  <c r="H41" i="7"/>
  <c r="G41" i="7"/>
  <c r="F41" i="7"/>
  <c r="E41" i="7"/>
  <c r="D41" i="7"/>
  <c r="C41" i="7"/>
  <c r="B41" i="7"/>
  <c r="Q40" i="7"/>
  <c r="P40" i="7"/>
  <c r="O40" i="7"/>
  <c r="N40" i="7"/>
  <c r="M40" i="7"/>
  <c r="L40" i="7"/>
  <c r="K40" i="7"/>
  <c r="J40" i="7"/>
  <c r="I40" i="7"/>
  <c r="H40" i="7"/>
  <c r="G40" i="7"/>
  <c r="F40" i="7"/>
  <c r="E40" i="7"/>
  <c r="D40" i="7"/>
  <c r="C40" i="7"/>
  <c r="B40" i="7"/>
  <c r="Q23" i="7"/>
  <c r="P23" i="7"/>
  <c r="O23" i="7"/>
  <c r="N23" i="7"/>
  <c r="M23" i="7"/>
  <c r="L23" i="7"/>
  <c r="K23" i="7"/>
  <c r="J23" i="7"/>
  <c r="I23" i="7"/>
  <c r="H23" i="7"/>
  <c r="G23" i="7"/>
  <c r="F23" i="7"/>
  <c r="E23" i="7"/>
  <c r="D23" i="7"/>
  <c r="C23" i="7"/>
  <c r="B23" i="7"/>
  <c r="Q22" i="7"/>
  <c r="P22" i="7"/>
  <c r="O22" i="7"/>
  <c r="N22" i="7"/>
  <c r="M22" i="7"/>
  <c r="L22" i="7"/>
  <c r="K22" i="7"/>
  <c r="J22" i="7"/>
  <c r="I22" i="7"/>
  <c r="H22" i="7"/>
  <c r="G22" i="7"/>
  <c r="F22" i="7"/>
  <c r="E22" i="7"/>
  <c r="D22" i="7"/>
  <c r="C22" i="7"/>
  <c r="B22" i="7"/>
  <c r="Q21" i="7"/>
  <c r="P21" i="7"/>
  <c r="O21" i="7"/>
  <c r="N21" i="7"/>
  <c r="M21" i="7"/>
  <c r="L21" i="7"/>
  <c r="K21" i="7"/>
  <c r="J21" i="7"/>
  <c r="I21" i="7"/>
  <c r="H21" i="7"/>
  <c r="G21" i="7"/>
  <c r="F21" i="7"/>
  <c r="E21" i="7"/>
  <c r="D21" i="7"/>
  <c r="C21" i="7"/>
  <c r="B21" i="7"/>
  <c r="Q20" i="7"/>
  <c r="P20" i="7"/>
  <c r="O20" i="7"/>
  <c r="N20" i="7"/>
  <c r="M20" i="7"/>
  <c r="L20" i="7"/>
  <c r="K20" i="7"/>
  <c r="J20" i="7"/>
  <c r="I20" i="7"/>
  <c r="H20" i="7"/>
  <c r="G20" i="7"/>
  <c r="F20" i="7"/>
  <c r="E20" i="7"/>
  <c r="D20" i="7"/>
  <c r="C20" i="7"/>
  <c r="B20" i="7"/>
  <c r="Q19" i="7"/>
  <c r="P19" i="7"/>
  <c r="O19" i="7"/>
  <c r="N19" i="7"/>
  <c r="M19" i="7"/>
  <c r="L19" i="7"/>
  <c r="K19" i="7"/>
  <c r="J19" i="7"/>
  <c r="I19" i="7"/>
  <c r="H19" i="7"/>
  <c r="G19" i="7"/>
  <c r="F19" i="7"/>
  <c r="E19" i="7"/>
  <c r="D19" i="7"/>
  <c r="C19" i="7"/>
  <c r="B19" i="7"/>
  <c r="Q18" i="7"/>
  <c r="P18" i="7"/>
  <c r="O18" i="7"/>
  <c r="N18" i="7"/>
  <c r="M18" i="7"/>
  <c r="L18" i="7"/>
  <c r="K18" i="7"/>
  <c r="J18" i="7"/>
  <c r="I18" i="7"/>
  <c r="H18" i="7"/>
  <c r="G18" i="7"/>
  <c r="F18" i="7"/>
  <c r="E18" i="7"/>
  <c r="D18" i="7"/>
  <c r="C18" i="7"/>
  <c r="B18" i="7"/>
  <c r="Q17" i="7"/>
  <c r="P17" i="7"/>
  <c r="O17" i="7"/>
  <c r="N17" i="7"/>
  <c r="M17" i="7"/>
  <c r="L17" i="7"/>
  <c r="K17" i="7"/>
  <c r="J17" i="7"/>
  <c r="I17" i="7"/>
  <c r="H17" i="7"/>
  <c r="G17" i="7"/>
  <c r="F17" i="7"/>
  <c r="E17" i="7"/>
  <c r="D17" i="7"/>
  <c r="C17" i="7"/>
  <c r="B17" i="7"/>
  <c r="Q16" i="7"/>
  <c r="P16" i="7"/>
  <c r="O16" i="7"/>
  <c r="N16" i="7"/>
  <c r="M16" i="7"/>
  <c r="L16" i="7"/>
  <c r="K16" i="7"/>
  <c r="J16" i="7"/>
  <c r="I16" i="7"/>
  <c r="H16" i="7"/>
  <c r="G16" i="7"/>
  <c r="F16" i="7"/>
  <c r="E16" i="7"/>
  <c r="D16" i="7"/>
  <c r="C16" i="7"/>
  <c r="B16" i="7"/>
  <c r="Q15" i="7"/>
  <c r="P15" i="7"/>
  <c r="O15" i="7"/>
  <c r="N15" i="7"/>
  <c r="M15" i="7"/>
  <c r="L15" i="7"/>
  <c r="K15" i="7"/>
  <c r="J15" i="7"/>
  <c r="I15" i="7"/>
  <c r="H15" i="7"/>
  <c r="G15" i="7"/>
  <c r="F15" i="7"/>
  <c r="E15" i="7"/>
  <c r="D15" i="7"/>
  <c r="C15" i="7"/>
  <c r="B15" i="7"/>
  <c r="Q14" i="7"/>
  <c r="P14" i="7"/>
  <c r="O14" i="7"/>
  <c r="N14" i="7"/>
  <c r="M14" i="7"/>
  <c r="L14" i="7"/>
  <c r="K14" i="7"/>
  <c r="J14" i="7"/>
  <c r="I14" i="7"/>
  <c r="H14" i="7"/>
  <c r="G14" i="7"/>
  <c r="F14" i="7"/>
  <c r="E14" i="7"/>
  <c r="D14" i="7"/>
  <c r="C14" i="7"/>
  <c r="B14" i="7"/>
  <c r="Q13" i="7"/>
  <c r="P13" i="7"/>
  <c r="O13" i="7"/>
  <c r="N13" i="7"/>
  <c r="M13" i="7"/>
  <c r="L13" i="7"/>
  <c r="K13" i="7"/>
  <c r="J13" i="7"/>
  <c r="I13" i="7"/>
  <c r="H13" i="7"/>
  <c r="G13" i="7"/>
  <c r="F13" i="7"/>
  <c r="E13" i="7"/>
  <c r="D13" i="7"/>
  <c r="C13" i="7"/>
  <c r="B13" i="7"/>
  <c r="C93" i="7" l="1"/>
  <c r="A1" i="7" l="1"/>
  <c r="A66" i="7"/>
  <c r="A29" i="7"/>
  <c r="A85" i="7"/>
</calcChain>
</file>

<file path=xl/sharedStrings.xml><?xml version="1.0" encoding="utf-8"?>
<sst xmlns="http://schemas.openxmlformats.org/spreadsheetml/2006/main" count="97" uniqueCount="81">
  <si>
    <t>Wyszczególnienie</t>
  </si>
  <si>
    <t>banku centralnego</t>
  </si>
  <si>
    <t>Poręczenia i gwarancje</t>
  </si>
  <si>
    <t>Liczba jednostek</t>
  </si>
  <si>
    <t>Wykonanie</t>
  </si>
  <si>
    <t>JST, których budżety zamknęły się nadwyżką</t>
  </si>
  <si>
    <t>JST, których budżety zamknęły się deficytem</t>
  </si>
  <si>
    <t>JST z budżetami zrównoważonymi</t>
  </si>
  <si>
    <t>kwartał</t>
  </si>
  <si>
    <t>rok</t>
  </si>
  <si>
    <t>stanNa</t>
  </si>
  <si>
    <t>A. Należności oraz wybrane aktywa finansowe</t>
  </si>
  <si>
    <t>kwota 
należności
ogółem
(kol. 3+15)</t>
  </si>
  <si>
    <t>ogółem 
(kol 4+9+10+11 +12+13+14)</t>
  </si>
  <si>
    <t>dłużnicy  krajowi</t>
  </si>
  <si>
    <t>sektor 
finansów 
publicznych 
ogółem 
(kol 5+6+7+8)</t>
  </si>
  <si>
    <t>banki</t>
  </si>
  <si>
    <t>pozostałe 
krajowe 
instytucje 
finansowe</t>
  </si>
  <si>
    <t>przedsiębiorstwa 
niefinansowe</t>
  </si>
  <si>
    <t>gospodarstwa 
domowe</t>
  </si>
  <si>
    <t>instytucje 
niekomercyjne 
działające
 na rzecz
gospodarstw
domowych</t>
  </si>
  <si>
    <t>ogółem
(kol. 16+17)</t>
  </si>
  <si>
    <t>podmioty 
należące 
do strefy 
euro</t>
  </si>
  <si>
    <t>pozostałe 
podmioty 
zagraniczne</t>
  </si>
  <si>
    <t xml:space="preserve">      dłużnicy zagraniczni</t>
  </si>
  <si>
    <t xml:space="preserve">grupa I </t>
  </si>
  <si>
    <t xml:space="preserve">grupa II </t>
  </si>
  <si>
    <t>grupa III</t>
  </si>
  <si>
    <t>grupa IV</t>
  </si>
  <si>
    <t>N1.1 krótkotermionowe</t>
  </si>
  <si>
    <t>N1.2  długoterminowe</t>
  </si>
  <si>
    <t>N2.1 krótkotermionowe</t>
  </si>
  <si>
    <t>N2.2 długoterminowe</t>
  </si>
  <si>
    <t>N3.1 gotówka</t>
  </si>
  <si>
    <t>N3.2 depozyty na żądanie</t>
  </si>
  <si>
    <t>N3.3 depozyty terminowe</t>
  </si>
  <si>
    <t>N4.1 z tytułu dostaw towarów i usług</t>
  </si>
  <si>
    <t>N4.2 pozostałe</t>
  </si>
  <si>
    <t>N5.1 z tytułu dostaw towarów i usług</t>
  </si>
  <si>
    <t>N5.3 z tytułu innych niż wymienione powyżej</t>
  </si>
  <si>
    <t>N1 papiery wartościowe (N1.1+N1.2)</t>
  </si>
  <si>
    <t>N2  pożyczki (N2.1+N2.2)</t>
  </si>
  <si>
    <t>N3 gotówka i depozyty (N3.1+N3.2+N3.3)</t>
  </si>
  <si>
    <t>N4 należności wymagalne (N4.1+N4.2)</t>
  </si>
  <si>
    <t>N5 pozostałe należności  (N5.1+N5.2+N5.3)</t>
  </si>
  <si>
    <t>E1 papiery wartościowe 
     (E1.1+E1.2)</t>
  </si>
  <si>
    <t>E1.1 krótkotermionowe</t>
  </si>
  <si>
    <t>E1.2 długoterminowe</t>
  </si>
  <si>
    <t>E2 kredyty i pożyczki 
     (E2.1+E2.2)</t>
  </si>
  <si>
    <t>E2.1 krótkotermionowe</t>
  </si>
  <si>
    <t>E2.2 długoterminowe</t>
  </si>
  <si>
    <t>E3 przyjęte depozyty</t>
  </si>
  <si>
    <t>E4  wymagalne zobowiązania 
     (E4.1+E4.2)</t>
  </si>
  <si>
    <t>E4.1 z tytułu dostaw towarów i usług</t>
  </si>
  <si>
    <t>E4.2 pozostałe</t>
  </si>
  <si>
    <t>F1 wartość nominalna niewymagalnych zobowiązań z tytułu udzielonych poręczeń i gwarancji na koniec okresu sprawozdawczego</t>
  </si>
  <si>
    <t>F2 wartość nominalna wymagalnych zobowiązań z tytułu udzielonych poręczeń i gwarancji na koniec okresu sprawozdawczego</t>
  </si>
  <si>
    <t>F3 wartość poręczeń i gwarancji udzielonych w okresie sprawozdawczym</t>
  </si>
  <si>
    <t>B1 należność główna z tytułu udzielonych gwarancji i poręczeń</t>
  </si>
  <si>
    <t>B2 odsetki ustawowe od nalezności głównej z tytułu udzielonych gwarancji i poręczeń</t>
  </si>
  <si>
    <t>B3 wartość spłat dokonanych w okresie sprawozdawczym za dłużników z tytułu udzielonych poręczeń i gwarancji (wydatki)</t>
  </si>
  <si>
    <t>B4 kwota odzyskanych wierzytelności w okresie sprawozdawczym od dłużników z tytułu poręczeń lub gwarancji (dochody)</t>
  </si>
  <si>
    <t>Zobowiązania według tytułów dłużnych (wg wartości nominalnej)</t>
  </si>
  <si>
    <t>kwota 
zadłużenia
ogółem
(kol. 3+15)</t>
  </si>
  <si>
    <t>ogółem 
(kol. 4+9+10+11 +12+13+14)</t>
  </si>
  <si>
    <t>bank 
centralny</t>
  </si>
  <si>
    <t xml:space="preserve">      wierzyciele zagraniczni</t>
  </si>
  <si>
    <t>wierzyciele krajowi</t>
  </si>
  <si>
    <t>grupa I</t>
  </si>
  <si>
    <t>grupa II</t>
  </si>
  <si>
    <t>kwota 
zadłużenia
ogółem
(kol. 3+8)</t>
  </si>
  <si>
    <t>podmioty 
sektora finansów 
publicznych 
(kol.4+5+6+7)</t>
  </si>
  <si>
    <t xml:space="preserve">grupa III </t>
  </si>
  <si>
    <t xml:space="preserve">grupa IV </t>
  </si>
  <si>
    <t>pozostałe
podmioty</t>
  </si>
  <si>
    <t>sektora finansów publicznych (kol.5+6+7+8)</t>
  </si>
  <si>
    <t>wierzyciele i dłużnicy</t>
  </si>
  <si>
    <t>tytul</t>
  </si>
  <si>
    <t>w złotych</t>
  </si>
  <si>
    <t>E  ZOBOWIĄZANIA WG TYTUŁÓW DŁUŻNYCH (E1+E2+E3+E4)</t>
  </si>
  <si>
    <t>N5.2 z tytułu podatków i składek na ubezpieczenia społ.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</si>
</sst>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\ h:mm;@"/>
  </numFmts>
  <fonts count="33" x14ac:knownFonts="1">
    <font>
      <sz val="10"/>
      <name val="Arial CE"/>
      <charset val="238"/>
    </font>
    <font>
      <sz val="10"/>
      <name val="Arial CE"/>
      <charset val="238"/>
    </font>
    <font>
      <sz val="8"/>
      <name val="Arial"/>
      <family val="2"/>
      <charset val="238"/>
    </font>
    <font>
      <sz val="16"/>
      <name val="Arial"/>
      <family val="2"/>
      <charset val="238"/>
    </font>
    <font>
      <sz val="10"/>
      <name val="Arial"/>
      <charset val="238"/>
    </font>
    <font>
      <sz val="8"/>
      <name val="Arial"/>
      <charset val="238"/>
    </font>
    <font>
      <sz val="11"/>
      <name val="Arial"/>
      <family val="2"/>
      <charset val="238"/>
    </font>
    <font>
      <sz val="7"/>
      <name val="Arial"/>
      <family val="2"/>
      <charset val="238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6"/>
      <name val="Arial"/>
      <family val="2"/>
      <charset val="238"/>
    </font>
    <font>
      <b/>
      <sz val="7"/>
      <name val="Arial"/>
      <family val="2"/>
      <charset val="238"/>
    </font>
    <font>
      <sz val="7"/>
      <name val="Arial"/>
      <charset val="238"/>
    </font>
    <font>
      <b/>
      <sz val="8"/>
      <name val="Arial CE"/>
      <charset val="238"/>
    </font>
    <font>
      <sz val="8"/>
      <name val="Arial CE"/>
      <charset val="238"/>
    </font>
    <font>
      <sz val="14"/>
      <name val="Arial"/>
      <family val="2"/>
      <charset val="238"/>
    </font>
  </fonts>
  <fills count="22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6"/>
      </patternFill>
    </fill>
    <fill>
      <patternFill patternType="solid">
        <fgColor indexed="14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indexed="45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theme="0" tint="-4.9989318521683403E-2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43">
    <xf numFmtId="0" fontId="0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2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3" borderId="0" applyNumberFormat="0" applyBorder="0" applyAlignment="0" applyProtection="0"/>
    <xf numFmtId="0" fontId="10" fillId="8" borderId="0" applyNumberFormat="0" applyBorder="0" applyAlignment="0" applyProtection="0"/>
    <xf numFmtId="0" fontId="10" fillId="7" borderId="0" applyNumberFormat="0" applyBorder="0" applyAlignment="0" applyProtection="0"/>
    <xf numFmtId="0" fontId="10" fillId="9" borderId="0" applyNumberFormat="0" applyBorder="0" applyAlignment="0" applyProtection="0"/>
    <xf numFmtId="0" fontId="10" fillId="6" borderId="0" applyNumberFormat="0" applyBorder="0" applyAlignment="0" applyProtection="0"/>
    <xf numFmtId="0" fontId="11" fillId="10" borderId="0" applyNumberFormat="0" applyBorder="0" applyAlignment="0" applyProtection="0"/>
    <xf numFmtId="0" fontId="11" fillId="3" borderId="0" applyNumberFormat="0" applyBorder="0" applyAlignment="0" applyProtection="0"/>
    <xf numFmtId="0" fontId="11" fillId="8" borderId="0" applyNumberFormat="0" applyBorder="0" applyAlignment="0" applyProtection="0"/>
    <xf numFmtId="0" fontId="11" fillId="7" borderId="0" applyNumberFormat="0" applyBorder="0" applyAlignment="0" applyProtection="0"/>
    <xf numFmtId="0" fontId="11" fillId="10" borderId="0" applyNumberFormat="0" applyBorder="0" applyAlignment="0" applyProtection="0"/>
    <xf numFmtId="0" fontId="11" fillId="6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0" borderId="0" applyNumberFormat="0" applyBorder="0" applyAlignment="0" applyProtection="0"/>
    <xf numFmtId="0" fontId="11" fillId="14" borderId="0" applyNumberFormat="0" applyBorder="0" applyAlignment="0" applyProtection="0"/>
    <xf numFmtId="0" fontId="12" fillId="15" borderId="0" applyNumberFormat="0" applyBorder="0" applyAlignment="0" applyProtection="0"/>
    <xf numFmtId="0" fontId="13" fillId="16" borderId="1" applyNumberFormat="0" applyAlignment="0" applyProtection="0"/>
    <xf numFmtId="0" fontId="14" fillId="17" borderId="2" applyNumberFormat="0" applyAlignment="0" applyProtection="0"/>
    <xf numFmtId="0" fontId="15" fillId="0" borderId="0" applyNumberFormat="0" applyFill="0" applyBorder="0" applyAlignment="0" applyProtection="0"/>
    <xf numFmtId="0" fontId="16" fillId="18" borderId="0" applyNumberFormat="0" applyBorder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9" fillId="0" borderId="6" applyNumberFormat="0" applyFill="0" applyAlignment="0" applyProtection="0"/>
    <xf numFmtId="0" fontId="19" fillId="0" borderId="0" applyNumberFormat="0" applyFill="0" applyBorder="0" applyAlignment="0" applyProtection="0"/>
    <xf numFmtId="0" fontId="20" fillId="6" borderId="1" applyNumberFormat="0" applyAlignment="0" applyProtection="0"/>
    <xf numFmtId="0" fontId="21" fillId="0" borderId="7" applyNumberFormat="0" applyFill="0" applyAlignment="0" applyProtection="0"/>
    <xf numFmtId="0" fontId="22" fillId="8" borderId="0" applyNumberFormat="0" applyBorder="0" applyAlignment="0" applyProtection="0"/>
    <xf numFmtId="0" fontId="4" fillId="0" borderId="0"/>
    <xf numFmtId="0" fontId="1" fillId="4" borderId="8" applyNumberFormat="0" applyFont="0" applyAlignment="0" applyProtection="0"/>
    <xf numFmtId="0" fontId="23" fillId="16" borderId="3" applyNumberFormat="0" applyAlignment="0" applyProtection="0"/>
    <xf numFmtId="0" fontId="24" fillId="0" borderId="0" applyNumberFormat="0" applyFill="0" applyBorder="0" applyAlignment="0" applyProtection="0"/>
    <xf numFmtId="0" fontId="25" fillId="0" borderId="9" applyNumberFormat="0" applyFill="0" applyAlignment="0" applyProtection="0"/>
    <xf numFmtId="0" fontId="26" fillId="0" borderId="0" applyNumberFormat="0" applyFill="0" applyBorder="0" applyAlignment="0" applyProtection="0"/>
  </cellStyleXfs>
  <cellXfs count="75">
    <xf numFmtId="0" fontId="0" fillId="0" borderId="0" xfId="0"/>
    <xf numFmtId="0" fontId="3" fillId="0" borderId="0" xfId="37" applyFont="1" applyAlignment="1">
      <alignment horizontal="center" vertical="center" wrapText="1"/>
    </xf>
    <xf numFmtId="0" fontId="4" fillId="0" borderId="0" xfId="37" applyAlignment="1">
      <alignment horizontal="center" vertical="center" wrapText="1"/>
    </xf>
    <xf numFmtId="0" fontId="5" fillId="19" borderId="10" xfId="37" applyFont="1" applyFill="1" applyBorder="1" applyAlignment="1">
      <alignment horizontal="center" vertical="center" wrapText="1"/>
    </xf>
    <xf numFmtId="0" fontId="4" fillId="0" borderId="0" xfId="37" applyFill="1" applyBorder="1" applyAlignment="1">
      <alignment horizontal="center" vertical="center" wrapText="1"/>
    </xf>
    <xf numFmtId="0" fontId="5" fillId="0" borderId="0" xfId="37" applyFont="1" applyFill="1" applyBorder="1" applyAlignment="1">
      <alignment horizontal="center" vertical="center" wrapText="1"/>
    </xf>
    <xf numFmtId="0" fontId="2" fillId="0" borderId="0" xfId="37" applyFont="1" applyFill="1" applyBorder="1" applyAlignment="1">
      <alignment horizontal="left" vertical="center" wrapText="1"/>
    </xf>
    <xf numFmtId="0" fontId="2" fillId="0" borderId="0" xfId="37" applyFont="1" applyFill="1" applyBorder="1" applyAlignment="1">
      <alignment horizontal="center" vertical="center" wrapText="1"/>
    </xf>
    <xf numFmtId="0" fontId="9" fillId="0" borderId="10" xfId="0" applyFont="1" applyBorder="1"/>
    <xf numFmtId="0" fontId="9" fillId="0" borderId="0" xfId="0" applyFont="1"/>
    <xf numFmtId="164" fontId="9" fillId="0" borderId="10" xfId="0" applyNumberFormat="1" applyFont="1" applyBorder="1"/>
    <xf numFmtId="0" fontId="27" fillId="0" borderId="0" xfId="37" applyFont="1" applyAlignment="1">
      <alignment horizontal="center" vertical="center" wrapText="1"/>
    </xf>
    <xf numFmtId="0" fontId="27" fillId="0" borderId="0" xfId="37" applyFont="1" applyFill="1" applyBorder="1" applyAlignment="1">
      <alignment horizontal="center" vertical="center" wrapText="1"/>
    </xf>
    <xf numFmtId="0" fontId="7" fillId="19" borderId="10" xfId="37" applyFont="1" applyFill="1" applyBorder="1" applyAlignment="1">
      <alignment horizontal="center" vertical="center" wrapText="1"/>
    </xf>
    <xf numFmtId="0" fontId="4" fillId="0" borderId="10" xfId="37" applyFont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indent="1"/>
    </xf>
    <xf numFmtId="4" fontId="7" fillId="0" borderId="0" xfId="37" applyNumberFormat="1" applyFont="1" applyBorder="1" applyAlignment="1">
      <alignment horizontal="right" vertical="center" wrapText="1"/>
    </xf>
    <xf numFmtId="0" fontId="2" fillId="0" borderId="10" xfId="37" applyFont="1" applyBorder="1" applyAlignment="1">
      <alignment horizontal="left" vertical="center" wrapText="1"/>
    </xf>
    <xf numFmtId="0" fontId="31" fillId="0" borderId="17" xfId="0" applyFont="1" applyFill="1" applyBorder="1" applyAlignment="1">
      <alignment vertical="center" wrapText="1"/>
    </xf>
    <xf numFmtId="0" fontId="8" fillId="20" borderId="10" xfId="37" applyFont="1" applyFill="1" applyBorder="1" applyAlignment="1">
      <alignment horizontal="left" vertical="center" wrapText="1"/>
    </xf>
    <xf numFmtId="4" fontId="2" fillId="20" borderId="10" xfId="37" applyNumberFormat="1" applyFont="1" applyFill="1" applyBorder="1" applyAlignment="1">
      <alignment horizontal="right" vertical="center" wrapText="1"/>
    </xf>
    <xf numFmtId="4" fontId="2" fillId="0" borderId="10" xfId="37" applyNumberFormat="1" applyFont="1" applyBorder="1" applyAlignment="1">
      <alignment horizontal="right" vertical="center" wrapText="1"/>
    </xf>
    <xf numFmtId="4" fontId="2" fillId="20" borderId="10" xfId="37" applyNumberFormat="1" applyFont="1" applyFill="1" applyBorder="1" applyAlignment="1">
      <alignment vertical="center" wrapText="1"/>
    </xf>
    <xf numFmtId="4" fontId="2" fillId="0" borderId="10" xfId="37" applyNumberFormat="1" applyFont="1" applyFill="1" applyBorder="1" applyAlignment="1">
      <alignment vertical="center" wrapText="1"/>
    </xf>
    <xf numFmtId="0" fontId="30" fillId="21" borderId="17" xfId="0" applyFont="1" applyFill="1" applyBorder="1" applyAlignment="1">
      <alignment vertical="center" wrapText="1"/>
    </xf>
    <xf numFmtId="4" fontId="2" fillId="0" borderId="10" xfId="37" applyNumberFormat="1" applyFont="1" applyFill="1" applyBorder="1" applyAlignment="1">
      <alignment horizontal="right" vertical="center" wrapText="1"/>
    </xf>
    <xf numFmtId="0" fontId="7" fillId="19" borderId="15" xfId="37" applyFont="1" applyFill="1" applyBorder="1" applyAlignment="1">
      <alignment horizontal="center" vertical="center" wrapText="1"/>
    </xf>
    <xf numFmtId="0" fontId="7" fillId="19" borderId="14" xfId="37" applyFont="1" applyFill="1" applyBorder="1" applyAlignment="1">
      <alignment horizontal="center" vertical="center" wrapText="1"/>
    </xf>
    <xf numFmtId="0" fontId="7" fillId="19" borderId="11" xfId="37" applyFont="1" applyFill="1" applyBorder="1" applyAlignment="1">
      <alignment horizontal="center" vertical="center" wrapText="1"/>
    </xf>
    <xf numFmtId="0" fontId="7" fillId="19" borderId="10" xfId="37" applyFont="1" applyFill="1" applyBorder="1" applyAlignment="1">
      <alignment horizontal="center" vertical="center" wrapText="1"/>
    </xf>
    <xf numFmtId="0" fontId="32" fillId="0" borderId="0" xfId="37" applyFont="1" applyAlignment="1">
      <alignment horizontal="center" vertical="center" wrapText="1"/>
    </xf>
    <xf numFmtId="0" fontId="7" fillId="19" borderId="19" xfId="37" applyFont="1" applyFill="1" applyBorder="1" applyAlignment="1">
      <alignment horizontal="center" vertical="center" wrapText="1"/>
    </xf>
    <xf numFmtId="0" fontId="7" fillId="19" borderId="20" xfId="37" applyFont="1" applyFill="1" applyBorder="1" applyAlignment="1">
      <alignment horizontal="center" vertical="center" wrapText="1"/>
    </xf>
    <xf numFmtId="0" fontId="7" fillId="19" borderId="12" xfId="37" applyFont="1" applyFill="1" applyBorder="1" applyAlignment="1">
      <alignment horizontal="center" vertical="center" wrapText="1"/>
    </xf>
    <xf numFmtId="0" fontId="29" fillId="19" borderId="10" xfId="37" applyNumberFormat="1" applyFont="1" applyFill="1" applyBorder="1" applyAlignment="1">
      <alignment horizontal="center" vertical="center" wrapText="1"/>
    </xf>
    <xf numFmtId="0" fontId="2" fillId="0" borderId="15" xfId="37" applyFont="1" applyFill="1" applyBorder="1" applyAlignment="1">
      <alignment horizontal="left" vertical="center" wrapText="1"/>
    </xf>
    <xf numFmtId="0" fontId="2" fillId="0" borderId="14" xfId="37" applyFont="1" applyFill="1" applyBorder="1" applyAlignment="1">
      <alignment horizontal="left" vertical="center" wrapText="1"/>
    </xf>
    <xf numFmtId="0" fontId="2" fillId="0" borderId="11" xfId="37" applyFont="1" applyFill="1" applyBorder="1" applyAlignment="1">
      <alignment horizontal="left" vertical="center" wrapText="1"/>
    </xf>
    <xf numFmtId="4" fontId="2" fillId="0" borderId="15" xfId="37" applyNumberFormat="1" applyFont="1" applyFill="1" applyBorder="1" applyAlignment="1">
      <alignment horizontal="right" vertical="center" wrapText="1"/>
    </xf>
    <xf numFmtId="4" fontId="2" fillId="0" borderId="11" xfId="37" applyNumberFormat="1" applyFont="1" applyFill="1" applyBorder="1" applyAlignment="1">
      <alignment horizontal="right" vertical="center" wrapText="1"/>
    </xf>
    <xf numFmtId="0" fontId="6" fillId="0" borderId="0" xfId="37" applyFont="1" applyAlignment="1">
      <alignment horizontal="left" vertical="center" wrapText="1"/>
    </xf>
    <xf numFmtId="0" fontId="5" fillId="19" borderId="15" xfId="37" applyFont="1" applyFill="1" applyBorder="1" applyAlignment="1">
      <alignment horizontal="center" vertical="center" wrapText="1"/>
    </xf>
    <xf numFmtId="0" fontId="5" fillId="19" borderId="11" xfId="37" applyFont="1" applyFill="1" applyBorder="1" applyAlignment="1">
      <alignment horizontal="center" vertical="center" wrapText="1"/>
    </xf>
    <xf numFmtId="0" fontId="5" fillId="19" borderId="10" xfId="37" applyFont="1" applyFill="1" applyBorder="1" applyAlignment="1">
      <alignment horizontal="center" vertical="center" wrapText="1"/>
    </xf>
    <xf numFmtId="0" fontId="8" fillId="19" borderId="21" xfId="37" applyFont="1" applyFill="1" applyBorder="1" applyAlignment="1">
      <alignment horizontal="center" vertical="center" wrapText="1"/>
    </xf>
    <xf numFmtId="0" fontId="8" fillId="19" borderId="18" xfId="37" applyFont="1" applyFill="1" applyBorder="1" applyAlignment="1">
      <alignment horizontal="center" vertical="center" wrapText="1"/>
    </xf>
    <xf numFmtId="0" fontId="8" fillId="19" borderId="22" xfId="37" applyFont="1" applyFill="1" applyBorder="1" applyAlignment="1">
      <alignment horizontal="center" vertical="center" wrapText="1"/>
    </xf>
    <xf numFmtId="0" fontId="8" fillId="19" borderId="23" xfId="37" applyFont="1" applyFill="1" applyBorder="1" applyAlignment="1">
      <alignment horizontal="center" vertical="center" wrapText="1"/>
    </xf>
    <xf numFmtId="0" fontId="8" fillId="19" borderId="0" xfId="37" applyFont="1" applyFill="1" applyBorder="1" applyAlignment="1">
      <alignment horizontal="center" vertical="center" wrapText="1"/>
    </xf>
    <xf numFmtId="0" fontId="8" fillId="19" borderId="24" xfId="37" applyFont="1" applyFill="1" applyBorder="1" applyAlignment="1">
      <alignment horizontal="center" vertical="center" wrapText="1"/>
    </xf>
    <xf numFmtId="0" fontId="8" fillId="19" borderId="13" xfId="37" applyFont="1" applyFill="1" applyBorder="1" applyAlignment="1">
      <alignment horizontal="center" vertical="center" wrapText="1"/>
    </xf>
    <xf numFmtId="0" fontId="8" fillId="19" borderId="25" xfId="37" applyFont="1" applyFill="1" applyBorder="1" applyAlignment="1">
      <alignment horizontal="center" vertical="center" wrapText="1"/>
    </xf>
    <xf numFmtId="0" fontId="8" fillId="19" borderId="16" xfId="37" applyFont="1" applyFill="1" applyBorder="1" applyAlignment="1">
      <alignment horizontal="center" vertical="center" wrapText="1"/>
    </xf>
    <xf numFmtId="3" fontId="2" fillId="0" borderId="15" xfId="37" applyNumberFormat="1" applyFont="1" applyFill="1" applyBorder="1" applyAlignment="1">
      <alignment horizontal="right" vertical="center" wrapText="1"/>
    </xf>
    <xf numFmtId="3" fontId="2" fillId="0" borderId="11" xfId="37" applyNumberFormat="1" applyFont="1" applyFill="1" applyBorder="1" applyAlignment="1">
      <alignment horizontal="right" vertical="center" wrapText="1"/>
    </xf>
    <xf numFmtId="0" fontId="5" fillId="19" borderId="14" xfId="37" applyFont="1" applyFill="1" applyBorder="1" applyAlignment="1">
      <alignment horizontal="center" vertical="center" wrapText="1"/>
    </xf>
    <xf numFmtId="0" fontId="5" fillId="19" borderId="21" xfId="37" applyFont="1" applyFill="1" applyBorder="1" applyAlignment="1">
      <alignment horizontal="center" vertical="center" wrapText="1"/>
    </xf>
    <xf numFmtId="0" fontId="5" fillId="19" borderId="23" xfId="37" applyFont="1" applyFill="1" applyBorder="1" applyAlignment="1">
      <alignment horizontal="center" vertical="center" wrapText="1"/>
    </xf>
    <xf numFmtId="0" fontId="5" fillId="19" borderId="13" xfId="37" applyFont="1" applyFill="1" applyBorder="1" applyAlignment="1">
      <alignment horizontal="center" vertical="center" wrapText="1"/>
    </xf>
    <xf numFmtId="0" fontId="29" fillId="19" borderId="10" xfId="37" applyFont="1" applyFill="1" applyBorder="1" applyAlignment="1">
      <alignment horizontal="center" vertical="center" wrapText="1"/>
    </xf>
    <xf numFmtId="0" fontId="27" fillId="0" borderId="0" xfId="37" applyFont="1" applyFill="1" applyBorder="1" applyAlignment="1">
      <alignment horizontal="center" vertical="center" wrapText="1"/>
    </xf>
    <xf numFmtId="0" fontId="28" fillId="19" borderId="19" xfId="37" applyFont="1" applyFill="1" applyBorder="1" applyAlignment="1">
      <alignment horizontal="center" vertical="center" wrapText="1"/>
    </xf>
    <xf numFmtId="0" fontId="28" fillId="19" borderId="20" xfId="37" applyFont="1" applyFill="1" applyBorder="1" applyAlignment="1">
      <alignment horizontal="center" vertical="center" wrapText="1"/>
    </xf>
    <xf numFmtId="0" fontId="28" fillId="19" borderId="12" xfId="37" applyFont="1" applyFill="1" applyBorder="1" applyAlignment="1">
      <alignment horizontal="center" vertical="center" wrapText="1"/>
    </xf>
    <xf numFmtId="0" fontId="7" fillId="19" borderId="23" xfId="37" applyFont="1" applyFill="1" applyBorder="1" applyAlignment="1">
      <alignment horizontal="center" vertical="center" wrapText="1"/>
    </xf>
    <xf numFmtId="0" fontId="7" fillId="19" borderId="13" xfId="37" applyFont="1" applyFill="1" applyBorder="1" applyAlignment="1">
      <alignment horizontal="center" vertical="center" wrapText="1"/>
    </xf>
    <xf numFmtId="0" fontId="28" fillId="19" borderId="15" xfId="37" applyFont="1" applyFill="1" applyBorder="1" applyAlignment="1">
      <alignment horizontal="center" vertical="center" wrapText="1"/>
    </xf>
    <xf numFmtId="0" fontId="28" fillId="19" borderId="14" xfId="37" applyFont="1" applyFill="1" applyBorder="1" applyAlignment="1">
      <alignment horizontal="center" vertical="center" wrapText="1"/>
    </xf>
    <xf numFmtId="0" fontId="28" fillId="19" borderId="11" xfId="37" applyFont="1" applyFill="1" applyBorder="1" applyAlignment="1">
      <alignment horizontal="center" vertical="center" wrapText="1"/>
    </xf>
    <xf numFmtId="0" fontId="2" fillId="19" borderId="15" xfId="37" applyFont="1" applyFill="1" applyBorder="1" applyAlignment="1">
      <alignment horizontal="center" vertical="center" wrapText="1"/>
    </xf>
    <xf numFmtId="0" fontId="2" fillId="19" borderId="14" xfId="37" applyFont="1" applyFill="1" applyBorder="1" applyAlignment="1">
      <alignment horizontal="center" vertical="center" wrapText="1"/>
    </xf>
    <xf numFmtId="0" fontId="2" fillId="19" borderId="11" xfId="37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4" fillId="19" borderId="10" xfId="37" applyNumberFormat="1" applyFont="1" applyFill="1" applyBorder="1" applyAlignment="1">
      <alignment horizontal="center" vertical="center" wrapText="1"/>
    </xf>
  </cellXfs>
  <cellStyles count="43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40% - Accent1" xfId="7" xr:uid="{00000000-0005-0000-0000-000006000000}"/>
    <cellStyle name="40% - Accent2" xfId="8" xr:uid="{00000000-0005-0000-0000-000007000000}"/>
    <cellStyle name="40% - Accent3" xfId="9" xr:uid="{00000000-0005-0000-0000-000008000000}"/>
    <cellStyle name="40% - Accent4" xfId="10" xr:uid="{00000000-0005-0000-0000-000009000000}"/>
    <cellStyle name="40% - Accent5" xfId="11" xr:uid="{00000000-0005-0000-0000-00000A000000}"/>
    <cellStyle name="40% - Accent6" xfId="12" xr:uid="{00000000-0005-0000-0000-00000B000000}"/>
    <cellStyle name="60% - Accent1" xfId="13" xr:uid="{00000000-0005-0000-0000-00000C000000}"/>
    <cellStyle name="60% - Accent2" xfId="14" xr:uid="{00000000-0005-0000-0000-00000D000000}"/>
    <cellStyle name="60% - Accent3" xfId="15" xr:uid="{00000000-0005-0000-0000-00000E000000}"/>
    <cellStyle name="60% - Accent4" xfId="16" xr:uid="{00000000-0005-0000-0000-00000F000000}"/>
    <cellStyle name="60% - Accent5" xfId="17" xr:uid="{00000000-0005-0000-0000-000010000000}"/>
    <cellStyle name="60% - Accent6" xfId="18" xr:uid="{00000000-0005-0000-0000-000011000000}"/>
    <cellStyle name="Accent1" xfId="19" xr:uid="{00000000-0005-0000-0000-000012000000}"/>
    <cellStyle name="Accent2" xfId="20" xr:uid="{00000000-0005-0000-0000-000013000000}"/>
    <cellStyle name="Accent3" xfId="21" xr:uid="{00000000-0005-0000-0000-000014000000}"/>
    <cellStyle name="Accent4" xfId="22" xr:uid="{00000000-0005-0000-0000-000015000000}"/>
    <cellStyle name="Accent5" xfId="23" xr:uid="{00000000-0005-0000-0000-000016000000}"/>
    <cellStyle name="Accent6" xfId="24" xr:uid="{00000000-0005-0000-0000-000017000000}"/>
    <cellStyle name="Bad" xfId="25" xr:uid="{00000000-0005-0000-0000-000018000000}"/>
    <cellStyle name="Calculation" xfId="26" xr:uid="{00000000-0005-0000-0000-000019000000}"/>
    <cellStyle name="Check Cell" xfId="27" xr:uid="{00000000-0005-0000-0000-00001A000000}"/>
    <cellStyle name="Explanatory Text" xfId="28" xr:uid="{00000000-0005-0000-0000-00001B000000}"/>
    <cellStyle name="Good" xfId="29" xr:uid="{00000000-0005-0000-0000-00001C000000}"/>
    <cellStyle name="Heading 1" xfId="30" xr:uid="{00000000-0005-0000-0000-00001D000000}"/>
    <cellStyle name="Heading 2" xfId="31" xr:uid="{00000000-0005-0000-0000-00001E000000}"/>
    <cellStyle name="Heading 3" xfId="32" xr:uid="{00000000-0005-0000-0000-00001F000000}"/>
    <cellStyle name="Heading 4" xfId="33" xr:uid="{00000000-0005-0000-0000-000020000000}"/>
    <cellStyle name="Input" xfId="34" xr:uid="{00000000-0005-0000-0000-000021000000}"/>
    <cellStyle name="Linked Cell" xfId="35" xr:uid="{00000000-0005-0000-0000-000022000000}"/>
    <cellStyle name="Neutral" xfId="36" xr:uid="{00000000-0005-0000-0000-000023000000}"/>
    <cellStyle name="Normalny" xfId="0" builtinId="0"/>
    <cellStyle name="Normalny_Zeszyt1" xfId="37" xr:uid="{00000000-0005-0000-0000-000025000000}"/>
    <cellStyle name="Note" xfId="38" xr:uid="{00000000-0005-0000-0000-000026000000}"/>
    <cellStyle name="Output" xfId="39" xr:uid="{00000000-0005-0000-0000-000027000000}"/>
    <cellStyle name="Title" xfId="40" xr:uid="{00000000-0005-0000-0000-000028000000}"/>
    <cellStyle name="Total" xfId="41" xr:uid="{00000000-0005-0000-0000-000029000000}"/>
    <cellStyle name="Warning Text" xfId="42" xr:uid="{00000000-0005-0000-0000-00002A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5F5F5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CDCD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Q96"/>
  <sheetViews>
    <sheetView tabSelected="1" zoomScaleNormal="100" zoomScaleSheetLayoutView="50" workbookViewId="0">
      <selection sqref="A1:M1"/>
    </sheetView>
  </sheetViews>
  <sheetFormatPr defaultRowHeight="13.5" customHeight="1" x14ac:dyDescent="0.2"/>
  <cols>
    <col min="1" max="1" width="22.5703125" style="2" customWidth="1"/>
    <col min="2" max="3" width="13.7109375" style="2" customWidth="1"/>
    <col min="4" max="6" width="11.42578125" style="2" customWidth="1"/>
    <col min="7" max="7" width="12.140625" style="2" customWidth="1"/>
    <col min="8" max="8" width="12" style="2" customWidth="1"/>
    <col min="9" max="9" width="11.7109375" style="2" customWidth="1"/>
    <col min="10" max="10" width="12.85546875" style="2" customWidth="1"/>
    <col min="11" max="11" width="12.140625" style="2" customWidth="1"/>
    <col min="12" max="12" width="11.42578125" style="2" customWidth="1"/>
    <col min="13" max="13" width="10" style="2" customWidth="1"/>
    <col min="14" max="14" width="10.28515625" style="2" customWidth="1"/>
    <col min="15" max="16" width="11.140625" style="2" customWidth="1"/>
    <col min="17" max="16384" width="9.140625" style="2"/>
  </cols>
  <sheetData>
    <row r="1" spans="1:17" ht="75" customHeight="1" x14ac:dyDescent="0.2">
      <c r="A1" s="30" t="str">
        <f>CONCATENATE("Informacja z wykonania budżetów województw za  ",$C$93," ",$B$94," roku    ",$B$96,"")</f>
        <v xml:space="preserve">Informacja z wykonania budżetów województw za  IV Kwartały 2024 roku    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</row>
    <row r="2" spans="1:17" ht="13.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7" ht="13.5" customHeight="1" x14ac:dyDescent="0.2">
      <c r="A3" s="40" t="s">
        <v>62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</row>
    <row r="5" spans="1:17" ht="13.5" customHeight="1" x14ac:dyDescent="0.2">
      <c r="B5" s="12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11"/>
      <c r="O5" s="11"/>
      <c r="P5" s="11"/>
      <c r="Q5" s="11"/>
    </row>
    <row r="6" spans="1:17" ht="13.5" customHeight="1" x14ac:dyDescent="0.2">
      <c r="A6" s="61" t="s">
        <v>0</v>
      </c>
      <c r="B6" s="31" t="s">
        <v>63</v>
      </c>
      <c r="C6" s="26" t="s">
        <v>67</v>
      </c>
      <c r="D6" s="27"/>
      <c r="E6" s="27"/>
      <c r="F6" s="27"/>
      <c r="G6" s="27"/>
      <c r="H6" s="27"/>
      <c r="I6" s="27"/>
      <c r="J6" s="27"/>
      <c r="K6" s="27"/>
      <c r="L6" s="27"/>
      <c r="M6" s="27"/>
      <c r="N6" s="28"/>
      <c r="O6" s="26" t="s">
        <v>66</v>
      </c>
      <c r="P6" s="27"/>
      <c r="Q6" s="28"/>
    </row>
    <row r="7" spans="1:17" ht="13.5" customHeight="1" x14ac:dyDescent="0.2">
      <c r="A7" s="62"/>
      <c r="B7" s="32"/>
      <c r="C7" s="33" t="s">
        <v>64</v>
      </c>
      <c r="D7" s="33" t="s">
        <v>75</v>
      </c>
      <c r="E7" s="33" t="s">
        <v>68</v>
      </c>
      <c r="F7" s="33" t="s">
        <v>69</v>
      </c>
      <c r="G7" s="33" t="s">
        <v>27</v>
      </c>
      <c r="H7" s="33" t="s">
        <v>28</v>
      </c>
      <c r="I7" s="64" t="s">
        <v>65</v>
      </c>
      <c r="J7" s="33" t="s">
        <v>16</v>
      </c>
      <c r="K7" s="33" t="s">
        <v>17</v>
      </c>
      <c r="L7" s="33" t="s">
        <v>18</v>
      </c>
      <c r="M7" s="33" t="s">
        <v>19</v>
      </c>
      <c r="N7" s="32" t="s">
        <v>20</v>
      </c>
      <c r="O7" s="29" t="s">
        <v>21</v>
      </c>
      <c r="P7" s="29" t="s">
        <v>22</v>
      </c>
      <c r="Q7" s="29" t="s">
        <v>23</v>
      </c>
    </row>
    <row r="8" spans="1:17" ht="13.5" customHeight="1" x14ac:dyDescent="0.2">
      <c r="A8" s="62"/>
      <c r="B8" s="32"/>
      <c r="C8" s="29"/>
      <c r="D8" s="29"/>
      <c r="E8" s="29"/>
      <c r="F8" s="29"/>
      <c r="G8" s="29"/>
      <c r="H8" s="29"/>
      <c r="I8" s="64"/>
      <c r="J8" s="29"/>
      <c r="K8" s="29"/>
      <c r="L8" s="29"/>
      <c r="M8" s="29"/>
      <c r="N8" s="32"/>
      <c r="O8" s="29"/>
      <c r="P8" s="29"/>
      <c r="Q8" s="29"/>
    </row>
    <row r="9" spans="1:17" ht="11.25" customHeight="1" x14ac:dyDescent="0.2">
      <c r="A9" s="62"/>
      <c r="B9" s="32"/>
      <c r="C9" s="29"/>
      <c r="D9" s="29"/>
      <c r="E9" s="29"/>
      <c r="F9" s="29"/>
      <c r="G9" s="29"/>
      <c r="H9" s="29"/>
      <c r="I9" s="64"/>
      <c r="J9" s="29"/>
      <c r="K9" s="29"/>
      <c r="L9" s="29"/>
      <c r="M9" s="29"/>
      <c r="N9" s="32"/>
      <c r="O9" s="29"/>
      <c r="P9" s="29"/>
      <c r="Q9" s="29"/>
    </row>
    <row r="10" spans="1:17" ht="27.75" customHeight="1" x14ac:dyDescent="0.2">
      <c r="A10" s="63"/>
      <c r="B10" s="33"/>
      <c r="C10" s="29"/>
      <c r="D10" s="29"/>
      <c r="E10" s="29"/>
      <c r="F10" s="29"/>
      <c r="G10" s="29"/>
      <c r="H10" s="29"/>
      <c r="I10" s="65"/>
      <c r="J10" s="29"/>
      <c r="K10" s="29"/>
      <c r="L10" s="29"/>
      <c r="M10" s="29"/>
      <c r="N10" s="33"/>
      <c r="O10" s="29"/>
      <c r="P10" s="29"/>
      <c r="Q10" s="29"/>
    </row>
    <row r="11" spans="1:17" ht="15" customHeight="1" x14ac:dyDescent="0.2">
      <c r="A11" s="13">
        <v>1</v>
      </c>
      <c r="B11" s="13">
        <v>2</v>
      </c>
      <c r="C11" s="13">
        <v>3</v>
      </c>
      <c r="D11" s="13">
        <v>4</v>
      </c>
      <c r="E11" s="13">
        <v>5</v>
      </c>
      <c r="F11" s="13">
        <v>6</v>
      </c>
      <c r="G11" s="13">
        <v>7</v>
      </c>
      <c r="H11" s="13">
        <v>8</v>
      </c>
      <c r="I11" s="13">
        <v>9</v>
      </c>
      <c r="J11" s="13">
        <v>10</v>
      </c>
      <c r="K11" s="13">
        <v>11</v>
      </c>
      <c r="L11" s="13">
        <v>12</v>
      </c>
      <c r="M11" s="13">
        <v>13</v>
      </c>
      <c r="N11" s="13">
        <v>14</v>
      </c>
      <c r="O11" s="13">
        <v>15</v>
      </c>
      <c r="P11" s="13">
        <v>16</v>
      </c>
      <c r="Q11" s="13">
        <v>17</v>
      </c>
    </row>
    <row r="12" spans="1:17" ht="13.5" customHeight="1" x14ac:dyDescent="0.2">
      <c r="A12" s="13"/>
      <c r="B12" s="69" t="s">
        <v>78</v>
      </c>
      <c r="C12" s="70"/>
      <c r="D12" s="70"/>
      <c r="E12" s="70"/>
      <c r="F12" s="70"/>
      <c r="G12" s="70"/>
      <c r="H12" s="70"/>
      <c r="I12" s="70"/>
      <c r="J12" s="70"/>
      <c r="K12" s="70"/>
      <c r="L12" s="70"/>
      <c r="M12" s="70"/>
      <c r="N12" s="70"/>
      <c r="O12" s="70"/>
      <c r="P12" s="70"/>
      <c r="Q12" s="71"/>
    </row>
    <row r="13" spans="1:17" ht="43.5" customHeight="1" x14ac:dyDescent="0.2">
      <c r="A13" s="19" t="s">
        <v>79</v>
      </c>
      <c r="B13" s="20">
        <f>4601117094.32</f>
        <v>4601117094.3199997</v>
      </c>
      <c r="C13" s="20">
        <f>2790916292.2</f>
        <v>2790916292.1999998</v>
      </c>
      <c r="D13" s="20">
        <f>159242180.48</f>
        <v>159242180.47999999</v>
      </c>
      <c r="E13" s="20">
        <f>158000000</f>
        <v>158000000</v>
      </c>
      <c r="F13" s="20">
        <f>0</f>
        <v>0</v>
      </c>
      <c r="G13" s="20">
        <f>1242180.48</f>
        <v>1242180.48</v>
      </c>
      <c r="H13" s="20">
        <f>0</f>
        <v>0</v>
      </c>
      <c r="I13" s="20">
        <f>0</f>
        <v>0</v>
      </c>
      <c r="J13" s="20">
        <f>2489252597.26</f>
        <v>2489252597.2600002</v>
      </c>
      <c r="K13" s="20">
        <f>0</f>
        <v>0</v>
      </c>
      <c r="L13" s="20">
        <f>142138111.75</f>
        <v>142138111.75</v>
      </c>
      <c r="M13" s="20">
        <f>276268.01</f>
        <v>276268.01</v>
      </c>
      <c r="N13" s="20">
        <f>7134.7</f>
        <v>7134.7</v>
      </c>
      <c r="O13" s="20">
        <f>1810200802.12</f>
        <v>1810200802.1199999</v>
      </c>
      <c r="P13" s="20">
        <f>1810200802.12</f>
        <v>1810200802.1199999</v>
      </c>
      <c r="Q13" s="20">
        <f>0</f>
        <v>0</v>
      </c>
    </row>
    <row r="14" spans="1:17" ht="28.5" customHeight="1" x14ac:dyDescent="0.2">
      <c r="A14" s="19" t="s">
        <v>45</v>
      </c>
      <c r="B14" s="20">
        <f>585950000</f>
        <v>585950000</v>
      </c>
      <c r="C14" s="20">
        <f>585950000</f>
        <v>585950000</v>
      </c>
      <c r="D14" s="20">
        <f>0</f>
        <v>0</v>
      </c>
      <c r="E14" s="20">
        <f>0</f>
        <v>0</v>
      </c>
      <c r="F14" s="20">
        <f>0</f>
        <v>0</v>
      </c>
      <c r="G14" s="20">
        <f>0</f>
        <v>0</v>
      </c>
      <c r="H14" s="20">
        <f>0</f>
        <v>0</v>
      </c>
      <c r="I14" s="20">
        <f>0</f>
        <v>0</v>
      </c>
      <c r="J14" s="20">
        <f>585950000</f>
        <v>585950000</v>
      </c>
      <c r="K14" s="20">
        <f>0</f>
        <v>0</v>
      </c>
      <c r="L14" s="20">
        <f>0</f>
        <v>0</v>
      </c>
      <c r="M14" s="20">
        <f>0</f>
        <v>0</v>
      </c>
      <c r="N14" s="20">
        <f>0</f>
        <v>0</v>
      </c>
      <c r="O14" s="20">
        <f>0</f>
        <v>0</v>
      </c>
      <c r="P14" s="20">
        <f>0</f>
        <v>0</v>
      </c>
      <c r="Q14" s="20">
        <f>0</f>
        <v>0</v>
      </c>
    </row>
    <row r="15" spans="1:17" ht="22.5" customHeight="1" x14ac:dyDescent="0.2">
      <c r="A15" s="17" t="s">
        <v>46</v>
      </c>
      <c r="B15" s="21">
        <f>0</f>
        <v>0</v>
      </c>
      <c r="C15" s="21">
        <f>0</f>
        <v>0</v>
      </c>
      <c r="D15" s="21">
        <f>0</f>
        <v>0</v>
      </c>
      <c r="E15" s="21">
        <f>0</f>
        <v>0</v>
      </c>
      <c r="F15" s="21">
        <f>0</f>
        <v>0</v>
      </c>
      <c r="G15" s="21">
        <f>0</f>
        <v>0</v>
      </c>
      <c r="H15" s="21">
        <f>0</f>
        <v>0</v>
      </c>
      <c r="I15" s="21">
        <f>0</f>
        <v>0</v>
      </c>
      <c r="J15" s="21">
        <f>0</f>
        <v>0</v>
      </c>
      <c r="K15" s="21">
        <f>0</f>
        <v>0</v>
      </c>
      <c r="L15" s="21">
        <f>0</f>
        <v>0</v>
      </c>
      <c r="M15" s="21">
        <f>0</f>
        <v>0</v>
      </c>
      <c r="N15" s="21">
        <f>0</f>
        <v>0</v>
      </c>
      <c r="O15" s="21">
        <f>0</f>
        <v>0</v>
      </c>
      <c r="P15" s="21">
        <f>0</f>
        <v>0</v>
      </c>
      <c r="Q15" s="21">
        <f>0</f>
        <v>0</v>
      </c>
    </row>
    <row r="16" spans="1:17" ht="22.5" customHeight="1" x14ac:dyDescent="0.2">
      <c r="A16" s="17" t="s">
        <v>47</v>
      </c>
      <c r="B16" s="21">
        <f>585950000</f>
        <v>585950000</v>
      </c>
      <c r="C16" s="21">
        <f>585950000</f>
        <v>585950000</v>
      </c>
      <c r="D16" s="21">
        <f>0</f>
        <v>0</v>
      </c>
      <c r="E16" s="21">
        <f>0</f>
        <v>0</v>
      </c>
      <c r="F16" s="21">
        <f>0</f>
        <v>0</v>
      </c>
      <c r="G16" s="21">
        <f>0</f>
        <v>0</v>
      </c>
      <c r="H16" s="21">
        <f>0</f>
        <v>0</v>
      </c>
      <c r="I16" s="21">
        <f>0</f>
        <v>0</v>
      </c>
      <c r="J16" s="21">
        <f>585950000</f>
        <v>585950000</v>
      </c>
      <c r="K16" s="21">
        <f>0</f>
        <v>0</v>
      </c>
      <c r="L16" s="21">
        <f>0</f>
        <v>0</v>
      </c>
      <c r="M16" s="21">
        <f>0</f>
        <v>0</v>
      </c>
      <c r="N16" s="21">
        <f>0</f>
        <v>0</v>
      </c>
      <c r="O16" s="21">
        <f>0</f>
        <v>0</v>
      </c>
      <c r="P16" s="21">
        <f>0</f>
        <v>0</v>
      </c>
      <c r="Q16" s="21">
        <f>0</f>
        <v>0</v>
      </c>
    </row>
    <row r="17" spans="1:17" ht="36" customHeight="1" x14ac:dyDescent="0.2">
      <c r="A17" s="19" t="s">
        <v>48</v>
      </c>
      <c r="B17" s="20">
        <f>4014691401.86</f>
        <v>4014691401.8600001</v>
      </c>
      <c r="C17" s="20">
        <f>2204490599.74</f>
        <v>2204490599.7399998</v>
      </c>
      <c r="D17" s="20">
        <f>159223652.48</f>
        <v>159223652.47999999</v>
      </c>
      <c r="E17" s="20">
        <f>158000000</f>
        <v>158000000</v>
      </c>
      <c r="F17" s="20">
        <f>0</f>
        <v>0</v>
      </c>
      <c r="G17" s="20">
        <f>1223652.48</f>
        <v>1223652.48</v>
      </c>
      <c r="H17" s="20">
        <f>0</f>
        <v>0</v>
      </c>
      <c r="I17" s="20">
        <f>0</f>
        <v>0</v>
      </c>
      <c r="J17" s="20">
        <f>1903302597.26</f>
        <v>1903302597.26</v>
      </c>
      <c r="K17" s="20">
        <f>0</f>
        <v>0</v>
      </c>
      <c r="L17" s="20">
        <f>141964350</f>
        <v>141964350</v>
      </c>
      <c r="M17" s="20">
        <f>0</f>
        <v>0</v>
      </c>
      <c r="N17" s="20">
        <f>0</f>
        <v>0</v>
      </c>
      <c r="O17" s="20">
        <f>1810200802.12</f>
        <v>1810200802.1199999</v>
      </c>
      <c r="P17" s="20">
        <f>1810200802.12</f>
        <v>1810200802.1199999</v>
      </c>
      <c r="Q17" s="20">
        <f>0</f>
        <v>0</v>
      </c>
    </row>
    <row r="18" spans="1:17" ht="22.5" customHeight="1" x14ac:dyDescent="0.2">
      <c r="A18" s="17" t="s">
        <v>49</v>
      </c>
      <c r="B18" s="21">
        <f>0</f>
        <v>0</v>
      </c>
      <c r="C18" s="21">
        <f>0</f>
        <v>0</v>
      </c>
      <c r="D18" s="21">
        <f>0</f>
        <v>0</v>
      </c>
      <c r="E18" s="21">
        <f>0</f>
        <v>0</v>
      </c>
      <c r="F18" s="21">
        <f>0</f>
        <v>0</v>
      </c>
      <c r="G18" s="21">
        <f>0</f>
        <v>0</v>
      </c>
      <c r="H18" s="21">
        <f>0</f>
        <v>0</v>
      </c>
      <c r="I18" s="21">
        <f>0</f>
        <v>0</v>
      </c>
      <c r="J18" s="21">
        <f>0</f>
        <v>0</v>
      </c>
      <c r="K18" s="21">
        <f>0</f>
        <v>0</v>
      </c>
      <c r="L18" s="21">
        <f>0</f>
        <v>0</v>
      </c>
      <c r="M18" s="21">
        <f>0</f>
        <v>0</v>
      </c>
      <c r="N18" s="21">
        <f>0</f>
        <v>0</v>
      </c>
      <c r="O18" s="21">
        <f>0</f>
        <v>0</v>
      </c>
      <c r="P18" s="21">
        <f>0</f>
        <v>0</v>
      </c>
      <c r="Q18" s="21">
        <f>0</f>
        <v>0</v>
      </c>
    </row>
    <row r="19" spans="1:17" ht="22.5" customHeight="1" x14ac:dyDescent="0.2">
      <c r="A19" s="17" t="s">
        <v>50</v>
      </c>
      <c r="B19" s="21">
        <f>4014691401.86</f>
        <v>4014691401.8600001</v>
      </c>
      <c r="C19" s="21">
        <f>2204490599.74</f>
        <v>2204490599.7399998</v>
      </c>
      <c r="D19" s="21">
        <f>159223652.48</f>
        <v>159223652.47999999</v>
      </c>
      <c r="E19" s="21">
        <f>158000000</f>
        <v>158000000</v>
      </c>
      <c r="F19" s="21">
        <f>0</f>
        <v>0</v>
      </c>
      <c r="G19" s="21">
        <f>1223652.48</f>
        <v>1223652.48</v>
      </c>
      <c r="H19" s="21">
        <f>0</f>
        <v>0</v>
      </c>
      <c r="I19" s="21">
        <f>0</f>
        <v>0</v>
      </c>
      <c r="J19" s="21">
        <f>1903302597.26</f>
        <v>1903302597.26</v>
      </c>
      <c r="K19" s="21">
        <f>0</f>
        <v>0</v>
      </c>
      <c r="L19" s="21">
        <f>141964350</f>
        <v>141964350</v>
      </c>
      <c r="M19" s="21">
        <f>0</f>
        <v>0</v>
      </c>
      <c r="N19" s="21">
        <f>0</f>
        <v>0</v>
      </c>
      <c r="O19" s="21">
        <f>1810200802.12</f>
        <v>1810200802.1199999</v>
      </c>
      <c r="P19" s="21">
        <f>1810200802.12</f>
        <v>1810200802.1199999</v>
      </c>
      <c r="Q19" s="21">
        <f>0</f>
        <v>0</v>
      </c>
    </row>
    <row r="20" spans="1:17" ht="36" customHeight="1" x14ac:dyDescent="0.2">
      <c r="A20" s="19" t="s">
        <v>51</v>
      </c>
      <c r="B20" s="20">
        <f>0</f>
        <v>0</v>
      </c>
      <c r="C20" s="20">
        <f>0</f>
        <v>0</v>
      </c>
      <c r="D20" s="20">
        <f>0</f>
        <v>0</v>
      </c>
      <c r="E20" s="20">
        <f>0</f>
        <v>0</v>
      </c>
      <c r="F20" s="20">
        <f>0</f>
        <v>0</v>
      </c>
      <c r="G20" s="20">
        <f>0</f>
        <v>0</v>
      </c>
      <c r="H20" s="20">
        <f>0</f>
        <v>0</v>
      </c>
      <c r="I20" s="20">
        <f>0</f>
        <v>0</v>
      </c>
      <c r="J20" s="20">
        <f>0</f>
        <v>0</v>
      </c>
      <c r="K20" s="20">
        <f>0</f>
        <v>0</v>
      </c>
      <c r="L20" s="20">
        <f>0</f>
        <v>0</v>
      </c>
      <c r="M20" s="20">
        <f>0</f>
        <v>0</v>
      </c>
      <c r="N20" s="20">
        <f>0</f>
        <v>0</v>
      </c>
      <c r="O20" s="20">
        <f>0</f>
        <v>0</v>
      </c>
      <c r="P20" s="20">
        <f>0</f>
        <v>0</v>
      </c>
      <c r="Q20" s="20">
        <f>0</f>
        <v>0</v>
      </c>
    </row>
    <row r="21" spans="1:17" ht="36" customHeight="1" x14ac:dyDescent="0.2">
      <c r="A21" s="19" t="s">
        <v>52</v>
      </c>
      <c r="B21" s="20">
        <f>475692.46</f>
        <v>475692.46</v>
      </c>
      <c r="C21" s="20">
        <f>475692.46</f>
        <v>475692.46</v>
      </c>
      <c r="D21" s="20">
        <f>18528</f>
        <v>18528</v>
      </c>
      <c r="E21" s="20">
        <f>0</f>
        <v>0</v>
      </c>
      <c r="F21" s="20">
        <f>0</f>
        <v>0</v>
      </c>
      <c r="G21" s="20">
        <f>18528</f>
        <v>18528</v>
      </c>
      <c r="H21" s="20">
        <f>0</f>
        <v>0</v>
      </c>
      <c r="I21" s="20">
        <f>0</f>
        <v>0</v>
      </c>
      <c r="J21" s="20">
        <f>0</f>
        <v>0</v>
      </c>
      <c r="K21" s="20">
        <f>0</f>
        <v>0</v>
      </c>
      <c r="L21" s="20">
        <f>173761.75</f>
        <v>173761.75</v>
      </c>
      <c r="M21" s="20">
        <f>276268.01</f>
        <v>276268.01</v>
      </c>
      <c r="N21" s="20">
        <f>7134.7</f>
        <v>7134.7</v>
      </c>
      <c r="O21" s="20">
        <f>0</f>
        <v>0</v>
      </c>
      <c r="P21" s="20">
        <f>0</f>
        <v>0</v>
      </c>
      <c r="Q21" s="20">
        <f>0</f>
        <v>0</v>
      </c>
    </row>
    <row r="22" spans="1:17" ht="30" customHeight="1" x14ac:dyDescent="0.2">
      <c r="A22" s="17" t="s">
        <v>53</v>
      </c>
      <c r="B22" s="21">
        <f>224042.67</f>
        <v>224042.67</v>
      </c>
      <c r="C22" s="21">
        <f>224042.67</f>
        <v>224042.67</v>
      </c>
      <c r="D22" s="21">
        <f>18528</f>
        <v>18528</v>
      </c>
      <c r="E22" s="21">
        <f>0</f>
        <v>0</v>
      </c>
      <c r="F22" s="21">
        <f>0</f>
        <v>0</v>
      </c>
      <c r="G22" s="21">
        <f>18528</f>
        <v>18528</v>
      </c>
      <c r="H22" s="21">
        <f>0</f>
        <v>0</v>
      </c>
      <c r="I22" s="21">
        <f>0</f>
        <v>0</v>
      </c>
      <c r="J22" s="21">
        <f>0</f>
        <v>0</v>
      </c>
      <c r="K22" s="21">
        <f>0</f>
        <v>0</v>
      </c>
      <c r="L22" s="21">
        <f>171368.2</f>
        <v>171368.2</v>
      </c>
      <c r="M22" s="21">
        <f>27011.77</f>
        <v>27011.77</v>
      </c>
      <c r="N22" s="21">
        <f>7134.7</f>
        <v>7134.7</v>
      </c>
      <c r="O22" s="21">
        <f>0</f>
        <v>0</v>
      </c>
      <c r="P22" s="21">
        <f>0</f>
        <v>0</v>
      </c>
      <c r="Q22" s="21">
        <f>0</f>
        <v>0</v>
      </c>
    </row>
    <row r="23" spans="1:17" ht="28.5" customHeight="1" x14ac:dyDescent="0.2">
      <c r="A23" s="17" t="s">
        <v>54</v>
      </c>
      <c r="B23" s="21">
        <f>251649.79</f>
        <v>251649.79</v>
      </c>
      <c r="C23" s="21">
        <f>251649.79</f>
        <v>251649.79</v>
      </c>
      <c r="D23" s="21">
        <f>0</f>
        <v>0</v>
      </c>
      <c r="E23" s="21">
        <f>0</f>
        <v>0</v>
      </c>
      <c r="F23" s="21">
        <f>0</f>
        <v>0</v>
      </c>
      <c r="G23" s="21">
        <f>0</f>
        <v>0</v>
      </c>
      <c r="H23" s="21">
        <f>0</f>
        <v>0</v>
      </c>
      <c r="I23" s="21">
        <f>0</f>
        <v>0</v>
      </c>
      <c r="J23" s="21">
        <f>0</f>
        <v>0</v>
      </c>
      <c r="K23" s="21">
        <f>0</f>
        <v>0</v>
      </c>
      <c r="L23" s="21">
        <f>2393.55</f>
        <v>2393.5500000000002</v>
      </c>
      <c r="M23" s="21">
        <f>249256.24</f>
        <v>249256.24</v>
      </c>
      <c r="N23" s="21">
        <f>0</f>
        <v>0</v>
      </c>
      <c r="O23" s="21">
        <f>0</f>
        <v>0</v>
      </c>
      <c r="P23" s="21">
        <f>0</f>
        <v>0</v>
      </c>
      <c r="Q23" s="21">
        <f>0</f>
        <v>0</v>
      </c>
    </row>
    <row r="24" spans="1:17" ht="19.5" customHeight="1" x14ac:dyDescent="0.2">
      <c r="A24" s="15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</row>
    <row r="25" spans="1:17" ht="19.5" customHeight="1" x14ac:dyDescent="0.2">
      <c r="A25" s="15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</row>
    <row r="26" spans="1:17" ht="19.5" customHeight="1" x14ac:dyDescent="0.2">
      <c r="A26" s="15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</row>
    <row r="27" spans="1:17" ht="19.5" customHeight="1" x14ac:dyDescent="0.2">
      <c r="A27" s="15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</row>
    <row r="28" spans="1:17" ht="19.5" customHeight="1" x14ac:dyDescent="0.2">
      <c r="A28" s="15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</row>
    <row r="29" spans="1:17" ht="45.75" customHeight="1" x14ac:dyDescent="0.2">
      <c r="A29" s="30" t="str">
        <f>CONCATENATE("Informacja z wykonania budżetów województw za  ",$C$93," ",$B$94," roku    ",$B$96,"")</f>
        <v xml:space="preserve">Informacja z wykonania budżetów województw za  IV Kwartały 2024 roku    </v>
      </c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</row>
    <row r="31" spans="1:17" ht="13.5" customHeight="1" x14ac:dyDescent="0.2">
      <c r="A31" s="40" t="s">
        <v>11</v>
      </c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</row>
    <row r="33" spans="1:17" ht="13.5" customHeight="1" x14ac:dyDescent="0.2">
      <c r="A33" s="61" t="s">
        <v>0</v>
      </c>
      <c r="B33" s="31" t="s">
        <v>12</v>
      </c>
      <c r="C33" s="66" t="s">
        <v>14</v>
      </c>
      <c r="D33" s="67"/>
      <c r="E33" s="67"/>
      <c r="F33" s="67"/>
      <c r="G33" s="67"/>
      <c r="H33" s="67"/>
      <c r="I33" s="67"/>
      <c r="J33" s="67"/>
      <c r="K33" s="67"/>
      <c r="L33" s="67"/>
      <c r="M33" s="67"/>
      <c r="N33" s="68"/>
      <c r="O33" s="66" t="s">
        <v>24</v>
      </c>
      <c r="P33" s="67"/>
      <c r="Q33" s="68"/>
    </row>
    <row r="34" spans="1:17" ht="13.5" customHeight="1" x14ac:dyDescent="0.2">
      <c r="A34" s="62"/>
      <c r="B34" s="32"/>
      <c r="C34" s="32" t="s">
        <v>13</v>
      </c>
      <c r="D34" s="29" t="s">
        <v>15</v>
      </c>
      <c r="E34" s="29" t="s">
        <v>25</v>
      </c>
      <c r="F34" s="29" t="s">
        <v>26</v>
      </c>
      <c r="G34" s="29" t="s">
        <v>72</v>
      </c>
      <c r="H34" s="29" t="s">
        <v>28</v>
      </c>
      <c r="I34" s="29" t="s">
        <v>1</v>
      </c>
      <c r="J34" s="29" t="s">
        <v>16</v>
      </c>
      <c r="K34" s="29" t="s">
        <v>17</v>
      </c>
      <c r="L34" s="29" t="s">
        <v>18</v>
      </c>
      <c r="M34" s="29" t="s">
        <v>19</v>
      </c>
      <c r="N34" s="34" t="s">
        <v>20</v>
      </c>
      <c r="O34" s="29" t="s">
        <v>21</v>
      </c>
      <c r="P34" s="29" t="s">
        <v>22</v>
      </c>
      <c r="Q34" s="31" t="s">
        <v>23</v>
      </c>
    </row>
    <row r="35" spans="1:17" ht="13.5" customHeight="1" x14ac:dyDescent="0.2">
      <c r="A35" s="62"/>
      <c r="B35" s="32"/>
      <c r="C35" s="32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34"/>
      <c r="O35" s="29"/>
      <c r="P35" s="29"/>
      <c r="Q35" s="32"/>
    </row>
    <row r="36" spans="1:17" ht="11.25" customHeight="1" x14ac:dyDescent="0.2">
      <c r="A36" s="62"/>
      <c r="B36" s="32"/>
      <c r="C36" s="32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34"/>
      <c r="O36" s="29"/>
      <c r="P36" s="29"/>
      <c r="Q36" s="32"/>
    </row>
    <row r="37" spans="1:17" ht="11.25" customHeight="1" x14ac:dyDescent="0.2">
      <c r="A37" s="63"/>
      <c r="B37" s="33"/>
      <c r="C37" s="33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34"/>
      <c r="O37" s="29"/>
      <c r="P37" s="29"/>
      <c r="Q37" s="33"/>
    </row>
    <row r="38" spans="1:17" ht="11.25" customHeight="1" x14ac:dyDescent="0.2">
      <c r="A38" s="13">
        <v>1</v>
      </c>
      <c r="B38" s="13">
        <v>2</v>
      </c>
      <c r="C38" s="13">
        <v>3</v>
      </c>
      <c r="D38" s="13">
        <v>4</v>
      </c>
      <c r="E38" s="13">
        <v>5</v>
      </c>
      <c r="F38" s="13">
        <v>6</v>
      </c>
      <c r="G38" s="13">
        <v>7</v>
      </c>
      <c r="H38" s="13">
        <v>8</v>
      </c>
      <c r="I38" s="13">
        <v>9</v>
      </c>
      <c r="J38" s="13">
        <v>10</v>
      </c>
      <c r="K38" s="13">
        <v>11</v>
      </c>
      <c r="L38" s="13">
        <v>12</v>
      </c>
      <c r="M38" s="13">
        <v>13</v>
      </c>
      <c r="N38" s="13">
        <v>14</v>
      </c>
      <c r="O38" s="13">
        <v>15</v>
      </c>
      <c r="P38" s="13">
        <v>16</v>
      </c>
      <c r="Q38" s="13">
        <v>17</v>
      </c>
    </row>
    <row r="39" spans="1:17" ht="13.5" customHeight="1" x14ac:dyDescent="0.2">
      <c r="A39" s="13"/>
      <c r="B39" s="69" t="s">
        <v>78</v>
      </c>
      <c r="C39" s="70"/>
      <c r="D39" s="70"/>
      <c r="E39" s="70"/>
      <c r="F39" s="70"/>
      <c r="G39" s="70"/>
      <c r="H39" s="70"/>
      <c r="I39" s="70"/>
      <c r="J39" s="70"/>
      <c r="K39" s="70"/>
      <c r="L39" s="70"/>
      <c r="M39" s="70"/>
      <c r="N39" s="70"/>
      <c r="O39" s="70"/>
      <c r="P39" s="70"/>
      <c r="Q39" s="71"/>
    </row>
    <row r="40" spans="1:17" ht="30.75" customHeight="1" x14ac:dyDescent="0.2">
      <c r="A40" s="24" t="s">
        <v>40</v>
      </c>
      <c r="B40" s="22">
        <f>0</f>
        <v>0</v>
      </c>
      <c r="C40" s="22">
        <f>0</f>
        <v>0</v>
      </c>
      <c r="D40" s="22">
        <f>0</f>
        <v>0</v>
      </c>
      <c r="E40" s="22">
        <f>0</f>
        <v>0</v>
      </c>
      <c r="F40" s="22">
        <f>0</f>
        <v>0</v>
      </c>
      <c r="G40" s="22">
        <f>0</f>
        <v>0</v>
      </c>
      <c r="H40" s="22">
        <f>0</f>
        <v>0</v>
      </c>
      <c r="I40" s="22">
        <f>0</f>
        <v>0</v>
      </c>
      <c r="J40" s="22">
        <f>0</f>
        <v>0</v>
      </c>
      <c r="K40" s="22">
        <f>0</f>
        <v>0</v>
      </c>
      <c r="L40" s="22">
        <f>0</f>
        <v>0</v>
      </c>
      <c r="M40" s="22">
        <f>0</f>
        <v>0</v>
      </c>
      <c r="N40" s="22">
        <f>0</f>
        <v>0</v>
      </c>
      <c r="O40" s="22">
        <f>0</f>
        <v>0</v>
      </c>
      <c r="P40" s="22">
        <f>0</f>
        <v>0</v>
      </c>
      <c r="Q40" s="22">
        <f>0</f>
        <v>0</v>
      </c>
    </row>
    <row r="41" spans="1:17" ht="24" customHeight="1" x14ac:dyDescent="0.2">
      <c r="A41" s="18" t="s">
        <v>29</v>
      </c>
      <c r="B41" s="23">
        <f>0</f>
        <v>0</v>
      </c>
      <c r="C41" s="23">
        <f>0</f>
        <v>0</v>
      </c>
      <c r="D41" s="23">
        <f>0</f>
        <v>0</v>
      </c>
      <c r="E41" s="23">
        <f>0</f>
        <v>0</v>
      </c>
      <c r="F41" s="23">
        <f>0</f>
        <v>0</v>
      </c>
      <c r="G41" s="23">
        <f>0</f>
        <v>0</v>
      </c>
      <c r="H41" s="23">
        <f>0</f>
        <v>0</v>
      </c>
      <c r="I41" s="23">
        <f>0</f>
        <v>0</v>
      </c>
      <c r="J41" s="23">
        <f>0</f>
        <v>0</v>
      </c>
      <c r="K41" s="23">
        <f>0</f>
        <v>0</v>
      </c>
      <c r="L41" s="23">
        <f>0</f>
        <v>0</v>
      </c>
      <c r="M41" s="23">
        <f>0</f>
        <v>0</v>
      </c>
      <c r="N41" s="23">
        <f>0</f>
        <v>0</v>
      </c>
      <c r="O41" s="23">
        <f>0</f>
        <v>0</v>
      </c>
      <c r="P41" s="23">
        <f>0</f>
        <v>0</v>
      </c>
      <c r="Q41" s="23">
        <f>0</f>
        <v>0</v>
      </c>
    </row>
    <row r="42" spans="1:17" ht="24" customHeight="1" x14ac:dyDescent="0.2">
      <c r="A42" s="18" t="s">
        <v>30</v>
      </c>
      <c r="B42" s="23">
        <f>0</f>
        <v>0</v>
      </c>
      <c r="C42" s="23">
        <f>0</f>
        <v>0</v>
      </c>
      <c r="D42" s="23">
        <f>0</f>
        <v>0</v>
      </c>
      <c r="E42" s="23">
        <f>0</f>
        <v>0</v>
      </c>
      <c r="F42" s="23">
        <f>0</f>
        <v>0</v>
      </c>
      <c r="G42" s="23">
        <f>0</f>
        <v>0</v>
      </c>
      <c r="H42" s="23">
        <f>0</f>
        <v>0</v>
      </c>
      <c r="I42" s="23">
        <f>0</f>
        <v>0</v>
      </c>
      <c r="J42" s="23">
        <f>0</f>
        <v>0</v>
      </c>
      <c r="K42" s="23">
        <f>0</f>
        <v>0</v>
      </c>
      <c r="L42" s="23">
        <f>0</f>
        <v>0</v>
      </c>
      <c r="M42" s="23">
        <f>0</f>
        <v>0</v>
      </c>
      <c r="N42" s="23">
        <f>0</f>
        <v>0</v>
      </c>
      <c r="O42" s="23">
        <f>0</f>
        <v>0</v>
      </c>
      <c r="P42" s="23">
        <f>0</f>
        <v>0</v>
      </c>
      <c r="Q42" s="23">
        <f>0</f>
        <v>0</v>
      </c>
    </row>
    <row r="43" spans="1:17" ht="30.75" customHeight="1" x14ac:dyDescent="0.2">
      <c r="A43" s="24" t="s">
        <v>41</v>
      </c>
      <c r="B43" s="22">
        <f>597641325.83</f>
        <v>597641325.83000004</v>
      </c>
      <c r="C43" s="22">
        <f>597641325.83</f>
        <v>597641325.83000004</v>
      </c>
      <c r="D43" s="22">
        <f>512992067.43</f>
        <v>512992067.43000001</v>
      </c>
      <c r="E43" s="22">
        <f>84115.96</f>
        <v>84115.96</v>
      </c>
      <c r="F43" s="22">
        <f>8561.64</f>
        <v>8561.64</v>
      </c>
      <c r="G43" s="22">
        <f>512899389.83</f>
        <v>512899389.82999998</v>
      </c>
      <c r="H43" s="22">
        <f>0</f>
        <v>0</v>
      </c>
      <c r="I43" s="22">
        <f>0</f>
        <v>0</v>
      </c>
      <c r="J43" s="22">
        <f>0</f>
        <v>0</v>
      </c>
      <c r="K43" s="22">
        <f>0</f>
        <v>0</v>
      </c>
      <c r="L43" s="22">
        <f>78775877.17</f>
        <v>78775877.170000002</v>
      </c>
      <c r="M43" s="22">
        <f>4760370.83</f>
        <v>4760370.83</v>
      </c>
      <c r="N43" s="22">
        <f>1113010.4</f>
        <v>1113010.3999999999</v>
      </c>
      <c r="O43" s="22">
        <f>0</f>
        <v>0</v>
      </c>
      <c r="P43" s="22">
        <f>0</f>
        <v>0</v>
      </c>
      <c r="Q43" s="22">
        <f>0</f>
        <v>0</v>
      </c>
    </row>
    <row r="44" spans="1:17" ht="24" customHeight="1" x14ac:dyDescent="0.2">
      <c r="A44" s="18" t="s">
        <v>31</v>
      </c>
      <c r="B44" s="23">
        <f>31443105.42</f>
        <v>31443105.420000002</v>
      </c>
      <c r="C44" s="23">
        <f>31443105.42</f>
        <v>31443105.420000002</v>
      </c>
      <c r="D44" s="23">
        <f>31360083.8</f>
        <v>31360083.800000001</v>
      </c>
      <c r="E44" s="23">
        <f>0</f>
        <v>0</v>
      </c>
      <c r="F44" s="23">
        <f>0</f>
        <v>0</v>
      </c>
      <c r="G44" s="23">
        <f>31360083.8</f>
        <v>31360083.800000001</v>
      </c>
      <c r="H44" s="23">
        <f>0</f>
        <v>0</v>
      </c>
      <c r="I44" s="23">
        <f>0</f>
        <v>0</v>
      </c>
      <c r="J44" s="23">
        <f>0</f>
        <v>0</v>
      </c>
      <c r="K44" s="23">
        <f>0</f>
        <v>0</v>
      </c>
      <c r="L44" s="23">
        <f>83021.62</f>
        <v>83021.62</v>
      </c>
      <c r="M44" s="23">
        <f>0</f>
        <v>0</v>
      </c>
      <c r="N44" s="23">
        <f>0</f>
        <v>0</v>
      </c>
      <c r="O44" s="23">
        <f>0</f>
        <v>0</v>
      </c>
      <c r="P44" s="23">
        <f>0</f>
        <v>0</v>
      </c>
      <c r="Q44" s="23">
        <f>0</f>
        <v>0</v>
      </c>
    </row>
    <row r="45" spans="1:17" ht="24" customHeight="1" x14ac:dyDescent="0.2">
      <c r="A45" s="18" t="s">
        <v>32</v>
      </c>
      <c r="B45" s="23">
        <f>566198220.41</f>
        <v>566198220.40999997</v>
      </c>
      <c r="C45" s="23">
        <f>566198220.41</f>
        <v>566198220.40999997</v>
      </c>
      <c r="D45" s="23">
        <f>481631983.63</f>
        <v>481631983.63</v>
      </c>
      <c r="E45" s="23">
        <f>84115.96</f>
        <v>84115.96</v>
      </c>
      <c r="F45" s="23">
        <f>8561.64</f>
        <v>8561.64</v>
      </c>
      <c r="G45" s="23">
        <f>481539306.03</f>
        <v>481539306.02999997</v>
      </c>
      <c r="H45" s="23">
        <f>0</f>
        <v>0</v>
      </c>
      <c r="I45" s="23">
        <f>0</f>
        <v>0</v>
      </c>
      <c r="J45" s="23">
        <f>0</f>
        <v>0</v>
      </c>
      <c r="K45" s="23">
        <f>0</f>
        <v>0</v>
      </c>
      <c r="L45" s="23">
        <f>78692855.55</f>
        <v>78692855.549999997</v>
      </c>
      <c r="M45" s="23">
        <f>4760370.83</f>
        <v>4760370.83</v>
      </c>
      <c r="N45" s="23">
        <f>1113010.4</f>
        <v>1113010.3999999999</v>
      </c>
      <c r="O45" s="23">
        <f>0</f>
        <v>0</v>
      </c>
      <c r="P45" s="23">
        <f>0</f>
        <v>0</v>
      </c>
      <c r="Q45" s="23">
        <f>0</f>
        <v>0</v>
      </c>
    </row>
    <row r="46" spans="1:17" ht="30.75" customHeight="1" x14ac:dyDescent="0.2">
      <c r="A46" s="24" t="s">
        <v>42</v>
      </c>
      <c r="B46" s="22">
        <f>7951012564.46</f>
        <v>7951012564.46</v>
      </c>
      <c r="C46" s="22">
        <f>7950748029.14</f>
        <v>7950748029.1400003</v>
      </c>
      <c r="D46" s="22">
        <f>73554.52</f>
        <v>73554.52</v>
      </c>
      <c r="E46" s="22">
        <f>600</f>
        <v>600</v>
      </c>
      <c r="F46" s="22">
        <f>16265.52</f>
        <v>16265.52</v>
      </c>
      <c r="G46" s="22">
        <f>56689</f>
        <v>56689</v>
      </c>
      <c r="H46" s="22">
        <f>0</f>
        <v>0</v>
      </c>
      <c r="I46" s="22">
        <f>0</f>
        <v>0</v>
      </c>
      <c r="J46" s="22">
        <f>7947057594.97</f>
        <v>7947057594.9700003</v>
      </c>
      <c r="K46" s="22">
        <f>0</f>
        <v>0</v>
      </c>
      <c r="L46" s="22">
        <f>3607816.02</f>
        <v>3607816.02</v>
      </c>
      <c r="M46" s="22">
        <f>9063.63</f>
        <v>9063.6299999999992</v>
      </c>
      <c r="N46" s="22">
        <f>0</f>
        <v>0</v>
      </c>
      <c r="O46" s="22">
        <f>264535.32</f>
        <v>264535.32</v>
      </c>
      <c r="P46" s="22">
        <f>264535.32</f>
        <v>264535.32</v>
      </c>
      <c r="Q46" s="22">
        <f>0</f>
        <v>0</v>
      </c>
    </row>
    <row r="47" spans="1:17" ht="24" customHeight="1" x14ac:dyDescent="0.2">
      <c r="A47" s="18" t="s">
        <v>33</v>
      </c>
      <c r="B47" s="23">
        <f>56689</f>
        <v>56689</v>
      </c>
      <c r="C47" s="23">
        <f>56689</f>
        <v>56689</v>
      </c>
      <c r="D47" s="23">
        <f>56689</f>
        <v>56689</v>
      </c>
      <c r="E47" s="23">
        <f>0</f>
        <v>0</v>
      </c>
      <c r="F47" s="23">
        <f>0</f>
        <v>0</v>
      </c>
      <c r="G47" s="23">
        <f>56689</f>
        <v>56689</v>
      </c>
      <c r="H47" s="23">
        <f>0</f>
        <v>0</v>
      </c>
      <c r="I47" s="23">
        <f>0</f>
        <v>0</v>
      </c>
      <c r="J47" s="23">
        <f>0</f>
        <v>0</v>
      </c>
      <c r="K47" s="23">
        <f>0</f>
        <v>0</v>
      </c>
      <c r="L47" s="23">
        <f>0</f>
        <v>0</v>
      </c>
      <c r="M47" s="23">
        <f>0</f>
        <v>0</v>
      </c>
      <c r="N47" s="23">
        <f>0</f>
        <v>0</v>
      </c>
      <c r="O47" s="23">
        <f>0</f>
        <v>0</v>
      </c>
      <c r="P47" s="23">
        <f>0</f>
        <v>0</v>
      </c>
      <c r="Q47" s="23">
        <f>0</f>
        <v>0</v>
      </c>
    </row>
    <row r="48" spans="1:17" ht="24" customHeight="1" x14ac:dyDescent="0.2">
      <c r="A48" s="18" t="s">
        <v>34</v>
      </c>
      <c r="B48" s="23">
        <f>7288633961.71</f>
        <v>7288633961.71</v>
      </c>
      <c r="C48" s="23">
        <f>7288633961.71</f>
        <v>7288633961.71</v>
      </c>
      <c r="D48" s="23">
        <f>600</f>
        <v>600</v>
      </c>
      <c r="E48" s="23">
        <f>600</f>
        <v>600</v>
      </c>
      <c r="F48" s="23">
        <f>0</f>
        <v>0</v>
      </c>
      <c r="G48" s="23">
        <f>0</f>
        <v>0</v>
      </c>
      <c r="H48" s="23">
        <f>0</f>
        <v>0</v>
      </c>
      <c r="I48" s="23">
        <f>0</f>
        <v>0</v>
      </c>
      <c r="J48" s="23">
        <f>7285049319.48</f>
        <v>7285049319.4799995</v>
      </c>
      <c r="K48" s="23">
        <f>0</f>
        <v>0</v>
      </c>
      <c r="L48" s="23">
        <f>3574978.6</f>
        <v>3574978.6</v>
      </c>
      <c r="M48" s="23">
        <f>9063.63</f>
        <v>9063.6299999999992</v>
      </c>
      <c r="N48" s="23">
        <f>0</f>
        <v>0</v>
      </c>
      <c r="O48" s="23">
        <f>0</f>
        <v>0</v>
      </c>
      <c r="P48" s="23">
        <f>0</f>
        <v>0</v>
      </c>
      <c r="Q48" s="23">
        <f>0</f>
        <v>0</v>
      </c>
    </row>
    <row r="49" spans="1:17" ht="24" customHeight="1" x14ac:dyDescent="0.2">
      <c r="A49" s="18" t="s">
        <v>35</v>
      </c>
      <c r="B49" s="23">
        <f>662321913.75</f>
        <v>662321913.75</v>
      </c>
      <c r="C49" s="23">
        <f>662057378.43</f>
        <v>662057378.42999995</v>
      </c>
      <c r="D49" s="23">
        <f>16265.52</f>
        <v>16265.52</v>
      </c>
      <c r="E49" s="23">
        <f>0</f>
        <v>0</v>
      </c>
      <c r="F49" s="23">
        <f>16265.52</f>
        <v>16265.52</v>
      </c>
      <c r="G49" s="23">
        <f>0</f>
        <v>0</v>
      </c>
      <c r="H49" s="23">
        <f>0</f>
        <v>0</v>
      </c>
      <c r="I49" s="23">
        <f>0</f>
        <v>0</v>
      </c>
      <c r="J49" s="23">
        <f>662008275.49</f>
        <v>662008275.49000001</v>
      </c>
      <c r="K49" s="23">
        <f>0</f>
        <v>0</v>
      </c>
      <c r="L49" s="23">
        <f>32837.42</f>
        <v>32837.42</v>
      </c>
      <c r="M49" s="23">
        <f>0</f>
        <v>0</v>
      </c>
      <c r="N49" s="23">
        <f>0</f>
        <v>0</v>
      </c>
      <c r="O49" s="23">
        <f>264535.32</f>
        <v>264535.32</v>
      </c>
      <c r="P49" s="23">
        <f>264535.32</f>
        <v>264535.32</v>
      </c>
      <c r="Q49" s="23">
        <f>0</f>
        <v>0</v>
      </c>
    </row>
    <row r="50" spans="1:17" ht="30.75" customHeight="1" x14ac:dyDescent="0.2">
      <c r="A50" s="24" t="s">
        <v>43</v>
      </c>
      <c r="B50" s="22">
        <f>5101716644.36</f>
        <v>5101716644.3599997</v>
      </c>
      <c r="C50" s="22">
        <f>5099318819.55</f>
        <v>5099318819.5500002</v>
      </c>
      <c r="D50" s="22">
        <f>9891129.19</f>
        <v>9891129.1899999995</v>
      </c>
      <c r="E50" s="22">
        <f>114064.02</f>
        <v>114064.02</v>
      </c>
      <c r="F50" s="22">
        <f>76772.52</f>
        <v>76772.52</v>
      </c>
      <c r="G50" s="22">
        <f>9698852.15</f>
        <v>9698852.1500000004</v>
      </c>
      <c r="H50" s="22">
        <f>1440.5</f>
        <v>1440.5</v>
      </c>
      <c r="I50" s="22">
        <f>0</f>
        <v>0</v>
      </c>
      <c r="J50" s="22">
        <f>19150.72</f>
        <v>19150.72</v>
      </c>
      <c r="K50" s="22">
        <f>15841255.54</f>
        <v>15841255.539999999</v>
      </c>
      <c r="L50" s="22">
        <f>2105646415.54</f>
        <v>2105646415.54</v>
      </c>
      <c r="M50" s="22">
        <f>2939192790.01</f>
        <v>2939192790.0100002</v>
      </c>
      <c r="N50" s="22">
        <f>28728078.55</f>
        <v>28728078.550000001</v>
      </c>
      <c r="O50" s="22">
        <f>2397824.81</f>
        <v>2397824.81</v>
      </c>
      <c r="P50" s="22">
        <f>1862160.95</f>
        <v>1862160.95</v>
      </c>
      <c r="Q50" s="22">
        <f>535663.86</f>
        <v>535663.86</v>
      </c>
    </row>
    <row r="51" spans="1:17" ht="30" customHeight="1" x14ac:dyDescent="0.2">
      <c r="A51" s="18" t="s">
        <v>36</v>
      </c>
      <c r="B51" s="23">
        <f>92018343.99</f>
        <v>92018343.989999995</v>
      </c>
      <c r="C51" s="23">
        <f>92011036.37</f>
        <v>92011036.370000005</v>
      </c>
      <c r="D51" s="23">
        <f>670137.66</f>
        <v>670137.66</v>
      </c>
      <c r="E51" s="23">
        <f>0</f>
        <v>0</v>
      </c>
      <c r="F51" s="23">
        <f>0</f>
        <v>0</v>
      </c>
      <c r="G51" s="23">
        <f>670137.66</f>
        <v>670137.66</v>
      </c>
      <c r="H51" s="23">
        <f>0</f>
        <v>0</v>
      </c>
      <c r="I51" s="23">
        <f>0</f>
        <v>0</v>
      </c>
      <c r="J51" s="23">
        <f>998.91</f>
        <v>998.91</v>
      </c>
      <c r="K51" s="23">
        <f>10263.08</f>
        <v>10263.08</v>
      </c>
      <c r="L51" s="23">
        <f>83523198.8</f>
        <v>83523198.799999997</v>
      </c>
      <c r="M51" s="23">
        <f>7184455.37</f>
        <v>7184455.3700000001</v>
      </c>
      <c r="N51" s="23">
        <f>621982.55</f>
        <v>621982.55000000005</v>
      </c>
      <c r="O51" s="23">
        <f>7307.62</f>
        <v>7307.62</v>
      </c>
      <c r="P51" s="23">
        <f>7307.62</f>
        <v>7307.62</v>
      </c>
      <c r="Q51" s="23">
        <f>0</f>
        <v>0</v>
      </c>
    </row>
    <row r="52" spans="1:17" ht="24" customHeight="1" x14ac:dyDescent="0.2">
      <c r="A52" s="18" t="s">
        <v>37</v>
      </c>
      <c r="B52" s="23">
        <f>5009698300.37</f>
        <v>5009698300.3699999</v>
      </c>
      <c r="C52" s="23">
        <f>5007307783.18</f>
        <v>5007307783.1800003</v>
      </c>
      <c r="D52" s="23">
        <f>9220991.53</f>
        <v>9220991.5299999993</v>
      </c>
      <c r="E52" s="23">
        <f>114064.02</f>
        <v>114064.02</v>
      </c>
      <c r="F52" s="23">
        <f>76772.52</f>
        <v>76772.52</v>
      </c>
      <c r="G52" s="23">
        <f>9028714.49</f>
        <v>9028714.4900000002</v>
      </c>
      <c r="H52" s="23">
        <f>1440.5</f>
        <v>1440.5</v>
      </c>
      <c r="I52" s="23">
        <f>0</f>
        <v>0</v>
      </c>
      <c r="J52" s="23">
        <f>18151.81</f>
        <v>18151.810000000001</v>
      </c>
      <c r="K52" s="23">
        <f>15830992.46</f>
        <v>15830992.460000001</v>
      </c>
      <c r="L52" s="23">
        <f>2022123216.74</f>
        <v>2022123216.74</v>
      </c>
      <c r="M52" s="23">
        <f>2932008334.64</f>
        <v>2932008334.6399999</v>
      </c>
      <c r="N52" s="23">
        <f>28106096</f>
        <v>28106096</v>
      </c>
      <c r="O52" s="23">
        <f>2390517.19</f>
        <v>2390517.19</v>
      </c>
      <c r="P52" s="23">
        <f>1854853.33</f>
        <v>1854853.33</v>
      </c>
      <c r="Q52" s="23">
        <f>535663.86</f>
        <v>535663.86</v>
      </c>
    </row>
    <row r="53" spans="1:17" ht="30.75" customHeight="1" x14ac:dyDescent="0.2">
      <c r="A53" s="24" t="s">
        <v>44</v>
      </c>
      <c r="B53" s="22">
        <f>1397709710.69</f>
        <v>1397709710.6900001</v>
      </c>
      <c r="C53" s="22">
        <f>1394163236.85</f>
        <v>1394163236.8499999</v>
      </c>
      <c r="D53" s="22">
        <f>184134383.7</f>
        <v>184134383.69999999</v>
      </c>
      <c r="E53" s="22">
        <f>42822481.93</f>
        <v>42822481.93</v>
      </c>
      <c r="F53" s="22">
        <f>934292.49</f>
        <v>934292.49</v>
      </c>
      <c r="G53" s="22">
        <f>140240865.32</f>
        <v>140240865.31999999</v>
      </c>
      <c r="H53" s="22">
        <f>136743.96</f>
        <v>136743.96</v>
      </c>
      <c r="I53" s="22">
        <f>0</f>
        <v>0</v>
      </c>
      <c r="J53" s="22">
        <f>466464.08</f>
        <v>466464.08</v>
      </c>
      <c r="K53" s="22">
        <f>58732.46</f>
        <v>58732.46</v>
      </c>
      <c r="L53" s="22">
        <f>903157288.83</f>
        <v>903157288.83000004</v>
      </c>
      <c r="M53" s="22">
        <f>225251644.25</f>
        <v>225251644.25</v>
      </c>
      <c r="N53" s="22">
        <f>81094723.53</f>
        <v>81094723.530000001</v>
      </c>
      <c r="O53" s="22">
        <f>3546473.84</f>
        <v>3546473.84</v>
      </c>
      <c r="P53" s="22">
        <f>2525068.53</f>
        <v>2525068.5299999998</v>
      </c>
      <c r="Q53" s="22">
        <f>1021405.31</f>
        <v>1021405.31</v>
      </c>
    </row>
    <row r="54" spans="1:17" ht="30" customHeight="1" x14ac:dyDescent="0.2">
      <c r="A54" s="18" t="s">
        <v>38</v>
      </c>
      <c r="B54" s="23">
        <f>37244407.71</f>
        <v>37244407.710000001</v>
      </c>
      <c r="C54" s="23">
        <f>37230213.63</f>
        <v>37230213.630000003</v>
      </c>
      <c r="D54" s="23">
        <f>4126841.46</f>
        <v>4126841.46</v>
      </c>
      <c r="E54" s="23">
        <f>100216.14</f>
        <v>100216.14</v>
      </c>
      <c r="F54" s="23">
        <f>245577.31</f>
        <v>245577.31</v>
      </c>
      <c r="G54" s="23">
        <f>3781048.01</f>
        <v>3781048.01</v>
      </c>
      <c r="H54" s="23">
        <f>0</f>
        <v>0</v>
      </c>
      <c r="I54" s="23">
        <f>0</f>
        <v>0</v>
      </c>
      <c r="J54" s="23">
        <f>18.5</f>
        <v>18.5</v>
      </c>
      <c r="K54" s="23">
        <f>0</f>
        <v>0</v>
      </c>
      <c r="L54" s="23">
        <f>29239763.58</f>
        <v>29239763.579999998</v>
      </c>
      <c r="M54" s="23">
        <f>3558597.22</f>
        <v>3558597.22</v>
      </c>
      <c r="N54" s="23">
        <f>304992.87</f>
        <v>304992.87</v>
      </c>
      <c r="O54" s="23">
        <f>14194.08</f>
        <v>14194.08</v>
      </c>
      <c r="P54" s="23">
        <f>14083.77</f>
        <v>14083.77</v>
      </c>
      <c r="Q54" s="23">
        <f>110.31</f>
        <v>110.31</v>
      </c>
    </row>
    <row r="55" spans="1:17" ht="33" customHeight="1" x14ac:dyDescent="0.2">
      <c r="A55" s="18" t="s">
        <v>80</v>
      </c>
      <c r="B55" s="23">
        <f>230.54</f>
        <v>230.54</v>
      </c>
      <c r="C55" s="23">
        <f>230.54</f>
        <v>230.54</v>
      </c>
      <c r="D55" s="23">
        <f>230.54</f>
        <v>230.54</v>
      </c>
      <c r="E55" s="23">
        <f>93</f>
        <v>93</v>
      </c>
      <c r="F55" s="23">
        <f>0</f>
        <v>0</v>
      </c>
      <c r="G55" s="23">
        <f>0</f>
        <v>0</v>
      </c>
      <c r="H55" s="23">
        <f>137.54</f>
        <v>137.54</v>
      </c>
      <c r="I55" s="23">
        <f>0</f>
        <v>0</v>
      </c>
      <c r="J55" s="23">
        <f>0</f>
        <v>0</v>
      </c>
      <c r="K55" s="23">
        <f>0</f>
        <v>0</v>
      </c>
      <c r="L55" s="23">
        <f>0</f>
        <v>0</v>
      </c>
      <c r="M55" s="23">
        <f>0</f>
        <v>0</v>
      </c>
      <c r="N55" s="23">
        <f>0</f>
        <v>0</v>
      </c>
      <c r="O55" s="23">
        <f>0</f>
        <v>0</v>
      </c>
      <c r="P55" s="23">
        <f>0</f>
        <v>0</v>
      </c>
      <c r="Q55" s="23">
        <f>0</f>
        <v>0</v>
      </c>
    </row>
    <row r="56" spans="1:17" ht="33" customHeight="1" x14ac:dyDescent="0.2">
      <c r="A56" s="18" t="s">
        <v>39</v>
      </c>
      <c r="B56" s="23">
        <f>1360465072.44</f>
        <v>1360465072.4400001</v>
      </c>
      <c r="C56" s="23">
        <f>1356932792.68</f>
        <v>1356932792.6800001</v>
      </c>
      <c r="D56" s="23">
        <f>180007311.7</f>
        <v>180007311.69999999</v>
      </c>
      <c r="E56" s="23">
        <f>42722172.79</f>
        <v>42722172.789999999</v>
      </c>
      <c r="F56" s="23">
        <f>688715.18</f>
        <v>688715.18</v>
      </c>
      <c r="G56" s="23">
        <f>136459817.31</f>
        <v>136459817.31</v>
      </c>
      <c r="H56" s="23">
        <f>136606.42</f>
        <v>136606.42000000001</v>
      </c>
      <c r="I56" s="23">
        <f>0</f>
        <v>0</v>
      </c>
      <c r="J56" s="23">
        <f>466445.58</f>
        <v>466445.58</v>
      </c>
      <c r="K56" s="23">
        <f>58732.46</f>
        <v>58732.46</v>
      </c>
      <c r="L56" s="23">
        <f>873917525.25</f>
        <v>873917525.25</v>
      </c>
      <c r="M56" s="23">
        <f>221693047.03</f>
        <v>221693047.03</v>
      </c>
      <c r="N56" s="23">
        <f>80789730.66</f>
        <v>80789730.659999996</v>
      </c>
      <c r="O56" s="23">
        <f>3532279.76</f>
        <v>3532279.76</v>
      </c>
      <c r="P56" s="23">
        <f>2510984.76</f>
        <v>2510984.7599999998</v>
      </c>
      <c r="Q56" s="23">
        <f>1021295</f>
        <v>1021295</v>
      </c>
    </row>
    <row r="66" spans="1:13" ht="67.5" customHeight="1" x14ac:dyDescent="0.2">
      <c r="A66" s="30" t="str">
        <f>CONCATENATE("Informacja z wykonania budżetów województw za  ",$C$93," ",$B$94," roku    ",$B$96,"")</f>
        <v xml:space="preserve">Informacja z wykonania budżetów województw za  IV Kwartały 2024 roku    </v>
      </c>
      <c r="B66" s="30"/>
      <c r="C66" s="30"/>
      <c r="D66" s="30"/>
      <c r="E66" s="30"/>
      <c r="F66" s="30"/>
      <c r="G66" s="30"/>
      <c r="H66" s="30"/>
      <c r="I66" s="30"/>
      <c r="J66" s="30"/>
      <c r="K66" s="30"/>
      <c r="L66" s="30"/>
      <c r="M66" s="30"/>
    </row>
    <row r="67" spans="1:13" ht="13.5" customHeight="1" x14ac:dyDescent="0.2">
      <c r="B67" s="40" t="s">
        <v>2</v>
      </c>
      <c r="C67" s="40"/>
      <c r="D67" s="40"/>
      <c r="E67" s="40"/>
      <c r="F67" s="40"/>
      <c r="G67" s="40"/>
      <c r="H67" s="40"/>
      <c r="I67" s="40"/>
      <c r="J67" s="40"/>
      <c r="K67" s="40"/>
      <c r="L67" s="40"/>
      <c r="M67" s="40"/>
    </row>
    <row r="69" spans="1:13" ht="13.5" customHeight="1" x14ac:dyDescent="0.2">
      <c r="B69" s="44" t="s">
        <v>0</v>
      </c>
      <c r="C69" s="45"/>
      <c r="D69" s="45"/>
      <c r="E69" s="46"/>
      <c r="F69" s="56" t="s">
        <v>70</v>
      </c>
      <c r="G69" s="41" t="s">
        <v>76</v>
      </c>
      <c r="H69" s="55"/>
      <c r="I69" s="55"/>
      <c r="J69" s="55"/>
      <c r="K69" s="55"/>
      <c r="L69" s="42"/>
    </row>
    <row r="70" spans="1:13" ht="13.5" customHeight="1" x14ac:dyDescent="0.2">
      <c r="B70" s="47"/>
      <c r="C70" s="48"/>
      <c r="D70" s="48"/>
      <c r="E70" s="49"/>
      <c r="F70" s="57"/>
      <c r="G70" s="59" t="s">
        <v>71</v>
      </c>
      <c r="H70" s="43" t="s">
        <v>68</v>
      </c>
      <c r="I70" s="43" t="s">
        <v>69</v>
      </c>
      <c r="J70" s="43" t="s">
        <v>72</v>
      </c>
      <c r="K70" s="43" t="s">
        <v>73</v>
      </c>
      <c r="L70" s="74" t="s">
        <v>74</v>
      </c>
    </row>
    <row r="71" spans="1:13" ht="13.5" customHeight="1" x14ac:dyDescent="0.2">
      <c r="B71" s="47"/>
      <c r="C71" s="48"/>
      <c r="D71" s="48"/>
      <c r="E71" s="49"/>
      <c r="F71" s="57"/>
      <c r="G71" s="59"/>
      <c r="H71" s="43"/>
      <c r="I71" s="43"/>
      <c r="J71" s="43"/>
      <c r="K71" s="43"/>
      <c r="L71" s="74"/>
    </row>
    <row r="72" spans="1:13" ht="11.25" customHeight="1" x14ac:dyDescent="0.2">
      <c r="B72" s="47"/>
      <c r="C72" s="48"/>
      <c r="D72" s="48"/>
      <c r="E72" s="49"/>
      <c r="F72" s="57"/>
      <c r="G72" s="59"/>
      <c r="H72" s="43"/>
      <c r="I72" s="43"/>
      <c r="J72" s="43"/>
      <c r="K72" s="43"/>
      <c r="L72" s="74"/>
    </row>
    <row r="73" spans="1:13" ht="11.25" customHeight="1" x14ac:dyDescent="0.2">
      <c r="B73" s="50"/>
      <c r="C73" s="51"/>
      <c r="D73" s="51"/>
      <c r="E73" s="52"/>
      <c r="F73" s="58"/>
      <c r="G73" s="59"/>
      <c r="H73" s="43"/>
      <c r="I73" s="43"/>
      <c r="J73" s="43"/>
      <c r="K73" s="43"/>
      <c r="L73" s="74"/>
    </row>
    <row r="74" spans="1:13" ht="11.25" customHeight="1" x14ac:dyDescent="0.2">
      <c r="B74" s="43">
        <v>1</v>
      </c>
      <c r="C74" s="43"/>
      <c r="D74" s="43"/>
      <c r="E74" s="43"/>
      <c r="F74" s="3">
        <v>2</v>
      </c>
      <c r="G74" s="3">
        <v>3</v>
      </c>
      <c r="H74" s="3">
        <v>4</v>
      </c>
      <c r="I74" s="3">
        <v>5</v>
      </c>
      <c r="J74" s="3">
        <v>6</v>
      </c>
      <c r="K74" s="3">
        <v>7</v>
      </c>
      <c r="L74" s="3">
        <v>8</v>
      </c>
    </row>
    <row r="75" spans="1:13" ht="13.5" customHeight="1" x14ac:dyDescent="0.2">
      <c r="B75" s="43"/>
      <c r="C75" s="43"/>
      <c r="D75" s="43"/>
      <c r="E75" s="43"/>
      <c r="F75" s="41" t="s">
        <v>78</v>
      </c>
      <c r="G75" s="72"/>
      <c r="H75" s="72"/>
      <c r="I75" s="72"/>
      <c r="J75" s="72"/>
      <c r="K75" s="72"/>
      <c r="L75" s="73"/>
    </row>
    <row r="76" spans="1:13" ht="33.75" customHeight="1" x14ac:dyDescent="0.2">
      <c r="B76" s="35" t="s">
        <v>55</v>
      </c>
      <c r="C76" s="36"/>
      <c r="D76" s="36"/>
      <c r="E76" s="37"/>
      <c r="F76" s="25">
        <f>1127380228.78</f>
        <v>1127380228.78</v>
      </c>
      <c r="G76" s="25">
        <f>309809671.18</f>
        <v>309809671.18000001</v>
      </c>
      <c r="H76" s="25">
        <f>0</f>
        <v>0</v>
      </c>
      <c r="I76" s="25">
        <f>0</f>
        <v>0</v>
      </c>
      <c r="J76" s="25">
        <f>309809671.18</f>
        <v>309809671.18000001</v>
      </c>
      <c r="K76" s="25">
        <f>0</f>
        <v>0</v>
      </c>
      <c r="L76" s="25">
        <f>817570557.6</f>
        <v>817570557.60000002</v>
      </c>
    </row>
    <row r="77" spans="1:13" ht="33.75" customHeight="1" x14ac:dyDescent="0.2">
      <c r="B77" s="35" t="s">
        <v>56</v>
      </c>
      <c r="C77" s="36"/>
      <c r="D77" s="36"/>
      <c r="E77" s="37"/>
      <c r="F77" s="25">
        <f>0</f>
        <v>0</v>
      </c>
      <c r="G77" s="25">
        <f>0</f>
        <v>0</v>
      </c>
      <c r="H77" s="25">
        <f>0</f>
        <v>0</v>
      </c>
      <c r="I77" s="25">
        <f>0</f>
        <v>0</v>
      </c>
      <c r="J77" s="25">
        <f>0</f>
        <v>0</v>
      </c>
      <c r="K77" s="25">
        <f>0</f>
        <v>0</v>
      </c>
      <c r="L77" s="25">
        <f>0</f>
        <v>0</v>
      </c>
    </row>
    <row r="78" spans="1:13" ht="33.75" customHeight="1" x14ac:dyDescent="0.2">
      <c r="B78" s="35" t="s">
        <v>57</v>
      </c>
      <c r="C78" s="36"/>
      <c r="D78" s="36"/>
      <c r="E78" s="37"/>
      <c r="F78" s="25">
        <f>71723428.4</f>
        <v>71723428.400000006</v>
      </c>
      <c r="G78" s="25">
        <f>47123428.4</f>
        <v>47123428.399999999</v>
      </c>
      <c r="H78" s="25">
        <f>0</f>
        <v>0</v>
      </c>
      <c r="I78" s="25">
        <f>0</f>
        <v>0</v>
      </c>
      <c r="J78" s="25">
        <f>47123428.4</f>
        <v>47123428.399999999</v>
      </c>
      <c r="K78" s="25">
        <f>0</f>
        <v>0</v>
      </c>
      <c r="L78" s="25">
        <f>24600000</f>
        <v>24600000</v>
      </c>
    </row>
    <row r="79" spans="1:13" ht="22.5" customHeight="1" x14ac:dyDescent="0.2">
      <c r="B79" s="35" t="s">
        <v>58</v>
      </c>
      <c r="C79" s="36"/>
      <c r="D79" s="36"/>
      <c r="E79" s="37"/>
      <c r="F79" s="25">
        <f>14733183.78</f>
        <v>14733183.779999999</v>
      </c>
      <c r="G79" s="25">
        <f>8114783.86</f>
        <v>8114783.8600000003</v>
      </c>
      <c r="H79" s="25">
        <f>0</f>
        <v>0</v>
      </c>
      <c r="I79" s="25">
        <f>0</f>
        <v>0</v>
      </c>
      <c r="J79" s="25">
        <f>8114783.86</f>
        <v>8114783.8600000003</v>
      </c>
      <c r="K79" s="25">
        <f>0</f>
        <v>0</v>
      </c>
      <c r="L79" s="25">
        <f>6618399.92</f>
        <v>6618399.9199999999</v>
      </c>
    </row>
    <row r="80" spans="1:13" ht="33.75" customHeight="1" x14ac:dyDescent="0.2">
      <c r="B80" s="35" t="s">
        <v>59</v>
      </c>
      <c r="C80" s="36"/>
      <c r="D80" s="36"/>
      <c r="E80" s="37"/>
      <c r="F80" s="25">
        <f>899056.52</f>
        <v>899056.52</v>
      </c>
      <c r="G80" s="25">
        <f>475020.04</f>
        <v>475020.04</v>
      </c>
      <c r="H80" s="25">
        <f>0</f>
        <v>0</v>
      </c>
      <c r="I80" s="25">
        <f>0</f>
        <v>0</v>
      </c>
      <c r="J80" s="25">
        <f>475020.04</f>
        <v>475020.04</v>
      </c>
      <c r="K80" s="25">
        <f>0</f>
        <v>0</v>
      </c>
      <c r="L80" s="25">
        <f>424036.48</f>
        <v>424036.48</v>
      </c>
    </row>
    <row r="81" spans="1:13" ht="33.75" customHeight="1" x14ac:dyDescent="0.2">
      <c r="B81" s="35" t="s">
        <v>60</v>
      </c>
      <c r="C81" s="36"/>
      <c r="D81" s="36"/>
      <c r="E81" s="37"/>
      <c r="F81" s="25">
        <f>23045836.9</f>
        <v>23045836.899999999</v>
      </c>
      <c r="G81" s="25">
        <f>16427436.98</f>
        <v>16427436.98</v>
      </c>
      <c r="H81" s="25">
        <f>0</f>
        <v>0</v>
      </c>
      <c r="I81" s="25">
        <f>0</f>
        <v>0</v>
      </c>
      <c r="J81" s="25">
        <f>16427436.98</f>
        <v>16427436.98</v>
      </c>
      <c r="K81" s="25">
        <f>0</f>
        <v>0</v>
      </c>
      <c r="L81" s="25">
        <f>6618399.92</f>
        <v>6618399.9199999999</v>
      </c>
    </row>
    <row r="82" spans="1:13" ht="33" customHeight="1" x14ac:dyDescent="0.2">
      <c r="B82" s="35" t="s">
        <v>61</v>
      </c>
      <c r="C82" s="36"/>
      <c r="D82" s="36"/>
      <c r="E82" s="37"/>
      <c r="F82" s="25">
        <f>1037048.65</f>
        <v>1037048.65</v>
      </c>
      <c r="G82" s="25">
        <f>1037048.65</f>
        <v>1037048.65</v>
      </c>
      <c r="H82" s="25">
        <f>0</f>
        <v>0</v>
      </c>
      <c r="I82" s="25">
        <f>0</f>
        <v>0</v>
      </c>
      <c r="J82" s="25">
        <f>1037048.65</f>
        <v>1037048.65</v>
      </c>
      <c r="K82" s="25">
        <f>0</f>
        <v>0</v>
      </c>
      <c r="L82" s="25">
        <f>0</f>
        <v>0</v>
      </c>
    </row>
    <row r="85" spans="1:13" ht="60" customHeight="1" x14ac:dyDescent="0.2">
      <c r="A85" s="30" t="str">
        <f>CONCATENATE("Informacja z wykonania budżetów województw za  ",$C$93," ",$B$94," roku    ",$B$96,"")</f>
        <v xml:space="preserve">Informacja z wykonania budżetów województw za  IV Kwartały 2024 roku    </v>
      </c>
      <c r="B85" s="30"/>
      <c r="C85" s="30"/>
      <c r="D85" s="30"/>
      <c r="E85" s="30"/>
      <c r="F85" s="30"/>
      <c r="G85" s="30"/>
      <c r="H85" s="30"/>
      <c r="I85" s="30"/>
      <c r="J85" s="30"/>
      <c r="K85" s="30"/>
      <c r="L85" s="30"/>
      <c r="M85" s="30"/>
    </row>
    <row r="86" spans="1:13" ht="13.5" customHeight="1" x14ac:dyDescent="0.2">
      <c r="B86" s="4"/>
    </row>
    <row r="87" spans="1:13" ht="13.5" customHeight="1" x14ac:dyDescent="0.2">
      <c r="B87" s="5"/>
      <c r="C87" s="41"/>
      <c r="D87" s="55"/>
      <c r="E87" s="55"/>
      <c r="F87" s="42"/>
      <c r="G87" s="41" t="s">
        <v>3</v>
      </c>
      <c r="H87" s="42"/>
      <c r="I87" s="41" t="s">
        <v>4</v>
      </c>
      <c r="J87" s="42"/>
      <c r="K87" s="5"/>
    </row>
    <row r="88" spans="1:13" ht="18" customHeight="1" x14ac:dyDescent="0.2">
      <c r="B88" s="6"/>
      <c r="C88" s="35" t="s">
        <v>5</v>
      </c>
      <c r="D88" s="36"/>
      <c r="E88" s="36"/>
      <c r="F88" s="37"/>
      <c r="G88" s="53">
        <f>14</f>
        <v>14</v>
      </c>
      <c r="H88" s="54"/>
      <c r="I88" s="38">
        <f>2708270796.84</f>
        <v>2708270796.8400002</v>
      </c>
      <c r="J88" s="39"/>
      <c r="K88" s="7"/>
    </row>
    <row r="89" spans="1:13" ht="22.5" customHeight="1" x14ac:dyDescent="0.2">
      <c r="B89" s="6"/>
      <c r="C89" s="35" t="s">
        <v>6</v>
      </c>
      <c r="D89" s="36"/>
      <c r="E89" s="36"/>
      <c r="F89" s="37"/>
      <c r="G89" s="53">
        <f>2</f>
        <v>2</v>
      </c>
      <c r="H89" s="54"/>
      <c r="I89" s="38">
        <f>-154981432.49</f>
        <v>-154981432.49000001</v>
      </c>
      <c r="J89" s="39"/>
      <c r="K89" s="7"/>
    </row>
    <row r="90" spans="1:13" ht="21" customHeight="1" x14ac:dyDescent="0.2">
      <c r="B90" s="6"/>
      <c r="C90" s="35" t="s">
        <v>7</v>
      </c>
      <c r="D90" s="36"/>
      <c r="E90" s="36"/>
      <c r="F90" s="37"/>
      <c r="G90" s="53">
        <f>0</f>
        <v>0</v>
      </c>
      <c r="H90" s="54"/>
      <c r="I90" s="38">
        <f>0</f>
        <v>0</v>
      </c>
      <c r="J90" s="39"/>
      <c r="K90" s="7"/>
    </row>
    <row r="93" spans="1:13" ht="13.5" customHeight="1" x14ac:dyDescent="0.2">
      <c r="A93" s="8" t="s">
        <v>8</v>
      </c>
      <c r="B93" s="8">
        <f>4</f>
        <v>4</v>
      </c>
      <c r="C93" s="8" t="str">
        <f>IF(B93=1,"I Kwartał",IF(B93=2,"II Kwartały",IF(B93=3,"III Kwartały",IF(B93=4,"IV Kwartały","-"))))</f>
        <v>IV Kwartały</v>
      </c>
    </row>
    <row r="94" spans="1:13" ht="13.5" customHeight="1" x14ac:dyDescent="0.2">
      <c r="A94" s="8" t="s">
        <v>9</v>
      </c>
      <c r="B94" s="8">
        <f>2024</f>
        <v>2024</v>
      </c>
      <c r="C94" s="9"/>
    </row>
    <row r="95" spans="1:13" ht="13.5" customHeight="1" x14ac:dyDescent="0.2">
      <c r="A95" s="8" t="s">
        <v>10</v>
      </c>
      <c r="B95" s="10" t="str">
        <f>"Mar 18 2025 12:00AM"</f>
        <v>Mar 18 2025 12:00AM</v>
      </c>
      <c r="C95" s="9"/>
    </row>
    <row r="96" spans="1:13" ht="13.5" customHeight="1" x14ac:dyDescent="0.2">
      <c r="A96" s="14" t="s">
        <v>77</v>
      </c>
      <c r="B96" s="10" t="str">
        <f>""</f>
        <v/>
      </c>
    </row>
  </sheetData>
  <mergeCells count="79">
    <mergeCell ref="B75:E75"/>
    <mergeCell ref="F75:L75"/>
    <mergeCell ref="L70:L73"/>
    <mergeCell ref="F34:F37"/>
    <mergeCell ref="G34:G37"/>
    <mergeCell ref="H34:H37"/>
    <mergeCell ref="K34:K37"/>
    <mergeCell ref="I34:I37"/>
    <mergeCell ref="K70:K73"/>
    <mergeCell ref="Q7:Q10"/>
    <mergeCell ref="C33:N33"/>
    <mergeCell ref="L7:L10"/>
    <mergeCell ref="M7:M10"/>
    <mergeCell ref="N7:N10"/>
    <mergeCell ref="P7:P10"/>
    <mergeCell ref="A29:M29"/>
    <mergeCell ref="O33:Q33"/>
    <mergeCell ref="A31:M31"/>
    <mergeCell ref="J34:J37"/>
    <mergeCell ref="A33:A37"/>
    <mergeCell ref="C34:C37"/>
    <mergeCell ref="E34:E37"/>
    <mergeCell ref="B33:B37"/>
    <mergeCell ref="B12:Q12"/>
    <mergeCell ref="H70:H73"/>
    <mergeCell ref="I70:I73"/>
    <mergeCell ref="J70:J73"/>
    <mergeCell ref="A1:M1"/>
    <mergeCell ref="C5:M5"/>
    <mergeCell ref="A3:M3"/>
    <mergeCell ref="K7:K10"/>
    <mergeCell ref="C7:C10"/>
    <mergeCell ref="B6:B10"/>
    <mergeCell ref="A6:A10"/>
    <mergeCell ref="C6:N6"/>
    <mergeCell ref="D7:D10"/>
    <mergeCell ref="E7:E10"/>
    <mergeCell ref="G7:G10"/>
    <mergeCell ref="F7:F10"/>
    <mergeCell ref="I7:I10"/>
    <mergeCell ref="G90:H90"/>
    <mergeCell ref="I90:J90"/>
    <mergeCell ref="C87:F87"/>
    <mergeCell ref="C88:F88"/>
    <mergeCell ref="C89:F89"/>
    <mergeCell ref="C90:F90"/>
    <mergeCell ref="G88:H88"/>
    <mergeCell ref="G87:H87"/>
    <mergeCell ref="G89:H89"/>
    <mergeCell ref="I89:J89"/>
    <mergeCell ref="B81:E81"/>
    <mergeCell ref="I88:J88"/>
    <mergeCell ref="B67:M67"/>
    <mergeCell ref="I87:J87"/>
    <mergeCell ref="B74:E74"/>
    <mergeCell ref="B69:E73"/>
    <mergeCell ref="B82:E82"/>
    <mergeCell ref="A85:M85"/>
    <mergeCell ref="B78:E78"/>
    <mergeCell ref="B79:E79"/>
    <mergeCell ref="B80:E80"/>
    <mergeCell ref="B77:E77"/>
    <mergeCell ref="B76:E76"/>
    <mergeCell ref="F69:F73"/>
    <mergeCell ref="G70:G73"/>
    <mergeCell ref="G69:L69"/>
    <mergeCell ref="O6:Q6"/>
    <mergeCell ref="O7:O10"/>
    <mergeCell ref="A66:M66"/>
    <mergeCell ref="L34:L37"/>
    <mergeCell ref="P34:P37"/>
    <mergeCell ref="Q34:Q37"/>
    <mergeCell ref="N34:N37"/>
    <mergeCell ref="O34:O37"/>
    <mergeCell ref="D34:D37"/>
    <mergeCell ref="H7:H10"/>
    <mergeCell ref="M34:M37"/>
    <mergeCell ref="J7:J10"/>
    <mergeCell ref="B39:Q39"/>
  </mergeCells>
  <phoneticPr fontId="4" type="noConversion"/>
  <pageMargins left="0.19685039370078741" right="0.19685039370078741" top="0.19685039370078741" bottom="0.19685039370078741" header="0" footer="0"/>
  <pageSetup paperSize="9" scale="69" orientation="landscape" useFirstPageNumber="1" horizontalDpi="300" verticalDpi="300" r:id="rId1"/>
  <headerFooter alignWithMargins="0">
    <oddFooter>&amp;L&amp;D&amp;Rstrona &amp;P z 3</oddFooter>
  </headerFooter>
  <rowBreaks count="2" manualBreakCount="2">
    <brk id="28" max="16383" man="1"/>
    <brk id="6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zob_nal</vt:lpstr>
    </vt:vector>
  </TitlesOfParts>
  <Company>Min. Fin.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Alina Karolak</dc:creator>
  <cp:lastModifiedBy>Kołacz Bernard</cp:lastModifiedBy>
  <cp:lastPrinted>2009-11-20T13:14:31Z</cp:lastPrinted>
  <dcterms:created xsi:type="dcterms:W3CDTF">2001-05-17T08:58:03Z</dcterms:created>
  <dcterms:modified xsi:type="dcterms:W3CDTF">2025-03-28T13:26:14Z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InformacjePubliczneInformacjeSektoraPublicznego</vt:lpwstr>
  </property>
  <property fmtid="{D5CDD505-2E9C-101B-9397-08002B2CF9AE}" pid="3" name="MFClassifiedBy">
    <vt:lpwstr>UxC4dwLulzfINJ8nQH+xvX5LNGipWa4BRSZhPgxsCvk7M1oCNyvPTX/IYTk7NheEi2D6He/Paz9ay8OzXVpSqA==</vt:lpwstr>
  </property>
  <property fmtid="{D5CDD505-2E9C-101B-9397-08002B2CF9AE}" pid="4" name="MFClassificationDate">
    <vt:lpwstr>2025-03-28T14:26:13.4143236+01:00</vt:lpwstr>
  </property>
  <property fmtid="{D5CDD505-2E9C-101B-9397-08002B2CF9AE}" pid="5" name="MFClassifiedBySID">
    <vt:lpwstr>UxC4dwLulzfINJ8nQH+xvX5LNGipWa4BRSZhPgxsCvm42mrIC/DSDv0ggS+FjUN/2v1BBotkLlY5aAiEhoi6uT6l/lYoTwrNwDVvKCDJdoy+W2nzAk+kqrZcOJSg0aUa</vt:lpwstr>
  </property>
  <property fmtid="{D5CDD505-2E9C-101B-9397-08002B2CF9AE}" pid="6" name="MFGRNItemId">
    <vt:lpwstr>GRN-7364b50b-ab40-4830-b220-227bc5dce2c5</vt:lpwstr>
  </property>
  <property fmtid="{D5CDD505-2E9C-101B-9397-08002B2CF9AE}" pid="7" name="MFHash">
    <vt:lpwstr>9CajtX2ILNdF7fo0ij3tNuJ8OPEcHmMkHAinaZHQvpg=</vt:lpwstr>
  </property>
  <property fmtid="{D5CDD505-2E9C-101B-9397-08002B2CF9AE}" pid="8" name="MFVisualMarkingsSettings">
    <vt:lpwstr>HeaderAlignment=1;FooterAlignment=1</vt:lpwstr>
  </property>
  <property fmtid="{D5CDD505-2E9C-101B-9397-08002B2CF9AE}" pid="9" name="DLPManualFileClassification">
    <vt:lpwstr>{2755b7d9-e53d-4779-a40c-03797dcf43b3}</vt:lpwstr>
  </property>
  <property fmtid="{D5CDD505-2E9C-101B-9397-08002B2CF9AE}" pid="10" name="MFRefresh">
    <vt:lpwstr>False</vt:lpwstr>
  </property>
</Properties>
</file>