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3B3BF36B-353E-45C3-B11E-DA8040773B3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podst'!$A$2:$AD$30</definedName>
    <definedName name="_xlnm._FilterDatabase" localSheetId="4" hidden="1">'gm rez'!$A$1:$AD$14</definedName>
    <definedName name="_xlnm._FilterDatabase" localSheetId="1" hidden="1">'pow podst'!$A$2:$AC$23</definedName>
    <definedName name="_xlnm.Print_Area" localSheetId="2">'gm podst'!$A$1:$Z$35</definedName>
    <definedName name="_xlnm.Print_Area" localSheetId="4">'gm rez'!$A$1:$Z$18</definedName>
    <definedName name="_xlnm.Print_Area" localSheetId="1">'pow podst'!$A$1:$Y$28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1" i="5" l="1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L17" i="5" l="1"/>
  <c r="V17" i="5" s="1"/>
  <c r="L18" i="5"/>
  <c r="L19" i="5"/>
  <c r="AB19" i="5" s="1"/>
  <c r="AC19" i="5" s="1"/>
  <c r="L20" i="5"/>
  <c r="AA20" i="5" s="1"/>
  <c r="M26" i="5"/>
  <c r="AD26" i="5" s="1"/>
  <c r="M19" i="5" l="1"/>
  <c r="AD19" i="5" s="1"/>
  <c r="V19" i="5"/>
  <c r="AA19" i="5" s="1"/>
  <c r="AB20" i="5"/>
  <c r="AC20" i="5" s="1"/>
  <c r="M17" i="5"/>
  <c r="M20" i="5"/>
  <c r="AD20" i="5" s="1"/>
  <c r="AB26" i="5"/>
  <c r="AC26" i="5" s="1"/>
  <c r="AA26" i="5"/>
  <c r="L9" i="6" l="1"/>
  <c r="M9" i="6" s="1"/>
  <c r="AD9" i="6" l="1"/>
  <c r="V9" i="6"/>
  <c r="AA9" i="6" s="1"/>
  <c r="AB9" i="6"/>
  <c r="AC9" i="6" s="1"/>
  <c r="L3" i="6" l="1"/>
  <c r="M3" i="6" s="1"/>
  <c r="L4" i="6"/>
  <c r="M4" i="6" s="1"/>
  <c r="L5" i="6"/>
  <c r="M5" i="6" s="1"/>
  <c r="L6" i="6"/>
  <c r="AB6" i="6" s="1"/>
  <c r="AC6" i="6" s="1"/>
  <c r="L7" i="6"/>
  <c r="AB7" i="6" s="1"/>
  <c r="AC7" i="6" s="1"/>
  <c r="L8" i="6"/>
  <c r="V8" i="6" s="1"/>
  <c r="AA8" i="6" s="1"/>
  <c r="L10" i="6"/>
  <c r="V10" i="6" s="1"/>
  <c r="L11" i="6"/>
  <c r="M11" i="6" s="1"/>
  <c r="M10" i="6" l="1"/>
  <c r="AD10" i="6" s="1"/>
  <c r="M6" i="6"/>
  <c r="AD6" i="6" s="1"/>
  <c r="M8" i="6"/>
  <c r="AD8" i="6" s="1"/>
  <c r="AB4" i="6"/>
  <c r="AC4" i="6" s="1"/>
  <c r="V7" i="6"/>
  <c r="AA7" i="6" s="1"/>
  <c r="AD3" i="6"/>
  <c r="V11" i="6"/>
  <c r="AA11" i="6" s="1"/>
  <c r="V6" i="6"/>
  <c r="AA6" i="6" s="1"/>
  <c r="AB10" i="6"/>
  <c r="AC10" i="6" s="1"/>
  <c r="AD5" i="6"/>
  <c r="AB3" i="6"/>
  <c r="AC3" i="6" s="1"/>
  <c r="AA10" i="6"/>
  <c r="V5" i="6"/>
  <c r="AA5" i="6" s="1"/>
  <c r="AD11" i="6"/>
  <c r="AB8" i="6"/>
  <c r="AC8" i="6" s="1"/>
  <c r="AB5" i="6"/>
  <c r="AC5" i="6" s="1"/>
  <c r="V4" i="6"/>
  <c r="AA4" i="6" s="1"/>
  <c r="M7" i="6"/>
  <c r="AD7" i="6" s="1"/>
  <c r="AB11" i="6"/>
  <c r="AC11" i="6" s="1"/>
  <c r="AD4" i="6"/>
  <c r="V3" i="6"/>
  <c r="AA3" i="6" s="1"/>
  <c r="U19" i="3"/>
  <c r="L19" i="3"/>
  <c r="K18" i="3"/>
  <c r="V18" i="3" s="1"/>
  <c r="Z18" i="3" s="1"/>
  <c r="K17" i="3"/>
  <c r="AA17" i="3" s="1"/>
  <c r="AB17" i="3" s="1"/>
  <c r="K16" i="3"/>
  <c r="V16" i="3" s="1"/>
  <c r="L8" i="5"/>
  <c r="M8" i="5" s="1"/>
  <c r="L9" i="5"/>
  <c r="M9" i="5" s="1"/>
  <c r="L10" i="5"/>
  <c r="M10" i="5" s="1"/>
  <c r="L11" i="5"/>
  <c r="M11" i="5" s="1"/>
  <c r="L12" i="5"/>
  <c r="M12" i="5" s="1"/>
  <c r="L13" i="5"/>
  <c r="M13" i="5" s="1"/>
  <c r="L14" i="5"/>
  <c r="M14" i="5" s="1"/>
  <c r="L15" i="5"/>
  <c r="M15" i="5" s="1"/>
  <c r="L16" i="5"/>
  <c r="M16" i="5" s="1"/>
  <c r="M18" i="5"/>
  <c r="AA18" i="3" l="1"/>
  <c r="AB18" i="3" s="1"/>
  <c r="V17" i="3"/>
  <c r="Z17" i="3" s="1"/>
  <c r="V13" i="5"/>
  <c r="V15" i="5"/>
  <c r="V18" i="5"/>
  <c r="V16" i="5"/>
  <c r="V8" i="5"/>
  <c r="V11" i="5"/>
  <c r="V9" i="5"/>
  <c r="V12" i="5"/>
  <c r="V14" i="5"/>
  <c r="L18" i="3"/>
  <c r="AC18" i="3" s="1"/>
  <c r="L17" i="3"/>
  <c r="AC17" i="3" s="1"/>
  <c r="L4" i="5" l="1"/>
  <c r="M4" i="5" s="1"/>
  <c r="L5" i="5"/>
  <c r="M5" i="5" s="1"/>
  <c r="L6" i="5"/>
  <c r="M6" i="5" s="1"/>
  <c r="L7" i="5"/>
  <c r="M7" i="5" s="1"/>
  <c r="K3" i="4"/>
  <c r="L3" i="4" s="1"/>
  <c r="K4" i="4"/>
  <c r="L4" i="4" s="1"/>
  <c r="K4" i="3"/>
  <c r="U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L16" i="3"/>
  <c r="U6" i="3" l="1"/>
  <c r="AA3" i="4"/>
  <c r="AB3" i="4" s="1"/>
  <c r="U14" i="3"/>
  <c r="U12" i="3"/>
  <c r="U13" i="3"/>
  <c r="U8" i="3"/>
  <c r="L4" i="3"/>
  <c r="U10" i="3"/>
  <c r="U9" i="3"/>
  <c r="U11" i="3"/>
  <c r="U5" i="3"/>
  <c r="U15" i="3"/>
  <c r="U7" i="3"/>
  <c r="U3" i="4"/>
  <c r="V3" i="4" s="1"/>
  <c r="U4" i="4"/>
  <c r="V4" i="4" s="1"/>
  <c r="AC3" i="4"/>
  <c r="Z3" i="4" l="1"/>
  <c r="B19" i="7" l="1"/>
  <c r="B18" i="7"/>
  <c r="B15" i="7"/>
  <c r="B13" i="7"/>
  <c r="B17" i="7"/>
  <c r="B14" i="7"/>
  <c r="K3" i="3"/>
  <c r="B27" i="7" l="1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4" i="4"/>
  <c r="Z14" i="6"/>
  <c r="Y14" i="6"/>
  <c r="Z13" i="6"/>
  <c r="Y13" i="6"/>
  <c r="Z12" i="6"/>
  <c r="Y12" i="6"/>
  <c r="Y7" i="4"/>
  <c r="X7" i="4"/>
  <c r="Y6" i="4"/>
  <c r="X6" i="4"/>
  <c r="Y5" i="4"/>
  <c r="X5" i="4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8" i="5"/>
  <c r="AB3" i="5"/>
  <c r="AA3" i="5"/>
  <c r="Z30" i="5"/>
  <c r="Y30" i="5"/>
  <c r="Z29" i="5"/>
  <c r="Y29" i="5"/>
  <c r="Z28" i="5"/>
  <c r="Y28" i="5"/>
  <c r="Z27" i="5"/>
  <c r="Y27" i="5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9" i="3"/>
  <c r="Z3" i="3"/>
  <c r="Y20" i="3"/>
  <c r="Y23" i="3"/>
  <c r="Y22" i="3"/>
  <c r="Y21" i="3"/>
  <c r="X23" i="3"/>
  <c r="X22" i="3"/>
  <c r="X21" i="3"/>
  <c r="X20" i="3"/>
  <c r="Q20" i="7" l="1"/>
  <c r="Q37" i="7" s="1"/>
  <c r="P20" i="7"/>
  <c r="P37" i="7" s="1"/>
  <c r="Q31" i="7"/>
  <c r="Q42" i="7" s="1"/>
  <c r="P31" i="7"/>
  <c r="P42" i="7" s="1"/>
  <c r="Q30" i="7"/>
  <c r="Q41" i="7" s="1"/>
  <c r="P30" i="7"/>
  <c r="Q23" i="7"/>
  <c r="Q40" i="7" s="1"/>
  <c r="Q22" i="7"/>
  <c r="Q21" i="7"/>
  <c r="Q34" i="7" s="1"/>
  <c r="P22" i="7"/>
  <c r="P21" i="7"/>
  <c r="P34" i="7" s="1"/>
  <c r="Q32" i="7"/>
  <c r="Q43" i="7" s="1"/>
  <c r="P32" i="7"/>
  <c r="P43" i="7" s="1"/>
  <c r="P23" i="7"/>
  <c r="J7" i="4"/>
  <c r="P33" i="7" l="1"/>
  <c r="P44" i="7" s="1"/>
  <c r="Q35" i="7"/>
  <c r="P36" i="7"/>
  <c r="Q36" i="7"/>
  <c r="Q33" i="7"/>
  <c r="Q44" i="7" s="1"/>
  <c r="P35" i="7"/>
  <c r="P41" i="7"/>
  <c r="Q39" i="7"/>
  <c r="Q38" i="7"/>
  <c r="P39" i="7"/>
  <c r="P40" i="7"/>
  <c r="P38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C29" i="7"/>
  <c r="C26" i="7"/>
  <c r="C19" i="7"/>
  <c r="C18" i="7"/>
  <c r="C17" i="7"/>
  <c r="S14" i="7" l="1"/>
  <c r="S15" i="7"/>
  <c r="S13" i="7"/>
  <c r="R25" i="7"/>
  <c r="R18" i="7"/>
  <c r="S29" i="7"/>
  <c r="S28" i="7"/>
  <c r="S26" i="7"/>
  <c r="S25" i="7"/>
  <c r="R19" i="7"/>
  <c r="S18" i="7"/>
  <c r="S17" i="7"/>
  <c r="S19" i="7"/>
  <c r="C15" i="7"/>
  <c r="C14" i="7"/>
  <c r="R14" i="7" s="1"/>
  <c r="C13" i="7"/>
  <c r="R15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C21" i="7"/>
  <c r="C38" i="7" s="1"/>
  <c r="B21" i="7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L23" i="3"/>
  <c r="K23" i="3"/>
  <c r="J23" i="3"/>
  <c r="L22" i="3"/>
  <c r="K22" i="3"/>
  <c r="J22" i="3"/>
  <c r="J21" i="3"/>
  <c r="H22" i="3"/>
  <c r="H21" i="3"/>
  <c r="X30" i="5"/>
  <c r="W30" i="5"/>
  <c r="V30" i="5"/>
  <c r="U30" i="5"/>
  <c r="T30" i="5"/>
  <c r="S30" i="5"/>
  <c r="R30" i="5"/>
  <c r="Q30" i="5"/>
  <c r="P30" i="5"/>
  <c r="O30" i="5"/>
  <c r="X29" i="5"/>
  <c r="W29" i="5"/>
  <c r="V29" i="5"/>
  <c r="U29" i="5"/>
  <c r="T29" i="5"/>
  <c r="S29" i="5"/>
  <c r="R29" i="5"/>
  <c r="Q29" i="5"/>
  <c r="P29" i="5"/>
  <c r="O29" i="5"/>
  <c r="X28" i="5"/>
  <c r="W28" i="5"/>
  <c r="V28" i="5"/>
  <c r="U28" i="5"/>
  <c r="T28" i="5"/>
  <c r="S28" i="5"/>
  <c r="R28" i="5"/>
  <c r="Q28" i="5"/>
  <c r="P28" i="5"/>
  <c r="O28" i="5"/>
  <c r="M30" i="5"/>
  <c r="L30" i="5"/>
  <c r="K30" i="5"/>
  <c r="M29" i="5"/>
  <c r="L29" i="5"/>
  <c r="K29" i="5"/>
  <c r="L28" i="5"/>
  <c r="K28" i="5"/>
  <c r="I29" i="5"/>
  <c r="I28" i="5"/>
  <c r="W6" i="4"/>
  <c r="V6" i="4"/>
  <c r="U6" i="4"/>
  <c r="T6" i="4"/>
  <c r="S6" i="4"/>
  <c r="R6" i="4"/>
  <c r="Q6" i="4"/>
  <c r="P6" i="4"/>
  <c r="O6" i="4"/>
  <c r="N6" i="4"/>
  <c r="L6" i="4"/>
  <c r="K6" i="4"/>
  <c r="J6" i="4"/>
  <c r="H6" i="4"/>
  <c r="X13" i="6"/>
  <c r="W13" i="6"/>
  <c r="V13" i="6"/>
  <c r="U13" i="6"/>
  <c r="T13" i="6"/>
  <c r="S13" i="6"/>
  <c r="R13" i="6"/>
  <c r="Q13" i="6"/>
  <c r="P13" i="6"/>
  <c r="O13" i="6"/>
  <c r="L13" i="6"/>
  <c r="K13" i="6"/>
  <c r="I13" i="6"/>
  <c r="AA13" i="6" l="1"/>
  <c r="AA28" i="5"/>
  <c r="AA30" i="5"/>
  <c r="AA29" i="5"/>
  <c r="Z6" i="4"/>
  <c r="S21" i="7"/>
  <c r="E38" i="7"/>
  <c r="F34" i="7"/>
  <c r="F38" i="7"/>
  <c r="N34" i="7"/>
  <c r="N38" i="7"/>
  <c r="G34" i="7"/>
  <c r="G38" i="7"/>
  <c r="O34" i="7"/>
  <c r="O38" i="7"/>
  <c r="Z22" i="3"/>
  <c r="H34" i="7"/>
  <c r="H38" i="7"/>
  <c r="I34" i="7"/>
  <c r="I38" i="7"/>
  <c r="Z23" i="3"/>
  <c r="B34" i="7"/>
  <c r="B38" i="7"/>
  <c r="J34" i="7"/>
  <c r="J38" i="7"/>
  <c r="L34" i="7"/>
  <c r="L38" i="7"/>
  <c r="K34" i="7"/>
  <c r="K38" i="7"/>
  <c r="M34" i="7"/>
  <c r="M38" i="7"/>
  <c r="AA6" i="4"/>
  <c r="S32" i="7"/>
  <c r="S31" i="7"/>
  <c r="C34" i="7"/>
  <c r="E34" i="7"/>
  <c r="S22" i="7"/>
  <c r="R22" i="7"/>
  <c r="E35" i="7"/>
  <c r="M35" i="7"/>
  <c r="H35" i="7"/>
  <c r="AB28" i="5"/>
  <c r="L35" i="7"/>
  <c r="I35" i="7"/>
  <c r="C35" i="7"/>
  <c r="G35" i="7"/>
  <c r="K35" i="7"/>
  <c r="O35" i="7"/>
  <c r="B35" i="7"/>
  <c r="F35" i="7"/>
  <c r="J35" i="7"/>
  <c r="N35" i="7"/>
  <c r="AB13" i="6"/>
  <c r="AC6" i="4"/>
  <c r="M3" i="5"/>
  <c r="K21" i="3"/>
  <c r="Z21" i="3" s="1"/>
  <c r="AD3" i="5" l="1"/>
  <c r="D17" i="7"/>
  <c r="R17" i="7" s="1"/>
  <c r="M28" i="5"/>
  <c r="AD28" i="5" s="1"/>
  <c r="S34" i="7"/>
  <c r="S35" i="7"/>
  <c r="B24" i="7"/>
  <c r="L3" i="3"/>
  <c r="D13" i="7" s="1"/>
  <c r="AA21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14" i="6"/>
  <c r="W14" i="6"/>
  <c r="V14" i="6"/>
  <c r="U14" i="6"/>
  <c r="T14" i="6"/>
  <c r="S14" i="6"/>
  <c r="R14" i="6"/>
  <c r="Q14" i="6"/>
  <c r="P14" i="6"/>
  <c r="O14" i="6"/>
  <c r="M14" i="6"/>
  <c r="L14" i="6"/>
  <c r="K14" i="6"/>
  <c r="I14" i="6"/>
  <c r="X12" i="6"/>
  <c r="W12" i="6"/>
  <c r="V12" i="6"/>
  <c r="U12" i="6"/>
  <c r="T12" i="6"/>
  <c r="S12" i="6"/>
  <c r="R12" i="6"/>
  <c r="Q12" i="6"/>
  <c r="P12" i="6"/>
  <c r="O12" i="6"/>
  <c r="L12" i="6"/>
  <c r="K12" i="6"/>
  <c r="I12" i="6"/>
  <c r="W7" i="4"/>
  <c r="V7" i="4"/>
  <c r="U7" i="4"/>
  <c r="T7" i="4"/>
  <c r="S7" i="4"/>
  <c r="R7" i="4"/>
  <c r="Q7" i="4"/>
  <c r="P7" i="4"/>
  <c r="O7" i="4"/>
  <c r="N7" i="4"/>
  <c r="L7" i="4"/>
  <c r="K7" i="4"/>
  <c r="H7" i="4"/>
  <c r="I30" i="5"/>
  <c r="H23" i="3"/>
  <c r="D29" i="7" l="1"/>
  <c r="R29" i="7" s="1"/>
  <c r="D28" i="7"/>
  <c r="M13" i="6"/>
  <c r="AD13" i="6" s="1"/>
  <c r="D27" i="7"/>
  <c r="R27" i="7" s="1"/>
  <c r="M12" i="6"/>
  <c r="AD12" i="6" s="1"/>
  <c r="D24" i="7"/>
  <c r="R24" i="7" s="1"/>
  <c r="D26" i="7"/>
  <c r="Z7" i="4"/>
  <c r="R13" i="7"/>
  <c r="D21" i="7"/>
  <c r="D38" i="7" s="1"/>
  <c r="I36" i="7"/>
  <c r="I40" i="7"/>
  <c r="B36" i="7"/>
  <c r="B40" i="7"/>
  <c r="K36" i="7"/>
  <c r="K40" i="7"/>
  <c r="H36" i="7"/>
  <c r="H40" i="7"/>
  <c r="J36" i="7"/>
  <c r="J40" i="7"/>
  <c r="D40" i="7"/>
  <c r="L36" i="7"/>
  <c r="L40" i="7"/>
  <c r="M36" i="7"/>
  <c r="M40" i="7"/>
  <c r="F36" i="7"/>
  <c r="F40" i="7"/>
  <c r="N36" i="7"/>
  <c r="N40" i="7"/>
  <c r="G36" i="7"/>
  <c r="G40" i="7"/>
  <c r="O36" i="7"/>
  <c r="O40" i="7"/>
  <c r="AA14" i="6"/>
  <c r="AA12" i="6"/>
  <c r="L21" i="3"/>
  <c r="AC21" i="3" s="1"/>
  <c r="AC3" i="3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5" i="4"/>
  <c r="L5" i="4"/>
  <c r="K5" i="4"/>
  <c r="J5" i="4"/>
  <c r="W5" i="4"/>
  <c r="V5" i="4"/>
  <c r="U5" i="4"/>
  <c r="T5" i="4"/>
  <c r="S5" i="4"/>
  <c r="R5" i="4"/>
  <c r="Q5" i="4"/>
  <c r="P5" i="4"/>
  <c r="O5" i="4"/>
  <c r="N5" i="4"/>
  <c r="AB14" i="6"/>
  <c r="AD14" i="6"/>
  <c r="AB29" i="5"/>
  <c r="AD29" i="5"/>
  <c r="AB30" i="5"/>
  <c r="AD30" i="5"/>
  <c r="AA22" i="3"/>
  <c r="AC22" i="3"/>
  <c r="AA23" i="3"/>
  <c r="AC23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2" i="6"/>
  <c r="AA4" i="4"/>
  <c r="AB4" i="4" s="1"/>
  <c r="AC4" i="4"/>
  <c r="AB4" i="5"/>
  <c r="AC4" i="5" s="1"/>
  <c r="AD4" i="5"/>
  <c r="AB5" i="5"/>
  <c r="AC5" i="5" s="1"/>
  <c r="AD5" i="5"/>
  <c r="AB6" i="5"/>
  <c r="AC6" i="5" s="1"/>
  <c r="AD6" i="5"/>
  <c r="AB7" i="5"/>
  <c r="AC7" i="5" s="1"/>
  <c r="AD7" i="5"/>
  <c r="AB8" i="5"/>
  <c r="AC8" i="5" s="1"/>
  <c r="AD8" i="5"/>
  <c r="AB9" i="5"/>
  <c r="AC9" i="5" s="1"/>
  <c r="AD9" i="5"/>
  <c r="AB10" i="5"/>
  <c r="AC10" i="5" s="1"/>
  <c r="AD10" i="5"/>
  <c r="AB11" i="5"/>
  <c r="AC11" i="5" s="1"/>
  <c r="AD11" i="5"/>
  <c r="AB12" i="5"/>
  <c r="AC12" i="5" s="1"/>
  <c r="AD12" i="5"/>
  <c r="AB13" i="5"/>
  <c r="AC13" i="5" s="1"/>
  <c r="AD13" i="5"/>
  <c r="AB14" i="5"/>
  <c r="AC14" i="5" s="1"/>
  <c r="AD14" i="5"/>
  <c r="AB15" i="5"/>
  <c r="AC15" i="5" s="1"/>
  <c r="AD15" i="5"/>
  <c r="AB16" i="5"/>
  <c r="AC16" i="5" s="1"/>
  <c r="AD16" i="5"/>
  <c r="AB18" i="5"/>
  <c r="AC18" i="5" s="1"/>
  <c r="AD18" i="5"/>
  <c r="R28" i="7" l="1"/>
  <c r="D31" i="7"/>
  <c r="D30" i="7"/>
  <c r="D41" i="7" s="1"/>
  <c r="Z5" i="4"/>
  <c r="R26" i="7"/>
  <c r="D32" i="7"/>
  <c r="N20" i="7"/>
  <c r="O20" i="7"/>
  <c r="O33" i="7" s="1"/>
  <c r="K20" i="7"/>
  <c r="K33" i="7" s="1"/>
  <c r="H20" i="7"/>
  <c r="H37" i="7" s="1"/>
  <c r="J20" i="7"/>
  <c r="J37" i="7" s="1"/>
  <c r="R21" i="7"/>
  <c r="D34" i="7"/>
  <c r="R34" i="7" s="1"/>
  <c r="S36" i="7"/>
  <c r="AA5" i="4"/>
  <c r="S30" i="7"/>
  <c r="AC3" i="5"/>
  <c r="M20" i="7"/>
  <c r="I20" i="7"/>
  <c r="I33" i="7" s="1"/>
  <c r="B20" i="7"/>
  <c r="B37" i="7" s="1"/>
  <c r="L20" i="7"/>
  <c r="AC5" i="4"/>
  <c r="O20" i="3"/>
  <c r="AA4" i="3"/>
  <c r="AB4" i="3" s="1"/>
  <c r="AA5" i="3"/>
  <c r="AB5" i="3" s="1"/>
  <c r="AA6" i="3"/>
  <c r="AB6" i="3" s="1"/>
  <c r="AA7" i="3"/>
  <c r="AB7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9" i="3"/>
  <c r="AB19" i="3" s="1"/>
  <c r="O37" i="7" l="1"/>
  <c r="D42" i="7"/>
  <c r="R31" i="7"/>
  <c r="D35" i="7"/>
  <c r="R35" i="7" s="1"/>
  <c r="H33" i="7"/>
  <c r="H44" i="7" s="1"/>
  <c r="K37" i="7"/>
  <c r="R30" i="7"/>
  <c r="D43" i="7"/>
  <c r="R32" i="7"/>
  <c r="D36" i="7"/>
  <c r="R36" i="7" s="1"/>
  <c r="N33" i="7"/>
  <c r="N44" i="7" s="1"/>
  <c r="O44" i="7"/>
  <c r="N37" i="7"/>
  <c r="K44" i="7"/>
  <c r="J33" i="7"/>
  <c r="J44" i="7" s="1"/>
  <c r="I44" i="7"/>
  <c r="I37" i="7"/>
  <c r="M33" i="7"/>
  <c r="M44" i="7" s="1"/>
  <c r="M37" i="7"/>
  <c r="L33" i="7"/>
  <c r="L44" i="7" s="1"/>
  <c r="L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27" i="5"/>
  <c r="W27" i="5"/>
  <c r="V27" i="5"/>
  <c r="U27" i="5"/>
  <c r="T27" i="5"/>
  <c r="S27" i="5"/>
  <c r="R27" i="5"/>
  <c r="Q27" i="5"/>
  <c r="P27" i="5"/>
  <c r="O27" i="5"/>
  <c r="L27" i="5"/>
  <c r="K27" i="5"/>
  <c r="I27" i="5"/>
  <c r="W20" i="3"/>
  <c r="V20" i="3"/>
  <c r="U20" i="3"/>
  <c r="T20" i="3"/>
  <c r="S20" i="3"/>
  <c r="R20" i="3"/>
  <c r="Q20" i="3"/>
  <c r="P20" i="3"/>
  <c r="N20" i="3"/>
  <c r="K20" i="3"/>
  <c r="J20" i="3"/>
  <c r="H20" i="3"/>
  <c r="AC19" i="3"/>
  <c r="AC16" i="3"/>
  <c r="AC15" i="3"/>
  <c r="AC14" i="3"/>
  <c r="AC13" i="3"/>
  <c r="AC12" i="3"/>
  <c r="AC11" i="3"/>
  <c r="AC10" i="3"/>
  <c r="AC9" i="3"/>
  <c r="AC7" i="3"/>
  <c r="AC6" i="3"/>
  <c r="AC5" i="3"/>
  <c r="AC4" i="3"/>
  <c r="S16" i="7" l="1"/>
  <c r="AA27" i="5"/>
  <c r="Z20" i="3"/>
  <c r="S12" i="7"/>
  <c r="E44" i="7"/>
  <c r="E37" i="7"/>
  <c r="C20" i="7"/>
  <c r="F20" i="7"/>
  <c r="G20" i="7"/>
  <c r="AB27" i="5"/>
  <c r="AA7" i="4"/>
  <c r="AA20" i="3"/>
  <c r="AB3" i="3"/>
  <c r="D16" i="7"/>
  <c r="R16" i="7" s="1"/>
  <c r="L20" i="3"/>
  <c r="AC20" i="3" s="1"/>
  <c r="M27" i="5"/>
  <c r="AD27" i="5" s="1"/>
  <c r="D12" i="7"/>
  <c r="AC7" i="4"/>
  <c r="G33" i="7" l="1"/>
  <c r="G44" i="7" s="1"/>
  <c r="G37" i="7"/>
  <c r="F37" i="7"/>
  <c r="R12" i="7"/>
  <c r="C37" i="7"/>
  <c r="C33" i="7"/>
  <c r="C44" i="7" s="1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<sst xmlns="http://schemas.openxmlformats.org/spreadsheetml/2006/main" count="545" uniqueCount="250">
  <si>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</si>
  <si>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</si>
  <si>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</si>
  <si>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</si>
  <si>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</si>
  <si>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</si>
  <si>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</si>
  <si>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</si>
  <si>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</si>
  <si>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</si>
  <si>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</si>
  <si>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</si>
  <si>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</si>
  <si>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</si>
  <si>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</si>
  <si>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</si>
  <si>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</si>
  <si>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</si>
  <si>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</si>
  <si>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</si>
  <si>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</si>
  <si>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</si>
  <si>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</si>
  <si>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</si>
  <si>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</si>
  <si>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</si>
  <si>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</si>
  <si>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</si>
  <si>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</si>
  <si>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</si>
  <si>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</si>
  <si>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</si>
  <si>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</si>
  <si>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</si>
  <si>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</si>
  <si>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</si>
  <si>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</si>
  <si>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</si>
  <si>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</si>
  <si>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</si>
  <si>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</si>
  <si>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</si>
  <si>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</si>
  <si>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</si>
  <si>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</si>
  <si>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</si>
  <si>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</si>
  <si>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</si>
  <si>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RFRD/2025/P/5</t>
  </si>
  <si>
    <t>RFRD/2025/P/2</t>
  </si>
  <si>
    <t>RFRD/2025/P/16</t>
  </si>
  <si>
    <t>RFRD/2025/P/10</t>
  </si>
  <si>
    <t>RFRD/2025/P/8</t>
  </si>
  <si>
    <t>RFRD/2025/P/11</t>
  </si>
  <si>
    <t>RFRD/2025/P/7</t>
  </si>
  <si>
    <t>RFRD/2025/P/19</t>
  </si>
  <si>
    <t>RFRD/2025/P/20</t>
  </si>
  <si>
    <t>RFRD/2025/P/6</t>
  </si>
  <si>
    <t>RFRD/2025/P/3</t>
  </si>
  <si>
    <t>RFRD/2025/P/17</t>
  </si>
  <si>
    <t>RFRD/2024/P/3</t>
  </si>
  <si>
    <t>RFRD/2024/P/4</t>
  </si>
  <si>
    <t>K</t>
  </si>
  <si>
    <t>Powiat Opolski</t>
  </si>
  <si>
    <t>Powiat Strzelecki</t>
  </si>
  <si>
    <t>Rozbudowa drogi powiatowej nr 1807 O Strzelce Opolskie - Krasiejów od km 14+780 do km 16+098</t>
  </si>
  <si>
    <t>B</t>
  </si>
  <si>
    <t>maj 2025 czerwiec 2026</t>
  </si>
  <si>
    <t>Rozbudowa drogi powiatowej 1461 O Sieroniowice-Ujazd na odcinku Jaryszów - Ujazd Etap 2 i Etap 3</t>
  </si>
  <si>
    <t>N</t>
  </si>
  <si>
    <t>Powiat Nyski</t>
  </si>
  <si>
    <t>Przebudowa drogi powiatowej nr 2182 O - ulica Prusa w Nysie</t>
  </si>
  <si>
    <t>P</t>
  </si>
  <si>
    <t>luty 2026          styczeń 2027</t>
  </si>
  <si>
    <t>Powiat Brzeski</t>
  </si>
  <si>
    <t>R</t>
  </si>
  <si>
    <t>luty 2026 wrzesień 2026</t>
  </si>
  <si>
    <t>Rozbudowa drogi powiatowej nr 1754 O Chmielowice-Prószków na odcinku Domecko-Nowa Kuźnia</t>
  </si>
  <si>
    <t>kwiecień 2026 grudzień 2026</t>
  </si>
  <si>
    <t>Powiat Kędzierzyńsko-Kozielski</t>
  </si>
  <si>
    <t>Remont ciągu dróg powiatowych nr 2043 O ul. Konstantego Damrota i 2061 O ul. Pionierów w Kędzierzynie-Koźlu</t>
  </si>
  <si>
    <t>lipiec 2026 listopad 2026</t>
  </si>
  <si>
    <t>Powiat Oleski</t>
  </si>
  <si>
    <t>Remont drogi powiatowej nr 1941 O na odcinku Siedliska - Zębowice</t>
  </si>
  <si>
    <t>kwiecień 2026 październik 2026</t>
  </si>
  <si>
    <t>Przebudowa odcinka drogi powiatowej nr 1422 O Zakrzów-Cisek od km 1+420 do km 2+520</t>
  </si>
  <si>
    <t>Powiat Prudnicki</t>
  </si>
  <si>
    <t>marzec 2026 wrzesień 2026</t>
  </si>
  <si>
    <t>Powiat Namysłowski</t>
  </si>
  <si>
    <t>Remont drogi powiatowej nr 1348 O w m. Domaradzka Kuźnia</t>
  </si>
  <si>
    <t>marzec 2026 sierpień 2026</t>
  </si>
  <si>
    <t>Przebudowa drogi powiatowej nr 1706 O w miejscowości Szczedrzyk</t>
  </si>
  <si>
    <t>marzec 2026 październik 2026</t>
  </si>
  <si>
    <t>Powiat Kluczborski</t>
  </si>
  <si>
    <t>Przebudowa drogi powiatowej nr 2297O ul. Mickiewicza w Wołczynie</t>
  </si>
  <si>
    <t>W</t>
  </si>
  <si>
    <t>Powiat Głubczycki</t>
  </si>
  <si>
    <t>Przebudowa drogi nr 1225 O relacji Baborów - Sucha Psina na odcinku DW 416 do skrzyżowania z DP 1276 O</t>
  </si>
  <si>
    <t>kwiecień 2026 listopad 2027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</si>
  <si>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</si>
  <si>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</si>
  <si>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</si>
  <si>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</si>
  <si>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</si>
  <si>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</si>
  <si>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</si>
  <si>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</si>
  <si>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</si>
  <si>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</si>
  <si>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</si>
  <si>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</si>
  <si>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</si>
  <si>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maj 2025               maj 2026</t>
  </si>
  <si>
    <t>Przebudowa i rozbudowa drogi powiatowej nr 1613 O Prudnik-Czyżowice-granica gminy prudnik - na odc. 969 m</t>
  </si>
  <si>
    <t>RFRD/2025/P/1</t>
  </si>
  <si>
    <t>RFRD/2025/P/12</t>
  </si>
  <si>
    <t>RFRD/2025/P/4</t>
  </si>
  <si>
    <t>RFRD/2025/P/18</t>
  </si>
  <si>
    <t>RFRD/2025/P/15</t>
  </si>
  <si>
    <t>Przebudowa DP nr 1179 O w m. Gierszowice</t>
  </si>
  <si>
    <t>marzec 2026 październik 2027</t>
  </si>
  <si>
    <t>kwiecień 2026 maj 2027</t>
  </si>
  <si>
    <t>Przebudowa drogi powiatowej nr 2106O na odcinku o długości 192,29 m (od km 0+040,35 do km 0+232,64) wraz z rozbiórką oraz budową przepustu (JNI 01018579) zlokalizowanego w km 0+178,5 nad ciekiem Stara Stobrawa</t>
  </si>
  <si>
    <t>Remont drogi nr 1234O relacji DW nr 420 - Rozumice -Ściborzyce gr. Państwa na odcinku od Rozumice do DW 420</t>
  </si>
  <si>
    <t>Powiat Krapkowicki</t>
  </si>
  <si>
    <t>Przebudowa drogi powiatowej nr 1813 O ul. Krapkowicka w miejscowości Żużela</t>
  </si>
  <si>
    <t>marzec 2026 lipiec 2026</t>
  </si>
  <si>
    <t>Zadanie nowe/ wieloletnie [N/W]</t>
  </si>
  <si>
    <t>RFRD/2023/G/57</t>
  </si>
  <si>
    <t>Gmina Brzeg</t>
  </si>
  <si>
    <t>Przebudowa ulicy Poprzecznej w Brzegu</t>
  </si>
  <si>
    <t>sierpień 2024 wrzesień 2026</t>
  </si>
  <si>
    <t>RFRD/2024/G/9</t>
  </si>
  <si>
    <t>Gmina Nysa</t>
  </si>
  <si>
    <t>1607053</t>
  </si>
  <si>
    <t>Rozbudowa i przebudowa drogi gminnej w ulicy Franciszkańskiej wraz z rozbudową i przebudową skrzyżowania drogi gminnej ulicy Franciszkańskiej z drogą wojewódzką ulicą Grodkowską w Nysie</t>
  </si>
  <si>
    <t>czerwiec 2025 październik 2026</t>
  </si>
  <si>
    <t>RFRD/2024/G/1</t>
  </si>
  <si>
    <t>Gmina Niemodlin</t>
  </si>
  <si>
    <t>1609073</t>
  </si>
  <si>
    <t>Rozbudowa ul. Sportowej w miejscowości Gracze</t>
  </si>
  <si>
    <t>RFRD/2024/G/57</t>
  </si>
  <si>
    <t>Przebudowa ul. Trzech Kotwic w Brzegu</t>
  </si>
  <si>
    <t>czerwiec 2025 grudzień 2026</t>
  </si>
  <si>
    <t>Gmina Łubniany</t>
  </si>
  <si>
    <t>Budowa drogi gminnej - ul. Pogodnej w miejscowości Luboszyce</t>
  </si>
  <si>
    <t>RFRD/2024/G/14</t>
  </si>
  <si>
    <t>RFRD/2025/G/2</t>
  </si>
  <si>
    <t>Gmina Dobrzeń Wielki</t>
  </si>
  <si>
    <t>1609032</t>
  </si>
  <si>
    <t>Budowa drogi gminnej oznaczonej w MPZP jako KDD-2 w m. Dobrzeń Wielki</t>
  </si>
  <si>
    <t>marzec 2026 listopad 2026</t>
  </si>
  <si>
    <t>RFRD/2025/G/69</t>
  </si>
  <si>
    <t>Przebudowa drogi publicznej wzdłuż południowej pierzei Rynku w Niemodlinie</t>
  </si>
  <si>
    <t>RFRD/2025/G/32</t>
  </si>
  <si>
    <t>Budowa drogi relacji Kępnica-Wierzbięcice</t>
  </si>
  <si>
    <t>maj 2026 sierpień 2027</t>
  </si>
  <si>
    <t>RFRD/2025/G/57</t>
  </si>
  <si>
    <t>Remont ul. Szkolnej w Brzegu</t>
  </si>
  <si>
    <t>RFRD/2025/G/71</t>
  </si>
  <si>
    <t>Gmina Branice</t>
  </si>
  <si>
    <t>styczeń 2026 listopad 2026</t>
  </si>
  <si>
    <t>RFRD/2025/G/66</t>
  </si>
  <si>
    <t>Gmina Ozimek</t>
  </si>
  <si>
    <t>Przebudowa drogi gminnej ul. Technicznej w m. Schodnia</t>
  </si>
  <si>
    <t>czerwiec 2026 grudzień 2026</t>
  </si>
  <si>
    <t>RFRD/2025/G/24</t>
  </si>
  <si>
    <t>Gmina Strzelce Opolskie</t>
  </si>
  <si>
    <t>Rozbudowa ul. Szkolnej w Strzelcach Opolskich</t>
  </si>
  <si>
    <t>kwiecień 2026 sierpień 2026</t>
  </si>
  <si>
    <t>RFRD/2025/G/30</t>
  </si>
  <si>
    <t>Gmina Tułowice</t>
  </si>
  <si>
    <t>luty 2026 październik 2026</t>
  </si>
  <si>
    <t>RFRD/2025/G/53</t>
  </si>
  <si>
    <t>Gmina Dąbrowa</t>
  </si>
  <si>
    <t>Przebudowa ul. Szkolnej w miejscowości Dąbrowa</t>
  </si>
  <si>
    <t>RFRD/2025/G/73</t>
  </si>
  <si>
    <t>Gmina Zdzieszowice</t>
  </si>
  <si>
    <t>Rozbudowa drogi gminnej nr 106068 O, ul. Zielona wraz z rozbudową skrzyżowania z ul. Fabryczna i ul. Górną w Zdzieszowicach</t>
  </si>
  <si>
    <t>kwiecień 2026 listopad 2026</t>
  </si>
  <si>
    <t>RFRD/2025/G/7</t>
  </si>
  <si>
    <t>Gmina Prudnik</t>
  </si>
  <si>
    <t>Budowa drogi gminnej ul. Spokojnej w m. Prudnik</t>
  </si>
  <si>
    <t>Budowa łącznika pomiędzy ulicą Porcelitową i Betonową w Tułowicach wraz z infrastrukturą towarzyszącą</t>
  </si>
  <si>
    <t>Przebudowa drogi gminnej ul. Szkolnej w miejscowości Branice - etap II</t>
  </si>
  <si>
    <t>17*</t>
  </si>
  <si>
    <t>RFRD/2025/G/52</t>
  </si>
  <si>
    <t>RFRD/2025/G/18</t>
  </si>
  <si>
    <t>RFRD/2025/G/19</t>
  </si>
  <si>
    <t>RFRD/2025/G/8</t>
  </si>
  <si>
    <t>RFRD/2025/G/37</t>
  </si>
  <si>
    <t>RFRD/2025/G/21</t>
  </si>
  <si>
    <t>RFRD/2025/G/48</t>
  </si>
  <si>
    <t>RFRD/2025/G/5</t>
  </si>
  <si>
    <t>RFRD/2025/G/1</t>
  </si>
  <si>
    <t>RFRD/2025/G/62</t>
  </si>
  <si>
    <t>RFRD/2025/G/70</t>
  </si>
  <si>
    <t>RFRD/2025/G/12</t>
  </si>
  <si>
    <t>RFRD/2025/G/49</t>
  </si>
  <si>
    <t>RFRD/2025/G/35</t>
  </si>
  <si>
    <t>RFRD/2025/G/41</t>
  </si>
  <si>
    <t>RFRD/2025/G/54</t>
  </si>
  <si>
    <t>RFRD/2025/G/26</t>
  </si>
  <si>
    <t>Gmina Krapkowice</t>
  </si>
  <si>
    <t>Rozbudowa ul. Bocznej w Gwoździcach</t>
  </si>
  <si>
    <t>Gmina Kędzierzyn-Koźle</t>
  </si>
  <si>
    <t>Budowa i przebudowa drogi gminnej - ul. Błonie w Kędzierzynie-Koźlu</t>
  </si>
  <si>
    <t>luty 2026 czerwiec 2027</t>
  </si>
  <si>
    <t>Gmina Gogolin</t>
  </si>
  <si>
    <t>Rozbudowa drogi gminnej nr 106120O, ul. Polna w miejscowości Malnia</t>
  </si>
  <si>
    <t>Gmina Dobrodzień</t>
  </si>
  <si>
    <t>Budowa dróg gminnych ulic Słonecznej, Dworcowej oraz Spółdzielczej w Dobrodzieniu</t>
  </si>
  <si>
    <t>Gmina Kolonowskie</t>
  </si>
  <si>
    <t>Przebudowa drogi gminnej - ul. Dworcowa w Staniszczach Wielkich (odcinek II)</t>
  </si>
  <si>
    <t>maj 2026 wrzesień 2026</t>
  </si>
  <si>
    <t>Gmina Popielów</t>
  </si>
  <si>
    <t>Remont nawierzchni drogi gminnej ul. Bocznej Kolejowej w Karłowicach</t>
  </si>
  <si>
    <t>czerwiec 2026 listopad 2026</t>
  </si>
  <si>
    <t>Gmina Chrząstowice</t>
  </si>
  <si>
    <t>Budowa drogi gminnej ul. Rynkowej w Dańcu</t>
  </si>
  <si>
    <t>maj 2026 listopad 2026</t>
  </si>
  <si>
    <t>Gmina Olesno</t>
  </si>
  <si>
    <t>Przebudowa ul. Kuźnickiej w Borkach Wielkich</t>
  </si>
  <si>
    <t>luty 2026 czerwiec 2026</t>
  </si>
  <si>
    <t>Budowa drogi gminnej w m. Kup ul. Szpitalna (boczna m.in. dz. nr 708/92, 1077/107)</t>
  </si>
  <si>
    <t>kwiecień 2026 wrzesień 2026</t>
  </si>
  <si>
    <t>Budowa ulicy Piaskowej w miejscowości Kolonowskie</t>
  </si>
  <si>
    <t>Gmina Namysłów</t>
  </si>
  <si>
    <t>Rozbudowa ul. Świerkowej oraz budowa ul. Jarzębinowej w Namysłowie</t>
  </si>
  <si>
    <t>Gmina Pokój</t>
  </si>
  <si>
    <t>Przebudowa drogi gminnej wewnętrznej ul. Wiejska w Ładzy wraz z budową kanalizacji deszczowej</t>
  </si>
  <si>
    <t>grudzień 2025 listopad 2026</t>
  </si>
  <si>
    <t>Gmina Ujazd</t>
  </si>
  <si>
    <t>Przebudowa drogi gminnej ul. Szkolnej w Zimnej Wódce</t>
  </si>
  <si>
    <t>luty 2026 grudzień 2026</t>
  </si>
  <si>
    <t>Gmina Skoroszyce</t>
  </si>
  <si>
    <t>Rozbudowa dróg w m. Czarnolas etap 1</t>
  </si>
  <si>
    <t>Gmina Leśnica</t>
  </si>
  <si>
    <t>Remont drogi gminnej nr 105825 O ul. Strażacka i nr 105824 O ul. Powstańców SI. w Leśnicy</t>
  </si>
  <si>
    <t>Przebudowa ulicy Kolonia Sokolniki w miejscowości Sokolniki</t>
  </si>
  <si>
    <t>Gmina Praszka</t>
  </si>
  <si>
    <t>Przebudowa drogi gminnej nr 100952 O ul. Nałkowskiej w Praszce</t>
  </si>
  <si>
    <t>wrzesień 2026 listopad 2027</t>
  </si>
  <si>
    <t>Remont DP 1193 O na odc. od km 1+710 do km 2+400 ul. Łokietka i ul. Sikorskiego w m. Brzeg</t>
  </si>
  <si>
    <t>Przebudowa drogi powiatowej 1847 O Strzelce Opolskie - Dziewkowice w m. Dziewkowice ul. Strzelecka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</si>
  <si>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2026 r.</t>
    </r>
  </si>
  <si>
    <t>Województwo: Opolskie</t>
  </si>
  <si>
    <t>Remont drogi powiatowej nr 1205 O relacji DP 1526 O - Węża w m. Śmicz</t>
  </si>
  <si>
    <t>24*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</si>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</sst>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166" fontId="1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vertical="center" wrapText="1"/>
    </xf>
    <xf numFmtId="166" fontId="30" fillId="0" borderId="1" xfId="0" applyNumberFormat="1" applyFont="1" applyFill="1" applyBorder="1" applyAlignment="1">
      <alignment vertical="center"/>
    </xf>
    <xf numFmtId="164" fontId="30" fillId="0" borderId="1" xfId="0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vertical="center" wrapText="1"/>
    </xf>
    <xf numFmtId="0" fontId="29" fillId="0" borderId="0" xfId="0" applyFont="1"/>
    <xf numFmtId="0" fontId="3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5" xfId="0" applyNumberFormat="1" applyFont="1" applyFill="1" applyBorder="1" applyAlignment="1">
      <alignment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4" fontId="31" fillId="0" borderId="5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 wrapText="1"/>
    </xf>
    <xf numFmtId="2" fontId="31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9" fontId="30" fillId="0" borderId="1" xfId="0" applyNumberFormat="1" applyFont="1" applyFill="1" applyBorder="1" applyAlignment="1">
      <alignment horizontal="center" vertical="center"/>
    </xf>
    <xf numFmtId="9" fontId="22" fillId="0" borderId="1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0" fontId="35" fillId="0" borderId="0" xfId="0" applyFont="1"/>
    <xf numFmtId="2" fontId="30" fillId="0" borderId="1" xfId="0" applyNumberFormat="1" applyFont="1" applyFill="1" applyBorder="1" applyAlignment="1">
      <alignment vertical="center"/>
    </xf>
    <xf numFmtId="2" fontId="23" fillId="0" borderId="1" xfId="0" applyNumberFormat="1" applyFont="1" applyFill="1" applyBorder="1" applyAlignment="1">
      <alignment vertical="center"/>
    </xf>
    <xf numFmtId="167" fontId="30" fillId="0" borderId="1" xfId="5" applyNumberFormat="1" applyFont="1" applyFill="1" applyBorder="1" applyAlignment="1">
      <alignment vertical="center"/>
    </xf>
    <xf numFmtId="167" fontId="22" fillId="0" borderId="1" xfId="5" applyNumberFormat="1" applyFont="1" applyFill="1" applyBorder="1" applyAlignment="1">
      <alignment vertical="center"/>
    </xf>
    <xf numFmtId="2" fontId="34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9" fontId="36" fillId="0" borderId="0" xfId="2" applyFont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0" fontId="18" fillId="0" borderId="0" xfId="0" applyFont="1"/>
    <xf numFmtId="0" fontId="22" fillId="0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18" fillId="0" borderId="0" xfId="0" applyFont="1" applyFill="1"/>
    <xf numFmtId="0" fontId="16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4" fontId="30" fillId="0" borderId="1" xfId="5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Procentowy 2" xfId="2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70" zoomScaleNormal="100" zoomScaleSheetLayoutView="70" workbookViewId="0"/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72" t="s">
        <v>18</v>
      </c>
      <c r="G2" s="273"/>
      <c r="H2" s="273"/>
      <c r="I2" s="273"/>
      <c r="J2" s="273"/>
      <c r="K2" s="273"/>
      <c r="L2" s="273"/>
      <c r="M2" s="273"/>
      <c r="N2" s="274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75"/>
      <c r="G3" s="276"/>
      <c r="H3" s="276"/>
      <c r="I3" s="276"/>
      <c r="J3" s="276"/>
      <c r="K3" s="276"/>
      <c r="L3" s="276"/>
      <c r="M3" s="276"/>
      <c r="N3" s="277"/>
      <c r="Z3" s="12"/>
    </row>
    <row r="4" spans="1:26" x14ac:dyDescent="0.25">
      <c r="A4" s="15" t="s">
        <v>245</v>
      </c>
      <c r="B4" s="16"/>
      <c r="C4" s="16"/>
      <c r="D4" s="16"/>
      <c r="E4" s="16"/>
      <c r="F4" s="275"/>
      <c r="G4" s="276"/>
      <c r="H4" s="276"/>
      <c r="I4" s="276"/>
      <c r="J4" s="276"/>
      <c r="K4" s="276"/>
      <c r="L4" s="276"/>
      <c r="M4" s="276"/>
      <c r="N4" s="277"/>
      <c r="Z4" s="17"/>
    </row>
    <row r="5" spans="1:26" x14ac:dyDescent="0.25">
      <c r="A5" s="16"/>
      <c r="B5" s="16"/>
      <c r="C5" s="16"/>
      <c r="D5" s="16"/>
      <c r="E5" s="16"/>
      <c r="F5" s="275"/>
      <c r="G5" s="276"/>
      <c r="H5" s="276"/>
      <c r="I5" s="276"/>
      <c r="J5" s="276"/>
      <c r="K5" s="276"/>
      <c r="L5" s="276"/>
      <c r="M5" s="276"/>
      <c r="N5" s="277"/>
      <c r="Z5" s="12"/>
    </row>
    <row r="6" spans="1:26" x14ac:dyDescent="0.25">
      <c r="A6" s="15" t="s">
        <v>246</v>
      </c>
      <c r="B6" s="16"/>
      <c r="C6" s="16"/>
      <c r="D6" s="16"/>
      <c r="E6" s="16"/>
      <c r="F6" s="275"/>
      <c r="G6" s="276"/>
      <c r="H6" s="276"/>
      <c r="I6" s="276"/>
      <c r="J6" s="276"/>
      <c r="K6" s="276"/>
      <c r="L6" s="276"/>
      <c r="M6" s="276"/>
      <c r="N6" s="277"/>
      <c r="Z6" s="17"/>
    </row>
    <row r="7" spans="1:26" ht="28.5" customHeight="1" thickBot="1" x14ac:dyDescent="0.3">
      <c r="A7" s="16"/>
      <c r="B7" s="16"/>
      <c r="C7" s="16"/>
      <c r="D7" s="16"/>
      <c r="E7" s="16"/>
      <c r="F7" s="278" t="s">
        <v>249</v>
      </c>
      <c r="G7" s="279"/>
      <c r="H7" s="279"/>
      <c r="I7" s="279"/>
      <c r="J7" s="279"/>
      <c r="K7" s="279"/>
      <c r="L7" s="279"/>
      <c r="M7" s="279"/>
      <c r="N7" s="280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81" t="s">
        <v>1</v>
      </c>
      <c r="B10" s="283" t="s">
        <v>34</v>
      </c>
      <c r="C10" s="285" t="s">
        <v>19</v>
      </c>
      <c r="D10" s="287" t="s">
        <v>20</v>
      </c>
      <c r="E10" s="289" t="s">
        <v>21</v>
      </c>
      <c r="F10" s="97"/>
      <c r="G10" s="84"/>
      <c r="H10" s="85"/>
      <c r="I10" s="84"/>
      <c r="J10" s="85" t="s">
        <v>12</v>
      </c>
      <c r="K10" s="84"/>
      <c r="L10" s="84"/>
      <c r="M10" s="84"/>
      <c r="N10" s="85"/>
      <c r="O10" s="85"/>
      <c r="P10" s="85"/>
      <c r="Q10" s="86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82"/>
      <c r="B11" s="284"/>
      <c r="C11" s="286"/>
      <c r="D11" s="288"/>
      <c r="E11" s="290"/>
      <c r="F11" s="103">
        <v>2019</v>
      </c>
      <c r="G11" s="104">
        <v>2020</v>
      </c>
      <c r="H11" s="104">
        <v>2021</v>
      </c>
      <c r="I11" s="104">
        <v>2022</v>
      </c>
      <c r="J11" s="104">
        <v>2023</v>
      </c>
      <c r="K11" s="104">
        <v>2024</v>
      </c>
      <c r="L11" s="104">
        <v>2025</v>
      </c>
      <c r="M11" s="104">
        <v>2026</v>
      </c>
      <c r="N11" s="104">
        <v>2027</v>
      </c>
      <c r="O11" s="104">
        <v>2028</v>
      </c>
      <c r="P11" s="104">
        <v>2029</v>
      </c>
      <c r="Q11" s="105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06" t="s">
        <v>36</v>
      </c>
      <c r="B12" s="107">
        <f>COUNTA('pow podst'!K3:K19)</f>
        <v>17</v>
      </c>
      <c r="C12" s="108">
        <f>SUM('pow podst'!J3:J19)</f>
        <v>75241383.510000005</v>
      </c>
      <c r="D12" s="109">
        <f>SUM('pow podst'!L3:L19)</f>
        <v>35578893.910000004</v>
      </c>
      <c r="E12" s="110">
        <f>SUM('pow podst'!K3:K19)</f>
        <v>39662489.599999994</v>
      </c>
      <c r="F12" s="111">
        <f>SUM('pow podst'!N3:N19)</f>
        <v>0</v>
      </c>
      <c r="G12" s="108">
        <f>SUM('pow podst'!O3:O19)</f>
        <v>0</v>
      </c>
      <c r="H12" s="108">
        <f>SUM('pow podst'!P3:P19)</f>
        <v>0</v>
      </c>
      <c r="I12" s="108">
        <f>SUM('pow podst'!Q3:Q19)</f>
        <v>0</v>
      </c>
      <c r="J12" s="108">
        <f>SUM('pow podst'!R3:R19)</f>
        <v>0</v>
      </c>
      <c r="K12" s="108">
        <f>SUM('pow podst'!S3:S19)</f>
        <v>0</v>
      </c>
      <c r="L12" s="108">
        <f>SUM('pow podst'!T3:T19)</f>
        <v>6000265.9500000002</v>
      </c>
      <c r="M12" s="108">
        <f>SUM('pow podst'!U3:U19)</f>
        <v>28068153.679999996</v>
      </c>
      <c r="N12" s="108">
        <f>SUM('pow podst'!V3:V19)</f>
        <v>5594069.9699999997</v>
      </c>
      <c r="O12" s="108">
        <f>SUM('pow podst'!W3:W19)</f>
        <v>0</v>
      </c>
      <c r="P12" s="108">
        <f>SUM('pow podst'!X3:X19)</f>
        <v>0</v>
      </c>
      <c r="Q12" s="112">
        <f>SUM('pow podst'!Y3:Y19)</f>
        <v>0</v>
      </c>
      <c r="R12" s="20" t="b">
        <f>C12=(D12+E12)</f>
        <v>1</v>
      </c>
      <c r="S12" s="40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13" t="s">
        <v>37</v>
      </c>
      <c r="B13" s="156">
        <f>COUNTIF('pow podst'!C3:C19,"K")</f>
        <v>2</v>
      </c>
      <c r="C13" s="157">
        <f>SUMIF('pow podst'!C3:C19,"K",'pow podst'!J3:J19)</f>
        <v>8635708.2300000004</v>
      </c>
      <c r="D13" s="158">
        <f>SUMIF('pow podst'!C3:C19,"K",'pow podst'!L3:L19)</f>
        <v>1630409.28</v>
      </c>
      <c r="E13" s="50">
        <f>SUMIF('pow podst'!C3:C19,"K",'pow podst'!K3:K19)</f>
        <v>7005298.9500000002</v>
      </c>
      <c r="F13" s="165">
        <f>SUMIF('pow podst'!C3:C19,"K",'pow podst'!N3:N19)</f>
        <v>0</v>
      </c>
      <c r="G13" s="157">
        <f>SUMIF('pow podst'!C3:C19,"K",'pow podst'!O3:O19)</f>
        <v>0</v>
      </c>
      <c r="H13" s="157">
        <f>SUMIF('pow podst'!C3:C19,"K",'pow podst'!P3:P19)</f>
        <v>0</v>
      </c>
      <c r="I13" s="157">
        <f>SUMIF('pow podst'!C3:C19,"K",'pow podst'!Q3:Q19)</f>
        <v>0</v>
      </c>
      <c r="J13" s="157">
        <f>SUMIF('pow podst'!C3:C19,"K",'pow podst'!R3:R19)</f>
        <v>0</v>
      </c>
      <c r="K13" s="157">
        <f>SUMIF('pow podst'!C3:C19,"K",'pow podst'!S3:S19)</f>
        <v>0</v>
      </c>
      <c r="L13" s="157">
        <f>SUMIF('pow podst'!C3:C19,"K",'pow podst'!T3:T19)</f>
        <v>6000265.9500000002</v>
      </c>
      <c r="M13" s="157">
        <f>SUMIF('pow podst'!C3:C19,"K",'pow podst'!U3:U19)</f>
        <v>1005033</v>
      </c>
      <c r="N13" s="157">
        <f>SUMIF('pow podst'!C3:C19,"K",'pow podst'!V3:V19)</f>
        <v>0</v>
      </c>
      <c r="O13" s="157">
        <f>SUMIF('pow podst'!C3:C19,"K",'pow podst'!W3:W19)</f>
        <v>0</v>
      </c>
      <c r="P13" s="157">
        <f>SUMIF('pow podst'!D3:D19,"K",'pow podst'!X3:X19)</f>
        <v>0</v>
      </c>
      <c r="Q13" s="166">
        <f>SUMIF('pow podst'!E3:E19,"K",'pow podst'!Y3:Y19)</f>
        <v>0</v>
      </c>
      <c r="R13" s="20" t="b">
        <f t="shared" ref="R13:R36" si="0">C13=(D13+E13)</f>
        <v>1</v>
      </c>
      <c r="S13" s="40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14" t="s">
        <v>38</v>
      </c>
      <c r="B14" s="159">
        <f>COUNTIF('pow podst'!C3:C19,"N")</f>
        <v>12</v>
      </c>
      <c r="C14" s="160">
        <f>SUMIF('pow podst'!C3:C19,"N",'pow podst'!J3:J19)</f>
        <v>43895590.409999996</v>
      </c>
      <c r="D14" s="161">
        <f>SUMIF('pow podst'!C3:C19,"N",'pow podst'!L3:L19)</f>
        <v>22593442.190000001</v>
      </c>
      <c r="E14" s="49">
        <f>SUMIF('pow podst'!C3:C19,"N",'pow podst'!K3:K19)</f>
        <v>21302148.219999999</v>
      </c>
      <c r="F14" s="167">
        <f>SUMIF('pow podst'!C3:C19,"N",'pow podst'!N3:N19)</f>
        <v>0</v>
      </c>
      <c r="G14" s="160">
        <f>SUMIF('pow podst'!C3:C19,"N",'pow podst'!O3:O19)</f>
        <v>0</v>
      </c>
      <c r="H14" s="160">
        <f>SUMIF('pow podst'!C3:C19,"N",'pow podst'!P3:P19)</f>
        <v>0</v>
      </c>
      <c r="I14" s="160">
        <f>SUMIF('pow podst'!C3:C19,"N",'pow podst'!Q3:Q19)</f>
        <v>0</v>
      </c>
      <c r="J14" s="160">
        <f>SUMIF('pow podst'!C3:C19,"N",'pow podst'!R3:R19)</f>
        <v>0</v>
      </c>
      <c r="K14" s="160">
        <f>SUMIF('pow podst'!C3:C19,"N",'pow podst'!S3:S19)</f>
        <v>0</v>
      </c>
      <c r="L14" s="160">
        <f>SUMIF('pow podst'!C3:C19,"N",'pow podst'!T3:T19)</f>
        <v>0</v>
      </c>
      <c r="M14" s="160">
        <f>SUMIF('pow podst'!C3:C19,"N",'pow podst'!U3:U19)</f>
        <v>21302148.219999999</v>
      </c>
      <c r="N14" s="160">
        <f>SUMIF('pow podst'!C3:C19,"N",'pow podst'!V3:V19)</f>
        <v>0</v>
      </c>
      <c r="O14" s="160">
        <f>SUMIF('pow podst'!C3:C19,"N",'pow podst'!W3:W19)</f>
        <v>0</v>
      </c>
      <c r="P14" s="160">
        <f>SUMIF('pow podst'!D3:D19,"N",'pow podst'!X3:X19)</f>
        <v>0</v>
      </c>
      <c r="Q14" s="168">
        <f>SUMIF('pow podst'!E3:E19,"N",'pow podst'!Y3:Y19)</f>
        <v>0</v>
      </c>
      <c r="R14" s="20" t="b">
        <f t="shared" si="0"/>
        <v>1</v>
      </c>
      <c r="S14" s="40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15" t="s">
        <v>39</v>
      </c>
      <c r="B15" s="162">
        <f>COUNTIF('pow podst'!C3:C19,"W")</f>
        <v>3</v>
      </c>
      <c r="C15" s="163">
        <f>SUMIF('pow podst'!C3:C19,"W",'pow podst'!J3:J19)</f>
        <v>22710084.869999997</v>
      </c>
      <c r="D15" s="164">
        <f>SUMIF('pow podst'!C3:C19,"W",'pow podst'!L3:L19)</f>
        <v>11355042.439999999</v>
      </c>
      <c r="E15" s="116">
        <f>SUMIF('pow podst'!C3:C19,"W",'pow podst'!K3:K19)</f>
        <v>11355042.43</v>
      </c>
      <c r="F15" s="169">
        <f>SUMIF('pow podst'!C3:C19,"W",'pow podst'!N3:N19)</f>
        <v>0</v>
      </c>
      <c r="G15" s="163">
        <f>SUMIF('pow podst'!C3:C19,"W",'pow podst'!O3:O19)</f>
        <v>0</v>
      </c>
      <c r="H15" s="163">
        <f>SUMIF('pow podst'!C3:C19,"W",'pow podst'!P3:P19)</f>
        <v>0</v>
      </c>
      <c r="I15" s="163">
        <f>SUMIF('pow podst'!C3:C19,"W",'pow podst'!Q3:Q19)</f>
        <v>0</v>
      </c>
      <c r="J15" s="163">
        <f>SUMIF('pow podst'!C3:C19,"W",'pow podst'!R3:R19)</f>
        <v>0</v>
      </c>
      <c r="K15" s="163">
        <f>SUMIF('pow podst'!C3:C19,"W",'pow podst'!S3:S19)</f>
        <v>0</v>
      </c>
      <c r="L15" s="163">
        <f>SUMIF('pow podst'!C3:C19,"W",'pow podst'!T3:T19)</f>
        <v>0</v>
      </c>
      <c r="M15" s="163">
        <f>SUMIF('pow podst'!C3:C19,"W",'pow podst'!U3:U19)</f>
        <v>5760972.46</v>
      </c>
      <c r="N15" s="163">
        <f>SUMIF('pow podst'!C3:C19,"W",'pow podst'!V3:V19)</f>
        <v>5594069.9699999997</v>
      </c>
      <c r="O15" s="163">
        <f>SUMIF('pow podst'!C3:C19,"W",'pow podst'!W3:W19)</f>
        <v>0</v>
      </c>
      <c r="P15" s="163">
        <f>SUMIF('pow podst'!D3:D19,"W",'pow podst'!X3:X19)</f>
        <v>0</v>
      </c>
      <c r="Q15" s="170">
        <f>SUMIF('pow podst'!E3:E19,"W",'pow podst'!Y3:Y19)</f>
        <v>0</v>
      </c>
      <c r="R15" s="20" t="b">
        <f t="shared" si="0"/>
        <v>1</v>
      </c>
      <c r="S15" s="40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06" t="s">
        <v>40</v>
      </c>
      <c r="B16" s="107">
        <f>COUNTA('gm podst'!L3:L26)</f>
        <v>24</v>
      </c>
      <c r="C16" s="108">
        <f>SUM('gm podst'!K3:K26)</f>
        <v>94079204.820000023</v>
      </c>
      <c r="D16" s="109">
        <f>SUM('gm podst'!M3:M26)</f>
        <v>35744396.629999995</v>
      </c>
      <c r="E16" s="110">
        <f>SUM('gm podst'!L3:L26)</f>
        <v>58334808.19000002</v>
      </c>
      <c r="F16" s="171">
        <f>SUM('gm podst'!O3:O26)</f>
        <v>0</v>
      </c>
      <c r="G16" s="172">
        <f>SUM('gm podst'!P3:P26)</f>
        <v>0</v>
      </c>
      <c r="H16" s="172">
        <f>SUM('gm podst'!Q3:Q26)</f>
        <v>0</v>
      </c>
      <c r="I16" s="172">
        <f>SUM('gm podst'!R3:R26)</f>
        <v>0</v>
      </c>
      <c r="J16" s="172">
        <f>SUM('gm podst'!S3:S26)</f>
        <v>0</v>
      </c>
      <c r="K16" s="172">
        <f>SUM('gm podst'!T3:T26)</f>
        <v>3955960.44</v>
      </c>
      <c r="L16" s="172">
        <f>SUM('gm podst'!U3:U26)</f>
        <v>18368518.990000002</v>
      </c>
      <c r="M16" s="172">
        <f>SUM('gm podst'!V3:V26)</f>
        <v>30825012.449999999</v>
      </c>
      <c r="N16" s="172">
        <f>SUM('gm podst'!W3:W26)</f>
        <v>5185316.3100000005</v>
      </c>
      <c r="O16" s="172">
        <f>SUM('gm podst'!X3:X26)</f>
        <v>0</v>
      </c>
      <c r="P16" s="172">
        <f>SUM('gm podst'!Y3:Y26)</f>
        <v>0</v>
      </c>
      <c r="Q16" s="173">
        <f>SUM('gm podst'!Z3:Z26)</f>
        <v>0</v>
      </c>
      <c r="R16" s="20" t="b">
        <f t="shared" si="0"/>
        <v>1</v>
      </c>
      <c r="S16" s="40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13" t="s">
        <v>37</v>
      </c>
      <c r="B17" s="156">
        <f>COUNTIF('gm podst'!C3:C26,"K")</f>
        <v>5</v>
      </c>
      <c r="C17" s="157">
        <f>SUMIF('gm podst'!C3:C26,"K",'gm podst'!K3:K26)</f>
        <v>34418828.5</v>
      </c>
      <c r="D17" s="158">
        <f>SUMIF('gm podst'!C3:C26,"K",'gm podst'!M3:M26)</f>
        <v>3970714.6399999987</v>
      </c>
      <c r="E17" s="50">
        <f>SUMIF('gm podst'!C3:C26,"K",'gm podst'!L3:L26)</f>
        <v>30448113.859999999</v>
      </c>
      <c r="F17" s="165">
        <f>SUMIF('gm podst'!C3:C26,"K",'gm podst'!O3:O26)</f>
        <v>0</v>
      </c>
      <c r="G17" s="157">
        <f>SUMIF('gm podst'!C3:C26,"K",'gm podst'!P3:P26)</f>
        <v>0</v>
      </c>
      <c r="H17" s="157">
        <f>SUMIF('gm podst'!C3:C26,"K",'gm podst'!Q3:Q26)</f>
        <v>0</v>
      </c>
      <c r="I17" s="157">
        <f>SUMIF('gm podst'!C3:C26,"K",'gm podst'!R3:R26)</f>
        <v>0</v>
      </c>
      <c r="J17" s="157">
        <f>SUMIF('gm podst'!C3:C26,"K",'gm podst'!S3:S26)</f>
        <v>0</v>
      </c>
      <c r="K17" s="157">
        <f>SUMIF('gm podst'!C3:C26,"K",'gm podst'!T3:T26)</f>
        <v>3955960.44</v>
      </c>
      <c r="L17" s="157">
        <f>SUMIF('gm podst'!C3:C26,"K",'gm podst'!U3:U26)</f>
        <v>18368518.990000002</v>
      </c>
      <c r="M17" s="157">
        <f>SUMIF('gm podst'!C3:C26,"K",'gm podst'!V3:V26)</f>
        <v>8123634.4300000006</v>
      </c>
      <c r="N17" s="157">
        <f>SUMIF('gm podst'!C3:C26,"K",'gm podst'!W3:W26)</f>
        <v>0</v>
      </c>
      <c r="O17" s="157">
        <f>SUMIF('gm podst'!C3:C26,"K",'gm podst'!X3:X26)</f>
        <v>0</v>
      </c>
      <c r="P17" s="157">
        <f>SUMIF('gm podst'!D3:D26,"K",'gm podst'!Y3:Y26)</f>
        <v>0</v>
      </c>
      <c r="Q17" s="166">
        <f>SUMIF('gm podst'!E3:E26,"K",'gm podst'!Z3:Z26)</f>
        <v>0</v>
      </c>
      <c r="R17" s="20" t="b">
        <f t="shared" si="0"/>
        <v>1</v>
      </c>
      <c r="S17" s="40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14" t="s">
        <v>38</v>
      </c>
      <c r="B18" s="159">
        <f>COUNTIF('gm podst'!C3:C26,"N")</f>
        <v>16</v>
      </c>
      <c r="C18" s="160">
        <f>SUMIF('gm podst'!C3:C26,"N",'gm podst'!K3:K26)</f>
        <v>36561495.389999993</v>
      </c>
      <c r="D18" s="161">
        <f>SUMIF('gm podst'!C3:C26,"N",'gm podst'!M3:M26)</f>
        <v>18280747.729999997</v>
      </c>
      <c r="E18" s="49">
        <f>SUMIF('gm podst'!C3:C26,"N",'gm podst'!L3:L26)</f>
        <v>18280747.66</v>
      </c>
      <c r="F18" s="167">
        <f>SUMIF('gm podst'!C3:C26,"N",'gm podst'!O3:O26)</f>
        <v>0</v>
      </c>
      <c r="G18" s="160">
        <f>SUMIF('gm podst'!C3:C26,"N",'gm podst'!P3:P26)</f>
        <v>0</v>
      </c>
      <c r="H18" s="160">
        <f>SUMIF('gm podst'!C3:C26,"N",'gm podst'!Q3:Q26)</f>
        <v>0</v>
      </c>
      <c r="I18" s="160">
        <f>SUMIF('gm podst'!C3:C26,"N",'gm podst'!R3:R26)</f>
        <v>0</v>
      </c>
      <c r="J18" s="160">
        <f>SUMIF('gm podst'!C3:C26,"N",'gm podst'!S3:S26)</f>
        <v>0</v>
      </c>
      <c r="K18" s="160">
        <f>SUMIF('gm podst'!C3:C26,"N",'gm podst'!T3:T26)</f>
        <v>0</v>
      </c>
      <c r="L18" s="160">
        <f>SUMIF('gm podst'!C3:C26,"N",'gm podst'!U3:U26)</f>
        <v>0</v>
      </c>
      <c r="M18" s="160">
        <f>SUMIF('gm podst'!C3:C26,"N",'gm podst'!V3:V26)</f>
        <v>18280747.66</v>
      </c>
      <c r="N18" s="160">
        <f>SUMIF('gm podst'!C3:C26,"N",'gm podst'!W3:W26)</f>
        <v>0</v>
      </c>
      <c r="O18" s="160">
        <f>SUMIF('gm podst'!C3:C26,"N",'gm podst'!X3:X26)</f>
        <v>0</v>
      </c>
      <c r="P18" s="160">
        <f>SUMIF('gm podst'!D3:D26,"N",'gm podst'!Y3:Y26)</f>
        <v>0</v>
      </c>
      <c r="Q18" s="168">
        <f>SUMIF('gm podst'!E3:E26,"N",'gm podst'!Z3:Z26)</f>
        <v>0</v>
      </c>
      <c r="R18" s="20" t="b">
        <f t="shared" si="0"/>
        <v>1</v>
      </c>
      <c r="S18" s="40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15" t="s">
        <v>39</v>
      </c>
      <c r="B19" s="162">
        <f>COUNTIF('gm podst'!C3:C26,"W")</f>
        <v>3</v>
      </c>
      <c r="C19" s="163">
        <f>SUMIF('gm podst'!C3:C26,"W",'gm podst'!K3:K26)</f>
        <v>23098880.93</v>
      </c>
      <c r="D19" s="164">
        <f>SUMIF('gm podst'!C3:C26,"W",'gm podst'!M3:M26)</f>
        <v>13492934.26</v>
      </c>
      <c r="E19" s="116">
        <f>SUMIF('gm podst'!C3:C26,"W",'gm podst'!L3:L26)</f>
        <v>9605946.6699999999</v>
      </c>
      <c r="F19" s="169">
        <f>SUMIF('gm podst'!C3:C26,"W",'gm podst'!O3:O26)</f>
        <v>0</v>
      </c>
      <c r="G19" s="163">
        <f>SUMIF('gm podst'!C3:C26,"W",'gm podst'!P3:P26)</f>
        <v>0</v>
      </c>
      <c r="H19" s="163">
        <f>SUMIF('gm podst'!C3:C26,"W",'gm podst'!Q3:Q26)</f>
        <v>0</v>
      </c>
      <c r="I19" s="163">
        <f>SUMIF('gm podst'!C3:C26,"W",'gm podst'!R3:R26)</f>
        <v>0</v>
      </c>
      <c r="J19" s="163">
        <f>SUMIF('gm podst'!C3:C26,"W",'gm podst'!S3:S26)</f>
        <v>0</v>
      </c>
      <c r="K19" s="163">
        <f>SUMIF('gm podst'!C3:C26,"W",'gm podst'!T3:T26)</f>
        <v>0</v>
      </c>
      <c r="L19" s="163">
        <f>SUMIF('gm podst'!C3:C26,"W",'gm podst'!U3:U26)</f>
        <v>0</v>
      </c>
      <c r="M19" s="163">
        <f>SUMIF('gm podst'!C3:C26,"W",'gm podst'!V3:V26)</f>
        <v>4420630.3599999994</v>
      </c>
      <c r="N19" s="163">
        <f>SUMIF('gm podst'!C3:C26,"W",'gm podst'!W3:W26)</f>
        <v>5185316.3100000005</v>
      </c>
      <c r="O19" s="163">
        <f>SUMIF('gm podst'!C3:C26,"W",'gm podst'!X3:X26)</f>
        <v>0</v>
      </c>
      <c r="P19" s="163">
        <f>SUMIF('gm podst'!D3:D26,"W",'gm podst'!Y3:Y26)</f>
        <v>0</v>
      </c>
      <c r="Q19" s="170">
        <f>SUMIF('gm podst'!E3:E26,"W",'gm podst'!Z3:Z26)</f>
        <v>0</v>
      </c>
      <c r="R19" s="20" t="b">
        <f t="shared" si="0"/>
        <v>1</v>
      </c>
      <c r="S19" s="40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17" t="s">
        <v>41</v>
      </c>
      <c r="B20" s="118">
        <f>B12+B16</f>
        <v>41</v>
      </c>
      <c r="C20" s="119">
        <f>C12+C16</f>
        <v>169320588.33000004</v>
      </c>
      <c r="D20" s="120">
        <f t="shared" ref="C20:O22" si="2">D12+D16</f>
        <v>71323290.539999992</v>
      </c>
      <c r="E20" s="121">
        <f t="shared" si="2"/>
        <v>97997297.790000021</v>
      </c>
      <c r="F20" s="122">
        <f t="shared" si="2"/>
        <v>0</v>
      </c>
      <c r="G20" s="119">
        <f t="shared" si="2"/>
        <v>0</v>
      </c>
      <c r="H20" s="119">
        <f t="shared" si="2"/>
        <v>0</v>
      </c>
      <c r="I20" s="119">
        <f t="shared" si="2"/>
        <v>0</v>
      </c>
      <c r="J20" s="119">
        <f t="shared" si="2"/>
        <v>0</v>
      </c>
      <c r="K20" s="119">
        <f t="shared" si="2"/>
        <v>3955960.44</v>
      </c>
      <c r="L20" s="119">
        <f t="shared" si="2"/>
        <v>24368784.940000001</v>
      </c>
      <c r="M20" s="119">
        <f t="shared" si="2"/>
        <v>58893166.129999995</v>
      </c>
      <c r="N20" s="119">
        <f t="shared" si="2"/>
        <v>10779386.280000001</v>
      </c>
      <c r="O20" s="119">
        <f t="shared" si="2"/>
        <v>0</v>
      </c>
      <c r="P20" s="119">
        <f t="shared" ref="P20:Q20" si="3">P12+P16</f>
        <v>0</v>
      </c>
      <c r="Q20" s="123">
        <f t="shared" si="3"/>
        <v>0</v>
      </c>
      <c r="R20" s="20" t="b">
        <f t="shared" si="0"/>
        <v>1</v>
      </c>
      <c r="S20" s="40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24" t="s">
        <v>37</v>
      </c>
      <c r="B21" s="88">
        <f>B13+B17</f>
        <v>7</v>
      </c>
      <c r="C21" s="80">
        <f t="shared" si="2"/>
        <v>43054536.730000004</v>
      </c>
      <c r="D21" s="93">
        <f t="shared" si="2"/>
        <v>5601123.919999999</v>
      </c>
      <c r="E21" s="50">
        <f t="shared" si="2"/>
        <v>37453412.810000002</v>
      </c>
      <c r="F21" s="98">
        <f t="shared" si="2"/>
        <v>0</v>
      </c>
      <c r="G21" s="80">
        <f t="shared" si="2"/>
        <v>0</v>
      </c>
      <c r="H21" s="80">
        <f t="shared" si="2"/>
        <v>0</v>
      </c>
      <c r="I21" s="80">
        <f t="shared" si="2"/>
        <v>0</v>
      </c>
      <c r="J21" s="80">
        <f t="shared" si="2"/>
        <v>0</v>
      </c>
      <c r="K21" s="80">
        <f t="shared" si="2"/>
        <v>3955960.44</v>
      </c>
      <c r="L21" s="80">
        <f t="shared" si="2"/>
        <v>24368784.940000001</v>
      </c>
      <c r="M21" s="80">
        <f t="shared" si="2"/>
        <v>9128667.4299999997</v>
      </c>
      <c r="N21" s="80">
        <f t="shared" si="2"/>
        <v>0</v>
      </c>
      <c r="O21" s="80">
        <f t="shared" si="2"/>
        <v>0</v>
      </c>
      <c r="P21" s="80">
        <f t="shared" ref="P21:Q21" si="4">P13+P17</f>
        <v>0</v>
      </c>
      <c r="Q21" s="125">
        <f t="shared" si="4"/>
        <v>0</v>
      </c>
      <c r="R21" s="20" t="b">
        <f t="shared" si="0"/>
        <v>1</v>
      </c>
      <c r="S21" s="40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26" t="s">
        <v>38</v>
      </c>
      <c r="B22" s="89">
        <f>B14+B18</f>
        <v>28</v>
      </c>
      <c r="C22" s="83">
        <f t="shared" si="2"/>
        <v>80457085.799999982</v>
      </c>
      <c r="D22" s="94">
        <f t="shared" si="2"/>
        <v>40874189.920000002</v>
      </c>
      <c r="E22" s="49">
        <f t="shared" si="2"/>
        <v>39582895.879999995</v>
      </c>
      <c r="F22" s="99">
        <f t="shared" si="2"/>
        <v>0</v>
      </c>
      <c r="G22" s="83">
        <f t="shared" si="2"/>
        <v>0</v>
      </c>
      <c r="H22" s="83">
        <f t="shared" si="2"/>
        <v>0</v>
      </c>
      <c r="I22" s="83">
        <f t="shared" si="2"/>
        <v>0</v>
      </c>
      <c r="J22" s="83">
        <f t="shared" si="2"/>
        <v>0</v>
      </c>
      <c r="K22" s="83">
        <f t="shared" si="2"/>
        <v>0</v>
      </c>
      <c r="L22" s="83">
        <f t="shared" si="2"/>
        <v>0</v>
      </c>
      <c r="M22" s="83">
        <f t="shared" si="2"/>
        <v>39582895.879999995</v>
      </c>
      <c r="N22" s="83">
        <f t="shared" si="2"/>
        <v>0</v>
      </c>
      <c r="O22" s="83">
        <f t="shared" si="2"/>
        <v>0</v>
      </c>
      <c r="P22" s="83">
        <f t="shared" ref="P22:Q22" si="5">P14+P18</f>
        <v>0</v>
      </c>
      <c r="Q22" s="127">
        <f t="shared" si="5"/>
        <v>0</v>
      </c>
      <c r="R22" s="20" t="b">
        <f t="shared" si="0"/>
        <v>1</v>
      </c>
      <c r="S22" s="40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28" t="s">
        <v>39</v>
      </c>
      <c r="B23" s="129">
        <f>B15+B19</f>
        <v>6</v>
      </c>
      <c r="C23" s="130">
        <f t="shared" ref="C23:O23" si="6">C15+C19</f>
        <v>45808965.799999997</v>
      </c>
      <c r="D23" s="131">
        <f t="shared" si="6"/>
        <v>24847976.699999999</v>
      </c>
      <c r="E23" s="116">
        <f t="shared" si="6"/>
        <v>20960989.100000001</v>
      </c>
      <c r="F23" s="132">
        <f t="shared" si="6"/>
        <v>0</v>
      </c>
      <c r="G23" s="130">
        <f t="shared" si="6"/>
        <v>0</v>
      </c>
      <c r="H23" s="130">
        <f t="shared" si="6"/>
        <v>0</v>
      </c>
      <c r="I23" s="130">
        <f t="shared" si="6"/>
        <v>0</v>
      </c>
      <c r="J23" s="130">
        <f t="shared" si="6"/>
        <v>0</v>
      </c>
      <c r="K23" s="130">
        <f t="shared" si="6"/>
        <v>0</v>
      </c>
      <c r="L23" s="130">
        <f t="shared" si="6"/>
        <v>0</v>
      </c>
      <c r="M23" s="130">
        <f t="shared" si="6"/>
        <v>10181602.82</v>
      </c>
      <c r="N23" s="130">
        <f t="shared" si="6"/>
        <v>10779386.280000001</v>
      </c>
      <c r="O23" s="130">
        <f t="shared" si="6"/>
        <v>0</v>
      </c>
      <c r="P23" s="130">
        <f t="shared" ref="P23:Q23" si="7">P15+P19</f>
        <v>0</v>
      </c>
      <c r="Q23" s="133">
        <f t="shared" si="7"/>
        <v>0</v>
      </c>
      <c r="R23" s="20" t="b">
        <f t="shared" si="0"/>
        <v>1</v>
      </c>
      <c r="S23" s="40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06" t="s">
        <v>2</v>
      </c>
      <c r="B24" s="107">
        <f>COUNTA('pow rez'!K3:K4)</f>
        <v>2</v>
      </c>
      <c r="C24" s="108">
        <f>SUM('pow rez'!J3:J4)</f>
        <v>4336592.6099999994</v>
      </c>
      <c r="D24" s="109">
        <f>SUM('pow rez'!L3:L4)</f>
        <v>2168296.3099999996</v>
      </c>
      <c r="E24" s="110">
        <f>SUM('pow rez'!K3:K4)</f>
        <v>2168296.2999999998</v>
      </c>
      <c r="F24" s="111">
        <f>SUM('pow rez'!N3:N4)</f>
        <v>0</v>
      </c>
      <c r="G24" s="108">
        <f>SUM('pow rez'!O3:O4)</f>
        <v>0</v>
      </c>
      <c r="H24" s="108">
        <f>SUM('pow rez'!P3:P4)</f>
        <v>0</v>
      </c>
      <c r="I24" s="108">
        <f>SUM('pow rez'!Q3:Q4)</f>
        <v>0</v>
      </c>
      <c r="J24" s="108">
        <f>SUM('pow rez'!R3:R4)</f>
        <v>0</v>
      </c>
      <c r="K24" s="108">
        <f>SUM('pow rez'!S3:S4)</f>
        <v>0</v>
      </c>
      <c r="L24" s="108">
        <f>SUM('pow rez'!T3:T4)</f>
        <v>0</v>
      </c>
      <c r="M24" s="108">
        <f>SUM('pow rez'!U3:U4)</f>
        <v>2168296.2999999998</v>
      </c>
      <c r="N24" s="108">
        <f>SUM('pow rez'!V3:V4)</f>
        <v>0</v>
      </c>
      <c r="O24" s="108">
        <f>SUM('pow rez'!W3:W4)</f>
        <v>0</v>
      </c>
      <c r="P24" s="108">
        <f>SUM('pow rez'!X3:X4)</f>
        <v>0</v>
      </c>
      <c r="Q24" s="112">
        <f>SUM('pow rez'!Y3:Y4)</f>
        <v>0</v>
      </c>
      <c r="R24" s="20" t="b">
        <f t="shared" si="0"/>
        <v>1</v>
      </c>
      <c r="S24" s="40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14" t="s">
        <v>38</v>
      </c>
      <c r="B25" s="159">
        <f>COUNTIF('pow rez'!C3:C4,"N")</f>
        <v>2</v>
      </c>
      <c r="C25" s="160">
        <f>SUMIF('pow rez'!C3:C4,"N",'pow rez'!J3:J4)</f>
        <v>4336592.6099999994</v>
      </c>
      <c r="D25" s="161">
        <f>SUMIF('pow rez'!C3:C4,"N",'pow rez'!L3:L4)</f>
        <v>2168296.3099999996</v>
      </c>
      <c r="E25" s="49">
        <f>SUMIF('pow rez'!C3:C4,"N",'pow rez'!K3:K4)</f>
        <v>2168296.2999999998</v>
      </c>
      <c r="F25" s="167">
        <f>SUMIF('pow rez'!C3:C4,"N",'pow rez'!N3:N4)</f>
        <v>0</v>
      </c>
      <c r="G25" s="160">
        <f>SUMIF('pow rez'!C3:C4,"N",'pow rez'!O3:O4)</f>
        <v>0</v>
      </c>
      <c r="H25" s="160">
        <f>SUMIF('pow rez'!C3:C4,"N",'pow rez'!P3:P4)</f>
        <v>0</v>
      </c>
      <c r="I25" s="160">
        <f>SUMIF('pow rez'!C3:C4,"N",'pow rez'!Q3:Q4)</f>
        <v>0</v>
      </c>
      <c r="J25" s="160">
        <f>SUMIF('pow rez'!C3:C4,"N",'pow rez'!R3:R4)</f>
        <v>0</v>
      </c>
      <c r="K25" s="160">
        <f>SUMIF('pow rez'!C3:C4,"N",'pow rez'!S3:S4)</f>
        <v>0</v>
      </c>
      <c r="L25" s="160">
        <f>SUMIF('pow rez'!C3:C4,"N",'pow rez'!T3:T4)</f>
        <v>0</v>
      </c>
      <c r="M25" s="160">
        <f>SUMIF('pow rez'!C3:C4,"N",'pow rez'!U3:U4)</f>
        <v>2168296.2999999998</v>
      </c>
      <c r="N25" s="160">
        <f>SUMIF('pow rez'!C3:C4,"N",'pow rez'!V3:V4)</f>
        <v>0</v>
      </c>
      <c r="O25" s="160">
        <f>SUMIF('pow rez'!C3:C4,"N",'pow rez'!W3:W4)</f>
        <v>0</v>
      </c>
      <c r="P25" s="160">
        <f>SUMIF('pow rez'!D3:D4,"N",'pow rez'!X3:X4)</f>
        <v>0</v>
      </c>
      <c r="Q25" s="168">
        <f>SUMIF('pow rez'!E3:E4,"N",'pow rez'!Y3:Y4)</f>
        <v>0</v>
      </c>
      <c r="R25" s="20" t="b">
        <f t="shared" si="0"/>
        <v>1</v>
      </c>
      <c r="S25" s="40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15" t="s">
        <v>39</v>
      </c>
      <c r="B26" s="162">
        <f>COUNTIF('pow rez'!C3:C4,"W")</f>
        <v>0</v>
      </c>
      <c r="C26" s="163">
        <f>SUMIF('pow rez'!C3:C4,"W",'pow rez'!J3:J4)</f>
        <v>0</v>
      </c>
      <c r="D26" s="164">
        <f>SUMIF('pow rez'!C3:C4,"W",'pow rez'!L3:L4)</f>
        <v>0</v>
      </c>
      <c r="E26" s="116">
        <f>SUMIF('pow rez'!C3:C4,"W",'pow rez'!K3:K4)</f>
        <v>0</v>
      </c>
      <c r="F26" s="169">
        <f>SUMIF('pow rez'!C3:C4,"W",'pow rez'!N3:N4)</f>
        <v>0</v>
      </c>
      <c r="G26" s="163">
        <f>SUMIF('pow rez'!C3:C4,"W",'pow rez'!O3:O4)</f>
        <v>0</v>
      </c>
      <c r="H26" s="163">
        <f>SUMIF('pow rez'!C3:C4,"W",'pow rez'!P3:P4)</f>
        <v>0</v>
      </c>
      <c r="I26" s="163">
        <f>SUMIF('pow rez'!C3:C4,"W",'pow rez'!Q3:Q4)</f>
        <v>0</v>
      </c>
      <c r="J26" s="163">
        <f>SUMIF('pow rez'!C3:C4,"W",'pow rez'!R3:R4)</f>
        <v>0</v>
      </c>
      <c r="K26" s="163">
        <f>SUMIF('pow rez'!C3:C4,"W",'pow rez'!S3:S4)</f>
        <v>0</v>
      </c>
      <c r="L26" s="163">
        <f>SUMIF('pow rez'!C3:C4,"W",'pow rez'!T3:T4)</f>
        <v>0</v>
      </c>
      <c r="M26" s="163">
        <f>SUMIF('pow rez'!C3:C4,"W",'pow rez'!U3:U4)</f>
        <v>0</v>
      </c>
      <c r="N26" s="163">
        <f>SUMIF('pow rez'!C3:C4,"W",'pow rez'!V3:V4)</f>
        <v>0</v>
      </c>
      <c r="O26" s="163">
        <f>SUMIF('pow rez'!C3:C4,"W",'pow rez'!W3:W4)</f>
        <v>0</v>
      </c>
      <c r="P26" s="163">
        <f>SUMIF('pow rez'!D3:D4,"W",'pow rez'!X3:X4)</f>
        <v>0</v>
      </c>
      <c r="Q26" s="170">
        <f>SUMIF('pow rez'!E3:E4,"W",'pow rez'!Y3:Y4)</f>
        <v>0</v>
      </c>
      <c r="R26" s="20" t="b">
        <f t="shared" si="0"/>
        <v>1</v>
      </c>
      <c r="S26" s="40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06" t="s">
        <v>3</v>
      </c>
      <c r="B27" s="107">
        <f>COUNTA('gm rez'!L3:L11)</f>
        <v>9</v>
      </c>
      <c r="C27" s="108">
        <f>SUM('gm rez'!K3:K11)</f>
        <v>14532581.609999999</v>
      </c>
      <c r="D27" s="109">
        <f>SUM('gm rez'!M3:M11)</f>
        <v>7266290.8199999984</v>
      </c>
      <c r="E27" s="110">
        <f>SUM('gm rez'!L3:L11)</f>
        <v>7266290.7899999991</v>
      </c>
      <c r="F27" s="111">
        <f>SUM('gm rez'!O3:O11)</f>
        <v>0</v>
      </c>
      <c r="G27" s="108">
        <f>SUM('gm rez'!P3:P11)</f>
        <v>0</v>
      </c>
      <c r="H27" s="108">
        <f>SUM('gm rez'!Q3:Q11)</f>
        <v>0</v>
      </c>
      <c r="I27" s="108">
        <f>SUM('gm rez'!R3:R11)</f>
        <v>0</v>
      </c>
      <c r="J27" s="108">
        <f>SUM('gm rez'!S3:S11)</f>
        <v>0</v>
      </c>
      <c r="K27" s="108">
        <f>SUM('gm rez'!T3:T11)</f>
        <v>0</v>
      </c>
      <c r="L27" s="108">
        <f>SUM('gm rez'!U3:U11)</f>
        <v>0</v>
      </c>
      <c r="M27" s="108">
        <f>SUM('gm rez'!V3:V11)</f>
        <v>7266290.7899999991</v>
      </c>
      <c r="N27" s="108">
        <f>SUM('gm rez'!W3:W11)</f>
        <v>0</v>
      </c>
      <c r="O27" s="108">
        <f>SUM('gm rez'!X3:X11)</f>
        <v>0</v>
      </c>
      <c r="P27" s="108">
        <f>SUM('gm rez'!Y3:Y11)</f>
        <v>0</v>
      </c>
      <c r="Q27" s="112">
        <f>SUM('gm rez'!Z3:Z11)</f>
        <v>0</v>
      </c>
      <c r="R27" s="20" t="b">
        <f t="shared" si="0"/>
        <v>1</v>
      </c>
      <c r="S27" s="40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14" t="s">
        <v>38</v>
      </c>
      <c r="B28" s="159">
        <f>COUNTIF('gm rez'!C3:C11,"N")</f>
        <v>9</v>
      </c>
      <c r="C28" s="160">
        <f>SUMIF('gm rez'!C3:C11,"N",'gm rez'!K3:K11)</f>
        <v>14532581.609999999</v>
      </c>
      <c r="D28" s="161">
        <f>SUMIF('gm rez'!C3:C11,"N",'gm rez'!M3:M11)</f>
        <v>7266290.8199999984</v>
      </c>
      <c r="E28" s="49">
        <f>SUMIF('gm rez'!C3:C11,"N",'gm rez'!L3:L11)</f>
        <v>7266290.7899999991</v>
      </c>
      <c r="F28" s="167">
        <f>SUMIF('gm rez'!C3:C11,"N",'gm rez'!O3:O11)</f>
        <v>0</v>
      </c>
      <c r="G28" s="160">
        <f>SUMIF('gm rez'!C3:C11,"N",'gm rez'!P3:P11)</f>
        <v>0</v>
      </c>
      <c r="H28" s="160">
        <f>SUMIF('gm rez'!C3:C11,"N",'gm rez'!Q3:Q11)</f>
        <v>0</v>
      </c>
      <c r="I28" s="160">
        <f>SUMIF('gm rez'!C3:C11,"N",'gm rez'!R3:R11)</f>
        <v>0</v>
      </c>
      <c r="J28" s="160">
        <f>SUMIF('gm rez'!C3:C11,"N",'gm rez'!S3:S11)</f>
        <v>0</v>
      </c>
      <c r="K28" s="160">
        <f>SUMIF('gm rez'!C3:C11,"N",'gm rez'!T3:T11)</f>
        <v>0</v>
      </c>
      <c r="L28" s="160">
        <f>SUMIF('gm rez'!C3:C11,"N",'gm rez'!U3:U11)</f>
        <v>0</v>
      </c>
      <c r="M28" s="160">
        <f>SUMIF('gm rez'!C3:C11,"N",'gm rez'!V3:V11)</f>
        <v>7266290.7899999991</v>
      </c>
      <c r="N28" s="160">
        <f>SUMIF('gm rez'!C3:C11,"N",'gm rez'!W3:W11)</f>
        <v>0</v>
      </c>
      <c r="O28" s="160">
        <f>SUMIF('gm rez'!C3:C11,"N",'gm rez'!X3:X11)</f>
        <v>0</v>
      </c>
      <c r="P28" s="160">
        <f>SUMIF('gm rez'!D3:D11,"N",'gm rez'!Y3:Y11)</f>
        <v>0</v>
      </c>
      <c r="Q28" s="168">
        <f>SUMIF('gm rez'!E3:E11,"N",'gm rez'!Z3:Z11)</f>
        <v>0</v>
      </c>
      <c r="R28" s="20" t="b">
        <f t="shared" si="0"/>
        <v>1</v>
      </c>
      <c r="S28" s="40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15" t="s">
        <v>39</v>
      </c>
      <c r="B29" s="162">
        <f>COUNTIF('gm rez'!C3:C11,"W")</f>
        <v>0</v>
      </c>
      <c r="C29" s="163">
        <f>SUMIF('gm rez'!C3:C11,"W",'gm rez'!K3:K11)</f>
        <v>0</v>
      </c>
      <c r="D29" s="164">
        <f>SUMIF('gm rez'!C3:C11,"W",'gm rez'!M3:M11)</f>
        <v>0</v>
      </c>
      <c r="E29" s="116">
        <f>SUMIF('gm rez'!C3:C11,"W",'gm rez'!L3:L11)</f>
        <v>0</v>
      </c>
      <c r="F29" s="169">
        <f>SUMIF('gm rez'!C3:C11,"W",'gm rez'!O3:O11)</f>
        <v>0</v>
      </c>
      <c r="G29" s="163">
        <f>SUMIF('gm rez'!C3:C11,"W",'gm rez'!P3:P11)</f>
        <v>0</v>
      </c>
      <c r="H29" s="163">
        <f>SUMIF('gm rez'!C3:C11,"W",'gm rez'!Q3:Q11)</f>
        <v>0</v>
      </c>
      <c r="I29" s="163">
        <f>SUMIF('gm rez'!C3:C11,"W",'gm rez'!R3:R11)</f>
        <v>0</v>
      </c>
      <c r="J29" s="163">
        <f>SUMIF('gm rez'!C3:C11,"W",'gm rez'!S3:S11)</f>
        <v>0</v>
      </c>
      <c r="K29" s="163">
        <f>SUMIF('gm rez'!C3:C11,"W",'gm rez'!T3:T11)</f>
        <v>0</v>
      </c>
      <c r="L29" s="163">
        <f>SUMIF('gm rez'!C3:C11,"W",'gm rez'!U3:U11)</f>
        <v>0</v>
      </c>
      <c r="M29" s="163">
        <f>SUMIF('gm rez'!C3:C11,"W",'gm rez'!V3:V11)</f>
        <v>0</v>
      </c>
      <c r="N29" s="163">
        <f>SUMIF('gm rez'!C3:C11,"W",'gm rez'!W3:W11)</f>
        <v>0</v>
      </c>
      <c r="O29" s="163">
        <f>SUMIF('gm rez'!C3:C11,"W",'gm rez'!X3:X11)</f>
        <v>0</v>
      </c>
      <c r="P29" s="163">
        <f>SUMIF('gm rez'!D3:D11,"W",'gm rez'!Y3:Y11)</f>
        <v>0</v>
      </c>
      <c r="Q29" s="170">
        <f>SUMIF('gm rez'!E3:E11,"W",'gm rez'!Z3:Z11)</f>
        <v>0</v>
      </c>
      <c r="R29" s="20" t="b">
        <f t="shared" si="0"/>
        <v>1</v>
      </c>
      <c r="S29" s="40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81" t="s">
        <v>22</v>
      </c>
      <c r="B30" s="182">
        <f>B24+B27</f>
        <v>11</v>
      </c>
      <c r="C30" s="183">
        <f t="shared" ref="C30:O30" si="8">C24+C27</f>
        <v>18869174.219999999</v>
      </c>
      <c r="D30" s="184">
        <f t="shared" si="8"/>
        <v>9434587.129999999</v>
      </c>
      <c r="E30" s="185">
        <f t="shared" si="8"/>
        <v>9434587.0899999999</v>
      </c>
      <c r="F30" s="186">
        <f t="shared" si="8"/>
        <v>0</v>
      </c>
      <c r="G30" s="183">
        <f t="shared" si="8"/>
        <v>0</v>
      </c>
      <c r="H30" s="183">
        <f t="shared" si="8"/>
        <v>0</v>
      </c>
      <c r="I30" s="183">
        <f t="shared" si="8"/>
        <v>0</v>
      </c>
      <c r="J30" s="183">
        <f t="shared" si="8"/>
        <v>0</v>
      </c>
      <c r="K30" s="183">
        <f t="shared" si="8"/>
        <v>0</v>
      </c>
      <c r="L30" s="183">
        <f t="shared" si="8"/>
        <v>0</v>
      </c>
      <c r="M30" s="183">
        <f t="shared" si="8"/>
        <v>9434587.0899999999</v>
      </c>
      <c r="N30" s="183">
        <f t="shared" si="8"/>
        <v>0</v>
      </c>
      <c r="O30" s="183">
        <f t="shared" si="8"/>
        <v>0</v>
      </c>
      <c r="P30" s="183">
        <f t="shared" ref="P30:Q30" si="9">P24+P27</f>
        <v>0</v>
      </c>
      <c r="Q30" s="187">
        <f t="shared" si="9"/>
        <v>0</v>
      </c>
      <c r="R30" s="20" t="b">
        <f t="shared" si="0"/>
        <v>1</v>
      </c>
      <c r="S30" s="40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92" t="s">
        <v>38</v>
      </c>
      <c r="B31" s="90">
        <f t="shared" ref="B31:O31" si="10">B25+B28</f>
        <v>11</v>
      </c>
      <c r="C31" s="81">
        <f t="shared" si="10"/>
        <v>18869174.219999999</v>
      </c>
      <c r="D31" s="95">
        <f t="shared" si="10"/>
        <v>9434587.129999999</v>
      </c>
      <c r="E31" s="49">
        <f t="shared" si="10"/>
        <v>9434587.0899999999</v>
      </c>
      <c r="F31" s="100">
        <f t="shared" si="10"/>
        <v>0</v>
      </c>
      <c r="G31" s="81">
        <f t="shared" si="10"/>
        <v>0</v>
      </c>
      <c r="H31" s="81">
        <f t="shared" si="10"/>
        <v>0</v>
      </c>
      <c r="I31" s="81">
        <f t="shared" si="10"/>
        <v>0</v>
      </c>
      <c r="J31" s="81">
        <f t="shared" si="10"/>
        <v>0</v>
      </c>
      <c r="K31" s="81">
        <f t="shared" si="10"/>
        <v>0</v>
      </c>
      <c r="L31" s="81">
        <f t="shared" si="10"/>
        <v>0</v>
      </c>
      <c r="M31" s="81">
        <f t="shared" si="10"/>
        <v>9434587.0899999999</v>
      </c>
      <c r="N31" s="81">
        <f t="shared" si="10"/>
        <v>0</v>
      </c>
      <c r="O31" s="81">
        <f t="shared" si="10"/>
        <v>0</v>
      </c>
      <c r="P31" s="81">
        <f t="shared" ref="P31:Q31" si="11">P25+P28</f>
        <v>0</v>
      </c>
      <c r="Q31" s="87">
        <f t="shared" si="11"/>
        <v>0</v>
      </c>
      <c r="R31" s="20" t="b">
        <f t="shared" si="0"/>
        <v>1</v>
      </c>
      <c r="S31" s="40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34" t="s">
        <v>39</v>
      </c>
      <c r="B32" s="135">
        <f t="shared" ref="B32:O32" si="12">B26+B29</f>
        <v>0</v>
      </c>
      <c r="C32" s="136">
        <f t="shared" si="12"/>
        <v>0</v>
      </c>
      <c r="D32" s="137">
        <f t="shared" si="12"/>
        <v>0</v>
      </c>
      <c r="E32" s="138">
        <f t="shared" si="12"/>
        <v>0</v>
      </c>
      <c r="F32" s="139">
        <f t="shared" si="12"/>
        <v>0</v>
      </c>
      <c r="G32" s="136">
        <f t="shared" si="12"/>
        <v>0</v>
      </c>
      <c r="H32" s="136">
        <f t="shared" si="12"/>
        <v>0</v>
      </c>
      <c r="I32" s="136">
        <f t="shared" si="12"/>
        <v>0</v>
      </c>
      <c r="J32" s="136">
        <f t="shared" si="12"/>
        <v>0</v>
      </c>
      <c r="K32" s="136">
        <f t="shared" si="12"/>
        <v>0</v>
      </c>
      <c r="L32" s="136">
        <f t="shared" si="12"/>
        <v>0</v>
      </c>
      <c r="M32" s="136">
        <f t="shared" si="12"/>
        <v>0</v>
      </c>
      <c r="N32" s="136">
        <f t="shared" si="12"/>
        <v>0</v>
      </c>
      <c r="O32" s="136">
        <f t="shared" si="12"/>
        <v>0</v>
      </c>
      <c r="P32" s="136">
        <f t="shared" ref="P32:Q32" si="13">P26+P29</f>
        <v>0</v>
      </c>
      <c r="Q32" s="140">
        <f t="shared" si="13"/>
        <v>0</v>
      </c>
      <c r="R32" s="20" t="b">
        <f t="shared" si="0"/>
        <v>1</v>
      </c>
      <c r="S32" s="40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41" t="s">
        <v>33</v>
      </c>
      <c r="B33" s="142">
        <f>B20+B30</f>
        <v>52</v>
      </c>
      <c r="C33" s="143">
        <f t="shared" ref="C33:O33" si="14">C20+C30</f>
        <v>188189762.55000004</v>
      </c>
      <c r="D33" s="144">
        <f t="shared" si="14"/>
        <v>80757877.669999987</v>
      </c>
      <c r="E33" s="145">
        <f t="shared" si="14"/>
        <v>107431884.88000003</v>
      </c>
      <c r="F33" s="146">
        <f t="shared" si="14"/>
        <v>0</v>
      </c>
      <c r="G33" s="143">
        <f t="shared" si="14"/>
        <v>0</v>
      </c>
      <c r="H33" s="143">
        <f t="shared" si="14"/>
        <v>0</v>
      </c>
      <c r="I33" s="143">
        <f t="shared" si="14"/>
        <v>0</v>
      </c>
      <c r="J33" s="143">
        <f t="shared" si="14"/>
        <v>0</v>
      </c>
      <c r="K33" s="143">
        <f t="shared" si="14"/>
        <v>3955960.44</v>
      </c>
      <c r="L33" s="143">
        <f t="shared" si="14"/>
        <v>24368784.940000001</v>
      </c>
      <c r="M33" s="143">
        <f t="shared" si="14"/>
        <v>68327753.219999999</v>
      </c>
      <c r="N33" s="143">
        <f t="shared" si="14"/>
        <v>10779386.280000001</v>
      </c>
      <c r="O33" s="143">
        <f t="shared" si="14"/>
        <v>0</v>
      </c>
      <c r="P33" s="143">
        <f t="shared" ref="P33:Q33" si="15">P20+P30</f>
        <v>0</v>
      </c>
      <c r="Q33" s="147">
        <f t="shared" si="15"/>
        <v>0</v>
      </c>
      <c r="R33" s="20" t="b">
        <f t="shared" si="0"/>
        <v>1</v>
      </c>
      <c r="S33" s="40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74" t="s">
        <v>37</v>
      </c>
      <c r="B34" s="175">
        <f>B21</f>
        <v>7</v>
      </c>
      <c r="C34" s="176">
        <f t="shared" ref="C34:O34" si="16">C21</f>
        <v>43054536.730000004</v>
      </c>
      <c r="D34" s="177">
        <f t="shared" si="16"/>
        <v>5601123.919999999</v>
      </c>
      <c r="E34" s="50">
        <f t="shared" si="16"/>
        <v>37453412.810000002</v>
      </c>
      <c r="F34" s="178">
        <f t="shared" si="16"/>
        <v>0</v>
      </c>
      <c r="G34" s="176">
        <f t="shared" si="16"/>
        <v>0</v>
      </c>
      <c r="H34" s="176">
        <f t="shared" si="16"/>
        <v>0</v>
      </c>
      <c r="I34" s="176">
        <f t="shared" si="16"/>
        <v>0</v>
      </c>
      <c r="J34" s="176">
        <f t="shared" si="16"/>
        <v>0</v>
      </c>
      <c r="K34" s="176">
        <f t="shared" si="16"/>
        <v>3955960.44</v>
      </c>
      <c r="L34" s="176">
        <f t="shared" si="16"/>
        <v>24368784.940000001</v>
      </c>
      <c r="M34" s="176">
        <f t="shared" si="16"/>
        <v>9128667.4299999997</v>
      </c>
      <c r="N34" s="176">
        <f t="shared" si="16"/>
        <v>0</v>
      </c>
      <c r="O34" s="176">
        <f t="shared" si="16"/>
        <v>0</v>
      </c>
      <c r="P34" s="176">
        <f t="shared" ref="P34:Q34" si="17">P21</f>
        <v>0</v>
      </c>
      <c r="Q34" s="179">
        <f t="shared" si="17"/>
        <v>0</v>
      </c>
      <c r="R34" s="20" t="b">
        <f t="shared" si="0"/>
        <v>1</v>
      </c>
      <c r="S34" s="40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48" t="s">
        <v>38</v>
      </c>
      <c r="B35" s="91">
        <f>B22+B31</f>
        <v>39</v>
      </c>
      <c r="C35" s="82">
        <f t="shared" ref="C35:O35" si="18">C22+C31</f>
        <v>99326260.019999981</v>
      </c>
      <c r="D35" s="96">
        <f t="shared" si="18"/>
        <v>50308777.049999997</v>
      </c>
      <c r="E35" s="102">
        <f t="shared" si="18"/>
        <v>49017482.969999999</v>
      </c>
      <c r="F35" s="101">
        <f t="shared" si="18"/>
        <v>0</v>
      </c>
      <c r="G35" s="82">
        <f t="shared" si="18"/>
        <v>0</v>
      </c>
      <c r="H35" s="82">
        <f t="shared" si="18"/>
        <v>0</v>
      </c>
      <c r="I35" s="82">
        <f t="shared" si="18"/>
        <v>0</v>
      </c>
      <c r="J35" s="82">
        <f t="shared" si="18"/>
        <v>0</v>
      </c>
      <c r="K35" s="82">
        <f t="shared" si="18"/>
        <v>0</v>
      </c>
      <c r="L35" s="82">
        <f t="shared" si="18"/>
        <v>0</v>
      </c>
      <c r="M35" s="82">
        <f t="shared" si="18"/>
        <v>49017482.969999999</v>
      </c>
      <c r="N35" s="82">
        <f t="shared" si="18"/>
        <v>0</v>
      </c>
      <c r="O35" s="82">
        <f t="shared" si="18"/>
        <v>0</v>
      </c>
      <c r="P35" s="82">
        <f t="shared" ref="P35:Q35" si="19">P22+P31</f>
        <v>0</v>
      </c>
      <c r="Q35" s="149">
        <f t="shared" si="19"/>
        <v>0</v>
      </c>
      <c r="R35" s="20" t="b">
        <f t="shared" si="0"/>
        <v>1</v>
      </c>
      <c r="S35" s="40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50" t="s">
        <v>39</v>
      </c>
      <c r="B36" s="151">
        <f>B23+B32</f>
        <v>6</v>
      </c>
      <c r="C36" s="152">
        <f t="shared" ref="C36:O36" si="20">C23+C32</f>
        <v>45808965.799999997</v>
      </c>
      <c r="D36" s="153">
        <f t="shared" si="20"/>
        <v>24847976.699999999</v>
      </c>
      <c r="E36" s="116">
        <f t="shared" si="20"/>
        <v>20960989.100000001</v>
      </c>
      <c r="F36" s="154">
        <f t="shared" si="20"/>
        <v>0</v>
      </c>
      <c r="G36" s="152">
        <f t="shared" si="20"/>
        <v>0</v>
      </c>
      <c r="H36" s="152">
        <f t="shared" si="20"/>
        <v>0</v>
      </c>
      <c r="I36" s="152">
        <f t="shared" si="20"/>
        <v>0</v>
      </c>
      <c r="J36" s="152">
        <f t="shared" si="20"/>
        <v>0</v>
      </c>
      <c r="K36" s="152">
        <f t="shared" si="20"/>
        <v>0</v>
      </c>
      <c r="L36" s="152">
        <f t="shared" si="20"/>
        <v>0</v>
      </c>
      <c r="M36" s="152">
        <f t="shared" si="20"/>
        <v>10181602.82</v>
      </c>
      <c r="N36" s="152">
        <f t="shared" si="20"/>
        <v>10779386.280000001</v>
      </c>
      <c r="O36" s="152">
        <f t="shared" si="20"/>
        <v>0</v>
      </c>
      <c r="P36" s="152">
        <f t="shared" ref="P36:Q36" si="21">P23+P32</f>
        <v>0</v>
      </c>
      <c r="Q36" s="155">
        <f t="shared" si="21"/>
        <v>0</v>
      </c>
      <c r="R36" s="20" t="b">
        <f t="shared" si="0"/>
        <v>1</v>
      </c>
      <c r="S36" s="40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8"/>
  <sheetViews>
    <sheetView showGridLines="0" view="pageBreakPreview" zoomScale="85" zoomScaleNormal="80" zoomScaleSheetLayoutView="85" workbookViewId="0">
      <selection activeCell="A16" sqref="A16:A18"/>
    </sheetView>
  </sheetViews>
  <sheetFormatPr defaultColWidth="9.140625" defaultRowHeight="15" x14ac:dyDescent="0.25"/>
  <cols>
    <col min="1" max="1" width="5" style="41" customWidth="1"/>
    <col min="2" max="2" width="15.85546875" style="3" customWidth="1"/>
    <col min="3" max="3" width="17.5703125" style="41" customWidth="1"/>
    <col min="4" max="4" width="18.42578125" style="3" customWidth="1"/>
    <col min="5" max="5" width="8.7109375" style="41" customWidth="1"/>
    <col min="6" max="6" width="52.7109375" style="41" customWidth="1"/>
    <col min="7" max="7" width="7.42578125" style="41" customWidth="1"/>
    <col min="8" max="8" width="7.7109375" style="3" customWidth="1"/>
    <col min="9" max="9" width="15.28515625" style="3" customWidth="1"/>
    <col min="10" max="10" width="13.85546875" style="4" customWidth="1"/>
    <col min="11" max="11" width="16.28515625" style="3" customWidth="1"/>
    <col min="12" max="12" width="15.7109375" style="3" customWidth="1"/>
    <col min="13" max="13" width="14" style="1" customWidth="1"/>
    <col min="14" max="19" width="6.7109375" style="3" customWidth="1"/>
    <col min="20" max="20" width="12.7109375" style="3" customWidth="1"/>
    <col min="21" max="21" width="13.5703125" style="3" customWidth="1"/>
    <col min="22" max="22" width="12.7109375" style="3" customWidth="1"/>
    <col min="23" max="25" width="6.7109375" style="3" customWidth="1"/>
    <col min="26" max="26" width="15.7109375" style="41" customWidth="1"/>
    <col min="27" max="28" width="15.7109375" style="1" customWidth="1"/>
    <col min="29" max="29" width="15.7109375" style="41" customWidth="1"/>
    <col min="30" max="16384" width="9.140625" style="3"/>
  </cols>
  <sheetData>
    <row r="1" spans="1:29" ht="20.100000000000001" customHeight="1" x14ac:dyDescent="0.25">
      <c r="A1" s="295" t="s">
        <v>4</v>
      </c>
      <c r="B1" s="295" t="s">
        <v>5</v>
      </c>
      <c r="C1" s="296" t="s">
        <v>43</v>
      </c>
      <c r="D1" s="291" t="s">
        <v>6</v>
      </c>
      <c r="E1" s="291" t="s">
        <v>32</v>
      </c>
      <c r="F1" s="291" t="s">
        <v>7</v>
      </c>
      <c r="G1" s="295" t="s">
        <v>26</v>
      </c>
      <c r="H1" s="295" t="s">
        <v>8</v>
      </c>
      <c r="I1" s="295" t="s">
        <v>23</v>
      </c>
      <c r="J1" s="298" t="s">
        <v>9</v>
      </c>
      <c r="K1" s="295" t="s">
        <v>16</v>
      </c>
      <c r="L1" s="291" t="s">
        <v>13</v>
      </c>
      <c r="M1" s="295" t="s">
        <v>11</v>
      </c>
      <c r="N1" s="299" t="s">
        <v>12</v>
      </c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1"/>
    </row>
    <row r="2" spans="1:29" ht="31.5" customHeight="1" x14ac:dyDescent="0.25">
      <c r="A2" s="295"/>
      <c r="B2" s="295"/>
      <c r="C2" s="297"/>
      <c r="D2" s="292"/>
      <c r="E2" s="292"/>
      <c r="F2" s="292"/>
      <c r="G2" s="295"/>
      <c r="H2" s="295"/>
      <c r="I2" s="295"/>
      <c r="J2" s="298"/>
      <c r="K2" s="295"/>
      <c r="L2" s="292"/>
      <c r="M2" s="29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0">
        <v>2029</v>
      </c>
      <c r="Y2" s="180">
        <v>2030</v>
      </c>
      <c r="Z2" s="1" t="s">
        <v>28</v>
      </c>
      <c r="AA2" s="1" t="s">
        <v>29</v>
      </c>
      <c r="AB2" s="1" t="s">
        <v>30</v>
      </c>
      <c r="AC2" s="42" t="s">
        <v>31</v>
      </c>
    </row>
    <row r="3" spans="1:29" s="194" customFormat="1" ht="30" customHeight="1" x14ac:dyDescent="0.25">
      <c r="A3" s="205" t="s">
        <v>99</v>
      </c>
      <c r="B3" s="188" t="s">
        <v>60</v>
      </c>
      <c r="C3" s="195" t="s">
        <v>62</v>
      </c>
      <c r="D3" s="189" t="s">
        <v>63</v>
      </c>
      <c r="E3" s="202">
        <v>1609</v>
      </c>
      <c r="F3" s="205" t="s">
        <v>65</v>
      </c>
      <c r="G3" s="205" t="s">
        <v>66</v>
      </c>
      <c r="H3" s="190">
        <v>1.335</v>
      </c>
      <c r="I3" s="191" t="s">
        <v>67</v>
      </c>
      <c r="J3" s="192">
        <v>5374889.6699999999</v>
      </c>
      <c r="K3" s="192">
        <f>ROUNDDOWN(J3*M3,2)</f>
        <v>5374889.6699999999</v>
      </c>
      <c r="L3" s="193">
        <f>J3-K3</f>
        <v>0</v>
      </c>
      <c r="M3" s="229">
        <v>1</v>
      </c>
      <c r="N3" s="192">
        <v>0</v>
      </c>
      <c r="O3" s="192">
        <v>0</v>
      </c>
      <c r="P3" s="192">
        <v>0</v>
      </c>
      <c r="Q3" s="192">
        <v>0</v>
      </c>
      <c r="R3" s="192">
        <v>0</v>
      </c>
      <c r="S3" s="192">
        <v>0</v>
      </c>
      <c r="T3" s="193">
        <v>5374889.6699999999</v>
      </c>
      <c r="U3" s="192">
        <v>0</v>
      </c>
      <c r="V3" s="192">
        <v>0</v>
      </c>
      <c r="W3" s="192">
        <v>0</v>
      </c>
      <c r="X3" s="192">
        <v>0</v>
      </c>
      <c r="Y3" s="192">
        <v>0</v>
      </c>
      <c r="Z3" s="225" t="b">
        <f>K3=SUM(N3:Y3)</f>
        <v>1</v>
      </c>
      <c r="AA3" s="227">
        <f t="shared" ref="AA3" si="0">ROUND(K3/J3,4)</f>
        <v>1</v>
      </c>
      <c r="AB3" s="228" t="b">
        <f t="shared" ref="AB3" si="1">AA3=M3</f>
        <v>1</v>
      </c>
      <c r="AC3" s="228" t="b">
        <f>J3=K3+L3</f>
        <v>1</v>
      </c>
    </row>
    <row r="4" spans="1:29" s="194" customFormat="1" ht="30" customHeight="1" x14ac:dyDescent="0.25">
      <c r="A4" s="205" t="s">
        <v>100</v>
      </c>
      <c r="B4" s="188" t="s">
        <v>61</v>
      </c>
      <c r="C4" s="195" t="s">
        <v>62</v>
      </c>
      <c r="D4" s="189" t="s">
        <v>64</v>
      </c>
      <c r="E4" s="202">
        <v>1611</v>
      </c>
      <c r="F4" s="205" t="s">
        <v>68</v>
      </c>
      <c r="G4" s="205" t="s">
        <v>66</v>
      </c>
      <c r="H4" s="190">
        <v>0.94062999999999997</v>
      </c>
      <c r="I4" s="191" t="s">
        <v>112</v>
      </c>
      <c r="J4" s="192">
        <v>3260818.56</v>
      </c>
      <c r="K4" s="192">
        <f t="shared" ref="K4:K18" si="2">ROUNDDOWN(J4*M4,2)</f>
        <v>1630409.28</v>
      </c>
      <c r="L4" s="193">
        <f t="shared" ref="L4:L19" si="3">J4-K4</f>
        <v>1630409.28</v>
      </c>
      <c r="M4" s="229">
        <v>0.5</v>
      </c>
      <c r="N4" s="192">
        <v>0</v>
      </c>
      <c r="O4" s="192">
        <v>0</v>
      </c>
      <c r="P4" s="192">
        <v>0</v>
      </c>
      <c r="Q4" s="192">
        <v>0</v>
      </c>
      <c r="R4" s="192">
        <v>0</v>
      </c>
      <c r="S4" s="192">
        <v>0</v>
      </c>
      <c r="T4" s="193">
        <v>625376.28</v>
      </c>
      <c r="U4" s="193">
        <f>K4-T4</f>
        <v>1005033</v>
      </c>
      <c r="V4" s="192">
        <v>0</v>
      </c>
      <c r="W4" s="192">
        <v>0</v>
      </c>
      <c r="X4" s="192">
        <v>0</v>
      </c>
      <c r="Y4" s="192">
        <v>0</v>
      </c>
      <c r="Z4" s="225" t="b">
        <f t="shared" ref="Z4:Z23" si="4">K4=SUM(N4:Y4)</f>
        <v>1</v>
      </c>
      <c r="AA4" s="227">
        <f t="shared" ref="AA4:AA22" si="5">ROUND(K4/J4,4)</f>
        <v>0.5</v>
      </c>
      <c r="AB4" s="228" t="b">
        <f t="shared" ref="AB4:AB19" si="6">AA4=M4</f>
        <v>1</v>
      </c>
      <c r="AC4" s="228" t="b">
        <f t="shared" ref="AC4:AC22" si="7">J4=K4+L4</f>
        <v>1</v>
      </c>
    </row>
    <row r="5" spans="1:29" ht="30" customHeight="1" x14ac:dyDescent="0.25">
      <c r="A5" s="197" t="s">
        <v>101</v>
      </c>
      <c r="B5" s="51" t="s">
        <v>48</v>
      </c>
      <c r="C5" s="196" t="s">
        <v>69</v>
      </c>
      <c r="D5" s="52" t="s">
        <v>70</v>
      </c>
      <c r="E5" s="203">
        <v>1607</v>
      </c>
      <c r="F5" s="197" t="s">
        <v>71</v>
      </c>
      <c r="G5" s="197" t="s">
        <v>72</v>
      </c>
      <c r="H5" s="53">
        <v>0.72599999999999998</v>
      </c>
      <c r="I5" s="54" t="s">
        <v>73</v>
      </c>
      <c r="J5" s="47">
        <v>10967697.539999999</v>
      </c>
      <c r="K5" s="47">
        <f t="shared" si="2"/>
        <v>5483848.7699999996</v>
      </c>
      <c r="L5" s="55">
        <f t="shared" si="3"/>
        <v>5483848.7699999996</v>
      </c>
      <c r="M5" s="230">
        <v>0.5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209">
        <v>0</v>
      </c>
      <c r="T5" s="55">
        <v>0</v>
      </c>
      <c r="U5" s="55">
        <f>K5</f>
        <v>5483848.7699999996</v>
      </c>
      <c r="V5" s="209">
        <v>0</v>
      </c>
      <c r="W5" s="47">
        <v>0</v>
      </c>
      <c r="X5" s="47">
        <v>0</v>
      </c>
      <c r="Y5" s="47">
        <v>0</v>
      </c>
      <c r="Z5" s="1" t="b">
        <f t="shared" si="4"/>
        <v>1</v>
      </c>
      <c r="AA5" s="43">
        <f t="shared" si="5"/>
        <v>0.5</v>
      </c>
      <c r="AB5" s="44" t="b">
        <f t="shared" si="6"/>
        <v>1</v>
      </c>
      <c r="AC5" s="44" t="b">
        <f t="shared" si="7"/>
        <v>1</v>
      </c>
    </row>
    <row r="6" spans="1:29" ht="30" customHeight="1" x14ac:dyDescent="0.25">
      <c r="A6" s="197" t="s">
        <v>102</v>
      </c>
      <c r="B6" s="51" t="s">
        <v>49</v>
      </c>
      <c r="C6" s="196" t="s">
        <v>69</v>
      </c>
      <c r="D6" s="52" t="s">
        <v>74</v>
      </c>
      <c r="E6" s="203">
        <v>1601</v>
      </c>
      <c r="F6" s="197" t="s">
        <v>243</v>
      </c>
      <c r="G6" s="197" t="s">
        <v>75</v>
      </c>
      <c r="H6" s="53">
        <v>0.69</v>
      </c>
      <c r="I6" s="54" t="s">
        <v>76</v>
      </c>
      <c r="J6" s="47">
        <v>4601189.13</v>
      </c>
      <c r="K6" s="47">
        <f t="shared" si="2"/>
        <v>2300594.56</v>
      </c>
      <c r="L6" s="55">
        <f t="shared" si="3"/>
        <v>2300594.5699999998</v>
      </c>
      <c r="M6" s="230">
        <v>0.5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209">
        <v>0</v>
      </c>
      <c r="T6" s="55">
        <v>0</v>
      </c>
      <c r="U6" s="55">
        <f t="shared" ref="U6:U15" si="8">K6</f>
        <v>2300594.56</v>
      </c>
      <c r="V6" s="209">
        <v>0</v>
      </c>
      <c r="W6" s="47">
        <v>0</v>
      </c>
      <c r="X6" s="47">
        <v>0</v>
      </c>
      <c r="Y6" s="47">
        <v>0</v>
      </c>
      <c r="Z6" s="1" t="b">
        <f t="shared" si="4"/>
        <v>1</v>
      </c>
      <c r="AA6" s="43">
        <f t="shared" si="5"/>
        <v>0.5</v>
      </c>
      <c r="AB6" s="44" t="b">
        <f t="shared" si="6"/>
        <v>1</v>
      </c>
      <c r="AC6" s="44" t="b">
        <f t="shared" si="7"/>
        <v>1</v>
      </c>
    </row>
    <row r="7" spans="1:29" ht="30" customHeight="1" x14ac:dyDescent="0.25">
      <c r="A7" s="197" t="s">
        <v>103</v>
      </c>
      <c r="B7" s="51" t="s">
        <v>50</v>
      </c>
      <c r="C7" s="196" t="s">
        <v>69</v>
      </c>
      <c r="D7" s="60" t="s">
        <v>63</v>
      </c>
      <c r="E7" s="204">
        <v>1609</v>
      </c>
      <c r="F7" s="246" t="s">
        <v>77</v>
      </c>
      <c r="G7" s="197" t="s">
        <v>66</v>
      </c>
      <c r="H7" s="53">
        <v>0.89800000000000002</v>
      </c>
      <c r="I7" s="54" t="s">
        <v>78</v>
      </c>
      <c r="J7" s="61">
        <v>4314739.3499999996</v>
      </c>
      <c r="K7" s="47">
        <f t="shared" si="2"/>
        <v>2157369.67</v>
      </c>
      <c r="L7" s="55">
        <f t="shared" si="3"/>
        <v>2157369.6799999997</v>
      </c>
      <c r="M7" s="230">
        <v>0.5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209">
        <v>0</v>
      </c>
      <c r="T7" s="55">
        <v>0</v>
      </c>
      <c r="U7" s="55">
        <f t="shared" si="8"/>
        <v>2157369.67</v>
      </c>
      <c r="V7" s="209">
        <v>0</v>
      </c>
      <c r="W7" s="47">
        <v>0</v>
      </c>
      <c r="X7" s="47">
        <v>0</v>
      </c>
      <c r="Y7" s="47">
        <v>0</v>
      </c>
      <c r="Z7" s="1" t="b">
        <f t="shared" si="4"/>
        <v>1</v>
      </c>
      <c r="AA7" s="43">
        <f t="shared" si="5"/>
        <v>0.5</v>
      </c>
      <c r="AB7" s="44" t="b">
        <f t="shared" si="6"/>
        <v>1</v>
      </c>
      <c r="AC7" s="44" t="b">
        <f t="shared" si="7"/>
        <v>1</v>
      </c>
    </row>
    <row r="8" spans="1:29" ht="40.5" customHeight="1" x14ac:dyDescent="0.25">
      <c r="A8" s="197" t="s">
        <v>104</v>
      </c>
      <c r="B8" s="51" t="s">
        <v>51</v>
      </c>
      <c r="C8" s="196" t="s">
        <v>69</v>
      </c>
      <c r="D8" s="52" t="s">
        <v>79</v>
      </c>
      <c r="E8" s="203">
        <v>1603</v>
      </c>
      <c r="F8" s="197" t="s">
        <v>80</v>
      </c>
      <c r="G8" s="197" t="s">
        <v>75</v>
      </c>
      <c r="H8" s="53">
        <v>0.78</v>
      </c>
      <c r="I8" s="54" t="s">
        <v>81</v>
      </c>
      <c r="J8" s="48">
        <v>3159540.61</v>
      </c>
      <c r="K8" s="47">
        <f t="shared" si="2"/>
        <v>1579770.3</v>
      </c>
      <c r="L8" s="55">
        <f t="shared" si="3"/>
        <v>1579770.3099999998</v>
      </c>
      <c r="M8" s="230">
        <v>0.5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209">
        <v>0</v>
      </c>
      <c r="T8" s="55">
        <v>0</v>
      </c>
      <c r="U8" s="55">
        <f t="shared" si="8"/>
        <v>1579770.3</v>
      </c>
      <c r="V8" s="209">
        <v>0</v>
      </c>
      <c r="W8" s="47">
        <v>0</v>
      </c>
      <c r="X8" s="47">
        <v>0</v>
      </c>
      <c r="Y8" s="47">
        <v>0</v>
      </c>
      <c r="Z8" s="1" t="b">
        <f t="shared" si="4"/>
        <v>1</v>
      </c>
      <c r="AA8" s="43">
        <f t="shared" si="5"/>
        <v>0.5</v>
      </c>
      <c r="AB8" s="44" t="b">
        <f t="shared" si="6"/>
        <v>1</v>
      </c>
      <c r="AC8" s="44" t="b">
        <f t="shared" si="7"/>
        <v>1</v>
      </c>
    </row>
    <row r="9" spans="1:29" ht="30" customHeight="1" x14ac:dyDescent="0.25">
      <c r="A9" s="197" t="s">
        <v>105</v>
      </c>
      <c r="B9" s="51" t="s">
        <v>52</v>
      </c>
      <c r="C9" s="196" t="s">
        <v>69</v>
      </c>
      <c r="D9" s="52" t="s">
        <v>82</v>
      </c>
      <c r="E9" s="203">
        <v>1608</v>
      </c>
      <c r="F9" s="197" t="s">
        <v>83</v>
      </c>
      <c r="G9" s="197" t="s">
        <v>75</v>
      </c>
      <c r="H9" s="53">
        <v>4.8070000000000004</v>
      </c>
      <c r="I9" s="54" t="s">
        <v>84</v>
      </c>
      <c r="J9" s="48">
        <v>3603687.39</v>
      </c>
      <c r="K9" s="47">
        <f t="shared" si="2"/>
        <v>1801843.69</v>
      </c>
      <c r="L9" s="55">
        <f t="shared" si="3"/>
        <v>1801843.7000000002</v>
      </c>
      <c r="M9" s="230">
        <v>0.5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209">
        <v>0</v>
      </c>
      <c r="T9" s="55">
        <v>0</v>
      </c>
      <c r="U9" s="55">
        <f t="shared" si="8"/>
        <v>1801843.69</v>
      </c>
      <c r="V9" s="209">
        <v>0</v>
      </c>
      <c r="W9" s="47">
        <v>0</v>
      </c>
      <c r="X9" s="47">
        <v>0</v>
      </c>
      <c r="Y9" s="47">
        <v>0</v>
      </c>
      <c r="Z9" s="1" t="b">
        <f t="shared" si="4"/>
        <v>1</v>
      </c>
      <c r="AA9" s="43">
        <f t="shared" si="5"/>
        <v>0.5</v>
      </c>
      <c r="AB9" s="44" t="b">
        <f t="shared" si="6"/>
        <v>1</v>
      </c>
      <c r="AC9" s="44" t="b">
        <f t="shared" si="7"/>
        <v>1</v>
      </c>
    </row>
    <row r="10" spans="1:29" ht="38.25" customHeight="1" x14ac:dyDescent="0.25">
      <c r="A10" s="197" t="s">
        <v>106</v>
      </c>
      <c r="B10" s="51" t="s">
        <v>53</v>
      </c>
      <c r="C10" s="196" t="s">
        <v>69</v>
      </c>
      <c r="D10" s="52" t="s">
        <v>79</v>
      </c>
      <c r="E10" s="203">
        <v>1603</v>
      </c>
      <c r="F10" s="197" t="s">
        <v>85</v>
      </c>
      <c r="G10" s="197" t="s">
        <v>72</v>
      </c>
      <c r="H10" s="53">
        <v>1</v>
      </c>
      <c r="I10" s="54" t="s">
        <v>81</v>
      </c>
      <c r="J10" s="47">
        <v>2458209.2400000002</v>
      </c>
      <c r="K10" s="47">
        <f t="shared" si="2"/>
        <v>1229104.6200000001</v>
      </c>
      <c r="L10" s="55">
        <f t="shared" si="3"/>
        <v>1229104.6200000001</v>
      </c>
      <c r="M10" s="230">
        <v>0.5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209">
        <v>0</v>
      </c>
      <c r="T10" s="55">
        <v>0</v>
      </c>
      <c r="U10" s="55">
        <f t="shared" si="8"/>
        <v>1229104.6200000001</v>
      </c>
      <c r="V10" s="209">
        <v>0</v>
      </c>
      <c r="W10" s="47">
        <v>0</v>
      </c>
      <c r="X10" s="47">
        <v>0</v>
      </c>
      <c r="Y10" s="47">
        <v>0</v>
      </c>
      <c r="Z10" s="1" t="b">
        <f t="shared" si="4"/>
        <v>1</v>
      </c>
      <c r="AA10" s="43">
        <f t="shared" si="5"/>
        <v>0.5</v>
      </c>
      <c r="AB10" s="44" t="b">
        <f t="shared" si="6"/>
        <v>1</v>
      </c>
      <c r="AC10" s="44" t="b">
        <f t="shared" si="7"/>
        <v>1</v>
      </c>
    </row>
    <row r="11" spans="1:29" ht="30" customHeight="1" x14ac:dyDescent="0.25">
      <c r="A11" s="197" t="s">
        <v>107</v>
      </c>
      <c r="B11" s="51" t="s">
        <v>54</v>
      </c>
      <c r="C11" s="196" t="s">
        <v>69</v>
      </c>
      <c r="D11" s="60" t="s">
        <v>86</v>
      </c>
      <c r="E11" s="204">
        <v>1610</v>
      </c>
      <c r="F11" s="246" t="s">
        <v>247</v>
      </c>
      <c r="G11" s="197" t="s">
        <v>75</v>
      </c>
      <c r="H11" s="53">
        <v>1.0498700000000001</v>
      </c>
      <c r="I11" s="54" t="s">
        <v>87</v>
      </c>
      <c r="J11" s="61">
        <v>2371500</v>
      </c>
      <c r="K11" s="47">
        <f t="shared" si="2"/>
        <v>1185750</v>
      </c>
      <c r="L11" s="55">
        <f t="shared" si="3"/>
        <v>1185750</v>
      </c>
      <c r="M11" s="230">
        <v>0.5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209">
        <v>0</v>
      </c>
      <c r="T11" s="55">
        <v>0</v>
      </c>
      <c r="U11" s="55">
        <f t="shared" si="8"/>
        <v>1185750</v>
      </c>
      <c r="V11" s="209">
        <v>0</v>
      </c>
      <c r="W11" s="47">
        <v>0</v>
      </c>
      <c r="X11" s="47">
        <v>0</v>
      </c>
      <c r="Y11" s="47">
        <v>0</v>
      </c>
      <c r="Z11" s="1" t="b">
        <f t="shared" si="4"/>
        <v>1</v>
      </c>
      <c r="AA11" s="43">
        <f t="shared" si="5"/>
        <v>0.5</v>
      </c>
      <c r="AB11" s="44" t="b">
        <f t="shared" si="6"/>
        <v>1</v>
      </c>
      <c r="AC11" s="44" t="b">
        <f t="shared" si="7"/>
        <v>1</v>
      </c>
    </row>
    <row r="12" spans="1:29" ht="30" customHeight="1" x14ac:dyDescent="0.25">
      <c r="A12" s="197" t="s">
        <v>108</v>
      </c>
      <c r="B12" s="51" t="s">
        <v>55</v>
      </c>
      <c r="C12" s="196" t="s">
        <v>69</v>
      </c>
      <c r="D12" s="60" t="s">
        <v>88</v>
      </c>
      <c r="E12" s="204">
        <v>1606</v>
      </c>
      <c r="F12" s="246" t="s">
        <v>89</v>
      </c>
      <c r="G12" s="197" t="s">
        <v>75</v>
      </c>
      <c r="H12" s="53">
        <v>0.73699999999999999</v>
      </c>
      <c r="I12" s="54" t="s">
        <v>90</v>
      </c>
      <c r="J12" s="62">
        <v>762786.66</v>
      </c>
      <c r="K12" s="47">
        <f t="shared" si="2"/>
        <v>381393.33</v>
      </c>
      <c r="L12" s="55">
        <f t="shared" si="3"/>
        <v>381393.33</v>
      </c>
      <c r="M12" s="230">
        <v>0.5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209">
        <v>0</v>
      </c>
      <c r="T12" s="55">
        <v>0</v>
      </c>
      <c r="U12" s="55">
        <f t="shared" si="8"/>
        <v>381393.33</v>
      </c>
      <c r="V12" s="209">
        <v>0</v>
      </c>
      <c r="W12" s="47">
        <v>0</v>
      </c>
      <c r="X12" s="47">
        <v>0</v>
      </c>
      <c r="Y12" s="47">
        <v>0</v>
      </c>
      <c r="Z12" s="1" t="b">
        <f t="shared" si="4"/>
        <v>1</v>
      </c>
      <c r="AA12" s="43">
        <f t="shared" si="5"/>
        <v>0.5</v>
      </c>
      <c r="AB12" s="44" t="b">
        <f t="shared" si="6"/>
        <v>1</v>
      </c>
      <c r="AC12" s="44" t="b">
        <f t="shared" si="7"/>
        <v>1</v>
      </c>
    </row>
    <row r="13" spans="1:29" ht="30" customHeight="1" x14ac:dyDescent="0.25">
      <c r="A13" s="197" t="s">
        <v>109</v>
      </c>
      <c r="B13" s="51" t="s">
        <v>56</v>
      </c>
      <c r="C13" s="196" t="s">
        <v>69</v>
      </c>
      <c r="D13" s="52" t="s">
        <v>63</v>
      </c>
      <c r="E13" s="203">
        <v>1609</v>
      </c>
      <c r="F13" s="197" t="s">
        <v>91</v>
      </c>
      <c r="G13" s="197" t="s">
        <v>72</v>
      </c>
      <c r="H13" s="53">
        <v>0.90200000000000002</v>
      </c>
      <c r="I13" s="54" t="s">
        <v>84</v>
      </c>
      <c r="J13" s="48">
        <v>4465068.95</v>
      </c>
      <c r="K13" s="47">
        <f t="shared" si="2"/>
        <v>2232534.4700000002</v>
      </c>
      <c r="L13" s="55">
        <f t="shared" si="3"/>
        <v>2232534.48</v>
      </c>
      <c r="M13" s="230">
        <v>0.5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209">
        <v>0</v>
      </c>
      <c r="T13" s="55">
        <v>0</v>
      </c>
      <c r="U13" s="55">
        <f t="shared" si="8"/>
        <v>2232534.4700000002</v>
      </c>
      <c r="V13" s="209">
        <v>0</v>
      </c>
      <c r="W13" s="47">
        <v>0</v>
      </c>
      <c r="X13" s="47">
        <v>0</v>
      </c>
      <c r="Y13" s="47">
        <v>0</v>
      </c>
      <c r="Z13" s="1" t="b">
        <f t="shared" si="4"/>
        <v>1</v>
      </c>
      <c r="AA13" s="43">
        <f t="shared" si="5"/>
        <v>0.5</v>
      </c>
      <c r="AB13" s="44" t="b">
        <f t="shared" si="6"/>
        <v>1</v>
      </c>
      <c r="AC13" s="44" t="b">
        <f t="shared" si="7"/>
        <v>1</v>
      </c>
    </row>
    <row r="14" spans="1:29" ht="30" customHeight="1" x14ac:dyDescent="0.25">
      <c r="A14" s="197" t="s">
        <v>110</v>
      </c>
      <c r="B14" s="51" t="s">
        <v>57</v>
      </c>
      <c r="C14" s="196" t="s">
        <v>69</v>
      </c>
      <c r="D14" s="60" t="s">
        <v>86</v>
      </c>
      <c r="E14" s="204">
        <v>1610</v>
      </c>
      <c r="F14" s="247" t="s">
        <v>113</v>
      </c>
      <c r="G14" s="197" t="s">
        <v>66</v>
      </c>
      <c r="H14" s="53">
        <v>0.96930000000000005</v>
      </c>
      <c r="I14" s="54" t="s">
        <v>92</v>
      </c>
      <c r="J14" s="62">
        <v>2771500</v>
      </c>
      <c r="K14" s="47">
        <f t="shared" si="2"/>
        <v>1385750</v>
      </c>
      <c r="L14" s="55">
        <f t="shared" si="3"/>
        <v>1385750</v>
      </c>
      <c r="M14" s="230">
        <v>0.5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209">
        <v>0</v>
      </c>
      <c r="T14" s="55">
        <v>0</v>
      </c>
      <c r="U14" s="55">
        <f t="shared" si="8"/>
        <v>1385750</v>
      </c>
      <c r="V14" s="209">
        <v>0</v>
      </c>
      <c r="W14" s="47">
        <v>0</v>
      </c>
      <c r="X14" s="47">
        <v>0</v>
      </c>
      <c r="Y14" s="47">
        <v>0</v>
      </c>
      <c r="Z14" s="1" t="b">
        <f t="shared" si="4"/>
        <v>1</v>
      </c>
      <c r="AA14" s="43">
        <f t="shared" si="5"/>
        <v>0.5</v>
      </c>
      <c r="AB14" s="44" t="b">
        <f t="shared" si="6"/>
        <v>1</v>
      </c>
      <c r="AC14" s="44" t="b">
        <f t="shared" si="7"/>
        <v>1</v>
      </c>
    </row>
    <row r="15" spans="1:29" ht="30" customHeight="1" x14ac:dyDescent="0.25">
      <c r="A15" s="197" t="s">
        <v>111</v>
      </c>
      <c r="B15" s="51" t="s">
        <v>58</v>
      </c>
      <c r="C15" s="196" t="s">
        <v>69</v>
      </c>
      <c r="D15" s="52" t="s">
        <v>93</v>
      </c>
      <c r="E15" s="203">
        <v>1604</v>
      </c>
      <c r="F15" s="197" t="s">
        <v>94</v>
      </c>
      <c r="G15" s="197" t="s">
        <v>72</v>
      </c>
      <c r="H15" s="53">
        <v>0.30499999999999999</v>
      </c>
      <c r="I15" s="54" t="s">
        <v>92</v>
      </c>
      <c r="J15" s="48">
        <v>2175067.2599999998</v>
      </c>
      <c r="K15" s="47">
        <f t="shared" si="2"/>
        <v>1087533.6299999999</v>
      </c>
      <c r="L15" s="55">
        <f t="shared" si="3"/>
        <v>1087533.6299999999</v>
      </c>
      <c r="M15" s="230">
        <v>0.5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209">
        <v>0</v>
      </c>
      <c r="T15" s="55">
        <v>0</v>
      </c>
      <c r="U15" s="55">
        <f t="shared" si="8"/>
        <v>1087533.6299999999</v>
      </c>
      <c r="V15" s="209">
        <v>0</v>
      </c>
      <c r="W15" s="47">
        <v>0</v>
      </c>
      <c r="X15" s="47">
        <v>0</v>
      </c>
      <c r="Y15" s="47">
        <v>0</v>
      </c>
      <c r="Z15" s="1" t="b">
        <f t="shared" si="4"/>
        <v>1</v>
      </c>
      <c r="AA15" s="43">
        <f t="shared" si="5"/>
        <v>0.5</v>
      </c>
      <c r="AB15" s="44" t="b">
        <f t="shared" si="6"/>
        <v>1</v>
      </c>
      <c r="AC15" s="44" t="b">
        <f t="shared" si="7"/>
        <v>1</v>
      </c>
    </row>
    <row r="16" spans="1:29" s="194" customFormat="1" ht="30" customHeight="1" x14ac:dyDescent="0.25">
      <c r="A16" s="205">
        <v>14</v>
      </c>
      <c r="B16" s="188" t="s">
        <v>59</v>
      </c>
      <c r="C16" s="195" t="s">
        <v>95</v>
      </c>
      <c r="D16" s="206" t="s">
        <v>96</v>
      </c>
      <c r="E16" s="207">
        <v>1602</v>
      </c>
      <c r="F16" s="248" t="s">
        <v>97</v>
      </c>
      <c r="G16" s="205" t="s">
        <v>72</v>
      </c>
      <c r="H16" s="190">
        <v>1.635</v>
      </c>
      <c r="I16" s="191" t="s">
        <v>98</v>
      </c>
      <c r="J16" s="208">
        <v>8013585</v>
      </c>
      <c r="K16" s="192">
        <f t="shared" si="2"/>
        <v>4006792.5</v>
      </c>
      <c r="L16" s="193">
        <f t="shared" si="3"/>
        <v>4006792.5</v>
      </c>
      <c r="M16" s="229">
        <v>0.5</v>
      </c>
      <c r="N16" s="192">
        <v>0</v>
      </c>
      <c r="O16" s="192">
        <v>0</v>
      </c>
      <c r="P16" s="192">
        <v>0</v>
      </c>
      <c r="Q16" s="192">
        <v>0</v>
      </c>
      <c r="R16" s="192">
        <v>0</v>
      </c>
      <c r="S16" s="210">
        <v>0</v>
      </c>
      <c r="T16" s="193">
        <v>0</v>
      </c>
      <c r="U16" s="193">
        <v>1956396.25</v>
      </c>
      <c r="V16" s="193">
        <f>K16-U16</f>
        <v>2050396.25</v>
      </c>
      <c r="W16" s="192">
        <v>0</v>
      </c>
      <c r="X16" s="192">
        <v>0</v>
      </c>
      <c r="Y16" s="192">
        <v>0</v>
      </c>
      <c r="Z16" s="225" t="b">
        <f t="shared" si="4"/>
        <v>1</v>
      </c>
      <c r="AA16" s="227">
        <f t="shared" si="5"/>
        <v>0.5</v>
      </c>
      <c r="AB16" s="228" t="b">
        <f t="shared" si="6"/>
        <v>1</v>
      </c>
      <c r="AC16" s="228" t="b">
        <f t="shared" si="7"/>
        <v>1</v>
      </c>
    </row>
    <row r="17" spans="1:29" s="194" customFormat="1" ht="30" customHeight="1" x14ac:dyDescent="0.25">
      <c r="A17" s="205">
        <v>15</v>
      </c>
      <c r="B17" s="188" t="s">
        <v>114</v>
      </c>
      <c r="C17" s="195" t="s">
        <v>95</v>
      </c>
      <c r="D17" s="206" t="s">
        <v>74</v>
      </c>
      <c r="E17" s="207">
        <v>1601</v>
      </c>
      <c r="F17" s="248" t="s">
        <v>119</v>
      </c>
      <c r="G17" s="205" t="s">
        <v>72</v>
      </c>
      <c r="H17" s="190">
        <v>1.3149999999999999</v>
      </c>
      <c r="I17" s="191" t="s">
        <v>120</v>
      </c>
      <c r="J17" s="208">
        <v>12836432.199999999</v>
      </c>
      <c r="K17" s="192">
        <f t="shared" si="2"/>
        <v>6418216.0999999996</v>
      </c>
      <c r="L17" s="193">
        <f t="shared" si="3"/>
        <v>6418216.0999999996</v>
      </c>
      <c r="M17" s="229">
        <v>0.5</v>
      </c>
      <c r="N17" s="192">
        <v>0</v>
      </c>
      <c r="O17" s="192">
        <v>0</v>
      </c>
      <c r="P17" s="192">
        <v>0</v>
      </c>
      <c r="Q17" s="192">
        <v>0</v>
      </c>
      <c r="R17" s="192">
        <v>0</v>
      </c>
      <c r="S17" s="210">
        <v>0</v>
      </c>
      <c r="T17" s="193">
        <v>0</v>
      </c>
      <c r="U17" s="193">
        <v>3210608.05</v>
      </c>
      <c r="V17" s="193">
        <f>K17-U17</f>
        <v>3207608.05</v>
      </c>
      <c r="W17" s="192">
        <v>0</v>
      </c>
      <c r="X17" s="192">
        <v>0</v>
      </c>
      <c r="Y17" s="192">
        <v>0</v>
      </c>
      <c r="Z17" s="225" t="b">
        <f t="shared" ref="Z17:Z18" si="9">K17=SUM(N17:Y17)</f>
        <v>1</v>
      </c>
      <c r="AA17" s="227">
        <f t="shared" ref="AA17:AA18" si="10">ROUND(K17/J17,4)</f>
        <v>0.5</v>
      </c>
      <c r="AB17" s="228" t="b">
        <f t="shared" ref="AB17:AB18" si="11">AA17=M17</f>
        <v>1</v>
      </c>
      <c r="AC17" s="228" t="b">
        <f t="shared" ref="AC17:AC18" si="12">J17=K17+L17</f>
        <v>1</v>
      </c>
    </row>
    <row r="18" spans="1:29" s="194" customFormat="1" ht="30" customHeight="1" x14ac:dyDescent="0.25">
      <c r="A18" s="205">
        <v>16</v>
      </c>
      <c r="B18" s="188" t="s">
        <v>115</v>
      </c>
      <c r="C18" s="195" t="s">
        <v>95</v>
      </c>
      <c r="D18" s="206" t="s">
        <v>64</v>
      </c>
      <c r="E18" s="207">
        <v>1611</v>
      </c>
      <c r="F18" s="248" t="s">
        <v>244</v>
      </c>
      <c r="G18" s="205" t="s">
        <v>72</v>
      </c>
      <c r="H18" s="190">
        <v>0.436</v>
      </c>
      <c r="I18" s="191" t="s">
        <v>121</v>
      </c>
      <c r="J18" s="208">
        <v>1860067.67</v>
      </c>
      <c r="K18" s="192">
        <f t="shared" si="2"/>
        <v>930033.83</v>
      </c>
      <c r="L18" s="193">
        <f t="shared" si="3"/>
        <v>930033.84</v>
      </c>
      <c r="M18" s="229">
        <v>0.5</v>
      </c>
      <c r="N18" s="192">
        <v>0</v>
      </c>
      <c r="O18" s="192">
        <v>0</v>
      </c>
      <c r="P18" s="192">
        <v>0</v>
      </c>
      <c r="Q18" s="192">
        <v>0</v>
      </c>
      <c r="R18" s="192">
        <v>0</v>
      </c>
      <c r="S18" s="210">
        <v>0</v>
      </c>
      <c r="T18" s="193">
        <v>0</v>
      </c>
      <c r="U18" s="193">
        <v>593968.16</v>
      </c>
      <c r="V18" s="193">
        <f>K18-U18</f>
        <v>336065.66999999993</v>
      </c>
      <c r="W18" s="192">
        <v>0</v>
      </c>
      <c r="X18" s="192">
        <v>0</v>
      </c>
      <c r="Y18" s="192">
        <v>0</v>
      </c>
      <c r="Z18" s="225" t="b">
        <f t="shared" si="9"/>
        <v>1</v>
      </c>
      <c r="AA18" s="227">
        <f t="shared" si="10"/>
        <v>0.5</v>
      </c>
      <c r="AB18" s="228" t="b">
        <f t="shared" si="11"/>
        <v>1</v>
      </c>
      <c r="AC18" s="228" t="b">
        <f t="shared" si="12"/>
        <v>1</v>
      </c>
    </row>
    <row r="19" spans="1:29" ht="64.5" customHeight="1" x14ac:dyDescent="0.25">
      <c r="A19" s="249" t="s">
        <v>185</v>
      </c>
      <c r="B19" s="51" t="s">
        <v>116</v>
      </c>
      <c r="C19" s="196" t="s">
        <v>69</v>
      </c>
      <c r="D19" s="52" t="s">
        <v>93</v>
      </c>
      <c r="E19" s="203">
        <v>1604</v>
      </c>
      <c r="F19" s="197" t="s">
        <v>122</v>
      </c>
      <c r="G19" s="197" t="s">
        <v>72</v>
      </c>
      <c r="H19" s="53">
        <v>0.192</v>
      </c>
      <c r="I19" s="54" t="s">
        <v>92</v>
      </c>
      <c r="J19" s="48">
        <v>2244604.2799999998</v>
      </c>
      <c r="K19" s="47">
        <v>476655.18</v>
      </c>
      <c r="L19" s="55">
        <f t="shared" si="3"/>
        <v>1767949.0999999999</v>
      </c>
      <c r="M19" s="230">
        <v>0.5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209">
        <v>0</v>
      </c>
      <c r="T19" s="55">
        <v>0</v>
      </c>
      <c r="U19" s="55">
        <f>K19</f>
        <v>476655.18</v>
      </c>
      <c r="V19" s="209">
        <v>0</v>
      </c>
      <c r="W19" s="47">
        <v>0</v>
      </c>
      <c r="X19" s="47">
        <v>0</v>
      </c>
      <c r="Y19" s="47">
        <v>0</v>
      </c>
      <c r="Z19" s="1" t="b">
        <f t="shared" si="4"/>
        <v>1</v>
      </c>
      <c r="AA19" s="43">
        <f t="shared" si="5"/>
        <v>0.21240000000000001</v>
      </c>
      <c r="AB19" s="44" t="b">
        <f t="shared" si="6"/>
        <v>0</v>
      </c>
      <c r="AC19" s="44" t="b">
        <f t="shared" si="7"/>
        <v>1</v>
      </c>
    </row>
    <row r="20" spans="1:29" ht="20.100000000000001" customHeight="1" x14ac:dyDescent="0.25">
      <c r="A20" s="294" t="s">
        <v>44</v>
      </c>
      <c r="B20" s="294"/>
      <c r="C20" s="294"/>
      <c r="D20" s="294"/>
      <c r="E20" s="294"/>
      <c r="F20" s="294"/>
      <c r="G20" s="294"/>
      <c r="H20" s="63">
        <f>SUM(H3:H19)</f>
        <v>18.7178</v>
      </c>
      <c r="I20" s="64" t="s">
        <v>14</v>
      </c>
      <c r="J20" s="65">
        <f>SUM(J3:J19)</f>
        <v>75241383.510000005</v>
      </c>
      <c r="K20" s="65">
        <f>SUM(K3:K19)</f>
        <v>39662489.599999994</v>
      </c>
      <c r="L20" s="65">
        <f>SUM(L3:L19)</f>
        <v>35578893.910000004</v>
      </c>
      <c r="M20" s="67" t="s">
        <v>14</v>
      </c>
      <c r="N20" s="66">
        <f t="shared" ref="N20:Y20" si="13">SUM(N3:N19)</f>
        <v>0</v>
      </c>
      <c r="O20" s="66">
        <f t="shared" si="13"/>
        <v>0</v>
      </c>
      <c r="P20" s="68">
        <f t="shared" si="13"/>
        <v>0</v>
      </c>
      <c r="Q20" s="68">
        <f t="shared" si="13"/>
        <v>0</v>
      </c>
      <c r="R20" s="68">
        <f t="shared" si="13"/>
        <v>0</v>
      </c>
      <c r="S20" s="68">
        <f t="shared" si="13"/>
        <v>0</v>
      </c>
      <c r="T20" s="68">
        <f t="shared" si="13"/>
        <v>6000265.9500000002</v>
      </c>
      <c r="U20" s="68">
        <f t="shared" si="13"/>
        <v>28068153.679999996</v>
      </c>
      <c r="V20" s="68">
        <f t="shared" si="13"/>
        <v>5594069.9699999997</v>
      </c>
      <c r="W20" s="68">
        <f t="shared" si="13"/>
        <v>0</v>
      </c>
      <c r="X20" s="68">
        <f t="shared" si="13"/>
        <v>0</v>
      </c>
      <c r="Y20" s="68">
        <f t="shared" si="13"/>
        <v>0</v>
      </c>
      <c r="Z20" s="1" t="b">
        <f t="shared" si="4"/>
        <v>1</v>
      </c>
      <c r="AA20" s="43">
        <f t="shared" si="5"/>
        <v>0.52710000000000001</v>
      </c>
      <c r="AB20" s="44" t="s">
        <v>14</v>
      </c>
      <c r="AC20" s="44" t="b">
        <f t="shared" si="7"/>
        <v>1</v>
      </c>
    </row>
    <row r="21" spans="1:29" ht="20.100000000000001" customHeight="1" x14ac:dyDescent="0.25">
      <c r="A21" s="293" t="s">
        <v>37</v>
      </c>
      <c r="B21" s="293"/>
      <c r="C21" s="293"/>
      <c r="D21" s="293"/>
      <c r="E21" s="293"/>
      <c r="F21" s="293"/>
      <c r="G21" s="293"/>
      <c r="H21" s="69">
        <f>SUMIF($C$3:$C$19,"K",H3:H19)</f>
        <v>2.27563</v>
      </c>
      <c r="I21" s="70" t="s">
        <v>14</v>
      </c>
      <c r="J21" s="71">
        <f>SUMIF($C$3:$C$19,"K",J3:J19)</f>
        <v>8635708.2300000004</v>
      </c>
      <c r="K21" s="71">
        <f>SUMIF($C$3:$C$19,"K",K3:K19)</f>
        <v>7005298.9500000002</v>
      </c>
      <c r="L21" s="71">
        <f>SUMIF($C$3:$C$19,"K",L3:L19)</f>
        <v>1630409.28</v>
      </c>
      <c r="M21" s="73" t="s">
        <v>14</v>
      </c>
      <c r="N21" s="72">
        <f t="shared" ref="N21:Y21" si="14">SUMIF($C$3:$C$19,"K",N3:N19)</f>
        <v>0</v>
      </c>
      <c r="O21" s="72">
        <f t="shared" si="14"/>
        <v>0</v>
      </c>
      <c r="P21" s="74">
        <f t="shared" si="14"/>
        <v>0</v>
      </c>
      <c r="Q21" s="74">
        <f t="shared" si="14"/>
        <v>0</v>
      </c>
      <c r="R21" s="74">
        <f t="shared" si="14"/>
        <v>0</v>
      </c>
      <c r="S21" s="74">
        <f t="shared" si="14"/>
        <v>0</v>
      </c>
      <c r="T21" s="74">
        <f t="shared" si="14"/>
        <v>6000265.9500000002</v>
      </c>
      <c r="U21" s="74">
        <f t="shared" si="14"/>
        <v>1005033</v>
      </c>
      <c r="V21" s="74">
        <f t="shared" si="14"/>
        <v>0</v>
      </c>
      <c r="W21" s="74">
        <f t="shared" si="14"/>
        <v>0</v>
      </c>
      <c r="X21" s="74">
        <f t="shared" si="14"/>
        <v>0</v>
      </c>
      <c r="Y21" s="74">
        <f t="shared" si="14"/>
        <v>0</v>
      </c>
      <c r="Z21" s="1" t="b">
        <f t="shared" si="4"/>
        <v>1</v>
      </c>
      <c r="AA21" s="43">
        <f t="shared" ref="AA21" si="15">ROUND(K21/J21,4)</f>
        <v>0.81120000000000003</v>
      </c>
      <c r="AB21" s="44" t="s">
        <v>14</v>
      </c>
      <c r="AC21" s="44" t="b">
        <f t="shared" ref="AC21" si="16">J21=K21+L21</f>
        <v>1</v>
      </c>
    </row>
    <row r="22" spans="1:29" ht="20.100000000000001" customHeight="1" x14ac:dyDescent="0.25">
      <c r="A22" s="294" t="s">
        <v>38</v>
      </c>
      <c r="B22" s="294"/>
      <c r="C22" s="294"/>
      <c r="D22" s="294"/>
      <c r="E22" s="294"/>
      <c r="F22" s="294"/>
      <c r="G22" s="294"/>
      <c r="H22" s="63">
        <f>SUMIF($C$3:$C$19,"N",H3:H19)</f>
        <v>13.05617</v>
      </c>
      <c r="I22" s="64" t="s">
        <v>14</v>
      </c>
      <c r="J22" s="65">
        <f>SUMIF($C$3:$C$19,"N",J3:J19)</f>
        <v>43895590.409999996</v>
      </c>
      <c r="K22" s="65">
        <f>SUMIF($C$3:$C$19,"N",K3:K19)</f>
        <v>21302148.219999999</v>
      </c>
      <c r="L22" s="65">
        <f>SUMIF($C$3:$C$19,"N",L3:L19)</f>
        <v>22593442.190000001</v>
      </c>
      <c r="M22" s="67" t="s">
        <v>14</v>
      </c>
      <c r="N22" s="66">
        <f t="shared" ref="N22:Y22" si="17">SUMIF($C$3:$C$19,"N",N3:N19)</f>
        <v>0</v>
      </c>
      <c r="O22" s="66">
        <f t="shared" si="17"/>
        <v>0</v>
      </c>
      <c r="P22" s="68">
        <f t="shared" si="17"/>
        <v>0</v>
      </c>
      <c r="Q22" s="68">
        <f t="shared" si="17"/>
        <v>0</v>
      </c>
      <c r="R22" s="68">
        <f t="shared" si="17"/>
        <v>0</v>
      </c>
      <c r="S22" s="68">
        <f t="shared" si="17"/>
        <v>0</v>
      </c>
      <c r="T22" s="68">
        <f t="shared" si="17"/>
        <v>0</v>
      </c>
      <c r="U22" s="68">
        <f t="shared" si="17"/>
        <v>21302148.219999999</v>
      </c>
      <c r="V22" s="68">
        <f t="shared" si="17"/>
        <v>0</v>
      </c>
      <c r="W22" s="68">
        <f t="shared" si="17"/>
        <v>0</v>
      </c>
      <c r="X22" s="68">
        <f t="shared" si="17"/>
        <v>0</v>
      </c>
      <c r="Y22" s="68">
        <f t="shared" si="17"/>
        <v>0</v>
      </c>
      <c r="Z22" s="1" t="b">
        <f t="shared" si="4"/>
        <v>1</v>
      </c>
      <c r="AA22" s="43">
        <f t="shared" si="5"/>
        <v>0.48530000000000001</v>
      </c>
      <c r="AB22" s="44" t="s">
        <v>14</v>
      </c>
      <c r="AC22" s="44" t="b">
        <f t="shared" si="7"/>
        <v>1</v>
      </c>
    </row>
    <row r="23" spans="1:29" ht="20.100000000000001" customHeight="1" x14ac:dyDescent="0.25">
      <c r="A23" s="293" t="s">
        <v>39</v>
      </c>
      <c r="B23" s="293"/>
      <c r="C23" s="293"/>
      <c r="D23" s="293"/>
      <c r="E23" s="293"/>
      <c r="F23" s="293"/>
      <c r="G23" s="293"/>
      <c r="H23" s="69">
        <f>SUMIF($C$3:$C$19,"W",H3:H19)</f>
        <v>3.3860000000000001</v>
      </c>
      <c r="I23" s="70" t="s">
        <v>14</v>
      </c>
      <c r="J23" s="71">
        <f>SUMIF($C$3:$C$19,"W",J3:J19)</f>
        <v>22710084.869999997</v>
      </c>
      <c r="K23" s="72">
        <f>SUMIF($C$3:$C$19,"W",K3:K19)</f>
        <v>11355042.43</v>
      </c>
      <c r="L23" s="72">
        <f>SUMIF($C$3:$C$19,"W",L3:L19)</f>
        <v>11355042.439999999</v>
      </c>
      <c r="M23" s="73" t="s">
        <v>14</v>
      </c>
      <c r="N23" s="72">
        <f t="shared" ref="N23:Y23" si="18">SUMIF($C$3:$C$19,"W",N3:N19)</f>
        <v>0</v>
      </c>
      <c r="O23" s="72">
        <f t="shared" si="18"/>
        <v>0</v>
      </c>
      <c r="P23" s="74">
        <f t="shared" si="18"/>
        <v>0</v>
      </c>
      <c r="Q23" s="74">
        <f t="shared" si="18"/>
        <v>0</v>
      </c>
      <c r="R23" s="74">
        <f t="shared" si="18"/>
        <v>0</v>
      </c>
      <c r="S23" s="74">
        <f t="shared" si="18"/>
        <v>0</v>
      </c>
      <c r="T23" s="74">
        <f t="shared" si="18"/>
        <v>0</v>
      </c>
      <c r="U23" s="74">
        <f t="shared" si="18"/>
        <v>5760972.46</v>
      </c>
      <c r="V23" s="74">
        <f t="shared" si="18"/>
        <v>5594069.9699999997</v>
      </c>
      <c r="W23" s="74">
        <f t="shared" si="18"/>
        <v>0</v>
      </c>
      <c r="X23" s="74">
        <f t="shared" si="18"/>
        <v>0</v>
      </c>
      <c r="Y23" s="74">
        <f t="shared" si="18"/>
        <v>0</v>
      </c>
      <c r="Z23" s="1" t="b">
        <f t="shared" si="4"/>
        <v>1</v>
      </c>
      <c r="AA23" s="43">
        <f t="shared" ref="AA23" si="19">ROUND(K23/J23,4)</f>
        <v>0.5</v>
      </c>
      <c r="AB23" s="44" t="s">
        <v>14</v>
      </c>
      <c r="AC23" s="44" t="b">
        <f t="shared" ref="AC23" si="20">J23=K23+L23</f>
        <v>1</v>
      </c>
    </row>
    <row r="24" spans="1:29" x14ac:dyDescent="0.25">
      <c r="A24" s="198"/>
      <c r="B24" s="35"/>
      <c r="C24" s="198"/>
      <c r="D24" s="35"/>
      <c r="E24" s="198"/>
      <c r="F24" s="198"/>
      <c r="G24" s="198"/>
    </row>
    <row r="25" spans="1:29" x14ac:dyDescent="0.25">
      <c r="A25" s="199" t="s">
        <v>24</v>
      </c>
      <c r="B25" s="33"/>
      <c r="C25" s="199"/>
      <c r="D25" s="33"/>
      <c r="E25" s="199"/>
      <c r="F25" s="199"/>
      <c r="G25" s="199"/>
      <c r="H25" s="14"/>
      <c r="I25" s="14"/>
      <c r="J25" s="6"/>
      <c r="K25" s="14"/>
      <c r="L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"/>
      <c r="AC25" s="44"/>
    </row>
    <row r="26" spans="1:29" x14ac:dyDescent="0.25">
      <c r="A26" s="200" t="s">
        <v>25</v>
      </c>
      <c r="B26" s="34"/>
      <c r="C26" s="200"/>
      <c r="D26" s="34"/>
      <c r="E26" s="200"/>
      <c r="F26" s="200"/>
      <c r="G26" s="200"/>
      <c r="H26" s="14"/>
      <c r="I26" s="14"/>
      <c r="J26" s="30"/>
      <c r="K26" s="14"/>
      <c r="L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"/>
    </row>
    <row r="27" spans="1:29" x14ac:dyDescent="0.25">
      <c r="A27" s="199" t="s">
        <v>42</v>
      </c>
      <c r="B27" s="35"/>
      <c r="C27" s="198"/>
      <c r="D27" s="35"/>
      <c r="E27" s="198"/>
      <c r="F27" s="198"/>
      <c r="G27" s="198"/>
      <c r="J27" s="29"/>
    </row>
    <row r="28" spans="1:29" x14ac:dyDescent="0.25">
      <c r="A28" s="201" t="s">
        <v>46</v>
      </c>
      <c r="B28" s="36"/>
      <c r="C28" s="201"/>
      <c r="D28" s="36"/>
      <c r="E28" s="201"/>
      <c r="F28" s="201"/>
      <c r="G28" s="201"/>
      <c r="J28" s="29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23:G23"/>
    <mergeCell ref="A22:G22"/>
    <mergeCell ref="E1:E2"/>
    <mergeCell ref="A20:G20"/>
    <mergeCell ref="A1:A2"/>
    <mergeCell ref="B1:B2"/>
    <mergeCell ref="C1:C2"/>
    <mergeCell ref="F1:F2"/>
    <mergeCell ref="G1:G2"/>
    <mergeCell ref="A21:G21"/>
  </mergeCells>
  <conditionalFormatting sqref="Z3:AB23">
    <cfRule type="containsText" dxfId="10" priority="3" operator="containsText" text="fałsz">
      <formula>NOT(ISERROR(SEARCH("fałsz",Z3)))</formula>
    </cfRule>
  </conditionalFormatting>
  <conditionalFormatting sqref="Z3:AC23">
    <cfRule type="cellIs" dxfId="9" priority="1" operator="equal">
      <formula>FALSE</formula>
    </cfRule>
  </conditionalFormatting>
  <conditionalFormatting sqref="AC25">
    <cfRule type="cellIs" dxfId="8" priority="11" operator="equal">
      <formula>FALSE</formula>
    </cfRule>
  </conditionalFormatting>
  <dataValidations count="2">
    <dataValidation type="list" allowBlank="1" showInputMessage="1" showErrorMessage="1" sqref="C3:C19" xr:uid="{00000000-0002-0000-0100-000000000000}">
      <formula1>"N,K,W"</formula1>
    </dataValidation>
    <dataValidation type="list" allowBlank="1" showInputMessage="1" showErrorMessage="1" sqref="G3:G19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Header>&amp;LWojewództwo &amp;KFF0000Opolskie&amp;K01+000 - zadania powiatowe lista podstawowa</oddHeader>
    <oddFooter>Strona &amp;P z &amp;N</oddFooter>
  </headerFooter>
  <ignoredErrors>
    <ignoredError sqref="N20:Y20 Z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5"/>
  <sheetViews>
    <sheetView showGridLines="0" view="pageBreakPreview" topLeftCell="A12" zoomScale="85" zoomScaleNormal="80" zoomScaleSheetLayoutView="85" workbookViewId="0">
      <selection activeCell="D20" sqref="D20"/>
    </sheetView>
  </sheetViews>
  <sheetFormatPr defaultColWidth="9.140625" defaultRowHeight="15" x14ac:dyDescent="0.25"/>
  <cols>
    <col min="1" max="1" width="4.85546875" style="3" customWidth="1"/>
    <col min="2" max="2" width="15.7109375" style="3" customWidth="1"/>
    <col min="3" max="3" width="17.42578125" style="41" customWidth="1"/>
    <col min="4" max="4" width="15.7109375" style="3" customWidth="1"/>
    <col min="5" max="5" width="9" style="3" customWidth="1"/>
    <col min="6" max="6" width="15.7109375" style="3" customWidth="1"/>
    <col min="7" max="7" width="52.7109375" style="41" customWidth="1"/>
    <col min="8" max="8" width="7.28515625" style="41" customWidth="1"/>
    <col min="9" max="9" width="8.5703125" style="3" customWidth="1"/>
    <col min="10" max="10" width="15.7109375" style="3" customWidth="1"/>
    <col min="11" max="11" width="14" style="4" customWidth="1"/>
    <col min="12" max="12" width="13.85546875" style="3" customWidth="1"/>
    <col min="13" max="13" width="13.42578125" style="3" customWidth="1"/>
    <col min="14" max="14" width="14.28515625" style="1" customWidth="1"/>
    <col min="15" max="19" width="6.7109375" style="3" customWidth="1"/>
    <col min="20" max="20" width="12.7109375" style="3" customWidth="1"/>
    <col min="21" max="22" width="13.85546875" style="3" customWidth="1"/>
    <col min="23" max="23" width="12.7109375" style="3" customWidth="1"/>
    <col min="24" max="26" width="6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295" t="s">
        <v>4</v>
      </c>
      <c r="B1" s="295" t="s">
        <v>5</v>
      </c>
      <c r="C1" s="296" t="s">
        <v>43</v>
      </c>
      <c r="D1" s="291" t="s">
        <v>6</v>
      </c>
      <c r="E1" s="295" t="s">
        <v>32</v>
      </c>
      <c r="F1" s="291" t="s">
        <v>15</v>
      </c>
      <c r="G1" s="295" t="s">
        <v>7</v>
      </c>
      <c r="H1" s="295" t="s">
        <v>26</v>
      </c>
      <c r="I1" s="295" t="s">
        <v>8</v>
      </c>
      <c r="J1" s="295" t="s">
        <v>27</v>
      </c>
      <c r="K1" s="298" t="s">
        <v>9</v>
      </c>
      <c r="L1" s="295" t="s">
        <v>17</v>
      </c>
      <c r="M1" s="291" t="s">
        <v>13</v>
      </c>
      <c r="N1" s="295" t="s">
        <v>11</v>
      </c>
      <c r="O1" s="297" t="s">
        <v>12</v>
      </c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</row>
    <row r="2" spans="1:30" ht="26.25" customHeight="1" x14ac:dyDescent="0.25">
      <c r="A2" s="295"/>
      <c r="B2" s="295"/>
      <c r="C2" s="297"/>
      <c r="D2" s="292"/>
      <c r="E2" s="295"/>
      <c r="F2" s="292"/>
      <c r="G2" s="295"/>
      <c r="H2" s="295"/>
      <c r="I2" s="295"/>
      <c r="J2" s="295"/>
      <c r="K2" s="298"/>
      <c r="L2" s="295"/>
      <c r="M2" s="292"/>
      <c r="N2" s="29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0">
        <v>2029</v>
      </c>
      <c r="Z2" s="180">
        <v>2030</v>
      </c>
      <c r="AA2" s="1" t="s">
        <v>28</v>
      </c>
      <c r="AB2" s="1" t="s">
        <v>29</v>
      </c>
      <c r="AC2" s="1" t="s">
        <v>30</v>
      </c>
      <c r="AD2" s="42" t="s">
        <v>31</v>
      </c>
    </row>
    <row r="3" spans="1:30" s="235" customFormat="1" ht="30" customHeight="1" x14ac:dyDescent="0.2">
      <c r="A3" s="250">
        <v>1</v>
      </c>
      <c r="B3" s="188" t="s">
        <v>128</v>
      </c>
      <c r="C3" s="195" t="s">
        <v>62</v>
      </c>
      <c r="D3" s="189" t="s">
        <v>129</v>
      </c>
      <c r="E3" s="189">
        <v>1601011</v>
      </c>
      <c r="F3" s="188" t="s">
        <v>74</v>
      </c>
      <c r="G3" s="205" t="s">
        <v>130</v>
      </c>
      <c r="H3" s="205" t="s">
        <v>72</v>
      </c>
      <c r="I3" s="190">
        <v>0.55700000000000005</v>
      </c>
      <c r="J3" s="191" t="s">
        <v>131</v>
      </c>
      <c r="K3" s="233">
        <v>15575964.119999999</v>
      </c>
      <c r="L3" s="192">
        <v>11605249.48</v>
      </c>
      <c r="M3" s="193">
        <f>K3-L3</f>
        <v>3970714.6399999987</v>
      </c>
      <c r="N3" s="232">
        <v>0.74509999999999998</v>
      </c>
      <c r="O3" s="192">
        <v>0</v>
      </c>
      <c r="P3" s="192">
        <v>0</v>
      </c>
      <c r="Q3" s="236">
        <v>0</v>
      </c>
      <c r="R3" s="236">
        <v>0</v>
      </c>
      <c r="S3" s="236">
        <v>0</v>
      </c>
      <c r="T3" s="234">
        <v>3955960.44</v>
      </c>
      <c r="U3" s="234">
        <v>5661938.2800000003</v>
      </c>
      <c r="V3" s="234">
        <v>1987350.7600000007</v>
      </c>
      <c r="W3" s="238">
        <v>0</v>
      </c>
      <c r="X3" s="236">
        <v>0</v>
      </c>
      <c r="Y3" s="236">
        <v>0</v>
      </c>
      <c r="Z3" s="236">
        <v>0</v>
      </c>
      <c r="AA3" s="242" t="b">
        <f>L3=SUM(O3:Z3)</f>
        <v>1</v>
      </c>
      <c r="AB3" s="243">
        <f t="shared" ref="AB3:AB29" si="0">ROUND(L3/K3,4)</f>
        <v>0.74509999999999998</v>
      </c>
      <c r="AC3" s="244" t="b">
        <f t="shared" ref="AC3:AC18" si="1">AB3=N3</f>
        <v>1</v>
      </c>
      <c r="AD3" s="244" t="b">
        <f t="shared" ref="AD3:AD29" si="2">K3=L3+M3</f>
        <v>1</v>
      </c>
    </row>
    <row r="4" spans="1:30" ht="53.25" customHeight="1" x14ac:dyDescent="0.25">
      <c r="A4" s="250">
        <v>2</v>
      </c>
      <c r="B4" s="188" t="s">
        <v>132</v>
      </c>
      <c r="C4" s="195" t="s">
        <v>62</v>
      </c>
      <c r="D4" s="189" t="s">
        <v>133</v>
      </c>
      <c r="E4" s="189" t="s">
        <v>134</v>
      </c>
      <c r="F4" s="188" t="s">
        <v>70</v>
      </c>
      <c r="G4" s="205" t="s">
        <v>135</v>
      </c>
      <c r="H4" s="205" t="s">
        <v>66</v>
      </c>
      <c r="I4" s="190">
        <v>0.54652999999999996</v>
      </c>
      <c r="J4" s="191" t="s">
        <v>136</v>
      </c>
      <c r="K4" s="233">
        <v>8044612.7400000002</v>
      </c>
      <c r="L4" s="192">
        <f t="shared" ref="L4:L7" si="3">ROUNDDOWN(K4*N4,2)</f>
        <v>8044612.7400000002</v>
      </c>
      <c r="M4" s="193">
        <f t="shared" ref="M4:M7" si="4">K4-L4</f>
        <v>0</v>
      </c>
      <c r="N4" s="229">
        <v>1</v>
      </c>
      <c r="O4" s="192">
        <v>0</v>
      </c>
      <c r="P4" s="192">
        <v>0</v>
      </c>
      <c r="Q4" s="240">
        <v>0</v>
      </c>
      <c r="R4" s="240">
        <v>0</v>
      </c>
      <c r="S4" s="240">
        <v>0</v>
      </c>
      <c r="T4" s="234">
        <v>0</v>
      </c>
      <c r="U4" s="234">
        <v>6691346.9299999997</v>
      </c>
      <c r="V4" s="234">
        <v>1353265.81</v>
      </c>
      <c r="W4" s="238">
        <v>0</v>
      </c>
      <c r="X4" s="240">
        <v>0</v>
      </c>
      <c r="Y4" s="240">
        <v>0</v>
      </c>
      <c r="Z4" s="240">
        <v>0</v>
      </c>
      <c r="AA4" s="1" t="b">
        <f t="shared" ref="AA4:AA30" si="5">L4=SUM(O4:Z4)</f>
        <v>1</v>
      </c>
      <c r="AB4" s="43">
        <f t="shared" si="0"/>
        <v>1</v>
      </c>
      <c r="AC4" s="44" t="b">
        <f t="shared" si="1"/>
        <v>1</v>
      </c>
      <c r="AD4" s="44" t="b">
        <f t="shared" si="2"/>
        <v>1</v>
      </c>
    </row>
    <row r="5" spans="1:30" ht="30" customHeight="1" x14ac:dyDescent="0.25">
      <c r="A5" s="250">
        <v>3</v>
      </c>
      <c r="B5" s="188" t="s">
        <v>137</v>
      </c>
      <c r="C5" s="195" t="s">
        <v>62</v>
      </c>
      <c r="D5" s="189" t="s">
        <v>138</v>
      </c>
      <c r="E5" s="189" t="s">
        <v>139</v>
      </c>
      <c r="F5" s="188" t="s">
        <v>63</v>
      </c>
      <c r="G5" s="205" t="s">
        <v>140</v>
      </c>
      <c r="H5" s="205" t="s">
        <v>66</v>
      </c>
      <c r="I5" s="190">
        <v>0.61199999999999999</v>
      </c>
      <c r="J5" s="191" t="s">
        <v>136</v>
      </c>
      <c r="K5" s="233">
        <v>3518603.31</v>
      </c>
      <c r="L5" s="192">
        <f t="shared" si="3"/>
        <v>3518603.31</v>
      </c>
      <c r="M5" s="193">
        <f t="shared" si="4"/>
        <v>0</v>
      </c>
      <c r="N5" s="229">
        <v>1</v>
      </c>
      <c r="O5" s="192">
        <v>0</v>
      </c>
      <c r="P5" s="192">
        <v>0</v>
      </c>
      <c r="Q5" s="240">
        <v>0</v>
      </c>
      <c r="R5" s="240">
        <v>0</v>
      </c>
      <c r="S5" s="240">
        <v>0</v>
      </c>
      <c r="T5" s="234">
        <v>0</v>
      </c>
      <c r="U5" s="234">
        <v>2634506.5</v>
      </c>
      <c r="V5" s="234">
        <v>884096.81</v>
      </c>
      <c r="W5" s="238">
        <v>0</v>
      </c>
      <c r="X5" s="240">
        <v>0</v>
      </c>
      <c r="Y5" s="240">
        <v>0</v>
      </c>
      <c r="Z5" s="240">
        <v>0</v>
      </c>
      <c r="AA5" s="1" t="b">
        <f t="shared" si="5"/>
        <v>1</v>
      </c>
      <c r="AB5" s="43">
        <f t="shared" si="0"/>
        <v>1</v>
      </c>
      <c r="AC5" s="44" t="b">
        <f t="shared" si="1"/>
        <v>1</v>
      </c>
      <c r="AD5" s="44" t="b">
        <f t="shared" si="2"/>
        <v>1</v>
      </c>
    </row>
    <row r="6" spans="1:30" ht="30" customHeight="1" x14ac:dyDescent="0.25">
      <c r="A6" s="250">
        <v>4</v>
      </c>
      <c r="B6" s="188" t="s">
        <v>141</v>
      </c>
      <c r="C6" s="195" t="s">
        <v>62</v>
      </c>
      <c r="D6" s="189" t="s">
        <v>129</v>
      </c>
      <c r="E6" s="189">
        <v>1601011</v>
      </c>
      <c r="F6" s="188" t="s">
        <v>74</v>
      </c>
      <c r="G6" s="205" t="s">
        <v>142</v>
      </c>
      <c r="H6" s="205" t="s">
        <v>72</v>
      </c>
      <c r="I6" s="190">
        <v>0.46700000000000003</v>
      </c>
      <c r="J6" s="191" t="s">
        <v>143</v>
      </c>
      <c r="K6" s="233">
        <v>6262428.7300000004</v>
      </c>
      <c r="L6" s="192">
        <f t="shared" si="3"/>
        <v>6262428.7300000004</v>
      </c>
      <c r="M6" s="193">
        <f t="shared" si="4"/>
        <v>0</v>
      </c>
      <c r="N6" s="229">
        <v>1</v>
      </c>
      <c r="O6" s="192">
        <v>0</v>
      </c>
      <c r="P6" s="192">
        <v>0</v>
      </c>
      <c r="Q6" s="240">
        <v>0</v>
      </c>
      <c r="R6" s="240">
        <v>0</v>
      </c>
      <c r="S6" s="240">
        <v>0</v>
      </c>
      <c r="T6" s="234">
        <v>0</v>
      </c>
      <c r="U6" s="234">
        <v>2929772.05</v>
      </c>
      <c r="V6" s="234">
        <v>3332656.68</v>
      </c>
      <c r="W6" s="238">
        <v>0</v>
      </c>
      <c r="X6" s="240">
        <v>0</v>
      </c>
      <c r="Y6" s="240">
        <v>0</v>
      </c>
      <c r="Z6" s="240">
        <v>0</v>
      </c>
      <c r="AA6" s="1" t="b">
        <f t="shared" si="5"/>
        <v>1</v>
      </c>
      <c r="AB6" s="43">
        <f t="shared" si="0"/>
        <v>1</v>
      </c>
      <c r="AC6" s="44" t="b">
        <f t="shared" si="1"/>
        <v>1</v>
      </c>
      <c r="AD6" s="44" t="b">
        <f t="shared" si="2"/>
        <v>1</v>
      </c>
    </row>
    <row r="7" spans="1:30" ht="30" customHeight="1" x14ac:dyDescent="0.25">
      <c r="A7" s="250">
        <v>5</v>
      </c>
      <c r="B7" s="188" t="s">
        <v>146</v>
      </c>
      <c r="C7" s="195" t="s">
        <v>62</v>
      </c>
      <c r="D7" s="189" t="s">
        <v>144</v>
      </c>
      <c r="E7" s="189">
        <v>1609052</v>
      </c>
      <c r="F7" s="188" t="s">
        <v>63</v>
      </c>
      <c r="G7" s="205" t="s">
        <v>145</v>
      </c>
      <c r="H7" s="205" t="s">
        <v>66</v>
      </c>
      <c r="I7" s="190">
        <v>0.31087999999999999</v>
      </c>
      <c r="J7" s="191" t="s">
        <v>136</v>
      </c>
      <c r="K7" s="233">
        <v>1017219.6</v>
      </c>
      <c r="L7" s="192">
        <f t="shared" si="3"/>
        <v>1017219.6</v>
      </c>
      <c r="M7" s="193">
        <f t="shared" si="4"/>
        <v>0</v>
      </c>
      <c r="N7" s="229">
        <v>1</v>
      </c>
      <c r="O7" s="192">
        <v>0</v>
      </c>
      <c r="P7" s="192">
        <v>0</v>
      </c>
      <c r="Q7" s="240">
        <v>0</v>
      </c>
      <c r="R7" s="240">
        <v>0</v>
      </c>
      <c r="S7" s="240">
        <v>0</v>
      </c>
      <c r="T7" s="234">
        <v>0</v>
      </c>
      <c r="U7" s="234">
        <v>450955.23</v>
      </c>
      <c r="V7" s="234">
        <v>566264.37</v>
      </c>
      <c r="W7" s="238">
        <v>0</v>
      </c>
      <c r="X7" s="240">
        <v>0</v>
      </c>
      <c r="Y7" s="240">
        <v>0</v>
      </c>
      <c r="Z7" s="240">
        <v>0</v>
      </c>
      <c r="AA7" s="1" t="b">
        <f t="shared" si="5"/>
        <v>1</v>
      </c>
      <c r="AB7" s="43">
        <f t="shared" si="0"/>
        <v>1</v>
      </c>
      <c r="AC7" s="44" t="b">
        <f t="shared" si="1"/>
        <v>1</v>
      </c>
      <c r="AD7" s="44" t="b">
        <f t="shared" si="2"/>
        <v>1</v>
      </c>
    </row>
    <row r="8" spans="1:30" s="245" customFormat="1" ht="30" customHeight="1" x14ac:dyDescent="0.25">
      <c r="A8" s="251">
        <v>6</v>
      </c>
      <c r="B8" s="51" t="s">
        <v>147</v>
      </c>
      <c r="C8" s="196" t="s">
        <v>69</v>
      </c>
      <c r="D8" s="52" t="s">
        <v>148</v>
      </c>
      <c r="E8" s="52" t="s">
        <v>149</v>
      </c>
      <c r="F8" s="51" t="s">
        <v>63</v>
      </c>
      <c r="G8" s="197" t="s">
        <v>150</v>
      </c>
      <c r="H8" s="197" t="s">
        <v>66</v>
      </c>
      <c r="I8" s="53">
        <v>0.90700000000000003</v>
      </c>
      <c r="J8" s="54" t="s">
        <v>151</v>
      </c>
      <c r="K8" s="48">
        <v>4641407.99</v>
      </c>
      <c r="L8" s="47">
        <f t="shared" ref="L8:L20" si="6">ROUNDDOWN(K8*N8,2)</f>
        <v>2320703.9900000002</v>
      </c>
      <c r="M8" s="55">
        <f t="shared" ref="M8:M18" si="7">K8-L8</f>
        <v>2320704</v>
      </c>
      <c r="N8" s="230">
        <v>0.5</v>
      </c>
      <c r="O8" s="47">
        <v>0</v>
      </c>
      <c r="P8" s="47">
        <v>0</v>
      </c>
      <c r="Q8" s="237">
        <v>0</v>
      </c>
      <c r="R8" s="237">
        <v>0</v>
      </c>
      <c r="S8" s="237">
        <v>0</v>
      </c>
      <c r="T8" s="241">
        <v>0</v>
      </c>
      <c r="U8" s="241">
        <v>0</v>
      </c>
      <c r="V8" s="241">
        <f>L8</f>
        <v>2320703.9900000002</v>
      </c>
      <c r="W8" s="239">
        <v>0</v>
      </c>
      <c r="X8" s="237">
        <v>0</v>
      </c>
      <c r="Y8" s="237">
        <v>0</v>
      </c>
      <c r="Z8" s="237">
        <v>0</v>
      </c>
      <c r="AA8" s="225" t="b">
        <f t="shared" si="5"/>
        <v>1</v>
      </c>
      <c r="AB8" s="227">
        <f t="shared" si="0"/>
        <v>0.5</v>
      </c>
      <c r="AC8" s="228" t="b">
        <f t="shared" si="1"/>
        <v>1</v>
      </c>
      <c r="AD8" s="228" t="b">
        <f t="shared" si="2"/>
        <v>1</v>
      </c>
    </row>
    <row r="9" spans="1:30" s="245" customFormat="1" ht="30" customHeight="1" x14ac:dyDescent="0.25">
      <c r="A9" s="251">
        <v>7</v>
      </c>
      <c r="B9" s="51" t="s">
        <v>152</v>
      </c>
      <c r="C9" s="196" t="s">
        <v>69</v>
      </c>
      <c r="D9" s="52" t="s">
        <v>138</v>
      </c>
      <c r="E9" s="52">
        <v>1609073</v>
      </c>
      <c r="F9" s="51" t="s">
        <v>63</v>
      </c>
      <c r="G9" s="197" t="s">
        <v>153</v>
      </c>
      <c r="H9" s="197" t="s">
        <v>72</v>
      </c>
      <c r="I9" s="53">
        <v>0.29199999999999998</v>
      </c>
      <c r="J9" s="54" t="s">
        <v>151</v>
      </c>
      <c r="K9" s="48">
        <v>3995644.68</v>
      </c>
      <c r="L9" s="47">
        <f t="shared" si="6"/>
        <v>1997822.34</v>
      </c>
      <c r="M9" s="55">
        <f t="shared" si="7"/>
        <v>1997822.34</v>
      </c>
      <c r="N9" s="230">
        <v>0.5</v>
      </c>
      <c r="O9" s="47">
        <v>0</v>
      </c>
      <c r="P9" s="47">
        <v>0</v>
      </c>
      <c r="Q9" s="237">
        <v>0</v>
      </c>
      <c r="R9" s="237">
        <v>0</v>
      </c>
      <c r="S9" s="237">
        <v>0</v>
      </c>
      <c r="T9" s="241">
        <v>0</v>
      </c>
      <c r="U9" s="241">
        <v>0</v>
      </c>
      <c r="V9" s="241">
        <f>L9</f>
        <v>1997822.34</v>
      </c>
      <c r="W9" s="239">
        <v>0</v>
      </c>
      <c r="X9" s="237">
        <v>0</v>
      </c>
      <c r="Y9" s="237">
        <v>0</v>
      </c>
      <c r="Z9" s="237">
        <v>0</v>
      </c>
      <c r="AA9" s="225" t="b">
        <f t="shared" si="5"/>
        <v>1</v>
      </c>
      <c r="AB9" s="227">
        <f t="shared" si="0"/>
        <v>0.5</v>
      </c>
      <c r="AC9" s="228" t="b">
        <f t="shared" si="1"/>
        <v>1</v>
      </c>
      <c r="AD9" s="228" t="b">
        <f t="shared" si="2"/>
        <v>1</v>
      </c>
    </row>
    <row r="10" spans="1:30" s="245" customFormat="1" ht="30" customHeight="1" x14ac:dyDescent="0.25">
      <c r="A10" s="250">
        <v>8</v>
      </c>
      <c r="B10" s="188" t="s">
        <v>154</v>
      </c>
      <c r="C10" s="195" t="s">
        <v>95</v>
      </c>
      <c r="D10" s="189" t="s">
        <v>133</v>
      </c>
      <c r="E10" s="189">
        <v>1607053</v>
      </c>
      <c r="F10" s="188" t="s">
        <v>70</v>
      </c>
      <c r="G10" s="205" t="s">
        <v>155</v>
      </c>
      <c r="H10" s="205" t="s">
        <v>66</v>
      </c>
      <c r="I10" s="190">
        <v>2.113</v>
      </c>
      <c r="J10" s="191" t="s">
        <v>156</v>
      </c>
      <c r="K10" s="233">
        <v>10242901.77</v>
      </c>
      <c r="L10" s="192">
        <f t="shared" si="6"/>
        <v>5121450.88</v>
      </c>
      <c r="M10" s="193">
        <f t="shared" si="7"/>
        <v>5121450.8899999997</v>
      </c>
      <c r="N10" s="230">
        <v>0.5</v>
      </c>
      <c r="O10" s="192">
        <v>0</v>
      </c>
      <c r="P10" s="192">
        <v>0</v>
      </c>
      <c r="Q10" s="240">
        <v>0</v>
      </c>
      <c r="R10" s="240">
        <v>0</v>
      </c>
      <c r="S10" s="240">
        <v>0</v>
      </c>
      <c r="T10" s="234">
        <v>0</v>
      </c>
      <c r="U10" s="234">
        <v>0</v>
      </c>
      <c r="V10" s="234">
        <v>2522899.3199999998</v>
      </c>
      <c r="W10" s="260">
        <v>2598551.56</v>
      </c>
      <c r="X10" s="240">
        <v>0</v>
      </c>
      <c r="Y10" s="240">
        <v>0</v>
      </c>
      <c r="Z10" s="240">
        <v>0</v>
      </c>
      <c r="AA10" s="225" t="b">
        <f t="shared" si="5"/>
        <v>1</v>
      </c>
      <c r="AB10" s="227">
        <f t="shared" si="0"/>
        <v>0.5</v>
      </c>
      <c r="AC10" s="228" t="b">
        <f t="shared" si="1"/>
        <v>1</v>
      </c>
      <c r="AD10" s="228" t="b">
        <f t="shared" si="2"/>
        <v>1</v>
      </c>
    </row>
    <row r="11" spans="1:30" s="245" customFormat="1" ht="30" customHeight="1" x14ac:dyDescent="0.25">
      <c r="A11" s="251">
        <v>9</v>
      </c>
      <c r="B11" s="51" t="s">
        <v>157</v>
      </c>
      <c r="C11" s="196" t="s">
        <v>69</v>
      </c>
      <c r="D11" s="52" t="s">
        <v>129</v>
      </c>
      <c r="E11" s="52">
        <v>1601011</v>
      </c>
      <c r="F11" s="51" t="s">
        <v>74</v>
      </c>
      <c r="G11" s="197" t="s">
        <v>158</v>
      </c>
      <c r="H11" s="197" t="s">
        <v>75</v>
      </c>
      <c r="I11" s="53">
        <v>0.42</v>
      </c>
      <c r="J11" s="54" t="s">
        <v>78</v>
      </c>
      <c r="K11" s="48">
        <v>2178629.2000000002</v>
      </c>
      <c r="L11" s="47">
        <f t="shared" si="6"/>
        <v>1089314.6000000001</v>
      </c>
      <c r="M11" s="55">
        <f t="shared" si="7"/>
        <v>1089314.6000000001</v>
      </c>
      <c r="N11" s="230">
        <v>0.5</v>
      </c>
      <c r="O11" s="47">
        <v>0</v>
      </c>
      <c r="P11" s="47">
        <v>0</v>
      </c>
      <c r="Q11" s="237">
        <v>0</v>
      </c>
      <c r="R11" s="237">
        <v>0</v>
      </c>
      <c r="S11" s="237">
        <v>0</v>
      </c>
      <c r="T11" s="241">
        <v>0</v>
      </c>
      <c r="U11" s="241">
        <v>0</v>
      </c>
      <c r="V11" s="241">
        <f t="shared" ref="V11:V16" si="8">L11</f>
        <v>1089314.6000000001</v>
      </c>
      <c r="W11" s="239">
        <v>0</v>
      </c>
      <c r="X11" s="237">
        <v>0</v>
      </c>
      <c r="Y11" s="237">
        <v>0</v>
      </c>
      <c r="Z11" s="237">
        <v>0</v>
      </c>
      <c r="AA11" s="225" t="b">
        <f t="shared" si="5"/>
        <v>1</v>
      </c>
      <c r="AB11" s="227">
        <f t="shared" si="0"/>
        <v>0.5</v>
      </c>
      <c r="AC11" s="228" t="b">
        <f t="shared" si="1"/>
        <v>1</v>
      </c>
      <c r="AD11" s="228" t="b">
        <f t="shared" si="2"/>
        <v>1</v>
      </c>
    </row>
    <row r="12" spans="1:30" s="245" customFormat="1" ht="30" customHeight="1" x14ac:dyDescent="0.25">
      <c r="A12" s="251">
        <v>10</v>
      </c>
      <c r="B12" s="51" t="s">
        <v>159</v>
      </c>
      <c r="C12" s="196" t="s">
        <v>69</v>
      </c>
      <c r="D12" s="52" t="s">
        <v>160</v>
      </c>
      <c r="E12" s="52">
        <v>1602022</v>
      </c>
      <c r="F12" s="51" t="s">
        <v>96</v>
      </c>
      <c r="G12" s="197" t="s">
        <v>184</v>
      </c>
      <c r="H12" s="197" t="s">
        <v>72</v>
      </c>
      <c r="I12" s="53">
        <v>0.68447000000000002</v>
      </c>
      <c r="J12" s="54" t="s">
        <v>161</v>
      </c>
      <c r="K12" s="48">
        <v>4940084.78</v>
      </c>
      <c r="L12" s="47">
        <f t="shared" si="6"/>
        <v>2470042.39</v>
      </c>
      <c r="M12" s="55">
        <f t="shared" si="7"/>
        <v>2470042.39</v>
      </c>
      <c r="N12" s="230">
        <v>0.5</v>
      </c>
      <c r="O12" s="47">
        <v>0</v>
      </c>
      <c r="P12" s="47">
        <v>0</v>
      </c>
      <c r="Q12" s="237">
        <v>0</v>
      </c>
      <c r="R12" s="237">
        <v>0</v>
      </c>
      <c r="S12" s="237">
        <v>0</v>
      </c>
      <c r="T12" s="241">
        <v>0</v>
      </c>
      <c r="U12" s="241">
        <v>0</v>
      </c>
      <c r="V12" s="241">
        <f t="shared" si="8"/>
        <v>2470042.39</v>
      </c>
      <c r="W12" s="239">
        <v>0</v>
      </c>
      <c r="X12" s="237">
        <v>0</v>
      </c>
      <c r="Y12" s="237">
        <v>0</v>
      </c>
      <c r="Z12" s="237">
        <v>0</v>
      </c>
      <c r="AA12" s="225" t="b">
        <f t="shared" si="5"/>
        <v>1</v>
      </c>
      <c r="AB12" s="227">
        <f t="shared" si="0"/>
        <v>0.5</v>
      </c>
      <c r="AC12" s="228" t="b">
        <f t="shared" si="1"/>
        <v>1</v>
      </c>
      <c r="AD12" s="228" t="b">
        <f t="shared" si="2"/>
        <v>1</v>
      </c>
    </row>
    <row r="13" spans="1:30" s="245" customFormat="1" ht="30" customHeight="1" x14ac:dyDescent="0.25">
      <c r="A13" s="251">
        <v>11</v>
      </c>
      <c r="B13" s="51" t="s">
        <v>162</v>
      </c>
      <c r="C13" s="196" t="s">
        <v>69</v>
      </c>
      <c r="D13" s="52" t="s">
        <v>163</v>
      </c>
      <c r="E13" s="52">
        <v>1609083</v>
      </c>
      <c r="F13" s="51" t="s">
        <v>63</v>
      </c>
      <c r="G13" s="197" t="s">
        <v>164</v>
      </c>
      <c r="H13" s="197" t="s">
        <v>72</v>
      </c>
      <c r="I13" s="53">
        <v>0.20499999999999999</v>
      </c>
      <c r="J13" s="54" t="s">
        <v>165</v>
      </c>
      <c r="K13" s="48">
        <v>1183121.9099999999</v>
      </c>
      <c r="L13" s="47">
        <f t="shared" si="6"/>
        <v>591560.94999999995</v>
      </c>
      <c r="M13" s="55">
        <f t="shared" si="7"/>
        <v>591560.95999999996</v>
      </c>
      <c r="N13" s="230">
        <v>0.5</v>
      </c>
      <c r="O13" s="47">
        <v>0</v>
      </c>
      <c r="P13" s="47">
        <v>0</v>
      </c>
      <c r="Q13" s="237">
        <v>0</v>
      </c>
      <c r="R13" s="237">
        <v>0</v>
      </c>
      <c r="S13" s="237">
        <v>0</v>
      </c>
      <c r="T13" s="241">
        <v>0</v>
      </c>
      <c r="U13" s="241">
        <v>0</v>
      </c>
      <c r="V13" s="241">
        <f t="shared" si="8"/>
        <v>591560.94999999995</v>
      </c>
      <c r="W13" s="239">
        <v>0</v>
      </c>
      <c r="X13" s="237">
        <v>0</v>
      </c>
      <c r="Y13" s="237">
        <v>0</v>
      </c>
      <c r="Z13" s="237">
        <v>0</v>
      </c>
      <c r="AA13" s="225" t="b">
        <f t="shared" si="5"/>
        <v>1</v>
      </c>
      <c r="AB13" s="227">
        <f t="shared" si="0"/>
        <v>0.5</v>
      </c>
      <c r="AC13" s="228" t="b">
        <f t="shared" si="1"/>
        <v>1</v>
      </c>
      <c r="AD13" s="228" t="b">
        <f t="shared" si="2"/>
        <v>1</v>
      </c>
    </row>
    <row r="14" spans="1:30" s="245" customFormat="1" ht="30" customHeight="1" x14ac:dyDescent="0.25">
      <c r="A14" s="251">
        <v>12</v>
      </c>
      <c r="B14" s="51" t="s">
        <v>166</v>
      </c>
      <c r="C14" s="196" t="s">
        <v>69</v>
      </c>
      <c r="D14" s="52" t="s">
        <v>167</v>
      </c>
      <c r="E14" s="52">
        <v>1611053</v>
      </c>
      <c r="F14" s="51" t="s">
        <v>64</v>
      </c>
      <c r="G14" s="197" t="s">
        <v>168</v>
      </c>
      <c r="H14" s="197" t="s">
        <v>66</v>
      </c>
      <c r="I14" s="53">
        <v>0.123</v>
      </c>
      <c r="J14" s="54" t="s">
        <v>169</v>
      </c>
      <c r="K14" s="48">
        <v>988081.38</v>
      </c>
      <c r="L14" s="47">
        <f t="shared" si="6"/>
        <v>494040.69</v>
      </c>
      <c r="M14" s="55">
        <f t="shared" si="7"/>
        <v>494040.69</v>
      </c>
      <c r="N14" s="230">
        <v>0.5</v>
      </c>
      <c r="O14" s="47">
        <v>0</v>
      </c>
      <c r="P14" s="47">
        <v>0</v>
      </c>
      <c r="Q14" s="237">
        <v>0</v>
      </c>
      <c r="R14" s="237">
        <v>0</v>
      </c>
      <c r="S14" s="237">
        <v>0</v>
      </c>
      <c r="T14" s="241">
        <v>0</v>
      </c>
      <c r="U14" s="241">
        <v>0</v>
      </c>
      <c r="V14" s="241">
        <f t="shared" si="8"/>
        <v>494040.69</v>
      </c>
      <c r="W14" s="239">
        <v>0</v>
      </c>
      <c r="X14" s="237">
        <v>0</v>
      </c>
      <c r="Y14" s="237">
        <v>0</v>
      </c>
      <c r="Z14" s="237">
        <v>0</v>
      </c>
      <c r="AA14" s="225" t="b">
        <f t="shared" si="5"/>
        <v>1</v>
      </c>
      <c r="AB14" s="227">
        <f t="shared" si="0"/>
        <v>0.5</v>
      </c>
      <c r="AC14" s="228" t="b">
        <f t="shared" si="1"/>
        <v>1</v>
      </c>
      <c r="AD14" s="228" t="b">
        <f t="shared" si="2"/>
        <v>1</v>
      </c>
    </row>
    <row r="15" spans="1:30" s="245" customFormat="1" ht="39.75" customHeight="1" x14ac:dyDescent="0.25">
      <c r="A15" s="251">
        <v>13</v>
      </c>
      <c r="B15" s="51" t="s">
        <v>170</v>
      </c>
      <c r="C15" s="196" t="s">
        <v>69</v>
      </c>
      <c r="D15" s="52" t="s">
        <v>171</v>
      </c>
      <c r="E15" s="52">
        <v>1609123</v>
      </c>
      <c r="F15" s="51" t="s">
        <v>63</v>
      </c>
      <c r="G15" s="197" t="s">
        <v>183</v>
      </c>
      <c r="H15" s="197" t="s">
        <v>66</v>
      </c>
      <c r="I15" s="53">
        <v>0.45700000000000002</v>
      </c>
      <c r="J15" s="54" t="s">
        <v>172</v>
      </c>
      <c r="K15" s="48">
        <v>3378626.63</v>
      </c>
      <c r="L15" s="47">
        <f t="shared" si="6"/>
        <v>1689313.31</v>
      </c>
      <c r="M15" s="55">
        <f t="shared" si="7"/>
        <v>1689313.3199999998</v>
      </c>
      <c r="N15" s="230">
        <v>0.5</v>
      </c>
      <c r="O15" s="47">
        <v>0</v>
      </c>
      <c r="P15" s="47">
        <v>0</v>
      </c>
      <c r="Q15" s="237">
        <v>0</v>
      </c>
      <c r="R15" s="237">
        <v>0</v>
      </c>
      <c r="S15" s="237">
        <v>0</v>
      </c>
      <c r="T15" s="241">
        <v>0</v>
      </c>
      <c r="U15" s="241">
        <v>0</v>
      </c>
      <c r="V15" s="241">
        <f t="shared" si="8"/>
        <v>1689313.31</v>
      </c>
      <c r="W15" s="239">
        <v>0</v>
      </c>
      <c r="X15" s="237">
        <v>0</v>
      </c>
      <c r="Y15" s="237">
        <v>0</v>
      </c>
      <c r="Z15" s="237">
        <v>0</v>
      </c>
      <c r="AA15" s="225" t="b">
        <f t="shared" si="5"/>
        <v>1</v>
      </c>
      <c r="AB15" s="227">
        <f t="shared" si="0"/>
        <v>0.5</v>
      </c>
      <c r="AC15" s="228" t="b">
        <f t="shared" si="1"/>
        <v>1</v>
      </c>
      <c r="AD15" s="228" t="b">
        <f t="shared" si="2"/>
        <v>1</v>
      </c>
    </row>
    <row r="16" spans="1:30" s="245" customFormat="1" ht="30" customHeight="1" x14ac:dyDescent="0.25">
      <c r="A16" s="251">
        <v>14</v>
      </c>
      <c r="B16" s="51" t="s">
        <v>173</v>
      </c>
      <c r="C16" s="196" t="s">
        <v>69</v>
      </c>
      <c r="D16" s="52" t="s">
        <v>174</v>
      </c>
      <c r="E16" s="52">
        <v>1609022</v>
      </c>
      <c r="F16" s="51" t="s">
        <v>63</v>
      </c>
      <c r="G16" s="197" t="s">
        <v>175</v>
      </c>
      <c r="H16" s="197" t="s">
        <v>72</v>
      </c>
      <c r="I16" s="53">
        <v>0.36699999999999999</v>
      </c>
      <c r="J16" s="54" t="s">
        <v>92</v>
      </c>
      <c r="K16" s="48">
        <v>2824679.79</v>
      </c>
      <c r="L16" s="47">
        <f t="shared" si="6"/>
        <v>1412339.89</v>
      </c>
      <c r="M16" s="55">
        <f t="shared" si="7"/>
        <v>1412339.9000000001</v>
      </c>
      <c r="N16" s="230">
        <v>0.5</v>
      </c>
      <c r="O16" s="47">
        <v>0</v>
      </c>
      <c r="P16" s="47">
        <v>0</v>
      </c>
      <c r="Q16" s="237">
        <v>0</v>
      </c>
      <c r="R16" s="237">
        <v>0</v>
      </c>
      <c r="S16" s="237">
        <v>0</v>
      </c>
      <c r="T16" s="241">
        <v>0</v>
      </c>
      <c r="U16" s="241">
        <v>0</v>
      </c>
      <c r="V16" s="241">
        <f t="shared" si="8"/>
        <v>1412339.89</v>
      </c>
      <c r="W16" s="239">
        <v>0</v>
      </c>
      <c r="X16" s="237">
        <v>0</v>
      </c>
      <c r="Y16" s="237">
        <v>0</v>
      </c>
      <c r="Z16" s="237">
        <v>0</v>
      </c>
      <c r="AA16" s="225" t="b">
        <f t="shared" si="5"/>
        <v>1</v>
      </c>
      <c r="AB16" s="227">
        <f t="shared" si="0"/>
        <v>0.5</v>
      </c>
      <c r="AC16" s="228" t="b">
        <f t="shared" si="1"/>
        <v>1</v>
      </c>
      <c r="AD16" s="228" t="b">
        <f t="shared" si="2"/>
        <v>1</v>
      </c>
    </row>
    <row r="17" spans="1:30" s="245" customFormat="1" ht="30" customHeight="1" x14ac:dyDescent="0.25">
      <c r="A17" s="251">
        <v>15</v>
      </c>
      <c r="B17" s="51" t="s">
        <v>193</v>
      </c>
      <c r="C17" s="196" t="s">
        <v>69</v>
      </c>
      <c r="D17" s="52" t="s">
        <v>221</v>
      </c>
      <c r="E17" s="52">
        <v>1608033</v>
      </c>
      <c r="F17" s="51" t="s">
        <v>82</v>
      </c>
      <c r="G17" s="197" t="s">
        <v>222</v>
      </c>
      <c r="H17" s="197" t="s">
        <v>72</v>
      </c>
      <c r="I17" s="53">
        <v>1.4019999999999999</v>
      </c>
      <c r="J17" s="54" t="s">
        <v>223</v>
      </c>
      <c r="K17" s="48">
        <v>2844452.26</v>
      </c>
      <c r="L17" s="47">
        <f t="shared" si="6"/>
        <v>1422226.13</v>
      </c>
      <c r="M17" s="55">
        <f>K17-L17</f>
        <v>1422226.13</v>
      </c>
      <c r="N17" s="230">
        <v>0.5</v>
      </c>
      <c r="O17" s="47">
        <v>0</v>
      </c>
      <c r="P17" s="47">
        <v>0</v>
      </c>
      <c r="Q17" s="237">
        <v>0</v>
      </c>
      <c r="R17" s="237">
        <v>0</v>
      </c>
      <c r="S17" s="237">
        <v>0</v>
      </c>
      <c r="T17" s="241">
        <v>0</v>
      </c>
      <c r="U17" s="241">
        <v>0</v>
      </c>
      <c r="V17" s="241">
        <f>L17</f>
        <v>1422226.13</v>
      </c>
      <c r="W17" s="239">
        <v>0</v>
      </c>
      <c r="X17" s="237">
        <v>0</v>
      </c>
      <c r="Y17" s="237">
        <v>0</v>
      </c>
      <c r="Z17" s="237">
        <v>0</v>
      </c>
      <c r="AA17" s="225" t="b">
        <v>1</v>
      </c>
      <c r="AB17" s="227">
        <v>0.6</v>
      </c>
      <c r="AC17" s="228" t="b">
        <v>1</v>
      </c>
      <c r="AD17" s="228" t="b">
        <v>1</v>
      </c>
    </row>
    <row r="18" spans="1:30" s="245" customFormat="1" ht="38.25" customHeight="1" x14ac:dyDescent="0.25">
      <c r="A18" s="251">
        <v>16</v>
      </c>
      <c r="B18" s="51" t="s">
        <v>176</v>
      </c>
      <c r="C18" s="196" t="s">
        <v>69</v>
      </c>
      <c r="D18" s="52" t="s">
        <v>177</v>
      </c>
      <c r="E18" s="52">
        <v>1605053</v>
      </c>
      <c r="F18" s="51" t="s">
        <v>124</v>
      </c>
      <c r="G18" s="197" t="s">
        <v>178</v>
      </c>
      <c r="H18" s="197" t="s">
        <v>66</v>
      </c>
      <c r="I18" s="53">
        <v>0.60699999999999998</v>
      </c>
      <c r="J18" s="54" t="s">
        <v>179</v>
      </c>
      <c r="K18" s="48">
        <v>2700783.37</v>
      </c>
      <c r="L18" s="47">
        <f t="shared" si="6"/>
        <v>1350391.68</v>
      </c>
      <c r="M18" s="55">
        <f t="shared" si="7"/>
        <v>1350391.6900000002</v>
      </c>
      <c r="N18" s="230">
        <v>0.5</v>
      </c>
      <c r="O18" s="47">
        <v>0</v>
      </c>
      <c r="P18" s="47">
        <v>0</v>
      </c>
      <c r="Q18" s="237">
        <v>0</v>
      </c>
      <c r="R18" s="237">
        <v>0</v>
      </c>
      <c r="S18" s="237">
        <v>0</v>
      </c>
      <c r="T18" s="241">
        <v>0</v>
      </c>
      <c r="U18" s="241">
        <v>0</v>
      </c>
      <c r="V18" s="241">
        <f>L18</f>
        <v>1350391.68</v>
      </c>
      <c r="W18" s="239">
        <v>0</v>
      </c>
      <c r="X18" s="237">
        <v>0</v>
      </c>
      <c r="Y18" s="237">
        <v>0</v>
      </c>
      <c r="Z18" s="237">
        <v>0</v>
      </c>
      <c r="AA18" s="225" t="b">
        <f t="shared" si="5"/>
        <v>1</v>
      </c>
      <c r="AB18" s="227">
        <f t="shared" si="0"/>
        <v>0.5</v>
      </c>
      <c r="AC18" s="228" t="b">
        <f t="shared" si="1"/>
        <v>1</v>
      </c>
      <c r="AD18" s="228" t="b">
        <f t="shared" si="2"/>
        <v>1</v>
      </c>
    </row>
    <row r="19" spans="1:30" s="257" customFormat="1" ht="30" customHeight="1" x14ac:dyDescent="0.25">
      <c r="A19" s="251">
        <v>17</v>
      </c>
      <c r="B19" s="51" t="s">
        <v>180</v>
      </c>
      <c r="C19" s="196" t="s">
        <v>69</v>
      </c>
      <c r="D19" s="52" t="s">
        <v>181</v>
      </c>
      <c r="E19" s="203">
        <v>1610043</v>
      </c>
      <c r="F19" s="51" t="s">
        <v>86</v>
      </c>
      <c r="G19" s="197" t="s">
        <v>182</v>
      </c>
      <c r="H19" s="197" t="s">
        <v>66</v>
      </c>
      <c r="I19" s="53">
        <v>0.21679999999999999</v>
      </c>
      <c r="J19" s="54" t="s">
        <v>179</v>
      </c>
      <c r="K19" s="48">
        <v>1372265.84</v>
      </c>
      <c r="L19" s="47">
        <f t="shared" si="6"/>
        <v>686132.92</v>
      </c>
      <c r="M19" s="55">
        <f t="shared" ref="M19:M26" si="9">K19-L19</f>
        <v>686132.92</v>
      </c>
      <c r="N19" s="230">
        <v>0.5</v>
      </c>
      <c r="O19" s="47">
        <v>0</v>
      </c>
      <c r="P19" s="47">
        <v>0</v>
      </c>
      <c r="Q19" s="237">
        <v>0</v>
      </c>
      <c r="R19" s="237">
        <v>0</v>
      </c>
      <c r="S19" s="237">
        <v>0</v>
      </c>
      <c r="T19" s="241">
        <v>0</v>
      </c>
      <c r="U19" s="241">
        <v>0</v>
      </c>
      <c r="V19" s="241">
        <f>L19</f>
        <v>686132.92</v>
      </c>
      <c r="W19" s="239">
        <v>0</v>
      </c>
      <c r="X19" s="237">
        <v>0</v>
      </c>
      <c r="Y19" s="237">
        <v>0</v>
      </c>
      <c r="Z19" s="237">
        <v>0</v>
      </c>
      <c r="AA19" s="225" t="b">
        <f t="shared" ref="AA19:AA26" si="10">L19=SUM(O19:Z19)</f>
        <v>1</v>
      </c>
      <c r="AB19" s="227">
        <f t="shared" ref="AB19:AB26" si="11">ROUND(L19/K19,4)</f>
        <v>0.5</v>
      </c>
      <c r="AC19" s="228" t="b">
        <f t="shared" ref="AC19:AC26" si="12">AB19=N19</f>
        <v>1</v>
      </c>
      <c r="AD19" s="228" t="b">
        <f t="shared" ref="AD19:AD26" si="13">K19=L19+M19</f>
        <v>1</v>
      </c>
    </row>
    <row r="20" spans="1:30" s="245" customFormat="1" ht="30" customHeight="1" x14ac:dyDescent="0.25">
      <c r="A20" s="250">
        <v>18</v>
      </c>
      <c r="B20" s="188" t="s">
        <v>186</v>
      </c>
      <c r="C20" s="195" t="s">
        <v>95</v>
      </c>
      <c r="D20" s="189" t="s">
        <v>203</v>
      </c>
      <c r="E20" s="202">
        <v>1605023</v>
      </c>
      <c r="F20" s="188" t="s">
        <v>124</v>
      </c>
      <c r="G20" s="205" t="s">
        <v>204</v>
      </c>
      <c r="H20" s="205" t="s">
        <v>66</v>
      </c>
      <c r="I20" s="190">
        <v>0.33400000000000002</v>
      </c>
      <c r="J20" s="191" t="s">
        <v>242</v>
      </c>
      <c r="K20" s="233">
        <v>2480714.16</v>
      </c>
      <c r="L20" s="192">
        <f t="shared" si="6"/>
        <v>1240357.08</v>
      </c>
      <c r="M20" s="193">
        <f t="shared" si="9"/>
        <v>1240357.08</v>
      </c>
      <c r="N20" s="229">
        <v>0.5</v>
      </c>
      <c r="O20" s="192">
        <v>0</v>
      </c>
      <c r="P20" s="192">
        <v>0</v>
      </c>
      <c r="Q20" s="240">
        <v>0</v>
      </c>
      <c r="R20" s="240">
        <v>0</v>
      </c>
      <c r="S20" s="240">
        <v>0</v>
      </c>
      <c r="T20" s="234">
        <v>0</v>
      </c>
      <c r="U20" s="234">
        <v>0</v>
      </c>
      <c r="V20" s="234">
        <v>210357.08</v>
      </c>
      <c r="W20" s="238">
        <v>1030000</v>
      </c>
      <c r="X20" s="240">
        <v>0</v>
      </c>
      <c r="Y20" s="240">
        <v>0</v>
      </c>
      <c r="Z20" s="240">
        <v>0</v>
      </c>
      <c r="AA20" s="225" t="b">
        <f t="shared" si="10"/>
        <v>1</v>
      </c>
      <c r="AB20" s="227">
        <f t="shared" si="11"/>
        <v>0.5</v>
      </c>
      <c r="AC20" s="228" t="b">
        <f t="shared" si="12"/>
        <v>1</v>
      </c>
      <c r="AD20" s="228" t="b">
        <f t="shared" si="13"/>
        <v>1</v>
      </c>
    </row>
    <row r="21" spans="1:30" s="245" customFormat="1" ht="30" customHeight="1" x14ac:dyDescent="0.25">
      <c r="A21" s="251">
        <v>19</v>
      </c>
      <c r="B21" s="261" t="s">
        <v>191</v>
      </c>
      <c r="C21" s="262" t="s">
        <v>69</v>
      </c>
      <c r="D21" s="263" t="s">
        <v>215</v>
      </c>
      <c r="E21" s="264">
        <v>1609092</v>
      </c>
      <c r="F21" s="261" t="s">
        <v>63</v>
      </c>
      <c r="G21" s="265" t="s">
        <v>216</v>
      </c>
      <c r="H21" s="265" t="s">
        <v>75</v>
      </c>
      <c r="I21" s="266">
        <v>0.58499999999999996</v>
      </c>
      <c r="J21" s="267" t="s">
        <v>217</v>
      </c>
      <c r="K21" s="268">
        <v>584361.9</v>
      </c>
      <c r="L21" s="269">
        <v>292180.95</v>
      </c>
      <c r="M21" s="270">
        <v>292180.95</v>
      </c>
      <c r="N21" s="271">
        <v>0.5</v>
      </c>
      <c r="O21" s="269">
        <v>0</v>
      </c>
      <c r="P21" s="269">
        <v>0</v>
      </c>
      <c r="Q21" s="269">
        <v>0</v>
      </c>
      <c r="R21" s="269">
        <v>0</v>
      </c>
      <c r="S21" s="269">
        <v>0</v>
      </c>
      <c r="T21" s="269">
        <v>0</v>
      </c>
      <c r="U21" s="269">
        <v>0</v>
      </c>
      <c r="V21" s="270">
        <v>292180.95</v>
      </c>
      <c r="W21" s="270">
        <v>0</v>
      </c>
      <c r="X21" s="270">
        <v>0</v>
      </c>
      <c r="Y21" s="270">
        <v>0</v>
      </c>
      <c r="Z21" s="270">
        <v>0</v>
      </c>
      <c r="AA21" s="225" t="b">
        <f t="shared" ref="AA21:AA25" si="14">L21=SUM(O21:Z21)</f>
        <v>1</v>
      </c>
      <c r="AB21" s="227">
        <f t="shared" ref="AB21:AB25" si="15">ROUND(L21/K21,4)</f>
        <v>0.5</v>
      </c>
      <c r="AC21" s="228" t="b">
        <f t="shared" ref="AC21:AC25" si="16">AB21=N21</f>
        <v>1</v>
      </c>
      <c r="AD21" s="228" t="b">
        <f t="shared" ref="AD21:AD25" si="17">K21=L21+M21</f>
        <v>1</v>
      </c>
    </row>
    <row r="22" spans="1:30" s="245" customFormat="1" ht="30" customHeight="1" x14ac:dyDescent="0.25">
      <c r="A22" s="251">
        <v>20</v>
      </c>
      <c r="B22" s="261" t="s">
        <v>196</v>
      </c>
      <c r="C22" s="262" t="s">
        <v>69</v>
      </c>
      <c r="D22" s="263" t="s">
        <v>227</v>
      </c>
      <c r="E22" s="264">
        <v>1606023</v>
      </c>
      <c r="F22" s="261" t="s">
        <v>88</v>
      </c>
      <c r="G22" s="265" t="s">
        <v>228</v>
      </c>
      <c r="H22" s="265" t="s">
        <v>66</v>
      </c>
      <c r="I22" s="266">
        <v>0.35660999999999998</v>
      </c>
      <c r="J22" s="267" t="s">
        <v>172</v>
      </c>
      <c r="K22" s="268">
        <v>1517481.86</v>
      </c>
      <c r="L22" s="269">
        <v>758740.93</v>
      </c>
      <c r="M22" s="270">
        <v>758740.93</v>
      </c>
      <c r="N22" s="271">
        <v>0.5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70">
        <v>758740.93</v>
      </c>
      <c r="W22" s="270">
        <v>0</v>
      </c>
      <c r="X22" s="270">
        <v>0</v>
      </c>
      <c r="Y22" s="270">
        <v>0</v>
      </c>
      <c r="Z22" s="270">
        <v>0</v>
      </c>
      <c r="AA22" s="225" t="b">
        <f t="shared" si="14"/>
        <v>1</v>
      </c>
      <c r="AB22" s="227">
        <f t="shared" si="15"/>
        <v>0.5</v>
      </c>
      <c r="AC22" s="228" t="b">
        <f t="shared" si="16"/>
        <v>1</v>
      </c>
      <c r="AD22" s="228" t="b">
        <f t="shared" si="17"/>
        <v>1</v>
      </c>
    </row>
    <row r="23" spans="1:30" s="245" customFormat="1" ht="30" customHeight="1" x14ac:dyDescent="0.25">
      <c r="A23" s="251">
        <v>21</v>
      </c>
      <c r="B23" s="261" t="s">
        <v>197</v>
      </c>
      <c r="C23" s="262" t="s">
        <v>69</v>
      </c>
      <c r="D23" s="263" t="s">
        <v>229</v>
      </c>
      <c r="E23" s="264">
        <v>1606032</v>
      </c>
      <c r="F23" s="261" t="s">
        <v>88</v>
      </c>
      <c r="G23" s="265" t="s">
        <v>230</v>
      </c>
      <c r="H23" s="265" t="s">
        <v>72</v>
      </c>
      <c r="I23" s="266">
        <v>0.40500000000000003</v>
      </c>
      <c r="J23" s="267" t="s">
        <v>231</v>
      </c>
      <c r="K23" s="268">
        <v>1462892.94</v>
      </c>
      <c r="L23" s="269">
        <v>731446.47</v>
      </c>
      <c r="M23" s="270">
        <v>731446.47</v>
      </c>
      <c r="N23" s="271">
        <v>0.5</v>
      </c>
      <c r="O23" s="269">
        <v>0</v>
      </c>
      <c r="P23" s="269">
        <v>0</v>
      </c>
      <c r="Q23" s="269">
        <v>0</v>
      </c>
      <c r="R23" s="269">
        <v>0</v>
      </c>
      <c r="S23" s="269">
        <v>0</v>
      </c>
      <c r="T23" s="269">
        <v>0</v>
      </c>
      <c r="U23" s="269">
        <v>0</v>
      </c>
      <c r="V23" s="270">
        <v>731446.47</v>
      </c>
      <c r="W23" s="270">
        <v>0</v>
      </c>
      <c r="X23" s="270">
        <v>0</v>
      </c>
      <c r="Y23" s="270">
        <v>0</v>
      </c>
      <c r="Z23" s="270">
        <v>0</v>
      </c>
      <c r="AA23" s="225" t="b">
        <f t="shared" si="14"/>
        <v>1</v>
      </c>
      <c r="AB23" s="227">
        <f t="shared" si="15"/>
        <v>0.5</v>
      </c>
      <c r="AC23" s="228" t="b">
        <f t="shared" si="16"/>
        <v>1</v>
      </c>
      <c r="AD23" s="228" t="b">
        <f t="shared" si="17"/>
        <v>1</v>
      </c>
    </row>
    <row r="24" spans="1:30" s="245" customFormat="1" ht="30" customHeight="1" x14ac:dyDescent="0.25">
      <c r="A24" s="251">
        <v>22</v>
      </c>
      <c r="B24" s="261" t="s">
        <v>201</v>
      </c>
      <c r="C24" s="262" t="s">
        <v>69</v>
      </c>
      <c r="D24" s="263" t="s">
        <v>174</v>
      </c>
      <c r="E24" s="264">
        <v>1609022</v>
      </c>
      <c r="F24" s="261" t="s">
        <v>63</v>
      </c>
      <c r="G24" s="265" t="s">
        <v>239</v>
      </c>
      <c r="H24" s="265" t="s">
        <v>72</v>
      </c>
      <c r="I24" s="266">
        <v>0.374</v>
      </c>
      <c r="J24" s="267" t="s">
        <v>84</v>
      </c>
      <c r="K24" s="268">
        <v>1250536.3500000001</v>
      </c>
      <c r="L24" s="269">
        <v>625268.17000000004</v>
      </c>
      <c r="M24" s="270">
        <v>625268.18000000005</v>
      </c>
      <c r="N24" s="271">
        <v>0.5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69">
        <v>0</v>
      </c>
      <c r="U24" s="269">
        <v>0</v>
      </c>
      <c r="V24" s="270">
        <v>625268.17000000004</v>
      </c>
      <c r="W24" s="270">
        <v>0</v>
      </c>
      <c r="X24" s="270">
        <v>0</v>
      </c>
      <c r="Y24" s="270">
        <v>0</v>
      </c>
      <c r="Z24" s="270">
        <v>0</v>
      </c>
      <c r="AA24" s="225" t="b">
        <f t="shared" si="14"/>
        <v>1</v>
      </c>
      <c r="AB24" s="227">
        <f t="shared" si="15"/>
        <v>0.5</v>
      </c>
      <c r="AC24" s="228" t="b">
        <f t="shared" si="16"/>
        <v>1</v>
      </c>
      <c r="AD24" s="228" t="b">
        <f t="shared" si="17"/>
        <v>1</v>
      </c>
    </row>
    <row r="25" spans="1:30" s="245" customFormat="1" ht="30" customHeight="1" x14ac:dyDescent="0.25">
      <c r="A25" s="251">
        <v>23</v>
      </c>
      <c r="B25" s="261" t="s">
        <v>202</v>
      </c>
      <c r="C25" s="262" t="s">
        <v>69</v>
      </c>
      <c r="D25" s="263" t="s">
        <v>240</v>
      </c>
      <c r="E25" s="264">
        <v>1608043</v>
      </c>
      <c r="F25" s="261" t="s">
        <v>82</v>
      </c>
      <c r="G25" s="265" t="s">
        <v>241</v>
      </c>
      <c r="H25" s="265" t="s">
        <v>72</v>
      </c>
      <c r="I25" s="266">
        <v>0.16700000000000001</v>
      </c>
      <c r="J25" s="267" t="s">
        <v>225</v>
      </c>
      <c r="K25" s="268">
        <v>698444.51</v>
      </c>
      <c r="L25" s="269">
        <v>349222.25</v>
      </c>
      <c r="M25" s="270">
        <v>349222.26</v>
      </c>
      <c r="N25" s="271">
        <v>0.5</v>
      </c>
      <c r="O25" s="269">
        <v>0</v>
      </c>
      <c r="P25" s="269">
        <v>0</v>
      </c>
      <c r="Q25" s="269">
        <v>0</v>
      </c>
      <c r="R25" s="269">
        <v>0</v>
      </c>
      <c r="S25" s="269">
        <v>0</v>
      </c>
      <c r="T25" s="269">
        <v>0</v>
      </c>
      <c r="U25" s="269">
        <v>0</v>
      </c>
      <c r="V25" s="270">
        <v>349222.25</v>
      </c>
      <c r="W25" s="270">
        <v>0</v>
      </c>
      <c r="X25" s="270">
        <v>0</v>
      </c>
      <c r="Y25" s="270">
        <v>0</v>
      </c>
      <c r="Z25" s="270">
        <v>0</v>
      </c>
      <c r="AA25" s="225" t="b">
        <f t="shared" si="14"/>
        <v>1</v>
      </c>
      <c r="AB25" s="227">
        <f t="shared" si="15"/>
        <v>0.5</v>
      </c>
      <c r="AC25" s="228" t="b">
        <f t="shared" si="16"/>
        <v>1</v>
      </c>
      <c r="AD25" s="228" t="b">
        <f t="shared" si="17"/>
        <v>1</v>
      </c>
    </row>
    <row r="26" spans="1:30" s="245" customFormat="1" ht="39.75" customHeight="1" x14ac:dyDescent="0.25">
      <c r="A26" s="252" t="s">
        <v>248</v>
      </c>
      <c r="B26" s="188" t="s">
        <v>187</v>
      </c>
      <c r="C26" s="195" t="s">
        <v>95</v>
      </c>
      <c r="D26" s="189" t="s">
        <v>205</v>
      </c>
      <c r="E26" s="202">
        <v>1603011</v>
      </c>
      <c r="F26" s="188" t="s">
        <v>79</v>
      </c>
      <c r="G26" s="205" t="s">
        <v>206</v>
      </c>
      <c r="H26" s="205" t="s">
        <v>72</v>
      </c>
      <c r="I26" s="190">
        <v>0.80800000000000005</v>
      </c>
      <c r="J26" s="191" t="s">
        <v>207</v>
      </c>
      <c r="K26" s="233">
        <v>10375265</v>
      </c>
      <c r="L26" s="192">
        <v>3244138.71</v>
      </c>
      <c r="M26" s="193">
        <f t="shared" si="9"/>
        <v>7131126.29</v>
      </c>
      <c r="N26" s="229">
        <v>0.5</v>
      </c>
      <c r="O26" s="192">
        <v>0</v>
      </c>
      <c r="P26" s="192">
        <v>0</v>
      </c>
      <c r="Q26" s="240">
        <v>0</v>
      </c>
      <c r="R26" s="240">
        <v>0</v>
      </c>
      <c r="S26" s="240">
        <v>0</v>
      </c>
      <c r="T26" s="234">
        <v>0</v>
      </c>
      <c r="U26" s="234">
        <v>0</v>
      </c>
      <c r="V26" s="234">
        <v>1687373.96</v>
      </c>
      <c r="W26" s="238">
        <v>1556764.75</v>
      </c>
      <c r="X26" s="240">
        <v>0</v>
      </c>
      <c r="Y26" s="240">
        <v>0</v>
      </c>
      <c r="Z26" s="240">
        <v>0</v>
      </c>
      <c r="AA26" s="225" t="b">
        <f t="shared" si="10"/>
        <v>1</v>
      </c>
      <c r="AB26" s="227">
        <f t="shared" si="11"/>
        <v>0.31269999999999998</v>
      </c>
      <c r="AC26" s="228" t="b">
        <f t="shared" si="12"/>
        <v>0</v>
      </c>
      <c r="AD26" s="228" t="b">
        <f t="shared" si="13"/>
        <v>1</v>
      </c>
    </row>
    <row r="27" spans="1:30" ht="20.100000000000001" customHeight="1" x14ac:dyDescent="0.25">
      <c r="A27" s="305" t="s">
        <v>44</v>
      </c>
      <c r="B27" s="306"/>
      <c r="C27" s="306"/>
      <c r="D27" s="306"/>
      <c r="E27" s="306"/>
      <c r="F27" s="306"/>
      <c r="G27" s="306"/>
      <c r="H27" s="307"/>
      <c r="I27" s="63">
        <f>SUM(I3:I26)</f>
        <v>13.317289999999998</v>
      </c>
      <c r="J27" s="64" t="s">
        <v>14</v>
      </c>
      <c r="K27" s="65">
        <f>SUM(K3:K26)</f>
        <v>94079204.820000023</v>
      </c>
      <c r="L27" s="66">
        <f>SUM(L3:L26)</f>
        <v>58334808.19000002</v>
      </c>
      <c r="M27" s="66">
        <f>SUM(M3:M26)</f>
        <v>35744396.629999995</v>
      </c>
      <c r="N27" s="67" t="s">
        <v>14</v>
      </c>
      <c r="O27" s="66">
        <f t="shared" ref="O27:Z27" si="18">SUM(O3:O26)</f>
        <v>0</v>
      </c>
      <c r="P27" s="66">
        <f t="shared" si="18"/>
        <v>0</v>
      </c>
      <c r="Q27" s="68">
        <f t="shared" si="18"/>
        <v>0</v>
      </c>
      <c r="R27" s="68">
        <f t="shared" si="18"/>
        <v>0</v>
      </c>
      <c r="S27" s="68">
        <f t="shared" si="18"/>
        <v>0</v>
      </c>
      <c r="T27" s="68">
        <f t="shared" si="18"/>
        <v>3955960.44</v>
      </c>
      <c r="U27" s="68">
        <f t="shared" si="18"/>
        <v>18368518.990000002</v>
      </c>
      <c r="V27" s="68">
        <f t="shared" si="18"/>
        <v>30825012.449999999</v>
      </c>
      <c r="W27" s="68">
        <f t="shared" si="18"/>
        <v>5185316.3100000005</v>
      </c>
      <c r="X27" s="68">
        <f t="shared" si="18"/>
        <v>0</v>
      </c>
      <c r="Y27" s="68">
        <f t="shared" si="18"/>
        <v>0</v>
      </c>
      <c r="Z27" s="68">
        <f t="shared" si="18"/>
        <v>0</v>
      </c>
      <c r="AA27" s="1" t="b">
        <f t="shared" si="5"/>
        <v>1</v>
      </c>
      <c r="AB27" s="43">
        <f t="shared" si="0"/>
        <v>0.62009999999999998</v>
      </c>
      <c r="AC27" s="44" t="s">
        <v>14</v>
      </c>
      <c r="AD27" s="44" t="b">
        <f t="shared" si="2"/>
        <v>1</v>
      </c>
    </row>
    <row r="28" spans="1:30" ht="20.100000000000001" customHeight="1" x14ac:dyDescent="0.25">
      <c r="A28" s="305" t="s">
        <v>37</v>
      </c>
      <c r="B28" s="306"/>
      <c r="C28" s="306"/>
      <c r="D28" s="306"/>
      <c r="E28" s="306"/>
      <c r="F28" s="306"/>
      <c r="G28" s="306"/>
      <c r="H28" s="307"/>
      <c r="I28" s="63">
        <f>SUMIF($C$3:$C$26,"K",I3:I26)</f>
        <v>2.4934100000000003</v>
      </c>
      <c r="J28" s="64" t="s">
        <v>14</v>
      </c>
      <c r="K28" s="65">
        <f>SUMIF($C$3:$C$26,"K",K3:K26)</f>
        <v>34418828.5</v>
      </c>
      <c r="L28" s="66">
        <f>SUMIF($C$3:$C$26,"K",L3:L26)</f>
        <v>30448113.859999999</v>
      </c>
      <c r="M28" s="66">
        <f>SUMIF($C$3:$C$26,"K",M3:M26)</f>
        <v>3970714.6399999987</v>
      </c>
      <c r="N28" s="67" t="s">
        <v>14</v>
      </c>
      <c r="O28" s="66">
        <f t="shared" ref="O28:Z28" si="19">SUMIF($C$3:$C$26,"K",O3:O26)</f>
        <v>0</v>
      </c>
      <c r="P28" s="66">
        <f t="shared" si="19"/>
        <v>0</v>
      </c>
      <c r="Q28" s="68">
        <f t="shared" si="19"/>
        <v>0</v>
      </c>
      <c r="R28" s="68">
        <f t="shared" si="19"/>
        <v>0</v>
      </c>
      <c r="S28" s="68">
        <f t="shared" si="19"/>
        <v>0</v>
      </c>
      <c r="T28" s="68">
        <f t="shared" si="19"/>
        <v>3955960.44</v>
      </c>
      <c r="U28" s="68">
        <f t="shared" si="19"/>
        <v>18368518.990000002</v>
      </c>
      <c r="V28" s="68">
        <f t="shared" si="19"/>
        <v>8123634.4300000006</v>
      </c>
      <c r="W28" s="68">
        <f t="shared" si="19"/>
        <v>0</v>
      </c>
      <c r="X28" s="68">
        <f t="shared" si="19"/>
        <v>0</v>
      </c>
      <c r="Y28" s="68">
        <f t="shared" si="19"/>
        <v>0</v>
      </c>
      <c r="Z28" s="68">
        <f t="shared" si="19"/>
        <v>0</v>
      </c>
      <c r="AA28" s="1" t="b">
        <f t="shared" si="5"/>
        <v>1</v>
      </c>
      <c r="AB28" s="43">
        <f t="shared" si="0"/>
        <v>0.88460000000000005</v>
      </c>
      <c r="AC28" s="44" t="s">
        <v>14</v>
      </c>
      <c r="AD28" s="44" t="b">
        <f t="shared" si="2"/>
        <v>1</v>
      </c>
    </row>
    <row r="29" spans="1:30" ht="20.100000000000001" customHeight="1" x14ac:dyDescent="0.25">
      <c r="A29" s="305" t="s">
        <v>38</v>
      </c>
      <c r="B29" s="306"/>
      <c r="C29" s="306"/>
      <c r="D29" s="306"/>
      <c r="E29" s="306"/>
      <c r="F29" s="306"/>
      <c r="G29" s="306"/>
      <c r="H29" s="307"/>
      <c r="I29" s="63">
        <f>SUMIF($C$3:$C$26,"N",I3:I26)</f>
        <v>7.5688800000000001</v>
      </c>
      <c r="J29" s="64" t="s">
        <v>14</v>
      </c>
      <c r="K29" s="65">
        <f>SUMIF($C$3:$C$26,"N",K3:K26)</f>
        <v>36561495.389999993</v>
      </c>
      <c r="L29" s="66">
        <f>SUMIF($C$3:$C$26,"N",L3:L26)</f>
        <v>18280747.66</v>
      </c>
      <c r="M29" s="66">
        <f>SUMIF($C$3:$C$26,"N",M3:M26)</f>
        <v>18280747.729999997</v>
      </c>
      <c r="N29" s="67" t="s">
        <v>14</v>
      </c>
      <c r="O29" s="66">
        <f t="shared" ref="O29:Z29" si="20">SUMIF($C$3:$C$26,"N",O3:O26)</f>
        <v>0</v>
      </c>
      <c r="P29" s="66">
        <f t="shared" si="20"/>
        <v>0</v>
      </c>
      <c r="Q29" s="68">
        <f t="shared" si="20"/>
        <v>0</v>
      </c>
      <c r="R29" s="68">
        <f t="shared" si="20"/>
        <v>0</v>
      </c>
      <c r="S29" s="68">
        <f t="shared" si="20"/>
        <v>0</v>
      </c>
      <c r="T29" s="68">
        <f t="shared" si="20"/>
        <v>0</v>
      </c>
      <c r="U29" s="68">
        <f t="shared" si="20"/>
        <v>0</v>
      </c>
      <c r="V29" s="68">
        <f t="shared" si="20"/>
        <v>18280747.66</v>
      </c>
      <c r="W29" s="68">
        <f t="shared" si="20"/>
        <v>0</v>
      </c>
      <c r="X29" s="68">
        <f t="shared" si="20"/>
        <v>0</v>
      </c>
      <c r="Y29" s="68">
        <f t="shared" si="20"/>
        <v>0</v>
      </c>
      <c r="Z29" s="68">
        <f t="shared" si="20"/>
        <v>0</v>
      </c>
      <c r="AA29" s="1" t="b">
        <f t="shared" si="5"/>
        <v>1</v>
      </c>
      <c r="AB29" s="43">
        <f t="shared" si="0"/>
        <v>0.5</v>
      </c>
      <c r="AC29" s="44" t="s">
        <v>14</v>
      </c>
      <c r="AD29" s="44" t="b">
        <f t="shared" si="2"/>
        <v>1</v>
      </c>
    </row>
    <row r="30" spans="1:30" ht="20.100000000000001" customHeight="1" x14ac:dyDescent="0.25">
      <c r="A30" s="302" t="s">
        <v>39</v>
      </c>
      <c r="B30" s="303"/>
      <c r="C30" s="303"/>
      <c r="D30" s="303"/>
      <c r="E30" s="303"/>
      <c r="F30" s="303"/>
      <c r="G30" s="303"/>
      <c r="H30" s="304"/>
      <c r="I30" s="69">
        <f>SUMIF($C$3:$C$26,"W",I3:I26)</f>
        <v>3.2549999999999999</v>
      </c>
      <c r="J30" s="70" t="s">
        <v>14</v>
      </c>
      <c r="K30" s="71">
        <f>SUMIF($C$3:$C$26,"W",K3:K26)</f>
        <v>23098880.93</v>
      </c>
      <c r="L30" s="72">
        <f>SUMIF($C$3:$C$26,"W",L3:L26)</f>
        <v>9605946.6699999999</v>
      </c>
      <c r="M30" s="72">
        <f>SUMIF($C$3:$C$26,"W",M3:M26)</f>
        <v>13492934.26</v>
      </c>
      <c r="N30" s="73" t="s">
        <v>14</v>
      </c>
      <c r="O30" s="72">
        <f t="shared" ref="O30:Z30" si="21">SUMIF($C$3:$C$26,"W",O3:O26)</f>
        <v>0</v>
      </c>
      <c r="P30" s="72">
        <f t="shared" si="21"/>
        <v>0</v>
      </c>
      <c r="Q30" s="74">
        <f t="shared" si="21"/>
        <v>0</v>
      </c>
      <c r="R30" s="74">
        <f t="shared" si="21"/>
        <v>0</v>
      </c>
      <c r="S30" s="74">
        <f t="shared" si="21"/>
        <v>0</v>
      </c>
      <c r="T30" s="74">
        <f t="shared" si="21"/>
        <v>0</v>
      </c>
      <c r="U30" s="74">
        <f t="shared" si="21"/>
        <v>0</v>
      </c>
      <c r="V30" s="74">
        <f t="shared" si="21"/>
        <v>4420630.3599999994</v>
      </c>
      <c r="W30" s="74">
        <f t="shared" si="21"/>
        <v>5185316.3100000005</v>
      </c>
      <c r="X30" s="74">
        <f t="shared" si="21"/>
        <v>0</v>
      </c>
      <c r="Y30" s="74">
        <f t="shared" si="21"/>
        <v>0</v>
      </c>
      <c r="Z30" s="74">
        <f t="shared" si="21"/>
        <v>0</v>
      </c>
      <c r="AA30" s="1" t="b">
        <f t="shared" si="5"/>
        <v>1</v>
      </c>
      <c r="AB30" s="43">
        <f t="shared" ref="AB30" si="22">ROUND(L30/K30,4)</f>
        <v>0.41589999999999999</v>
      </c>
      <c r="AC30" s="44" t="s">
        <v>14</v>
      </c>
      <c r="AD30" s="44" t="b">
        <f t="shared" ref="AD30" si="23">K30=L30+M30</f>
        <v>1</v>
      </c>
    </row>
    <row r="31" spans="1:30" x14ac:dyDescent="0.25">
      <c r="A31" s="32"/>
      <c r="K31" s="5"/>
    </row>
    <row r="32" spans="1:30" x14ac:dyDescent="0.25">
      <c r="A32" s="33" t="s">
        <v>24</v>
      </c>
    </row>
    <row r="33" spans="1:1" x14ac:dyDescent="0.25">
      <c r="A33" s="34" t="s">
        <v>25</v>
      </c>
    </row>
    <row r="34" spans="1:1" x14ac:dyDescent="0.25">
      <c r="A34" s="33" t="s">
        <v>42</v>
      </c>
    </row>
    <row r="35" spans="1:1" x14ac:dyDescent="0.25">
      <c r="A35" s="36" t="s">
        <v>46</v>
      </c>
    </row>
  </sheetData>
  <mergeCells count="19">
    <mergeCell ref="F1:F2"/>
    <mergeCell ref="G1:G2"/>
    <mergeCell ref="D1:D2"/>
    <mergeCell ref="O1:Z1"/>
    <mergeCell ref="A30:H30"/>
    <mergeCell ref="A29:H29"/>
    <mergeCell ref="E1:E2"/>
    <mergeCell ref="A28:H28"/>
    <mergeCell ref="N1:N2"/>
    <mergeCell ref="L1:L2"/>
    <mergeCell ref="M1:M2"/>
    <mergeCell ref="A27:H27"/>
    <mergeCell ref="H1:H2"/>
    <mergeCell ref="I1:I2"/>
    <mergeCell ref="J1:J2"/>
    <mergeCell ref="K1:K2"/>
    <mergeCell ref="A1:A2"/>
    <mergeCell ref="B1:B2"/>
    <mergeCell ref="C1:C2"/>
  </mergeCells>
  <conditionalFormatting sqref="AA3:AC30">
    <cfRule type="containsText" dxfId="7" priority="8" operator="containsText" text="fałsz">
      <formula>NOT(ISERROR(SEARCH("fałsz",AA3)))</formula>
    </cfRule>
  </conditionalFormatting>
  <conditionalFormatting sqref="AA3:AD30">
    <cfRule type="cellIs" dxfId="6" priority="6" operator="equal">
      <formula>FALSE</formula>
    </cfRule>
  </conditionalFormatting>
  <dataValidations count="3">
    <dataValidation type="list" allowBlank="1" showInputMessage="1" showErrorMessage="1" sqref="H3:H18 G19:G26" xr:uid="{00000000-0002-0000-0200-000000000000}">
      <formula1>"B,P,R"</formula1>
    </dataValidation>
    <dataValidation type="list" allowBlank="1" showInputMessage="1" showErrorMessage="1" sqref="C3:C18" xr:uid="{00000000-0002-0000-0200-000001000000}">
      <formula1>"N,K,W"</formula1>
    </dataValidation>
    <dataValidation type="list" allowBlank="1" showInputMessage="1" showErrorMessage="1" sqref="C19:C26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&amp;LWojewództwo &amp;KFF0000Opolskie&amp;K01+000 - zadania gminne lista podstawowa</oddHeader>
    <oddFooter>Strona &amp;P z &amp;N</oddFooter>
  </headerFooter>
  <ignoredErrors>
    <ignoredError sqref="E4:E5 E8" numberStoredAsText="1"/>
    <ignoredError sqref="O27:U27 W27:Z27 AA26:AA27 AA3:AA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view="pageBreakPreview" zoomScale="85" zoomScaleNormal="80" zoomScaleSheetLayoutView="85" workbookViewId="0">
      <selection activeCell="B1" sqref="B1:B2"/>
    </sheetView>
  </sheetViews>
  <sheetFormatPr defaultColWidth="9.140625" defaultRowHeight="15" x14ac:dyDescent="0.25"/>
  <cols>
    <col min="1" max="1" width="4.5703125" style="1" customWidth="1"/>
    <col min="2" max="2" width="15.5703125" style="14" customWidth="1"/>
    <col min="3" max="3" width="9.7109375" style="1" customWidth="1"/>
    <col min="4" max="4" width="15.7109375" style="216" customWidth="1"/>
    <col min="5" max="5" width="7.42578125" style="1" customWidth="1"/>
    <col min="6" max="6" width="52.7109375" style="1" customWidth="1"/>
    <col min="7" max="7" width="7.85546875" style="1" customWidth="1"/>
    <col min="8" max="8" width="8.140625" style="14" customWidth="1"/>
    <col min="9" max="9" width="15.7109375" style="216" customWidth="1"/>
    <col min="10" max="10" width="13.28515625" style="39" customWidth="1"/>
    <col min="11" max="11" width="14.42578125" style="14" customWidth="1"/>
    <col min="12" max="12" width="14.7109375" style="14" customWidth="1"/>
    <col min="13" max="13" width="14" style="1" customWidth="1"/>
    <col min="14" max="20" width="6.7109375" style="14" customWidth="1"/>
    <col min="21" max="21" width="12.5703125" style="14" customWidth="1"/>
    <col min="22" max="22" width="11.7109375" style="14" customWidth="1"/>
    <col min="23" max="25" width="6.7109375" style="14" customWidth="1"/>
    <col min="26" max="29" width="15.7109375" style="224" customWidth="1"/>
    <col min="30" max="16384" width="9.140625" style="14"/>
  </cols>
  <sheetData>
    <row r="1" spans="1:30" ht="20.100000000000001" customHeight="1" x14ac:dyDescent="0.25">
      <c r="A1" s="295" t="s">
        <v>4</v>
      </c>
      <c r="B1" s="295" t="s">
        <v>5</v>
      </c>
      <c r="C1" s="296" t="s">
        <v>127</v>
      </c>
      <c r="D1" s="291" t="s">
        <v>6</v>
      </c>
      <c r="E1" s="296" t="s">
        <v>32</v>
      </c>
      <c r="F1" s="291" t="s">
        <v>7</v>
      </c>
      <c r="G1" s="295" t="s">
        <v>26</v>
      </c>
      <c r="H1" s="295" t="s">
        <v>8</v>
      </c>
      <c r="I1" s="295" t="s">
        <v>23</v>
      </c>
      <c r="J1" s="298" t="s">
        <v>9</v>
      </c>
      <c r="K1" s="295" t="s">
        <v>10</v>
      </c>
      <c r="L1" s="291" t="s">
        <v>13</v>
      </c>
      <c r="M1" s="295" t="s">
        <v>11</v>
      </c>
      <c r="N1" s="297" t="s">
        <v>12</v>
      </c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</row>
    <row r="2" spans="1:30" ht="26.25" customHeight="1" x14ac:dyDescent="0.25">
      <c r="A2" s="295"/>
      <c r="B2" s="295"/>
      <c r="C2" s="297"/>
      <c r="D2" s="292"/>
      <c r="E2" s="297"/>
      <c r="F2" s="292"/>
      <c r="G2" s="295"/>
      <c r="H2" s="295"/>
      <c r="I2" s="295"/>
      <c r="J2" s="298"/>
      <c r="K2" s="295"/>
      <c r="L2" s="292"/>
      <c r="M2" s="29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0">
        <v>2029</v>
      </c>
      <c r="Y2" s="180">
        <v>2030</v>
      </c>
      <c r="Z2" s="225" t="s">
        <v>28</v>
      </c>
      <c r="AA2" s="225" t="s">
        <v>29</v>
      </c>
      <c r="AB2" s="225" t="s">
        <v>30</v>
      </c>
      <c r="AC2" s="226" t="s">
        <v>31</v>
      </c>
    </row>
    <row r="3" spans="1:30" s="45" customFormat="1" ht="30" customHeight="1" x14ac:dyDescent="0.25">
      <c r="A3" s="197">
        <v>1</v>
      </c>
      <c r="B3" s="211" t="s">
        <v>117</v>
      </c>
      <c r="C3" s="196" t="s">
        <v>69</v>
      </c>
      <c r="D3" s="214" t="s">
        <v>96</v>
      </c>
      <c r="E3" s="203">
        <v>1602</v>
      </c>
      <c r="F3" s="197" t="s">
        <v>123</v>
      </c>
      <c r="G3" s="197" t="s">
        <v>75</v>
      </c>
      <c r="H3" s="59">
        <v>0.999</v>
      </c>
      <c r="I3" s="218" t="s">
        <v>84</v>
      </c>
      <c r="J3" s="56">
        <v>1444476</v>
      </c>
      <c r="K3" s="57">
        <f t="shared" ref="K3:K4" si="0">ROUNDDOWN(J3*M3,2)</f>
        <v>722238</v>
      </c>
      <c r="L3" s="58">
        <f t="shared" ref="L3:L4" si="1">J3-K3</f>
        <v>722238</v>
      </c>
      <c r="M3" s="230">
        <v>0.5</v>
      </c>
      <c r="N3" s="57">
        <v>0</v>
      </c>
      <c r="O3" s="57">
        <v>0</v>
      </c>
      <c r="P3" s="222">
        <v>0</v>
      </c>
      <c r="Q3" s="222">
        <v>0</v>
      </c>
      <c r="R3" s="222">
        <v>0</v>
      </c>
      <c r="S3" s="222">
        <v>0</v>
      </c>
      <c r="T3" s="222">
        <v>0</v>
      </c>
      <c r="U3" s="58">
        <f t="shared" ref="U3:U4" si="2">K3</f>
        <v>722238</v>
      </c>
      <c r="V3" s="58">
        <f t="shared" ref="V3:V4" si="3">K3-U3</f>
        <v>0</v>
      </c>
      <c r="W3" s="222">
        <v>0</v>
      </c>
      <c r="X3" s="222">
        <v>0</v>
      </c>
      <c r="Y3" s="222">
        <v>0</v>
      </c>
      <c r="Z3" s="225" t="b">
        <f t="shared" ref="Z3" si="4">K3=SUM(N3:Y3)</f>
        <v>1</v>
      </c>
      <c r="AA3" s="227">
        <f t="shared" ref="AA3" si="5">ROUND(K3/J3,4)</f>
        <v>0.5</v>
      </c>
      <c r="AB3" s="228" t="b">
        <f t="shared" ref="AB3" si="6">AA3=M3</f>
        <v>1</v>
      </c>
      <c r="AC3" s="228" t="b">
        <f t="shared" ref="AC3" si="7">J3=K3+L3</f>
        <v>1</v>
      </c>
      <c r="AD3" s="46"/>
    </row>
    <row r="4" spans="1:30" s="45" customFormat="1" ht="30" customHeight="1" x14ac:dyDescent="0.25">
      <c r="A4" s="197">
        <v>2</v>
      </c>
      <c r="B4" s="212" t="s">
        <v>118</v>
      </c>
      <c r="C4" s="213" t="s">
        <v>69</v>
      </c>
      <c r="D4" s="215" t="s">
        <v>124</v>
      </c>
      <c r="E4" s="217">
        <v>1605</v>
      </c>
      <c r="F4" s="213" t="s">
        <v>125</v>
      </c>
      <c r="G4" s="213" t="s">
        <v>72</v>
      </c>
      <c r="H4" s="75">
        <v>0.745</v>
      </c>
      <c r="I4" s="219" t="s">
        <v>126</v>
      </c>
      <c r="J4" s="76">
        <v>2892116.61</v>
      </c>
      <c r="K4" s="57">
        <f t="shared" si="0"/>
        <v>1446058.3</v>
      </c>
      <c r="L4" s="58">
        <f t="shared" si="1"/>
        <v>1446058.3099999998</v>
      </c>
      <c r="M4" s="231">
        <v>0.5</v>
      </c>
      <c r="N4" s="76">
        <v>0</v>
      </c>
      <c r="O4" s="77">
        <v>0</v>
      </c>
      <c r="P4" s="223">
        <v>0</v>
      </c>
      <c r="Q4" s="223">
        <v>0</v>
      </c>
      <c r="R4" s="223">
        <v>0</v>
      </c>
      <c r="S4" s="223">
        <v>0</v>
      </c>
      <c r="T4" s="223">
        <v>0</v>
      </c>
      <c r="U4" s="58">
        <f t="shared" si="2"/>
        <v>1446058.3</v>
      </c>
      <c r="V4" s="58">
        <f t="shared" si="3"/>
        <v>0</v>
      </c>
      <c r="W4" s="223">
        <v>0</v>
      </c>
      <c r="X4" s="223">
        <v>0</v>
      </c>
      <c r="Y4" s="223">
        <v>0</v>
      </c>
      <c r="Z4" s="225" t="b">
        <f t="shared" ref="Z4:Z7" si="8">K4=SUM(N4:Y4)</f>
        <v>1</v>
      </c>
      <c r="AA4" s="227">
        <f t="shared" ref="AA4:AA7" si="9">ROUND(K4/J4,4)</f>
        <v>0.5</v>
      </c>
      <c r="AB4" s="228" t="b">
        <f t="shared" ref="AB4" si="10">AA4=M4</f>
        <v>1</v>
      </c>
      <c r="AC4" s="228" t="b">
        <f t="shared" ref="AC4:AC7" si="11">J4=K4+L4</f>
        <v>1</v>
      </c>
      <c r="AD4" s="46"/>
    </row>
    <row r="5" spans="1:30" ht="20.100000000000001" customHeight="1" x14ac:dyDescent="0.25">
      <c r="A5" s="309" t="s">
        <v>44</v>
      </c>
      <c r="B5" s="309"/>
      <c r="C5" s="309"/>
      <c r="D5" s="309"/>
      <c r="E5" s="309"/>
      <c r="F5" s="309"/>
      <c r="G5" s="309"/>
      <c r="H5" s="63">
        <f>SUM(H3:H4)</f>
        <v>1.744</v>
      </c>
      <c r="I5" s="220" t="s">
        <v>14</v>
      </c>
      <c r="J5" s="65">
        <f>SUM(J3:J4)</f>
        <v>4336592.6099999994</v>
      </c>
      <c r="K5" s="66">
        <f>SUM(K3:K4)</f>
        <v>2168296.2999999998</v>
      </c>
      <c r="L5" s="66">
        <f>SUM(L3:L4)</f>
        <v>2168296.3099999996</v>
      </c>
      <c r="M5" s="67" t="s">
        <v>14</v>
      </c>
      <c r="N5" s="78">
        <f t="shared" ref="N5:Y5" si="12">SUM(N3:N4)</f>
        <v>0</v>
      </c>
      <c r="O5" s="78">
        <f t="shared" si="12"/>
        <v>0</v>
      </c>
      <c r="P5" s="78">
        <f t="shared" si="12"/>
        <v>0</v>
      </c>
      <c r="Q5" s="78">
        <f t="shared" si="12"/>
        <v>0</v>
      </c>
      <c r="R5" s="78">
        <f t="shared" si="12"/>
        <v>0</v>
      </c>
      <c r="S5" s="78">
        <f t="shared" si="12"/>
        <v>0</v>
      </c>
      <c r="T5" s="78">
        <f t="shared" si="12"/>
        <v>0</v>
      </c>
      <c r="U5" s="78">
        <f t="shared" si="12"/>
        <v>2168296.2999999998</v>
      </c>
      <c r="V5" s="78">
        <f t="shared" si="12"/>
        <v>0</v>
      </c>
      <c r="W5" s="78">
        <f t="shared" si="12"/>
        <v>0</v>
      </c>
      <c r="X5" s="78">
        <f t="shared" si="12"/>
        <v>0</v>
      </c>
      <c r="Y5" s="78">
        <f t="shared" si="12"/>
        <v>0</v>
      </c>
      <c r="Z5" s="225" t="b">
        <f t="shared" si="8"/>
        <v>1</v>
      </c>
      <c r="AA5" s="227">
        <f t="shared" ref="AA5" si="13">ROUND(K5/J5,4)</f>
        <v>0.5</v>
      </c>
      <c r="AB5" s="228" t="s">
        <v>14</v>
      </c>
      <c r="AC5" s="228" t="b">
        <f t="shared" ref="AC5" si="14">J5=K5+L5</f>
        <v>1</v>
      </c>
      <c r="AD5" s="37"/>
    </row>
    <row r="6" spans="1:30" ht="20.100000000000001" customHeight="1" x14ac:dyDescent="0.25">
      <c r="A6" s="309" t="s">
        <v>38</v>
      </c>
      <c r="B6" s="309"/>
      <c r="C6" s="309"/>
      <c r="D6" s="309"/>
      <c r="E6" s="309"/>
      <c r="F6" s="309"/>
      <c r="G6" s="309"/>
      <c r="H6" s="63">
        <f>SUMIF($C$3:$C$4,"N",H3:H4)</f>
        <v>1.744</v>
      </c>
      <c r="I6" s="220" t="s">
        <v>14</v>
      </c>
      <c r="J6" s="65">
        <f>SUMIF($C$3:$C$4,"N",J3:J4)</f>
        <v>4336592.6099999994</v>
      </c>
      <c r="K6" s="66">
        <f>SUMIF($C$3:$C$4,"N",K3:K4)</f>
        <v>2168296.2999999998</v>
      </c>
      <c r="L6" s="66">
        <f>SUMIF($C$3:$C$4,"N",L3:L4)</f>
        <v>2168296.3099999996</v>
      </c>
      <c r="M6" s="67" t="s">
        <v>14</v>
      </c>
      <c r="N6" s="78">
        <f t="shared" ref="N6:Y6" si="15">SUMIF($C$3:$C$4,"N",N3:N4)</f>
        <v>0</v>
      </c>
      <c r="O6" s="78">
        <f t="shared" si="15"/>
        <v>0</v>
      </c>
      <c r="P6" s="78">
        <f t="shared" si="15"/>
        <v>0</v>
      </c>
      <c r="Q6" s="78">
        <f t="shared" si="15"/>
        <v>0</v>
      </c>
      <c r="R6" s="78">
        <f t="shared" si="15"/>
        <v>0</v>
      </c>
      <c r="S6" s="78">
        <f t="shared" si="15"/>
        <v>0</v>
      </c>
      <c r="T6" s="78">
        <f t="shared" si="15"/>
        <v>0</v>
      </c>
      <c r="U6" s="78">
        <f t="shared" si="15"/>
        <v>2168296.2999999998</v>
      </c>
      <c r="V6" s="78">
        <f t="shared" si="15"/>
        <v>0</v>
      </c>
      <c r="W6" s="78">
        <f t="shared" si="15"/>
        <v>0</v>
      </c>
      <c r="X6" s="78">
        <f t="shared" si="15"/>
        <v>0</v>
      </c>
      <c r="Y6" s="78">
        <f t="shared" si="15"/>
        <v>0</v>
      </c>
      <c r="Z6" s="225" t="b">
        <f t="shared" si="8"/>
        <v>1</v>
      </c>
      <c r="AA6" s="227">
        <f t="shared" ref="AA6" si="16">ROUND(K6/J6,4)</f>
        <v>0.5</v>
      </c>
      <c r="AB6" s="228" t="s">
        <v>14</v>
      </c>
      <c r="AC6" s="228" t="b">
        <f t="shared" ref="AC6" si="17">J6=K6+L6</f>
        <v>1</v>
      </c>
      <c r="AD6" s="37"/>
    </row>
    <row r="7" spans="1:30" ht="20.100000000000001" customHeight="1" x14ac:dyDescent="0.25">
      <c r="A7" s="308" t="s">
        <v>39</v>
      </c>
      <c r="B7" s="308"/>
      <c r="C7" s="308"/>
      <c r="D7" s="308"/>
      <c r="E7" s="308"/>
      <c r="F7" s="308"/>
      <c r="G7" s="308"/>
      <c r="H7" s="69">
        <f>SUMIF($C$3:$C$4,"W",H3:H4)</f>
        <v>0</v>
      </c>
      <c r="I7" s="221" t="s">
        <v>14</v>
      </c>
      <c r="J7" s="71">
        <f>SUMIF($C$3:$C$4,"W",J3:J4)</f>
        <v>0</v>
      </c>
      <c r="K7" s="72">
        <f>SUMIF($C$3:$C$4,"W",K3:K4)</f>
        <v>0</v>
      </c>
      <c r="L7" s="72">
        <f>SUMIF($C$3:$C$4,"W",L3:L4)</f>
        <v>0</v>
      </c>
      <c r="M7" s="73" t="s">
        <v>14</v>
      </c>
      <c r="N7" s="79">
        <f t="shared" ref="N7:Y7" si="18">SUMIF($C$3:$C$4,"W",N3:N4)</f>
        <v>0</v>
      </c>
      <c r="O7" s="79">
        <f t="shared" si="18"/>
        <v>0</v>
      </c>
      <c r="P7" s="79">
        <f t="shared" si="18"/>
        <v>0</v>
      </c>
      <c r="Q7" s="79">
        <f t="shared" si="18"/>
        <v>0</v>
      </c>
      <c r="R7" s="79">
        <f t="shared" si="18"/>
        <v>0</v>
      </c>
      <c r="S7" s="79">
        <f t="shared" si="18"/>
        <v>0</v>
      </c>
      <c r="T7" s="79">
        <f t="shared" si="18"/>
        <v>0</v>
      </c>
      <c r="U7" s="79">
        <f t="shared" si="18"/>
        <v>0</v>
      </c>
      <c r="V7" s="79">
        <f t="shared" si="18"/>
        <v>0</v>
      </c>
      <c r="W7" s="79">
        <f t="shared" si="18"/>
        <v>0</v>
      </c>
      <c r="X7" s="79">
        <f t="shared" si="18"/>
        <v>0</v>
      </c>
      <c r="Y7" s="79">
        <f t="shared" si="18"/>
        <v>0</v>
      </c>
      <c r="Z7" s="225" t="b">
        <f t="shared" si="8"/>
        <v>1</v>
      </c>
      <c r="AA7" s="227" t="e">
        <f t="shared" si="9"/>
        <v>#DIV/0!</v>
      </c>
      <c r="AB7" s="228" t="s">
        <v>14</v>
      </c>
      <c r="AC7" s="228" t="b">
        <f t="shared" si="11"/>
        <v>1</v>
      </c>
      <c r="AD7" s="37"/>
    </row>
    <row r="8" spans="1:30" x14ac:dyDescent="0.25">
      <c r="A8" s="253"/>
    </row>
    <row r="9" spans="1:30" x14ac:dyDescent="0.25">
      <c r="A9" s="258" t="s">
        <v>24</v>
      </c>
    </row>
    <row r="10" spans="1:30" x14ac:dyDescent="0.25">
      <c r="A10" s="259" t="s">
        <v>25</v>
      </c>
    </row>
    <row r="11" spans="1:30" x14ac:dyDescent="0.25">
      <c r="A11" s="258" t="s">
        <v>35</v>
      </c>
    </row>
    <row r="12" spans="1:30" x14ac:dyDescent="0.25">
      <c r="A12" s="254"/>
    </row>
  </sheetData>
  <mergeCells count="17">
    <mergeCell ref="J1:J2"/>
    <mergeCell ref="K1:K2"/>
    <mergeCell ref="L1:L2"/>
    <mergeCell ref="M1:M2"/>
    <mergeCell ref="N1:Y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Z3:AB7">
    <cfRule type="containsText" dxfId="5" priority="3" operator="containsText" text="fałsz">
      <formula>NOT(ISERROR(SEARCH("fałsz",Z3)))</formula>
    </cfRule>
  </conditionalFormatting>
  <conditionalFormatting sqref="Z3:AD7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4" xr:uid="{00000000-0002-0000-0300-000000000000}">
      <formula1>"N,W"</formula1>
    </dataValidation>
    <dataValidation type="list" allowBlank="1" showInputMessage="1" showErrorMessage="1" sqref="G3:G4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&amp;LWojewództwo &amp;KFF0000Opolskie&amp;K01+000 - zadania powiatowe lista rezerwowa</oddHeader>
    <oddFooter>Strona &amp;P z &amp;N</oddFooter>
  </headerFooter>
  <ignoredErrors>
    <ignoredError sqref="N5:Y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9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5" style="256" customWidth="1"/>
    <col min="2" max="2" width="15.7109375" style="14" customWidth="1"/>
    <col min="3" max="3" width="15.7109375" style="1" customWidth="1"/>
    <col min="4" max="4" width="18.5703125" style="14" customWidth="1"/>
    <col min="5" max="5" width="9.7109375" style="1" customWidth="1"/>
    <col min="6" max="6" width="15.7109375" style="14" customWidth="1"/>
    <col min="7" max="7" width="52.7109375" style="1" customWidth="1"/>
    <col min="8" max="8" width="7.85546875" style="1" customWidth="1"/>
    <col min="9" max="9" width="8.28515625" style="14" customWidth="1"/>
    <col min="10" max="10" width="14.7109375" style="14" customWidth="1"/>
    <col min="11" max="11" width="15.7109375" style="39" customWidth="1"/>
    <col min="12" max="12" width="14.28515625" style="14" customWidth="1"/>
    <col min="13" max="13" width="13.85546875" style="14" customWidth="1"/>
    <col min="14" max="14" width="13.140625" style="1" customWidth="1"/>
    <col min="15" max="21" width="6.7109375" style="14" customWidth="1"/>
    <col min="22" max="22" width="13.85546875" style="14" customWidth="1"/>
    <col min="23" max="23" width="12.7109375" style="14" customWidth="1"/>
    <col min="24" max="26" width="6.7109375" style="14" customWidth="1"/>
    <col min="27" max="30" width="15.7109375" style="14" customWidth="1"/>
    <col min="31" max="16384" width="9.140625" style="14"/>
  </cols>
  <sheetData>
    <row r="1" spans="1:30" ht="20.100000000000001" customHeight="1" x14ac:dyDescent="0.25">
      <c r="A1" s="310" t="s">
        <v>4</v>
      </c>
      <c r="B1" s="295" t="s">
        <v>5</v>
      </c>
      <c r="C1" s="296" t="s">
        <v>45</v>
      </c>
      <c r="D1" s="291" t="s">
        <v>6</v>
      </c>
      <c r="E1" s="291" t="s">
        <v>32</v>
      </c>
      <c r="F1" s="291" t="s">
        <v>15</v>
      </c>
      <c r="G1" s="295" t="s">
        <v>7</v>
      </c>
      <c r="H1" s="295" t="s">
        <v>26</v>
      </c>
      <c r="I1" s="295" t="s">
        <v>8</v>
      </c>
      <c r="J1" s="295" t="s">
        <v>27</v>
      </c>
      <c r="K1" s="298" t="s">
        <v>9</v>
      </c>
      <c r="L1" s="295" t="s">
        <v>10</v>
      </c>
      <c r="M1" s="291" t="s">
        <v>13</v>
      </c>
      <c r="N1" s="295" t="s">
        <v>11</v>
      </c>
      <c r="O1" s="297" t="s">
        <v>12</v>
      </c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</row>
    <row r="2" spans="1:30" ht="25.5" customHeight="1" x14ac:dyDescent="0.25">
      <c r="A2" s="310"/>
      <c r="B2" s="295"/>
      <c r="C2" s="297"/>
      <c r="D2" s="292"/>
      <c r="E2" s="292"/>
      <c r="F2" s="292"/>
      <c r="G2" s="295"/>
      <c r="H2" s="295"/>
      <c r="I2" s="295"/>
      <c r="J2" s="295"/>
      <c r="K2" s="298"/>
      <c r="L2" s="295"/>
      <c r="M2" s="292"/>
      <c r="N2" s="29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0">
        <v>2029</v>
      </c>
      <c r="Z2" s="180">
        <v>2030</v>
      </c>
      <c r="AA2" s="1" t="s">
        <v>28</v>
      </c>
      <c r="AB2" s="1" t="s">
        <v>29</v>
      </c>
      <c r="AC2" s="1" t="s">
        <v>30</v>
      </c>
      <c r="AD2" s="42" t="s">
        <v>31</v>
      </c>
    </row>
    <row r="3" spans="1:30" ht="30" customHeight="1" x14ac:dyDescent="0.25">
      <c r="A3" s="197">
        <v>1</v>
      </c>
      <c r="B3" s="51" t="s">
        <v>188</v>
      </c>
      <c r="C3" s="196" t="s">
        <v>69</v>
      </c>
      <c r="D3" s="52" t="s">
        <v>208</v>
      </c>
      <c r="E3" s="203">
        <v>1605013</v>
      </c>
      <c r="F3" s="51" t="s">
        <v>124</v>
      </c>
      <c r="G3" s="197" t="s">
        <v>209</v>
      </c>
      <c r="H3" s="197" t="s">
        <v>66</v>
      </c>
      <c r="I3" s="53">
        <v>0.29699999999999999</v>
      </c>
      <c r="J3" s="54" t="s">
        <v>179</v>
      </c>
      <c r="K3" s="48">
        <v>2018038.41</v>
      </c>
      <c r="L3" s="47">
        <f t="shared" ref="L3:L11" si="0">ROUNDDOWN(K3*N3,2)</f>
        <v>1009019.2</v>
      </c>
      <c r="M3" s="55">
        <f t="shared" ref="M3:M11" si="1">K3-L3</f>
        <v>1009019.21</v>
      </c>
      <c r="N3" s="230">
        <v>0.5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55">
        <f>L3</f>
        <v>1009019.2</v>
      </c>
      <c r="W3" s="55">
        <v>0</v>
      </c>
      <c r="X3" s="55">
        <v>0</v>
      </c>
      <c r="Y3" s="55">
        <v>0</v>
      </c>
      <c r="Z3" s="55">
        <v>0</v>
      </c>
      <c r="AA3" s="1" t="b">
        <f t="shared" ref="AA3:AA11" si="2">L3=SUM(O3:Z3)</f>
        <v>1</v>
      </c>
      <c r="AB3" s="43">
        <f t="shared" ref="AB3:AB11" si="3">ROUND(L3/K3,4)</f>
        <v>0.5</v>
      </c>
      <c r="AC3" s="44" t="b">
        <f t="shared" ref="AC3:AC11" si="4">AB3=N3</f>
        <v>1</v>
      </c>
      <c r="AD3" s="44" t="b">
        <f t="shared" ref="AD3:AD11" si="5">K3=L3+M3</f>
        <v>1</v>
      </c>
    </row>
    <row r="4" spans="1:30" ht="30" customHeight="1" x14ac:dyDescent="0.25">
      <c r="A4" s="197">
        <v>2</v>
      </c>
      <c r="B4" s="51" t="s">
        <v>189</v>
      </c>
      <c r="C4" s="196" t="s">
        <v>69</v>
      </c>
      <c r="D4" s="52" t="s">
        <v>210</v>
      </c>
      <c r="E4" s="203">
        <v>1608013</v>
      </c>
      <c r="F4" s="51" t="s">
        <v>82</v>
      </c>
      <c r="G4" s="197" t="s">
        <v>211</v>
      </c>
      <c r="H4" s="197" t="s">
        <v>66</v>
      </c>
      <c r="I4" s="53">
        <v>0.99948999999999999</v>
      </c>
      <c r="J4" s="54" t="s">
        <v>92</v>
      </c>
      <c r="K4" s="48">
        <v>3399730.18</v>
      </c>
      <c r="L4" s="47">
        <f t="shared" si="0"/>
        <v>1699865.09</v>
      </c>
      <c r="M4" s="55">
        <f t="shared" si="1"/>
        <v>1699865.09</v>
      </c>
      <c r="N4" s="230">
        <v>0.5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55">
        <f t="shared" ref="V4:V11" si="6">L4</f>
        <v>1699865.09</v>
      </c>
      <c r="W4" s="55">
        <v>0</v>
      </c>
      <c r="X4" s="55">
        <v>0</v>
      </c>
      <c r="Y4" s="55">
        <v>0</v>
      </c>
      <c r="Z4" s="55">
        <v>0</v>
      </c>
      <c r="AA4" s="1" t="b">
        <f t="shared" si="2"/>
        <v>1</v>
      </c>
      <c r="AB4" s="43">
        <f t="shared" si="3"/>
        <v>0.5</v>
      </c>
      <c r="AC4" s="44" t="b">
        <f t="shared" si="4"/>
        <v>1</v>
      </c>
      <c r="AD4" s="44" t="b">
        <f t="shared" si="5"/>
        <v>1</v>
      </c>
    </row>
    <row r="5" spans="1:30" ht="30" customHeight="1" x14ac:dyDescent="0.25">
      <c r="A5" s="197">
        <v>3</v>
      </c>
      <c r="B5" s="51" t="s">
        <v>190</v>
      </c>
      <c r="C5" s="196" t="s">
        <v>69</v>
      </c>
      <c r="D5" s="52" t="s">
        <v>212</v>
      </c>
      <c r="E5" s="203">
        <v>1611033</v>
      </c>
      <c r="F5" s="51" t="s">
        <v>64</v>
      </c>
      <c r="G5" s="197" t="s">
        <v>213</v>
      </c>
      <c r="H5" s="197" t="s">
        <v>72</v>
      </c>
      <c r="I5" s="53">
        <v>0.5</v>
      </c>
      <c r="J5" s="54" t="s">
        <v>214</v>
      </c>
      <c r="K5" s="48">
        <v>2346106.35</v>
      </c>
      <c r="L5" s="47">
        <f t="shared" si="0"/>
        <v>1173053.17</v>
      </c>
      <c r="M5" s="55">
        <f t="shared" si="1"/>
        <v>1173053.1800000002</v>
      </c>
      <c r="N5" s="230">
        <v>0.5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0</v>
      </c>
      <c r="V5" s="55">
        <f t="shared" si="6"/>
        <v>1173053.17</v>
      </c>
      <c r="W5" s="55">
        <v>0</v>
      </c>
      <c r="X5" s="55">
        <v>0</v>
      </c>
      <c r="Y5" s="55">
        <v>0</v>
      </c>
      <c r="Z5" s="55">
        <v>0</v>
      </c>
      <c r="AA5" s="1" t="b">
        <f t="shared" si="2"/>
        <v>1</v>
      </c>
      <c r="AB5" s="43">
        <f t="shared" si="3"/>
        <v>0.5</v>
      </c>
      <c r="AC5" s="44" t="b">
        <f t="shared" si="4"/>
        <v>1</v>
      </c>
      <c r="AD5" s="44" t="b">
        <f t="shared" si="5"/>
        <v>1</v>
      </c>
    </row>
    <row r="6" spans="1:30" ht="30" customHeight="1" x14ac:dyDescent="0.25">
      <c r="A6" s="197">
        <v>4</v>
      </c>
      <c r="B6" s="51" t="s">
        <v>192</v>
      </c>
      <c r="C6" s="196" t="s">
        <v>69</v>
      </c>
      <c r="D6" s="52" t="s">
        <v>218</v>
      </c>
      <c r="E6" s="203">
        <v>1609012</v>
      </c>
      <c r="F6" s="51" t="s">
        <v>63</v>
      </c>
      <c r="G6" s="197" t="s">
        <v>219</v>
      </c>
      <c r="H6" s="197" t="s">
        <v>66</v>
      </c>
      <c r="I6" s="53">
        <v>0.11</v>
      </c>
      <c r="J6" s="54" t="s">
        <v>220</v>
      </c>
      <c r="K6" s="48">
        <v>620834.30000000005</v>
      </c>
      <c r="L6" s="47">
        <f t="shared" si="0"/>
        <v>310417.15000000002</v>
      </c>
      <c r="M6" s="55">
        <f t="shared" si="1"/>
        <v>310417.15000000002</v>
      </c>
      <c r="N6" s="230">
        <v>0.5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55">
        <f t="shared" si="6"/>
        <v>310417.15000000002</v>
      </c>
      <c r="W6" s="55">
        <v>0</v>
      </c>
      <c r="X6" s="55">
        <v>0</v>
      </c>
      <c r="Y6" s="55">
        <v>0</v>
      </c>
      <c r="Z6" s="55">
        <v>0</v>
      </c>
      <c r="AA6" s="1" t="b">
        <f t="shared" si="2"/>
        <v>1</v>
      </c>
      <c r="AB6" s="43">
        <f t="shared" si="3"/>
        <v>0.5</v>
      </c>
      <c r="AC6" s="44" t="b">
        <f t="shared" si="4"/>
        <v>1</v>
      </c>
      <c r="AD6" s="44" t="b">
        <f t="shared" si="5"/>
        <v>1</v>
      </c>
    </row>
    <row r="7" spans="1:30" ht="30" customHeight="1" x14ac:dyDescent="0.25">
      <c r="A7" s="197">
        <v>5</v>
      </c>
      <c r="B7" s="51" t="s">
        <v>194</v>
      </c>
      <c r="C7" s="196" t="s">
        <v>69</v>
      </c>
      <c r="D7" s="52" t="s">
        <v>148</v>
      </c>
      <c r="E7" s="203" t="s">
        <v>149</v>
      </c>
      <c r="F7" s="51" t="s">
        <v>63</v>
      </c>
      <c r="G7" s="197" t="s">
        <v>224</v>
      </c>
      <c r="H7" s="197" t="s">
        <v>66</v>
      </c>
      <c r="I7" s="53">
        <v>0.16108</v>
      </c>
      <c r="J7" s="54" t="s">
        <v>225</v>
      </c>
      <c r="K7" s="48">
        <v>1237535.27</v>
      </c>
      <c r="L7" s="47">
        <f t="shared" si="0"/>
        <v>618767.63</v>
      </c>
      <c r="M7" s="55">
        <f t="shared" si="1"/>
        <v>618767.64</v>
      </c>
      <c r="N7" s="230">
        <v>0.5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55">
        <f t="shared" si="6"/>
        <v>618767.63</v>
      </c>
      <c r="W7" s="55">
        <v>0</v>
      </c>
      <c r="X7" s="55">
        <v>0</v>
      </c>
      <c r="Y7" s="55">
        <v>0</v>
      </c>
      <c r="Z7" s="55">
        <v>0</v>
      </c>
      <c r="AA7" s="1" t="b">
        <f t="shared" si="2"/>
        <v>1</v>
      </c>
      <c r="AB7" s="43">
        <f t="shared" si="3"/>
        <v>0.5</v>
      </c>
      <c r="AC7" s="44" t="b">
        <f t="shared" si="4"/>
        <v>1</v>
      </c>
      <c r="AD7" s="44" t="b">
        <f t="shared" si="5"/>
        <v>1</v>
      </c>
    </row>
    <row r="8" spans="1:30" ht="30" customHeight="1" x14ac:dyDescent="0.25">
      <c r="A8" s="197">
        <v>6</v>
      </c>
      <c r="B8" s="51" t="s">
        <v>195</v>
      </c>
      <c r="C8" s="196" t="s">
        <v>69</v>
      </c>
      <c r="D8" s="52" t="s">
        <v>212</v>
      </c>
      <c r="E8" s="203">
        <v>1611033</v>
      </c>
      <c r="F8" s="51" t="s">
        <v>64</v>
      </c>
      <c r="G8" s="197" t="s">
        <v>226</v>
      </c>
      <c r="H8" s="197" t="s">
        <v>66</v>
      </c>
      <c r="I8" s="53">
        <v>0.249</v>
      </c>
      <c r="J8" s="54" t="s">
        <v>214</v>
      </c>
      <c r="K8" s="48">
        <v>1443870.54</v>
      </c>
      <c r="L8" s="47">
        <f t="shared" si="0"/>
        <v>721935.27</v>
      </c>
      <c r="M8" s="55">
        <f t="shared" si="1"/>
        <v>721935.27</v>
      </c>
      <c r="N8" s="230">
        <v>0.5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55">
        <f t="shared" si="6"/>
        <v>721935.27</v>
      </c>
      <c r="W8" s="55">
        <v>0</v>
      </c>
      <c r="X8" s="55">
        <v>0</v>
      </c>
      <c r="Y8" s="55">
        <v>0</v>
      </c>
      <c r="Z8" s="55">
        <v>0</v>
      </c>
      <c r="AA8" s="1" t="b">
        <f t="shared" si="2"/>
        <v>1</v>
      </c>
      <c r="AB8" s="43">
        <f t="shared" si="3"/>
        <v>0.5</v>
      </c>
      <c r="AC8" s="44" t="b">
        <f t="shared" si="4"/>
        <v>1</v>
      </c>
      <c r="AD8" s="44" t="b">
        <f t="shared" si="5"/>
        <v>1</v>
      </c>
    </row>
    <row r="9" spans="1:30" ht="30" customHeight="1" x14ac:dyDescent="0.25">
      <c r="A9" s="197">
        <v>7</v>
      </c>
      <c r="B9" s="51" t="s">
        <v>199</v>
      </c>
      <c r="C9" s="196" t="s">
        <v>69</v>
      </c>
      <c r="D9" s="52" t="s">
        <v>235</v>
      </c>
      <c r="E9" s="203">
        <v>1607092</v>
      </c>
      <c r="F9" s="51" t="s">
        <v>70</v>
      </c>
      <c r="G9" s="197" t="s">
        <v>236</v>
      </c>
      <c r="H9" s="197" t="s">
        <v>66</v>
      </c>
      <c r="I9" s="53">
        <v>7.3999999999999996E-2</v>
      </c>
      <c r="J9" s="54" t="s">
        <v>179</v>
      </c>
      <c r="K9" s="48">
        <v>1339601.02</v>
      </c>
      <c r="L9" s="47">
        <f t="shared" ref="L9" si="7">ROUNDDOWN(K9*N9,2)</f>
        <v>669800.51</v>
      </c>
      <c r="M9" s="55">
        <f t="shared" ref="M9" si="8">K9-L9</f>
        <v>669800.51</v>
      </c>
      <c r="N9" s="230">
        <v>0.5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55">
        <f t="shared" ref="V9" si="9">L9</f>
        <v>669800.51</v>
      </c>
      <c r="W9" s="55">
        <v>0</v>
      </c>
      <c r="X9" s="55">
        <v>0</v>
      </c>
      <c r="Y9" s="55">
        <v>0</v>
      </c>
      <c r="Z9" s="55">
        <v>0</v>
      </c>
      <c r="AA9" s="1" t="b">
        <f t="shared" ref="AA9" si="10">L9=SUM(O9:Z9)</f>
        <v>1</v>
      </c>
      <c r="AB9" s="43">
        <f t="shared" ref="AB9" si="11">ROUND(L9/K9,4)</f>
        <v>0.5</v>
      </c>
      <c r="AC9" s="44" t="b">
        <f t="shared" ref="AC9" si="12">AB9=N9</f>
        <v>1</v>
      </c>
      <c r="AD9" s="44" t="b">
        <f t="shared" ref="AD9" si="13">K9=L9+M9</f>
        <v>1</v>
      </c>
    </row>
    <row r="10" spans="1:30" ht="30" customHeight="1" x14ac:dyDescent="0.25">
      <c r="A10" s="197">
        <v>8</v>
      </c>
      <c r="B10" s="51" t="s">
        <v>198</v>
      </c>
      <c r="C10" s="196" t="s">
        <v>69</v>
      </c>
      <c r="D10" s="52" t="s">
        <v>232</v>
      </c>
      <c r="E10" s="203">
        <v>1611063</v>
      </c>
      <c r="F10" s="51" t="s">
        <v>64</v>
      </c>
      <c r="G10" s="197" t="s">
        <v>233</v>
      </c>
      <c r="H10" s="197" t="s">
        <v>72</v>
      </c>
      <c r="I10" s="53">
        <v>0.29699999999999999</v>
      </c>
      <c r="J10" s="54" t="s">
        <v>234</v>
      </c>
      <c r="K10" s="48">
        <v>1306440.44</v>
      </c>
      <c r="L10" s="47">
        <f t="shared" si="0"/>
        <v>653220.22</v>
      </c>
      <c r="M10" s="55">
        <f t="shared" si="1"/>
        <v>653220.22</v>
      </c>
      <c r="N10" s="230">
        <v>0.5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55">
        <f t="shared" si="6"/>
        <v>653220.22</v>
      </c>
      <c r="W10" s="55">
        <v>0</v>
      </c>
      <c r="X10" s="55">
        <v>0</v>
      </c>
      <c r="Y10" s="55">
        <v>0</v>
      </c>
      <c r="Z10" s="55">
        <v>0</v>
      </c>
      <c r="AA10" s="1" t="b">
        <f t="shared" si="2"/>
        <v>1</v>
      </c>
      <c r="AB10" s="43">
        <f t="shared" si="3"/>
        <v>0.5</v>
      </c>
      <c r="AC10" s="44" t="b">
        <f t="shared" si="4"/>
        <v>1</v>
      </c>
      <c r="AD10" s="44" t="b">
        <f t="shared" si="5"/>
        <v>1</v>
      </c>
    </row>
    <row r="11" spans="1:30" ht="30" customHeight="1" x14ac:dyDescent="0.25">
      <c r="A11" s="197">
        <v>9</v>
      </c>
      <c r="B11" s="51" t="s">
        <v>200</v>
      </c>
      <c r="C11" s="196" t="s">
        <v>69</v>
      </c>
      <c r="D11" s="52" t="s">
        <v>237</v>
      </c>
      <c r="E11" s="203">
        <v>1611043</v>
      </c>
      <c r="F11" s="51" t="s">
        <v>64</v>
      </c>
      <c r="G11" s="197" t="s">
        <v>238</v>
      </c>
      <c r="H11" s="197" t="s">
        <v>75</v>
      </c>
      <c r="I11" s="53">
        <v>0.25</v>
      </c>
      <c r="J11" s="54" t="s">
        <v>225</v>
      </c>
      <c r="K11" s="48">
        <v>820425.1</v>
      </c>
      <c r="L11" s="47">
        <f t="shared" si="0"/>
        <v>410212.55</v>
      </c>
      <c r="M11" s="55">
        <f t="shared" si="1"/>
        <v>410212.55</v>
      </c>
      <c r="N11" s="230">
        <v>0.5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55">
        <f t="shared" si="6"/>
        <v>410212.55</v>
      </c>
      <c r="W11" s="55">
        <v>0</v>
      </c>
      <c r="X11" s="55">
        <v>0</v>
      </c>
      <c r="Y11" s="55">
        <v>0</v>
      </c>
      <c r="Z11" s="55">
        <v>0</v>
      </c>
      <c r="AA11" s="1" t="b">
        <f t="shared" si="2"/>
        <v>1</v>
      </c>
      <c r="AB11" s="43">
        <f t="shared" si="3"/>
        <v>0.5</v>
      </c>
      <c r="AC11" s="44" t="b">
        <f t="shared" si="4"/>
        <v>1</v>
      </c>
      <c r="AD11" s="44" t="b">
        <f t="shared" si="5"/>
        <v>1</v>
      </c>
    </row>
    <row r="12" spans="1:30" ht="20.100000000000001" customHeight="1" x14ac:dyDescent="0.25">
      <c r="A12" s="309" t="s">
        <v>44</v>
      </c>
      <c r="B12" s="309"/>
      <c r="C12" s="309"/>
      <c r="D12" s="309"/>
      <c r="E12" s="309"/>
      <c r="F12" s="309"/>
      <c r="G12" s="309"/>
      <c r="H12" s="309"/>
      <c r="I12" s="63">
        <f>SUM(I3:I11)</f>
        <v>2.93757</v>
      </c>
      <c r="J12" s="64" t="s">
        <v>14</v>
      </c>
      <c r="K12" s="65">
        <f>SUM(K3:K11)</f>
        <v>14532581.609999999</v>
      </c>
      <c r="L12" s="66">
        <f>SUM(L3:L11)</f>
        <v>7266290.7899999991</v>
      </c>
      <c r="M12" s="66">
        <f>SUM(M3:M11)</f>
        <v>7266290.8199999984</v>
      </c>
      <c r="N12" s="67" t="s">
        <v>14</v>
      </c>
      <c r="O12" s="78">
        <f t="shared" ref="O12:Z12" si="14">SUM(O3:O11)</f>
        <v>0</v>
      </c>
      <c r="P12" s="78">
        <f t="shared" si="14"/>
        <v>0</v>
      </c>
      <c r="Q12" s="78">
        <f t="shared" si="14"/>
        <v>0</v>
      </c>
      <c r="R12" s="78">
        <f t="shared" si="14"/>
        <v>0</v>
      </c>
      <c r="S12" s="78">
        <f t="shared" si="14"/>
        <v>0</v>
      </c>
      <c r="T12" s="78">
        <f t="shared" si="14"/>
        <v>0</v>
      </c>
      <c r="U12" s="78">
        <f t="shared" si="14"/>
        <v>0</v>
      </c>
      <c r="V12" s="78">
        <f t="shared" si="14"/>
        <v>7266290.7899999991</v>
      </c>
      <c r="W12" s="78">
        <f t="shared" si="14"/>
        <v>0</v>
      </c>
      <c r="X12" s="78">
        <f t="shared" si="14"/>
        <v>0</v>
      </c>
      <c r="Y12" s="78">
        <f t="shared" si="14"/>
        <v>0</v>
      </c>
      <c r="Z12" s="78">
        <f t="shared" si="14"/>
        <v>0</v>
      </c>
      <c r="AA12" s="1" t="b">
        <f t="shared" ref="AA12:AA14" si="15">L12=SUM(O12:Z12)</f>
        <v>1</v>
      </c>
      <c r="AB12" s="43">
        <f>ROUND(L12/K12,4)</f>
        <v>0.5</v>
      </c>
      <c r="AC12" s="44" t="s">
        <v>14</v>
      </c>
      <c r="AD12" s="44" t="b">
        <f t="shared" ref="AD12" si="16">K12=L12+M12</f>
        <v>1</v>
      </c>
    </row>
    <row r="13" spans="1:30" ht="20.100000000000001" customHeight="1" x14ac:dyDescent="0.25">
      <c r="A13" s="305" t="s">
        <v>38</v>
      </c>
      <c r="B13" s="306"/>
      <c r="C13" s="306"/>
      <c r="D13" s="306"/>
      <c r="E13" s="306"/>
      <c r="F13" s="306"/>
      <c r="G13" s="306"/>
      <c r="H13" s="307"/>
      <c r="I13" s="63">
        <f>SUMIF($C$3:$C$11,"N",I3:I11)</f>
        <v>2.93757</v>
      </c>
      <c r="J13" s="64" t="s">
        <v>14</v>
      </c>
      <c r="K13" s="65">
        <f>SUMIF($C$3:$C$11,"N",K3:K11)</f>
        <v>14532581.609999999</v>
      </c>
      <c r="L13" s="66">
        <f>SUMIF($C$3:$C$11,"N",L3:L11)</f>
        <v>7266290.7899999991</v>
      </c>
      <c r="M13" s="66">
        <f>SUMIF($C$3:$C$11,"N",M3:M11)</f>
        <v>7266290.8199999984</v>
      </c>
      <c r="N13" s="67" t="s">
        <v>14</v>
      </c>
      <c r="O13" s="78">
        <f t="shared" ref="O13:Z13" si="17">SUMIF($C$3:$C$11,"N",O3:O11)</f>
        <v>0</v>
      </c>
      <c r="P13" s="78">
        <f t="shared" si="17"/>
        <v>0</v>
      </c>
      <c r="Q13" s="78">
        <f t="shared" si="17"/>
        <v>0</v>
      </c>
      <c r="R13" s="78">
        <f t="shared" si="17"/>
        <v>0</v>
      </c>
      <c r="S13" s="78">
        <f t="shared" si="17"/>
        <v>0</v>
      </c>
      <c r="T13" s="78">
        <f t="shared" si="17"/>
        <v>0</v>
      </c>
      <c r="U13" s="78">
        <f t="shared" si="17"/>
        <v>0</v>
      </c>
      <c r="V13" s="78">
        <f t="shared" si="17"/>
        <v>7266290.7899999991</v>
      </c>
      <c r="W13" s="78">
        <f t="shared" si="17"/>
        <v>0</v>
      </c>
      <c r="X13" s="78">
        <f t="shared" si="17"/>
        <v>0</v>
      </c>
      <c r="Y13" s="78">
        <f t="shared" si="17"/>
        <v>0</v>
      </c>
      <c r="Z13" s="78">
        <f t="shared" si="17"/>
        <v>0</v>
      </c>
      <c r="AA13" s="1" t="b">
        <f t="shared" si="15"/>
        <v>1</v>
      </c>
      <c r="AB13" s="43">
        <f t="shared" ref="AB13" si="18">ROUND(L13/K13,4)</f>
        <v>0.5</v>
      </c>
      <c r="AC13" s="44" t="s">
        <v>14</v>
      </c>
      <c r="AD13" s="44" t="b">
        <f t="shared" ref="AD13" si="19">K13=L13+M13</f>
        <v>1</v>
      </c>
    </row>
    <row r="14" spans="1:30" ht="20.100000000000001" customHeight="1" x14ac:dyDescent="0.25">
      <c r="A14" s="308" t="s">
        <v>39</v>
      </c>
      <c r="B14" s="308"/>
      <c r="C14" s="308"/>
      <c r="D14" s="308"/>
      <c r="E14" s="308"/>
      <c r="F14" s="308"/>
      <c r="G14" s="308"/>
      <c r="H14" s="308"/>
      <c r="I14" s="69">
        <f>SUMIF($C$3:$C$11,"W",I3:I11)</f>
        <v>0</v>
      </c>
      <c r="J14" s="70" t="s">
        <v>14</v>
      </c>
      <c r="K14" s="71">
        <f>SUMIF($C$3:$C$11,"W",K3:K11)</f>
        <v>0</v>
      </c>
      <c r="L14" s="72">
        <f>SUMIF($C$3:$C$11,"W",L3:L11)</f>
        <v>0</v>
      </c>
      <c r="M14" s="72">
        <f>SUMIF($C$3:$C$11,"W",M3:M11)</f>
        <v>0</v>
      </c>
      <c r="N14" s="73" t="s">
        <v>14</v>
      </c>
      <c r="O14" s="79">
        <f t="shared" ref="O14:Z14" si="20">SUMIF($C$3:$C$11,"W",O3:O11)</f>
        <v>0</v>
      </c>
      <c r="P14" s="79">
        <f t="shared" si="20"/>
        <v>0</v>
      </c>
      <c r="Q14" s="79">
        <f t="shared" si="20"/>
        <v>0</v>
      </c>
      <c r="R14" s="79">
        <f t="shared" si="20"/>
        <v>0</v>
      </c>
      <c r="S14" s="79">
        <f t="shared" si="20"/>
        <v>0</v>
      </c>
      <c r="T14" s="79">
        <f t="shared" si="20"/>
        <v>0</v>
      </c>
      <c r="U14" s="79">
        <f t="shared" si="20"/>
        <v>0</v>
      </c>
      <c r="V14" s="79">
        <f t="shared" si="20"/>
        <v>0</v>
      </c>
      <c r="W14" s="79">
        <f t="shared" si="20"/>
        <v>0</v>
      </c>
      <c r="X14" s="79">
        <f t="shared" si="20"/>
        <v>0</v>
      </c>
      <c r="Y14" s="79">
        <f t="shared" si="20"/>
        <v>0</v>
      </c>
      <c r="Z14" s="79">
        <f t="shared" si="20"/>
        <v>0</v>
      </c>
      <c r="AA14" s="1" t="b">
        <f t="shared" si="15"/>
        <v>1</v>
      </c>
      <c r="AB14" s="43" t="e">
        <f t="shared" ref="AB14" si="21">ROUND(L14/K14,4)</f>
        <v>#DIV/0!</v>
      </c>
      <c r="AC14" s="44" t="s">
        <v>14</v>
      </c>
      <c r="AD14" s="44" t="b">
        <f t="shared" ref="AD14" si="22">K14=L14+M14</f>
        <v>1</v>
      </c>
    </row>
    <row r="15" spans="1:30" x14ac:dyDescent="0.25">
      <c r="A15" s="255"/>
      <c r="AD15" s="37"/>
    </row>
    <row r="16" spans="1:30" x14ac:dyDescent="0.25">
      <c r="A16" s="199" t="s">
        <v>24</v>
      </c>
    </row>
    <row r="17" spans="1:1" x14ac:dyDescent="0.25">
      <c r="A17" s="200" t="s">
        <v>25</v>
      </c>
    </row>
    <row r="18" spans="1:1" x14ac:dyDescent="0.25">
      <c r="A18" s="199" t="s">
        <v>35</v>
      </c>
    </row>
    <row r="19" spans="1:1" x14ac:dyDescent="0.25">
      <c r="A19" s="254"/>
    </row>
  </sheetData>
  <mergeCells count="18">
    <mergeCell ref="G1:G2"/>
    <mergeCell ref="H1:H2"/>
    <mergeCell ref="A13:H13"/>
    <mergeCell ref="D1:D2"/>
    <mergeCell ref="A14:H14"/>
    <mergeCell ref="E1:E2"/>
    <mergeCell ref="O1:Z1"/>
    <mergeCell ref="M1:M2"/>
    <mergeCell ref="N1:N2"/>
    <mergeCell ref="A12:H12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A3:AC14">
    <cfRule type="containsText" dxfId="3" priority="3" operator="containsText" text="fałsz">
      <formula>NOT(ISERROR(SEARCH("fałsz",AA3)))</formula>
    </cfRule>
  </conditionalFormatting>
  <conditionalFormatting sqref="AA3:AD11 AB12:AD12 AA12:AA14">
    <cfRule type="cellIs" dxfId="2" priority="20" operator="equal">
      <formula>FALSE</formula>
    </cfRule>
  </conditionalFormatting>
  <conditionalFormatting sqref="AB13:AC14">
    <cfRule type="cellIs" dxfId="1" priority="5" operator="equal">
      <formula>FALSE</formula>
    </cfRule>
  </conditionalFormatting>
  <conditionalFormatting sqref="AD13:AD15">
    <cfRule type="cellIs" dxfId="0" priority="1" operator="equal">
      <formula>FALSE</formula>
    </cfRule>
  </conditionalFormatting>
  <dataValidations count="2">
    <dataValidation type="list" allowBlank="1" showInputMessage="1" showErrorMessage="1" sqref="G3:G11" xr:uid="{00000000-0002-0000-0400-000000000000}">
      <formula1>"B,P,R"</formula1>
    </dataValidation>
    <dataValidation type="list" allowBlank="1" showInputMessage="1" showErrorMessage="1" sqref="C3:C11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Opolskie - zadania gminne lista rezerwowa</oddHeader>
    <oddFooter>Strona &amp;P z &amp;N</oddFooter>
  </headerFooter>
  <ignoredErrors>
    <ignoredError sqref="E7" numberStoredAsText="1"/>
    <ignoredError sqref="O12:Z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2025-11-19T07:01:27Z</cp:lastPrinted>
  <dcterms:created xsi:type="dcterms:W3CDTF">2019-02-25T10:53:14Z</dcterms:created>
  <dcterms:modified xsi:type="dcterms:W3CDTF">2026-02-19T06:44:03Z</dcterms:modified>
</cp:coreProperties>
</file>