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2\I kw 2022\Zbiorówki\Zatwierdzone\WWW\Nowy format\www bez definicji\"/>
    </mc:Choice>
  </mc:AlternateContent>
  <bookViews>
    <workbookView xWindow="240" yWindow="120" windowWidth="14220" windowHeight="8835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/>
  <c r="A1" i="7" s="1"/>
  <c r="A66" i="7" l="1"/>
  <c r="A85" i="7"/>
  <c r="A30" i="7"/>
</calcChain>
</file>

<file path=xl/sharedStrings.xml><?xml version="1.0" encoding="utf-8"?>
<sst xmlns="http://schemas.openxmlformats.org/spreadsheetml/2006/main" count="97" uniqueCount="81">
  <si>
    <t>Wyszczególnienie</t>
  </si>
  <si>
    <t>sektora finansów publicznych (kol.5+7+8)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</si>
  <si>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</si>
  <si>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</si>
  <si>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</si>
  <si>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</si>
  <si>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</si>
  <si>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</si>
  <si>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</si>
  <si>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</si>
  <si>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</si>
  <si>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</si>
  <si>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</si>
  <si>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</si>
  <si>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</si>
  <si>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</si>
  <si>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</si>
  <si>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</si>
  <si>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</si>
  <si>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</si>
  <si>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</si>
  <si>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</si>
  <si>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</si>
  <si>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</si>
  <si>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</si>
  <si>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</si>
  <si>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</si>
  <si>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</si>
  <si>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</si>
  <si>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</si>
  <si>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</si>
  <si>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</si>
  <si>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</si>
  <si>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</si>
  <si>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</si>
  <si>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</si>
  <si>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</si>
  <si>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</si>
  <si>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</si>
  <si>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</si>
  <si>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</si>
  <si>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</si>
  <si>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</si>
  <si>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</si>
  <si>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</si>
  <si>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</si>
  <si>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</si>
  <si>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</si>
  <si>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</si>
  <si>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</si>
  <si>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</si>
  <si>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</si>
  <si>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</si>
  <si>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</si>
  <si>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</si>
  <si>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</si>
  <si>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</si>
  <si>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</si>
  <si>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</si>
  <si>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</si>
  <si>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</si>
  <si>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</si>
  <si>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</si>
  <si>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</si>
  <si>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</si>
  <si>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</si>
  <si>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</si>
  <si>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</si>
  <si>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</si>
  <si>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</si>
  <si>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</si>
  <si>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</si>
  <si>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wierzyciele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</si>
  <si>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</si>
  <si>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</si>
  <si>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</si>
  <si>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</si>
  <si>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</si>
  <si>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tytul</t>
  </si>
  <si>
    <t>w złotych</t>
  </si>
  <si>
    <t>E4  wymagalne zobowiązania (E4.1+E4.2)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</si>
</sst>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7" xfId="0" applyFont="1" applyFill="1" applyBorder="1" applyAlignment="1">
      <alignment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6"/>
  <sheetViews>
    <sheetView tabSelected="1" zoomScaleNormal="100" zoomScaleSheetLayoutView="50" workbookViewId="0">
      <selection activeCell="A6" sqref="A6:A10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4" width="12.42578125" style="2" customWidth="1"/>
    <col min="5" max="6" width="11.42578125" style="2" customWidth="1"/>
    <col min="7" max="7" width="12.7109375" style="2" customWidth="1"/>
    <col min="8" max="8" width="9.7109375" style="2" customWidth="1"/>
    <col min="9" max="9" width="10.7109375" style="2" customWidth="1"/>
    <col min="10" max="10" width="14" style="2" customWidth="1"/>
    <col min="11" max="11" width="12.140625" style="2" customWidth="1"/>
    <col min="12" max="12" width="11.42578125" style="2" customWidth="1"/>
    <col min="13" max="13" width="12" style="2" customWidth="1"/>
    <col min="14" max="14" width="11.7109375" style="2" customWidth="1"/>
    <col min="15" max="15" width="11.140625" style="2" customWidth="1"/>
    <col min="16" max="16" width="12.5703125" style="2" customWidth="1"/>
    <col min="17" max="16384" width="9.140625" style="2"/>
  </cols>
  <sheetData>
    <row r="1" spans="1:17" ht="75" customHeight="1" x14ac:dyDescent="0.2">
      <c r="A1" s="36" t="str">
        <f>CONCATENATE("Informacja z wykonania budżetów miast na prawach powiatu za  ",$C$93," ",$B$94," roku     ",$B$96,"")</f>
        <v xml:space="preserve">Informacja z wykonania budżetów miast na prawach powiatu za  I Kwartał 2022 roku     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7" t="s">
        <v>64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7" ht="13.5" customHeight="1" x14ac:dyDescent="0.2">
      <c r="B5" s="12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11"/>
      <c r="O5" s="11"/>
      <c r="P5" s="11"/>
      <c r="Q5" s="11"/>
    </row>
    <row r="6" spans="1:17" ht="13.5" customHeight="1" x14ac:dyDescent="0.2">
      <c r="A6" s="26" t="s">
        <v>0</v>
      </c>
      <c r="B6" s="38" t="s">
        <v>65</v>
      </c>
      <c r="C6" s="50" t="s">
        <v>69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2"/>
      <c r="O6" s="50" t="s">
        <v>68</v>
      </c>
      <c r="P6" s="51"/>
      <c r="Q6" s="52"/>
    </row>
    <row r="7" spans="1:17" ht="13.5" customHeight="1" x14ac:dyDescent="0.2">
      <c r="A7" s="27"/>
      <c r="B7" s="29"/>
      <c r="C7" s="30" t="s">
        <v>66</v>
      </c>
      <c r="D7" s="30" t="s">
        <v>1</v>
      </c>
      <c r="E7" s="30" t="s">
        <v>70</v>
      </c>
      <c r="F7" s="30" t="s">
        <v>71</v>
      </c>
      <c r="G7" s="30" t="s">
        <v>28</v>
      </c>
      <c r="H7" s="30" t="s">
        <v>29</v>
      </c>
      <c r="I7" s="44" t="s">
        <v>67</v>
      </c>
      <c r="J7" s="30" t="s">
        <v>17</v>
      </c>
      <c r="K7" s="30" t="s">
        <v>18</v>
      </c>
      <c r="L7" s="30" t="s">
        <v>19</v>
      </c>
      <c r="M7" s="30" t="s">
        <v>20</v>
      </c>
      <c r="N7" s="29" t="s">
        <v>21</v>
      </c>
      <c r="O7" s="31" t="s">
        <v>22</v>
      </c>
      <c r="P7" s="31" t="s">
        <v>23</v>
      </c>
      <c r="Q7" s="31" t="s">
        <v>24</v>
      </c>
    </row>
    <row r="8" spans="1:17" ht="13.5" customHeight="1" x14ac:dyDescent="0.2">
      <c r="A8" s="27"/>
      <c r="B8" s="29"/>
      <c r="C8" s="31"/>
      <c r="D8" s="31"/>
      <c r="E8" s="31"/>
      <c r="F8" s="31"/>
      <c r="G8" s="31"/>
      <c r="H8" s="31"/>
      <c r="I8" s="44"/>
      <c r="J8" s="31"/>
      <c r="K8" s="31"/>
      <c r="L8" s="31"/>
      <c r="M8" s="31"/>
      <c r="N8" s="29"/>
      <c r="O8" s="31"/>
      <c r="P8" s="31"/>
      <c r="Q8" s="31"/>
    </row>
    <row r="9" spans="1:17" ht="11.25" customHeight="1" x14ac:dyDescent="0.2">
      <c r="A9" s="27"/>
      <c r="B9" s="29"/>
      <c r="C9" s="31"/>
      <c r="D9" s="31"/>
      <c r="E9" s="31"/>
      <c r="F9" s="31"/>
      <c r="G9" s="31"/>
      <c r="H9" s="31"/>
      <c r="I9" s="44"/>
      <c r="J9" s="31"/>
      <c r="K9" s="31"/>
      <c r="L9" s="31"/>
      <c r="M9" s="31"/>
      <c r="N9" s="29"/>
      <c r="O9" s="31"/>
      <c r="P9" s="31"/>
      <c r="Q9" s="31"/>
    </row>
    <row r="10" spans="1:17" ht="11.25" customHeight="1" x14ac:dyDescent="0.2">
      <c r="A10" s="28"/>
      <c r="B10" s="30"/>
      <c r="C10" s="31"/>
      <c r="D10" s="31"/>
      <c r="E10" s="31"/>
      <c r="F10" s="31"/>
      <c r="G10" s="31"/>
      <c r="H10" s="31"/>
      <c r="I10" s="45"/>
      <c r="J10" s="31"/>
      <c r="K10" s="31"/>
      <c r="L10" s="31"/>
      <c r="M10" s="31"/>
      <c r="N10" s="30"/>
      <c r="O10" s="31"/>
      <c r="P10" s="31"/>
      <c r="Q10" s="31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77" t="s">
        <v>79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</row>
    <row r="13" spans="1:17" ht="38.25" customHeight="1" x14ac:dyDescent="0.2">
      <c r="A13" s="20" t="s">
        <v>47</v>
      </c>
      <c r="B13" s="21">
        <f>44237613783.24</f>
        <v>44237613783.239998</v>
      </c>
      <c r="C13" s="21">
        <f>22554182892.31</f>
        <v>22554182892.310001</v>
      </c>
      <c r="D13" s="21">
        <f>491188708.43</f>
        <v>491188708.43000001</v>
      </c>
      <c r="E13" s="21">
        <f>414.03</f>
        <v>414.03</v>
      </c>
      <c r="F13" s="21">
        <f>262406627.91</f>
        <v>262406627.91</v>
      </c>
      <c r="G13" s="21">
        <f>228781666.49</f>
        <v>228781666.49000001</v>
      </c>
      <c r="H13" s="21">
        <f>0</f>
        <v>0</v>
      </c>
      <c r="I13" s="21">
        <f>0</f>
        <v>0</v>
      </c>
      <c r="J13" s="21">
        <f>19726276196.4</f>
        <v>19726276196.400002</v>
      </c>
      <c r="K13" s="21">
        <f>820437264.9</f>
        <v>820437264.89999998</v>
      </c>
      <c r="L13" s="21">
        <f>1500860193.05</f>
        <v>1500860193.05</v>
      </c>
      <c r="M13" s="21">
        <f>12932960.45</f>
        <v>12932960.449999999</v>
      </c>
      <c r="N13" s="21">
        <f>2487569.08</f>
        <v>2487569.08</v>
      </c>
      <c r="O13" s="21">
        <f>21683430890.93</f>
        <v>21683430890.93</v>
      </c>
      <c r="P13" s="21">
        <f>21606730890.93</f>
        <v>21606730890.93</v>
      </c>
      <c r="Q13" s="21">
        <f>76700000</f>
        <v>76700000</v>
      </c>
    </row>
    <row r="14" spans="1:17" ht="38.25" customHeight="1" x14ac:dyDescent="0.2">
      <c r="A14" s="20" t="s">
        <v>48</v>
      </c>
      <c r="B14" s="21">
        <f>3535688000</f>
        <v>3535688000</v>
      </c>
      <c r="C14" s="21">
        <f>3535688000</f>
        <v>3535688000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3368188000</f>
        <v>3368188000</v>
      </c>
      <c r="K14" s="21">
        <f>167500000</f>
        <v>167500000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38.25" customHeight="1" x14ac:dyDescent="0.2">
      <c r="A15" s="18" t="s">
        <v>49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38.25" customHeight="1" x14ac:dyDescent="0.2">
      <c r="A16" s="18" t="s">
        <v>50</v>
      </c>
      <c r="B16" s="22">
        <f>3535688000</f>
        <v>3535688000</v>
      </c>
      <c r="C16" s="22">
        <f>3535688000</f>
        <v>3535688000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3368188000</f>
        <v>3368188000</v>
      </c>
      <c r="K16" s="22">
        <f>167500000</f>
        <v>167500000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8.25" customHeight="1" x14ac:dyDescent="0.2">
      <c r="A17" s="20" t="s">
        <v>51</v>
      </c>
      <c r="B17" s="21">
        <f>40679562936.1</f>
        <v>40679562936.099998</v>
      </c>
      <c r="C17" s="21">
        <f>18996132045.17</f>
        <v>18996132045.169998</v>
      </c>
      <c r="D17" s="21">
        <f>487084380.24</f>
        <v>487084380.24000001</v>
      </c>
      <c r="E17" s="21">
        <f>0</f>
        <v>0</v>
      </c>
      <c r="F17" s="21">
        <f>262406627.91</f>
        <v>262406627.91</v>
      </c>
      <c r="G17" s="21">
        <f>224677752.33</f>
        <v>224677752.33000001</v>
      </c>
      <c r="H17" s="21">
        <f>0</f>
        <v>0</v>
      </c>
      <c r="I17" s="21">
        <f>0</f>
        <v>0</v>
      </c>
      <c r="J17" s="21">
        <f>16358088196.4</f>
        <v>16358088196.4</v>
      </c>
      <c r="K17" s="21">
        <f>652937264.9</f>
        <v>652937264.89999998</v>
      </c>
      <c r="L17" s="21">
        <f>1497784350.14</f>
        <v>1497784350.1400001</v>
      </c>
      <c r="M17" s="21">
        <f>237853.49</f>
        <v>237853.49</v>
      </c>
      <c r="N17" s="21">
        <f>0</f>
        <v>0</v>
      </c>
      <c r="O17" s="21">
        <f>21683430890.93</f>
        <v>21683430890.93</v>
      </c>
      <c r="P17" s="21">
        <f>21606730890.93</f>
        <v>21606730890.93</v>
      </c>
      <c r="Q17" s="21">
        <f>76700000</f>
        <v>76700000</v>
      </c>
    </row>
    <row r="18" spans="1:17" ht="38.25" customHeight="1" x14ac:dyDescent="0.2">
      <c r="A18" s="18" t="s">
        <v>52</v>
      </c>
      <c r="B18" s="22">
        <f>182762.76</f>
        <v>182762.76</v>
      </c>
      <c r="C18" s="22">
        <f>182762.76</f>
        <v>182762.76</v>
      </c>
      <c r="D18" s="22">
        <f>0</f>
        <v>0</v>
      </c>
      <c r="E18" s="22">
        <f>0</f>
        <v>0</v>
      </c>
      <c r="F18" s="22">
        <f>0</f>
        <v>0</v>
      </c>
      <c r="G18" s="22">
        <f>0</f>
        <v>0</v>
      </c>
      <c r="H18" s="22">
        <f>0</f>
        <v>0</v>
      </c>
      <c r="I18" s="22">
        <f>0</f>
        <v>0</v>
      </c>
      <c r="J18" s="22">
        <f>182762.76</f>
        <v>182762.76</v>
      </c>
      <c r="K18" s="22">
        <f>0</f>
        <v>0</v>
      </c>
      <c r="L18" s="22">
        <f>0</f>
        <v>0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38.25" customHeight="1" x14ac:dyDescent="0.2">
      <c r="A19" s="18" t="s">
        <v>53</v>
      </c>
      <c r="B19" s="22">
        <f>40679380173.34</f>
        <v>40679380173.339996</v>
      </c>
      <c r="C19" s="22">
        <f>18995949282.41</f>
        <v>18995949282.41</v>
      </c>
      <c r="D19" s="22">
        <f>487084380.24</f>
        <v>487084380.24000001</v>
      </c>
      <c r="E19" s="22">
        <f>0</f>
        <v>0</v>
      </c>
      <c r="F19" s="22">
        <f>262406627.91</f>
        <v>262406627.91</v>
      </c>
      <c r="G19" s="22">
        <f>224677752.33</f>
        <v>224677752.33000001</v>
      </c>
      <c r="H19" s="22">
        <f>0</f>
        <v>0</v>
      </c>
      <c r="I19" s="22">
        <f>0</f>
        <v>0</v>
      </c>
      <c r="J19" s="22">
        <f>16357905433.64</f>
        <v>16357905433.639999</v>
      </c>
      <c r="K19" s="22">
        <f>652937264.9</f>
        <v>652937264.89999998</v>
      </c>
      <c r="L19" s="22">
        <f>1497784350.14</f>
        <v>1497784350.1400001</v>
      </c>
      <c r="M19" s="22">
        <f>237853.49</f>
        <v>237853.49</v>
      </c>
      <c r="N19" s="22">
        <f>0</f>
        <v>0</v>
      </c>
      <c r="O19" s="22">
        <f>21683430890.93</f>
        <v>21683430890.93</v>
      </c>
      <c r="P19" s="22">
        <f>21606730890.93</f>
        <v>21606730890.93</v>
      </c>
      <c r="Q19" s="22">
        <f>76700000</f>
        <v>76700000</v>
      </c>
    </row>
    <row r="20" spans="1:17" ht="38.25" customHeight="1" x14ac:dyDescent="0.2">
      <c r="A20" s="20" t="s">
        <v>54</v>
      </c>
      <c r="B20" s="21">
        <f>0</f>
        <v>0</v>
      </c>
      <c r="C20" s="21">
        <f>0</f>
        <v>0</v>
      </c>
      <c r="D20" s="21">
        <f>0</f>
        <v>0</v>
      </c>
      <c r="E20" s="21">
        <f>0</f>
        <v>0</v>
      </c>
      <c r="F20" s="21">
        <f>0</f>
        <v>0</v>
      </c>
      <c r="G20" s="21">
        <f>0</f>
        <v>0</v>
      </c>
      <c r="H20" s="21">
        <f>0</f>
        <v>0</v>
      </c>
      <c r="I20" s="21">
        <f>0</f>
        <v>0</v>
      </c>
      <c r="J20" s="21">
        <f>0</f>
        <v>0</v>
      </c>
      <c r="K20" s="21">
        <f>0</f>
        <v>0</v>
      </c>
      <c r="L20" s="21">
        <f>0</f>
        <v>0</v>
      </c>
      <c r="M20" s="21">
        <f>0</f>
        <v>0</v>
      </c>
      <c r="N20" s="21">
        <f>0</f>
        <v>0</v>
      </c>
      <c r="O20" s="21">
        <f>0</f>
        <v>0</v>
      </c>
      <c r="P20" s="21">
        <f>0</f>
        <v>0</v>
      </c>
      <c r="Q20" s="21">
        <f>0</f>
        <v>0</v>
      </c>
    </row>
    <row r="21" spans="1:17" ht="38.25" customHeight="1" x14ac:dyDescent="0.2">
      <c r="A21" s="20" t="s">
        <v>80</v>
      </c>
      <c r="B21" s="21">
        <f>22362847.14</f>
        <v>22362847.140000001</v>
      </c>
      <c r="C21" s="21">
        <f>22362847.14</f>
        <v>22362847.140000001</v>
      </c>
      <c r="D21" s="21">
        <f>4104328.19</f>
        <v>4104328.19</v>
      </c>
      <c r="E21" s="21">
        <f>414.03</f>
        <v>414.03</v>
      </c>
      <c r="F21" s="21">
        <f>0</f>
        <v>0</v>
      </c>
      <c r="G21" s="21">
        <f>4103914.16</f>
        <v>4103914.16</v>
      </c>
      <c r="H21" s="21">
        <f>0</f>
        <v>0</v>
      </c>
      <c r="I21" s="21">
        <f>0</f>
        <v>0</v>
      </c>
      <c r="J21" s="21">
        <f>0</f>
        <v>0</v>
      </c>
      <c r="K21" s="21">
        <f>0</f>
        <v>0</v>
      </c>
      <c r="L21" s="21">
        <f>3075842.91</f>
        <v>3075842.91</v>
      </c>
      <c r="M21" s="21">
        <f>12695106.96</f>
        <v>12695106.960000001</v>
      </c>
      <c r="N21" s="21">
        <f>2487569.08</f>
        <v>2487569.08</v>
      </c>
      <c r="O21" s="21">
        <f>0</f>
        <v>0</v>
      </c>
      <c r="P21" s="21">
        <f>0</f>
        <v>0</v>
      </c>
      <c r="Q21" s="21">
        <f>0</f>
        <v>0</v>
      </c>
    </row>
    <row r="22" spans="1:17" ht="38.25" customHeight="1" x14ac:dyDescent="0.2">
      <c r="A22" s="18" t="s">
        <v>55</v>
      </c>
      <c r="B22" s="22">
        <f>15124280.94</f>
        <v>15124280.939999999</v>
      </c>
      <c r="C22" s="22">
        <f>15124280.94</f>
        <v>15124280.939999999</v>
      </c>
      <c r="D22" s="22">
        <f>1147673.52</f>
        <v>1147673.52</v>
      </c>
      <c r="E22" s="22">
        <f>181.04</f>
        <v>181.04</v>
      </c>
      <c r="F22" s="22">
        <f>0</f>
        <v>0</v>
      </c>
      <c r="G22" s="22">
        <f>1147492.48</f>
        <v>1147492.48</v>
      </c>
      <c r="H22" s="22">
        <f>0</f>
        <v>0</v>
      </c>
      <c r="I22" s="22">
        <f>0</f>
        <v>0</v>
      </c>
      <c r="J22" s="22">
        <f>0</f>
        <v>0</v>
      </c>
      <c r="K22" s="22">
        <f>0</f>
        <v>0</v>
      </c>
      <c r="L22" s="22">
        <f>314106.7</f>
        <v>314106.7</v>
      </c>
      <c r="M22" s="22">
        <f>11184242.74</f>
        <v>11184242.74</v>
      </c>
      <c r="N22" s="22">
        <f>2478257.98</f>
        <v>2478257.98</v>
      </c>
      <c r="O22" s="22">
        <f>0</f>
        <v>0</v>
      </c>
      <c r="P22" s="22">
        <f>0</f>
        <v>0</v>
      </c>
      <c r="Q22" s="22">
        <f>0</f>
        <v>0</v>
      </c>
    </row>
    <row r="23" spans="1:17" ht="38.25" customHeight="1" x14ac:dyDescent="0.2">
      <c r="A23" s="18" t="s">
        <v>56</v>
      </c>
      <c r="B23" s="22">
        <f>7238566.2</f>
        <v>7238566.2000000002</v>
      </c>
      <c r="C23" s="22">
        <f>7238566.2</f>
        <v>7238566.2000000002</v>
      </c>
      <c r="D23" s="22">
        <f>2956654.67</f>
        <v>2956654.67</v>
      </c>
      <c r="E23" s="22">
        <f>232.99</f>
        <v>232.99</v>
      </c>
      <c r="F23" s="22">
        <f>0</f>
        <v>0</v>
      </c>
      <c r="G23" s="22">
        <f>2956421.68</f>
        <v>2956421.68</v>
      </c>
      <c r="H23" s="22">
        <f>0</f>
        <v>0</v>
      </c>
      <c r="I23" s="22">
        <f>0</f>
        <v>0</v>
      </c>
      <c r="J23" s="22">
        <f>0</f>
        <v>0</v>
      </c>
      <c r="K23" s="22">
        <f>0</f>
        <v>0</v>
      </c>
      <c r="L23" s="22">
        <f>2761736.21</f>
        <v>2761736.21</v>
      </c>
      <c r="M23" s="22">
        <f>1510864.22</f>
        <v>1510864.22</v>
      </c>
      <c r="N23" s="22">
        <f>9311.1</f>
        <v>9311.1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9.5" customHeight="1" x14ac:dyDescent="0.2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ht="45.75" customHeight="1" x14ac:dyDescent="0.2">
      <c r="A30" s="36" t="str">
        <f>CONCATENATE("Informacja z wykonania budżetów miast na prawach powiatu za  ",$C$93," ",$B$94," roku     ",$B$96,"")</f>
        <v xml:space="preserve">Informacja z wykonania budżetów miast na prawach powiatu za  I Kwartał 2022 roku     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2" spans="1:17" ht="13.5" customHeight="1" x14ac:dyDescent="0.2">
      <c r="A32" s="37" t="s">
        <v>12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4" spans="1:17" ht="13.5" customHeight="1" x14ac:dyDescent="0.2">
      <c r="A34" s="26" t="s">
        <v>0</v>
      </c>
      <c r="B34" s="38" t="s">
        <v>13</v>
      </c>
      <c r="C34" s="33" t="s">
        <v>15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5"/>
      <c r="O34" s="33" t="s">
        <v>25</v>
      </c>
      <c r="P34" s="34"/>
      <c r="Q34" s="35"/>
    </row>
    <row r="35" spans="1:17" ht="13.5" customHeight="1" x14ac:dyDescent="0.2">
      <c r="A35" s="27"/>
      <c r="B35" s="29"/>
      <c r="C35" s="29" t="s">
        <v>14</v>
      </c>
      <c r="D35" s="31" t="s">
        <v>16</v>
      </c>
      <c r="E35" s="31" t="s">
        <v>26</v>
      </c>
      <c r="F35" s="31" t="s">
        <v>27</v>
      </c>
      <c r="G35" s="31" t="s">
        <v>75</v>
      </c>
      <c r="H35" s="31" t="s">
        <v>29</v>
      </c>
      <c r="I35" s="31" t="s">
        <v>2</v>
      </c>
      <c r="J35" s="31" t="s">
        <v>17</v>
      </c>
      <c r="K35" s="31" t="s">
        <v>18</v>
      </c>
      <c r="L35" s="31" t="s">
        <v>19</v>
      </c>
      <c r="M35" s="31" t="s">
        <v>20</v>
      </c>
      <c r="N35" s="75" t="s">
        <v>21</v>
      </c>
      <c r="O35" s="31" t="s">
        <v>22</v>
      </c>
      <c r="P35" s="31" t="s">
        <v>23</v>
      </c>
      <c r="Q35" s="38" t="s">
        <v>24</v>
      </c>
    </row>
    <row r="36" spans="1:17" ht="11.25" customHeight="1" x14ac:dyDescent="0.2">
      <c r="A36" s="27"/>
      <c r="B36" s="29"/>
      <c r="C36" s="29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5"/>
      <c r="O36" s="31"/>
      <c r="P36" s="31"/>
      <c r="Q36" s="29"/>
    </row>
    <row r="37" spans="1:17" ht="24.75" customHeight="1" x14ac:dyDescent="0.2">
      <c r="A37" s="28"/>
      <c r="B37" s="30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5"/>
      <c r="O37" s="31"/>
      <c r="P37" s="31"/>
      <c r="Q37" s="30"/>
    </row>
    <row r="38" spans="1:17" ht="13.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2.75" customHeight="1" x14ac:dyDescent="0.2">
      <c r="A39" s="13"/>
      <c r="B39" s="61" t="s">
        <v>79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62"/>
    </row>
    <row r="40" spans="1:17" ht="26.25" customHeight="1" x14ac:dyDescent="0.2">
      <c r="A40" s="25" t="s">
        <v>42</v>
      </c>
      <c r="B40" s="23">
        <f>108849.9</f>
        <v>108849.9</v>
      </c>
      <c r="C40" s="23">
        <f>108849.9</f>
        <v>108849.9</v>
      </c>
      <c r="D40" s="23">
        <f>0</f>
        <v>0</v>
      </c>
      <c r="E40" s="23">
        <f>0</f>
        <v>0</v>
      </c>
      <c r="F40" s="23">
        <f>0</f>
        <v>0</v>
      </c>
      <c r="G40" s="23">
        <f>0</f>
        <v>0</v>
      </c>
      <c r="H40" s="23">
        <f>0</f>
        <v>0</v>
      </c>
      <c r="I40" s="23">
        <f>0</f>
        <v>0</v>
      </c>
      <c r="J40" s="23">
        <f>0</f>
        <v>0</v>
      </c>
      <c r="K40" s="23">
        <f>0</f>
        <v>0</v>
      </c>
      <c r="L40" s="23">
        <f>108849.9</f>
        <v>108849.9</v>
      </c>
      <c r="M40" s="23">
        <f>0</f>
        <v>0</v>
      </c>
      <c r="N40" s="23">
        <f>0</f>
        <v>0</v>
      </c>
      <c r="O40" s="23">
        <f>0</f>
        <v>0</v>
      </c>
      <c r="P40" s="23">
        <f>0</f>
        <v>0</v>
      </c>
      <c r="Q40" s="23">
        <f>0</f>
        <v>0</v>
      </c>
    </row>
    <row r="41" spans="1:17" ht="26.25" customHeight="1" x14ac:dyDescent="0.2">
      <c r="A41" s="19" t="s">
        <v>30</v>
      </c>
      <c r="B41" s="24">
        <f>0</f>
        <v>0</v>
      </c>
      <c r="C41" s="24">
        <f>0</f>
        <v>0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0</f>
        <v>0</v>
      </c>
      <c r="K41" s="24">
        <f>0</f>
        <v>0</v>
      </c>
      <c r="L41" s="24">
        <f>0</f>
        <v>0</v>
      </c>
      <c r="M41" s="24">
        <f>0</f>
        <v>0</v>
      </c>
      <c r="N41" s="24">
        <f>0</f>
        <v>0</v>
      </c>
      <c r="O41" s="24">
        <f>0</f>
        <v>0</v>
      </c>
      <c r="P41" s="24">
        <f>0</f>
        <v>0</v>
      </c>
      <c r="Q41" s="24">
        <f>0</f>
        <v>0</v>
      </c>
    </row>
    <row r="42" spans="1:17" ht="26.25" customHeight="1" x14ac:dyDescent="0.2">
      <c r="A42" s="19" t="s">
        <v>31</v>
      </c>
      <c r="B42" s="24">
        <f>108849.9</f>
        <v>108849.9</v>
      </c>
      <c r="C42" s="24">
        <f>108849.9</f>
        <v>108849.9</v>
      </c>
      <c r="D42" s="24">
        <f>0</f>
        <v>0</v>
      </c>
      <c r="E42" s="24">
        <f>0</f>
        <v>0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108849.9</f>
        <v>108849.9</v>
      </c>
      <c r="M42" s="24">
        <f>0</f>
        <v>0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6.25" customHeight="1" x14ac:dyDescent="0.2">
      <c r="A43" s="25" t="s">
        <v>43</v>
      </c>
      <c r="B43" s="23">
        <f>395182175.5</f>
        <v>395182175.5</v>
      </c>
      <c r="C43" s="23">
        <f>395182175.5</f>
        <v>395182175.5</v>
      </c>
      <c r="D43" s="23">
        <f>127327851.4</f>
        <v>127327851.40000001</v>
      </c>
      <c r="E43" s="23">
        <f>74021</f>
        <v>74021</v>
      </c>
      <c r="F43" s="23">
        <f>113427.5</f>
        <v>113427.5</v>
      </c>
      <c r="G43" s="23">
        <f>120490402.9</f>
        <v>120490402.90000001</v>
      </c>
      <c r="H43" s="23">
        <f>6650000</f>
        <v>6650000</v>
      </c>
      <c r="I43" s="23">
        <f>0</f>
        <v>0</v>
      </c>
      <c r="J43" s="23">
        <f>0</f>
        <v>0</v>
      </c>
      <c r="K43" s="23">
        <f>154560</f>
        <v>154560</v>
      </c>
      <c r="L43" s="23">
        <f>173949567.33</f>
        <v>173949567.33000001</v>
      </c>
      <c r="M43" s="23">
        <f>89856155.32</f>
        <v>89856155.319999993</v>
      </c>
      <c r="N43" s="23">
        <f>3894041.45</f>
        <v>3894041.45</v>
      </c>
      <c r="O43" s="23">
        <f>0</f>
        <v>0</v>
      </c>
      <c r="P43" s="23">
        <f>0</f>
        <v>0</v>
      </c>
      <c r="Q43" s="23">
        <f>0</f>
        <v>0</v>
      </c>
    </row>
    <row r="44" spans="1:17" ht="26.25" customHeight="1" x14ac:dyDescent="0.2">
      <c r="A44" s="19" t="s">
        <v>32</v>
      </c>
      <c r="B44" s="24">
        <f>57654241.43</f>
        <v>57654241.43</v>
      </c>
      <c r="C44" s="24">
        <f>57654241.43</f>
        <v>57654241.43</v>
      </c>
      <c r="D44" s="24">
        <f>18358952.64</f>
        <v>18358952.640000001</v>
      </c>
      <c r="E44" s="24">
        <f>74021</f>
        <v>74021</v>
      </c>
      <c r="F44" s="24">
        <f>0</f>
        <v>0</v>
      </c>
      <c r="G44" s="24">
        <f>16284931.64</f>
        <v>16284931.640000001</v>
      </c>
      <c r="H44" s="24">
        <f>2000000</f>
        <v>2000000</v>
      </c>
      <c r="I44" s="24">
        <f>0</f>
        <v>0</v>
      </c>
      <c r="J44" s="24">
        <f>0</f>
        <v>0</v>
      </c>
      <c r="K44" s="24">
        <f>154560</f>
        <v>154560</v>
      </c>
      <c r="L44" s="24">
        <f>19818079.93</f>
        <v>19818079.93</v>
      </c>
      <c r="M44" s="24">
        <f>19242648.86</f>
        <v>19242648.859999999</v>
      </c>
      <c r="N44" s="24">
        <f>80000</f>
        <v>80000</v>
      </c>
      <c r="O44" s="24">
        <f>0</f>
        <v>0</v>
      </c>
      <c r="P44" s="24">
        <f>0</f>
        <v>0</v>
      </c>
      <c r="Q44" s="24">
        <f>0</f>
        <v>0</v>
      </c>
    </row>
    <row r="45" spans="1:17" ht="26.25" customHeight="1" x14ac:dyDescent="0.2">
      <c r="A45" s="19" t="s">
        <v>33</v>
      </c>
      <c r="B45" s="24">
        <f>337527934.07</f>
        <v>337527934.06999999</v>
      </c>
      <c r="C45" s="24">
        <f>337527934.07</f>
        <v>337527934.06999999</v>
      </c>
      <c r="D45" s="24">
        <f>108968898.76</f>
        <v>108968898.76000001</v>
      </c>
      <c r="E45" s="24">
        <f>0</f>
        <v>0</v>
      </c>
      <c r="F45" s="24">
        <f>113427.5</f>
        <v>113427.5</v>
      </c>
      <c r="G45" s="24">
        <f>104205471.26</f>
        <v>104205471.26000001</v>
      </c>
      <c r="H45" s="24">
        <f>4650000</f>
        <v>4650000</v>
      </c>
      <c r="I45" s="24">
        <f>0</f>
        <v>0</v>
      </c>
      <c r="J45" s="24">
        <f>0</f>
        <v>0</v>
      </c>
      <c r="K45" s="24">
        <f>0</f>
        <v>0</v>
      </c>
      <c r="L45" s="24">
        <f>154131487.4</f>
        <v>154131487.40000001</v>
      </c>
      <c r="M45" s="24">
        <f>70613506.46</f>
        <v>70613506.459999993</v>
      </c>
      <c r="N45" s="24">
        <f>3814041.45</f>
        <v>3814041.45</v>
      </c>
      <c r="O45" s="24">
        <f>0</f>
        <v>0</v>
      </c>
      <c r="P45" s="24">
        <f>0</f>
        <v>0</v>
      </c>
      <c r="Q45" s="24">
        <f>0</f>
        <v>0</v>
      </c>
    </row>
    <row r="46" spans="1:17" ht="26.25" customHeight="1" x14ac:dyDescent="0.2">
      <c r="A46" s="25" t="s">
        <v>44</v>
      </c>
      <c r="B46" s="23">
        <f>18457045033.01</f>
        <v>18457045033.009998</v>
      </c>
      <c r="C46" s="23">
        <f>18457045033.01</f>
        <v>18457045033.009998</v>
      </c>
      <c r="D46" s="23">
        <f>18454874.56</f>
        <v>18454874.559999999</v>
      </c>
      <c r="E46" s="23">
        <f>68343.42</f>
        <v>68343.42</v>
      </c>
      <c r="F46" s="23">
        <f>28836.81</f>
        <v>28836.81</v>
      </c>
      <c r="G46" s="23">
        <f>18357694.33</f>
        <v>18357694.329999998</v>
      </c>
      <c r="H46" s="23">
        <f>0</f>
        <v>0</v>
      </c>
      <c r="I46" s="23">
        <f>12190028.32</f>
        <v>12190028.32</v>
      </c>
      <c r="J46" s="23">
        <f>18424073676.94</f>
        <v>18424073676.939999</v>
      </c>
      <c r="K46" s="23">
        <f>40002.27</f>
        <v>40002.269999999997</v>
      </c>
      <c r="L46" s="23">
        <f>2105376.96</f>
        <v>2105376.96</v>
      </c>
      <c r="M46" s="23">
        <f>24058.7</f>
        <v>24058.7</v>
      </c>
      <c r="N46" s="23">
        <f>157015.26</f>
        <v>157015.26</v>
      </c>
      <c r="O46" s="23">
        <f>0</f>
        <v>0</v>
      </c>
      <c r="P46" s="23">
        <f>0</f>
        <v>0</v>
      </c>
      <c r="Q46" s="23">
        <f>0</f>
        <v>0</v>
      </c>
    </row>
    <row r="47" spans="1:17" ht="26.25" customHeight="1" x14ac:dyDescent="0.2">
      <c r="A47" s="19" t="s">
        <v>34</v>
      </c>
      <c r="B47" s="24">
        <f>8164241.39</f>
        <v>8164241.3899999997</v>
      </c>
      <c r="C47" s="24">
        <f>8164241.39</f>
        <v>8164241.3899999997</v>
      </c>
      <c r="D47" s="24">
        <f>8149063.95</f>
        <v>8149063.9500000002</v>
      </c>
      <c r="E47" s="24">
        <f>0</f>
        <v>0</v>
      </c>
      <c r="F47" s="24">
        <f>0</f>
        <v>0</v>
      </c>
      <c r="G47" s="24">
        <f>8149063.95</f>
        <v>8149063.9500000002</v>
      </c>
      <c r="H47" s="24">
        <f>0</f>
        <v>0</v>
      </c>
      <c r="I47" s="24">
        <f>0</f>
        <v>0</v>
      </c>
      <c r="J47" s="24">
        <f>15177.44</f>
        <v>15177.44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6.25" customHeight="1" x14ac:dyDescent="0.2">
      <c r="A48" s="19" t="s">
        <v>35</v>
      </c>
      <c r="B48" s="24">
        <f>12772797377.52</f>
        <v>12772797377.52</v>
      </c>
      <c r="C48" s="24">
        <f>12772797377.52</f>
        <v>12772797377.52</v>
      </c>
      <c r="D48" s="24">
        <f>10112551.87</f>
        <v>10112551.869999999</v>
      </c>
      <c r="E48" s="24">
        <f>14000</f>
        <v>14000</v>
      </c>
      <c r="F48" s="24">
        <f>545.81</f>
        <v>545.80999999999995</v>
      </c>
      <c r="G48" s="24">
        <f>10098006.06</f>
        <v>10098006.060000001</v>
      </c>
      <c r="H48" s="24">
        <f>0</f>
        <v>0</v>
      </c>
      <c r="I48" s="24">
        <f>12137612.32</f>
        <v>12137612.32</v>
      </c>
      <c r="J48" s="24">
        <f>12749776369.76</f>
        <v>12749776369.76</v>
      </c>
      <c r="K48" s="24">
        <f>37258.27</f>
        <v>37258.269999999997</v>
      </c>
      <c r="L48" s="24">
        <f>731916.6</f>
        <v>731916.6</v>
      </c>
      <c r="M48" s="24">
        <f>1668.7</f>
        <v>1668.7</v>
      </c>
      <c r="N48" s="24">
        <f>0</f>
        <v>0</v>
      </c>
      <c r="O48" s="24">
        <f>0</f>
        <v>0</v>
      </c>
      <c r="P48" s="24">
        <f>0</f>
        <v>0</v>
      </c>
      <c r="Q48" s="24">
        <f>0</f>
        <v>0</v>
      </c>
    </row>
    <row r="49" spans="1:17" ht="26.25" customHeight="1" x14ac:dyDescent="0.2">
      <c r="A49" s="19" t="s">
        <v>36</v>
      </c>
      <c r="B49" s="24">
        <f>5676083414.1</f>
        <v>5676083414.1000004</v>
      </c>
      <c r="C49" s="24">
        <f>5676083414.1</f>
        <v>5676083414.1000004</v>
      </c>
      <c r="D49" s="24">
        <f>193258.74</f>
        <v>193258.74</v>
      </c>
      <c r="E49" s="24">
        <f>54343.42</f>
        <v>54343.42</v>
      </c>
      <c r="F49" s="24">
        <f>28291</f>
        <v>28291</v>
      </c>
      <c r="G49" s="24">
        <f>110624.32</f>
        <v>110624.32000000001</v>
      </c>
      <c r="H49" s="24">
        <f>0</f>
        <v>0</v>
      </c>
      <c r="I49" s="24">
        <f>52416</f>
        <v>52416</v>
      </c>
      <c r="J49" s="24">
        <f>5674282129.74</f>
        <v>5674282129.7399998</v>
      </c>
      <c r="K49" s="24">
        <f>2744</f>
        <v>2744</v>
      </c>
      <c r="L49" s="24">
        <f>1373460.36</f>
        <v>1373460.36</v>
      </c>
      <c r="M49" s="24">
        <f>22390</f>
        <v>22390</v>
      </c>
      <c r="N49" s="24">
        <f>157015.26</f>
        <v>157015.26</v>
      </c>
      <c r="O49" s="24">
        <f>0</f>
        <v>0</v>
      </c>
      <c r="P49" s="24">
        <f>0</f>
        <v>0</v>
      </c>
      <c r="Q49" s="24">
        <f>0</f>
        <v>0</v>
      </c>
    </row>
    <row r="50" spans="1:17" ht="26.25" customHeight="1" x14ac:dyDescent="0.2">
      <c r="A50" s="25" t="s">
        <v>45</v>
      </c>
      <c r="B50" s="23">
        <f>11996866813.62</f>
        <v>11996866813.620001</v>
      </c>
      <c r="C50" s="23">
        <f>11971467905.23</f>
        <v>11971467905.23</v>
      </c>
      <c r="D50" s="23">
        <f>375998399.89</f>
        <v>375998399.88999999</v>
      </c>
      <c r="E50" s="23">
        <f>72525576.2</f>
        <v>72525576.200000003</v>
      </c>
      <c r="F50" s="23">
        <f>10570738.55</f>
        <v>10570738.550000001</v>
      </c>
      <c r="G50" s="23">
        <f>291907055.47</f>
        <v>291907055.47000003</v>
      </c>
      <c r="H50" s="23">
        <f>995029.67</f>
        <v>995029.67</v>
      </c>
      <c r="I50" s="23">
        <f>3</f>
        <v>3</v>
      </c>
      <c r="J50" s="23">
        <f>541357.41</f>
        <v>541357.41</v>
      </c>
      <c r="K50" s="23">
        <f>72371728.57</f>
        <v>72371728.569999993</v>
      </c>
      <c r="L50" s="23">
        <f>2572798312.28</f>
        <v>2572798312.2800002</v>
      </c>
      <c r="M50" s="23">
        <f>8867637536.17</f>
        <v>8867637536.1700001</v>
      </c>
      <c r="N50" s="23">
        <f>82120567.91</f>
        <v>82120567.909999996</v>
      </c>
      <c r="O50" s="23">
        <f>25398908.39</f>
        <v>25398908.390000001</v>
      </c>
      <c r="P50" s="23">
        <f>14397473.8</f>
        <v>14397473.800000001</v>
      </c>
      <c r="Q50" s="23">
        <f>11001434.59</f>
        <v>11001434.59</v>
      </c>
    </row>
    <row r="51" spans="1:17" ht="26.25" customHeight="1" x14ac:dyDescent="0.2">
      <c r="A51" s="19" t="s">
        <v>37</v>
      </c>
      <c r="B51" s="24">
        <f>5073073342.41</f>
        <v>5073073342.4099998</v>
      </c>
      <c r="C51" s="24">
        <f>5071042857.85</f>
        <v>5071042857.8500004</v>
      </c>
      <c r="D51" s="24">
        <f>72393001.66</f>
        <v>72393001.659999996</v>
      </c>
      <c r="E51" s="24">
        <f>1161743.12</f>
        <v>1161743.1200000001</v>
      </c>
      <c r="F51" s="24">
        <f>2667515</f>
        <v>2667515</v>
      </c>
      <c r="G51" s="24">
        <f>68562606.8</f>
        <v>68562606.799999997</v>
      </c>
      <c r="H51" s="24">
        <f>1136.74</f>
        <v>1136.74</v>
      </c>
      <c r="I51" s="24">
        <f>0</f>
        <v>0</v>
      </c>
      <c r="J51" s="24">
        <f>30797.27</f>
        <v>30797.27</v>
      </c>
      <c r="K51" s="24">
        <f>374222.2</f>
        <v>374222.2</v>
      </c>
      <c r="L51" s="24">
        <f>695085000.72</f>
        <v>695085000.72000003</v>
      </c>
      <c r="M51" s="24">
        <f>4268967201.23</f>
        <v>4268967201.23</v>
      </c>
      <c r="N51" s="24">
        <f>34192634.77</f>
        <v>34192634.770000003</v>
      </c>
      <c r="O51" s="24">
        <f>2030484.56</f>
        <v>2030484.56</v>
      </c>
      <c r="P51" s="24">
        <f>502734.83</f>
        <v>502734.83</v>
      </c>
      <c r="Q51" s="24">
        <f>1527749.73</f>
        <v>1527749.73</v>
      </c>
    </row>
    <row r="52" spans="1:17" ht="26.25" customHeight="1" x14ac:dyDescent="0.2">
      <c r="A52" s="19" t="s">
        <v>38</v>
      </c>
      <c r="B52" s="24">
        <f>6923793471.21</f>
        <v>6923793471.21</v>
      </c>
      <c r="C52" s="24">
        <f>6900425047.38</f>
        <v>6900425047.3800001</v>
      </c>
      <c r="D52" s="24">
        <f>303605398.23</f>
        <v>303605398.23000002</v>
      </c>
      <c r="E52" s="24">
        <f>71363833.08</f>
        <v>71363833.079999998</v>
      </c>
      <c r="F52" s="24">
        <f>7903223.55</f>
        <v>7903223.5499999998</v>
      </c>
      <c r="G52" s="24">
        <f>223344448.67</f>
        <v>223344448.66999999</v>
      </c>
      <c r="H52" s="24">
        <f>993892.93</f>
        <v>993892.93</v>
      </c>
      <c r="I52" s="24">
        <f>3</f>
        <v>3</v>
      </c>
      <c r="J52" s="24">
        <f>510560.14</f>
        <v>510560.14</v>
      </c>
      <c r="K52" s="24">
        <f>71997506.37</f>
        <v>71997506.370000005</v>
      </c>
      <c r="L52" s="24">
        <f>1877713311.56</f>
        <v>1877713311.5599999</v>
      </c>
      <c r="M52" s="24">
        <f>4598670334.94</f>
        <v>4598670334.9399996</v>
      </c>
      <c r="N52" s="24">
        <f>47927933.14</f>
        <v>47927933.140000001</v>
      </c>
      <c r="O52" s="24">
        <f>23368423.83</f>
        <v>23368423.829999998</v>
      </c>
      <c r="P52" s="24">
        <f>13894738.97</f>
        <v>13894738.970000001</v>
      </c>
      <c r="Q52" s="24">
        <f>9473684.86</f>
        <v>9473684.8599999994</v>
      </c>
    </row>
    <row r="53" spans="1:17" ht="26.25" customHeight="1" x14ac:dyDescent="0.2">
      <c r="A53" s="25" t="s">
        <v>46</v>
      </c>
      <c r="B53" s="23">
        <f>12590771090.25</f>
        <v>12590771090.25</v>
      </c>
      <c r="C53" s="23">
        <f>12545609771.13</f>
        <v>12545609771.129999</v>
      </c>
      <c r="D53" s="23">
        <f>999368145.01</f>
        <v>999368145.00999999</v>
      </c>
      <c r="E53" s="23">
        <f>386200344.46</f>
        <v>386200344.45999998</v>
      </c>
      <c r="F53" s="23">
        <f>70933129.52</f>
        <v>70933129.519999996</v>
      </c>
      <c r="G53" s="23">
        <f>523336981.39</f>
        <v>523336981.38999999</v>
      </c>
      <c r="H53" s="23">
        <f>18897689.64</f>
        <v>18897689.640000001</v>
      </c>
      <c r="I53" s="23">
        <f>3382686.22</f>
        <v>3382686.22</v>
      </c>
      <c r="J53" s="23">
        <f>18971475.54</f>
        <v>18971475.539999999</v>
      </c>
      <c r="K53" s="23">
        <f>37267729.13</f>
        <v>37267729.130000003</v>
      </c>
      <c r="L53" s="23">
        <f>8118565660.1</f>
        <v>8118565660.1000004</v>
      </c>
      <c r="M53" s="23">
        <f>3076049006.28</f>
        <v>3076049006.2800002</v>
      </c>
      <c r="N53" s="23">
        <f>292005068.85</f>
        <v>292005068.85000002</v>
      </c>
      <c r="O53" s="23">
        <f>45161319.12</f>
        <v>45161319.119999997</v>
      </c>
      <c r="P53" s="23">
        <f>40765042.07</f>
        <v>40765042.07</v>
      </c>
      <c r="Q53" s="23">
        <f>4396277.05</f>
        <v>4396277.05</v>
      </c>
    </row>
    <row r="54" spans="1:17" ht="26.25" customHeight="1" x14ac:dyDescent="0.2">
      <c r="A54" s="19" t="s">
        <v>39</v>
      </c>
      <c r="B54" s="24">
        <f>942560958.49</f>
        <v>942560958.49000001</v>
      </c>
      <c r="C54" s="24">
        <f>941877775.26</f>
        <v>941877775.25999999</v>
      </c>
      <c r="D54" s="24">
        <f>52019180.8</f>
        <v>52019180.799999997</v>
      </c>
      <c r="E54" s="24">
        <f>6852605.14</f>
        <v>6852605.1399999997</v>
      </c>
      <c r="F54" s="24">
        <f>1037238.93</f>
        <v>1037238.93</v>
      </c>
      <c r="G54" s="24">
        <f>43643172.58</f>
        <v>43643172.579999998</v>
      </c>
      <c r="H54" s="24">
        <f>486164.15</f>
        <v>486164.15</v>
      </c>
      <c r="I54" s="24">
        <f>0</f>
        <v>0</v>
      </c>
      <c r="J54" s="24">
        <f>280353.61</f>
        <v>280353.61</v>
      </c>
      <c r="K54" s="24">
        <f>577658.12</f>
        <v>577658.12</v>
      </c>
      <c r="L54" s="24">
        <f>351863625.59</f>
        <v>351863625.58999997</v>
      </c>
      <c r="M54" s="24">
        <f>525979170.58</f>
        <v>525979170.57999998</v>
      </c>
      <c r="N54" s="24">
        <f>11157786.56</f>
        <v>11157786.560000001</v>
      </c>
      <c r="O54" s="24">
        <f>683183.23</f>
        <v>683183.23</v>
      </c>
      <c r="P54" s="24">
        <f>522772.54</f>
        <v>522772.54</v>
      </c>
      <c r="Q54" s="24">
        <f>160410.69</f>
        <v>160410.69</v>
      </c>
    </row>
    <row r="55" spans="1:17" ht="36.75" customHeight="1" x14ac:dyDescent="0.2">
      <c r="A55" s="19" t="s">
        <v>40</v>
      </c>
      <c r="B55" s="24">
        <f>7752333943</f>
        <v>7752333943</v>
      </c>
      <c r="C55" s="24">
        <f>7735207783.6</f>
        <v>7735207783.6000004</v>
      </c>
      <c r="D55" s="24">
        <f>452813965.23</f>
        <v>452813965.23000002</v>
      </c>
      <c r="E55" s="24">
        <f>97335911.77</f>
        <v>97335911.769999996</v>
      </c>
      <c r="F55" s="24">
        <f>58231784.66</f>
        <v>58231784.659999996</v>
      </c>
      <c r="G55" s="24">
        <f>281502574.92</f>
        <v>281502574.92000002</v>
      </c>
      <c r="H55" s="24">
        <f>15743693.88</f>
        <v>15743693.880000001</v>
      </c>
      <c r="I55" s="24">
        <f>3284944.7</f>
        <v>3284944.7</v>
      </c>
      <c r="J55" s="24">
        <f>18175427.66</f>
        <v>18175427.66</v>
      </c>
      <c r="K55" s="24">
        <f>34669339.38</f>
        <v>34669339.380000003</v>
      </c>
      <c r="L55" s="24">
        <f>5996890102.81</f>
        <v>5996890102.8100004</v>
      </c>
      <c r="M55" s="24">
        <f>1159320747.48</f>
        <v>1159320747.48</v>
      </c>
      <c r="N55" s="24">
        <f>70053256.34</f>
        <v>70053256.340000004</v>
      </c>
      <c r="O55" s="24">
        <f>17126159.4</f>
        <v>17126159.399999999</v>
      </c>
      <c r="P55" s="24">
        <f>14964184.09</f>
        <v>14964184.09</v>
      </c>
      <c r="Q55" s="24">
        <f>2161975.31</f>
        <v>2161975.31</v>
      </c>
    </row>
    <row r="56" spans="1:17" ht="26.25" customHeight="1" x14ac:dyDescent="0.2">
      <c r="A56" s="19" t="s">
        <v>41</v>
      </c>
      <c r="B56" s="24">
        <f>3895876188.76</f>
        <v>3895876188.7600002</v>
      </c>
      <c r="C56" s="24">
        <f>3868524212.27</f>
        <v>3868524212.27</v>
      </c>
      <c r="D56" s="24">
        <f>494534998.98</f>
        <v>494534998.98000002</v>
      </c>
      <c r="E56" s="24">
        <f>282011827.55</f>
        <v>282011827.55000001</v>
      </c>
      <c r="F56" s="24">
        <f>11664105.93</f>
        <v>11664105.93</v>
      </c>
      <c r="G56" s="24">
        <f>198191233.89</f>
        <v>198191233.88999999</v>
      </c>
      <c r="H56" s="24">
        <f>2667831.61</f>
        <v>2667831.61</v>
      </c>
      <c r="I56" s="24">
        <f>97741.52</f>
        <v>97741.52</v>
      </c>
      <c r="J56" s="24">
        <f>515694.27</f>
        <v>515694.27</v>
      </c>
      <c r="K56" s="24">
        <f>2020731.63</f>
        <v>2020731.63</v>
      </c>
      <c r="L56" s="24">
        <f>1769811931.7</f>
        <v>1769811931.7</v>
      </c>
      <c r="M56" s="24">
        <f>1390749088.22</f>
        <v>1390749088.22</v>
      </c>
      <c r="N56" s="24">
        <f>210794025.95</f>
        <v>210794025.94999999</v>
      </c>
      <c r="O56" s="24">
        <f>27351976.49</f>
        <v>27351976.489999998</v>
      </c>
      <c r="P56" s="24">
        <f>25278085.44</f>
        <v>25278085.440000001</v>
      </c>
      <c r="Q56" s="24">
        <f>2073891.05</f>
        <v>2073891.05</v>
      </c>
    </row>
    <row r="66" spans="1:13" ht="75" customHeight="1" x14ac:dyDescent="0.2">
      <c r="A66" s="36" t="str">
        <f>CONCATENATE("Informacja z wykonania budżetów miast na prawach powiatu za  ",$C$93," ",$B$94," roku     ",$B$96,"")</f>
        <v xml:space="preserve">Informacja z wykonania budżetów miast na prawach powiatu za  I Kwartał 2022 roku     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1:13" ht="13.5" customHeight="1" x14ac:dyDescent="0.2">
      <c r="B67" s="37" t="s">
        <v>3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</row>
    <row r="69" spans="1:13" ht="13.5" customHeight="1" x14ac:dyDescent="0.2">
      <c r="B69" s="65" t="s">
        <v>0</v>
      </c>
      <c r="C69" s="66"/>
      <c r="D69" s="66"/>
      <c r="E69" s="67"/>
      <c r="F69" s="40" t="s">
        <v>73</v>
      </c>
      <c r="G69" s="61" t="s">
        <v>72</v>
      </c>
      <c r="H69" s="74"/>
      <c r="I69" s="74"/>
      <c r="J69" s="74"/>
      <c r="K69" s="74"/>
      <c r="L69" s="62"/>
    </row>
    <row r="70" spans="1:13" ht="13.5" customHeight="1" x14ac:dyDescent="0.2">
      <c r="B70" s="68"/>
      <c r="C70" s="69"/>
      <c r="D70" s="69"/>
      <c r="E70" s="70"/>
      <c r="F70" s="41"/>
      <c r="G70" s="43" t="s">
        <v>74</v>
      </c>
      <c r="H70" s="32" t="s">
        <v>70</v>
      </c>
      <c r="I70" s="32" t="s">
        <v>71</v>
      </c>
      <c r="J70" s="32" t="s">
        <v>75</v>
      </c>
      <c r="K70" s="32" t="s">
        <v>76</v>
      </c>
      <c r="L70" s="80" t="s">
        <v>77</v>
      </c>
    </row>
    <row r="71" spans="1:13" ht="13.5" customHeight="1" x14ac:dyDescent="0.2">
      <c r="B71" s="68"/>
      <c r="C71" s="69"/>
      <c r="D71" s="69"/>
      <c r="E71" s="70"/>
      <c r="F71" s="41"/>
      <c r="G71" s="43"/>
      <c r="H71" s="32"/>
      <c r="I71" s="32"/>
      <c r="J71" s="32"/>
      <c r="K71" s="32"/>
      <c r="L71" s="80"/>
    </row>
    <row r="72" spans="1:13" ht="11.25" customHeight="1" x14ac:dyDescent="0.2">
      <c r="B72" s="68"/>
      <c r="C72" s="69"/>
      <c r="D72" s="69"/>
      <c r="E72" s="70"/>
      <c r="F72" s="41"/>
      <c r="G72" s="43"/>
      <c r="H72" s="32"/>
      <c r="I72" s="32"/>
      <c r="J72" s="32"/>
      <c r="K72" s="32"/>
      <c r="L72" s="80"/>
    </row>
    <row r="73" spans="1:13" ht="11.25" customHeight="1" x14ac:dyDescent="0.2">
      <c r="B73" s="71"/>
      <c r="C73" s="72"/>
      <c r="D73" s="72"/>
      <c r="E73" s="73"/>
      <c r="F73" s="42"/>
      <c r="G73" s="43"/>
      <c r="H73" s="32"/>
      <c r="I73" s="32"/>
      <c r="J73" s="32"/>
      <c r="K73" s="32"/>
      <c r="L73" s="80"/>
    </row>
    <row r="74" spans="1:13" ht="11.25" customHeight="1" x14ac:dyDescent="0.2">
      <c r="B74" s="32">
        <v>1</v>
      </c>
      <c r="C74" s="32"/>
      <c r="D74" s="32"/>
      <c r="E74" s="32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13">
        <v>8</v>
      </c>
    </row>
    <row r="75" spans="1:13" ht="11.25" customHeight="1" x14ac:dyDescent="0.2">
      <c r="B75" s="76"/>
      <c r="C75" s="76"/>
      <c r="D75" s="76"/>
      <c r="E75" s="76"/>
      <c r="F75" s="32" t="s">
        <v>79</v>
      </c>
      <c r="G75" s="32"/>
      <c r="H75" s="32"/>
      <c r="I75" s="32"/>
      <c r="J75" s="32"/>
      <c r="K75" s="32"/>
      <c r="L75" s="32"/>
    </row>
    <row r="76" spans="1:13" ht="47.25" customHeight="1" x14ac:dyDescent="0.2">
      <c r="B76" s="53" t="s">
        <v>57</v>
      </c>
      <c r="C76" s="54"/>
      <c r="D76" s="54"/>
      <c r="E76" s="55"/>
      <c r="F76" s="22">
        <f>1763872600.62</f>
        <v>1763872600.6199999</v>
      </c>
      <c r="G76" s="22">
        <f>271361023.76</f>
        <v>271361023.75999999</v>
      </c>
      <c r="H76" s="22">
        <f>19147000</f>
        <v>19147000</v>
      </c>
      <c r="I76" s="22">
        <f>103610751</f>
        <v>103610751</v>
      </c>
      <c r="J76" s="22">
        <f>148603272.76</f>
        <v>148603272.75999999</v>
      </c>
      <c r="K76" s="22">
        <f>0</f>
        <v>0</v>
      </c>
      <c r="L76" s="22">
        <f>1492511576.86</f>
        <v>1492511576.8599999</v>
      </c>
    </row>
    <row r="77" spans="1:13" ht="47.25" customHeight="1" x14ac:dyDescent="0.2">
      <c r="B77" s="53" t="s">
        <v>58</v>
      </c>
      <c r="C77" s="54"/>
      <c r="D77" s="54"/>
      <c r="E77" s="55"/>
      <c r="F77" s="22">
        <f>0</f>
        <v>0</v>
      </c>
      <c r="G77" s="22">
        <f>0</f>
        <v>0</v>
      </c>
      <c r="H77" s="22">
        <f>0</f>
        <v>0</v>
      </c>
      <c r="I77" s="22">
        <f>0</f>
        <v>0</v>
      </c>
      <c r="J77" s="22">
        <f>0</f>
        <v>0</v>
      </c>
      <c r="K77" s="22">
        <f>0</f>
        <v>0</v>
      </c>
      <c r="L77" s="22">
        <f>0</f>
        <v>0</v>
      </c>
    </row>
    <row r="78" spans="1:13" ht="47.25" customHeight="1" x14ac:dyDescent="0.2">
      <c r="B78" s="53" t="s">
        <v>59</v>
      </c>
      <c r="C78" s="54"/>
      <c r="D78" s="54"/>
      <c r="E78" s="55"/>
      <c r="F78" s="22">
        <f>4374000</f>
        <v>4374000</v>
      </c>
      <c r="G78" s="22">
        <f>1130000</f>
        <v>1130000</v>
      </c>
      <c r="H78" s="22">
        <f>0</f>
        <v>0</v>
      </c>
      <c r="I78" s="22">
        <f>0</f>
        <v>0</v>
      </c>
      <c r="J78" s="22">
        <f>1130000</f>
        <v>1130000</v>
      </c>
      <c r="K78" s="22">
        <f>0</f>
        <v>0</v>
      </c>
      <c r="L78" s="22">
        <f>3244000</f>
        <v>3244000</v>
      </c>
    </row>
    <row r="79" spans="1:13" ht="47.25" customHeight="1" x14ac:dyDescent="0.2">
      <c r="B79" s="53" t="s">
        <v>60</v>
      </c>
      <c r="C79" s="54"/>
      <c r="D79" s="54"/>
      <c r="E79" s="55"/>
      <c r="F79" s="22">
        <f>4500001.34</f>
        <v>4500001.34</v>
      </c>
      <c r="G79" s="22">
        <f>0</f>
        <v>0</v>
      </c>
      <c r="H79" s="22">
        <f>0</f>
        <v>0</v>
      </c>
      <c r="I79" s="22">
        <f>0</f>
        <v>0</v>
      </c>
      <c r="J79" s="22">
        <f>0</f>
        <v>0</v>
      </c>
      <c r="K79" s="22">
        <f>0</f>
        <v>0</v>
      </c>
      <c r="L79" s="22">
        <f>4500001.34</f>
        <v>4500001.34</v>
      </c>
    </row>
    <row r="80" spans="1:13" ht="47.25" customHeight="1" x14ac:dyDescent="0.2">
      <c r="B80" s="53" t="s">
        <v>61</v>
      </c>
      <c r="C80" s="54"/>
      <c r="D80" s="54"/>
      <c r="E80" s="55"/>
      <c r="F80" s="22">
        <f>2680424.97</f>
        <v>2680424.9700000002</v>
      </c>
      <c r="G80" s="22">
        <f>0</f>
        <v>0</v>
      </c>
      <c r="H80" s="22">
        <f>0</f>
        <v>0</v>
      </c>
      <c r="I80" s="22">
        <f>0</f>
        <v>0</v>
      </c>
      <c r="J80" s="22">
        <f>0</f>
        <v>0</v>
      </c>
      <c r="K80" s="22">
        <f>0</f>
        <v>0</v>
      </c>
      <c r="L80" s="22">
        <f>2680424.97</f>
        <v>2680424.9700000002</v>
      </c>
    </row>
    <row r="81" spans="1:13" ht="47.25" customHeight="1" x14ac:dyDescent="0.2">
      <c r="B81" s="53" t="s">
        <v>62</v>
      </c>
      <c r="C81" s="54"/>
      <c r="D81" s="54"/>
      <c r="E81" s="55"/>
      <c r="F81" s="22">
        <f>1518358.26</f>
        <v>1518358.26</v>
      </c>
      <c r="G81" s="22">
        <f>695974.66</f>
        <v>695974.66</v>
      </c>
      <c r="H81" s="22">
        <f>0</f>
        <v>0</v>
      </c>
      <c r="I81" s="22">
        <f>0</f>
        <v>0</v>
      </c>
      <c r="J81" s="22">
        <f>695974.66</f>
        <v>695974.66</v>
      </c>
      <c r="K81" s="22">
        <f>0</f>
        <v>0</v>
      </c>
      <c r="L81" s="22">
        <f>822383.6</f>
        <v>822383.6</v>
      </c>
    </row>
    <row r="82" spans="1:13" ht="47.25" customHeight="1" x14ac:dyDescent="0.2">
      <c r="B82" s="53" t="s">
        <v>63</v>
      </c>
      <c r="C82" s="54"/>
      <c r="D82" s="54"/>
      <c r="E82" s="55"/>
      <c r="F82" s="22">
        <f>0</f>
        <v>0</v>
      </c>
      <c r="G82" s="22">
        <f>0</f>
        <v>0</v>
      </c>
      <c r="H82" s="22">
        <f>0</f>
        <v>0</v>
      </c>
      <c r="I82" s="22">
        <f>0</f>
        <v>0</v>
      </c>
      <c r="J82" s="22">
        <f>0</f>
        <v>0</v>
      </c>
      <c r="K82" s="22">
        <f>0</f>
        <v>0</v>
      </c>
      <c r="L82" s="22">
        <f>0</f>
        <v>0</v>
      </c>
    </row>
    <row r="85" spans="1:13" ht="75" customHeight="1" x14ac:dyDescent="0.2">
      <c r="A85" s="36" t="str">
        <f>CONCATENATE("Informacja z wykonania budżetów miast na prawach powiatu za  ",$C$93," ",$B$94," roku     ",$B$96,"")</f>
        <v xml:space="preserve">Informacja z wykonania budżetów miast na prawach powiatu za  I Kwartał 2022 roku     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</row>
    <row r="86" spans="1:13" ht="13.5" customHeight="1" x14ac:dyDescent="0.2">
      <c r="B86" s="4"/>
    </row>
    <row r="87" spans="1:13" ht="13.5" customHeight="1" x14ac:dyDescent="0.2">
      <c r="B87" s="5"/>
      <c r="C87" s="61"/>
      <c r="D87" s="74"/>
      <c r="E87" s="74"/>
      <c r="F87" s="62"/>
      <c r="G87" s="61" t="s">
        <v>4</v>
      </c>
      <c r="H87" s="62"/>
      <c r="I87" s="61" t="s">
        <v>5</v>
      </c>
      <c r="J87" s="62"/>
      <c r="K87" s="5"/>
    </row>
    <row r="88" spans="1:13" ht="13.5" customHeight="1" x14ac:dyDescent="0.2">
      <c r="B88" s="6"/>
      <c r="C88" s="53" t="s">
        <v>6</v>
      </c>
      <c r="D88" s="54"/>
      <c r="E88" s="54"/>
      <c r="F88" s="55"/>
      <c r="G88" s="59">
        <f>62</f>
        <v>62</v>
      </c>
      <c r="H88" s="60"/>
      <c r="I88" s="46">
        <f>4631838206.61</f>
        <v>4631838206.6099997</v>
      </c>
      <c r="J88" s="47"/>
      <c r="K88" s="7"/>
    </row>
    <row r="89" spans="1:13" ht="13.5" customHeight="1" x14ac:dyDescent="0.2">
      <c r="B89" s="6"/>
      <c r="C89" s="56" t="s">
        <v>7</v>
      </c>
      <c r="D89" s="57"/>
      <c r="E89" s="57"/>
      <c r="F89" s="58"/>
      <c r="G89" s="63">
        <f>4</f>
        <v>4</v>
      </c>
      <c r="H89" s="64"/>
      <c r="I89" s="48">
        <f>-29751301.2</f>
        <v>-29751301.199999999</v>
      </c>
      <c r="J89" s="49"/>
      <c r="K89" s="7"/>
    </row>
    <row r="90" spans="1:13" ht="13.5" customHeight="1" x14ac:dyDescent="0.2">
      <c r="B90" s="6"/>
      <c r="C90" s="53" t="s">
        <v>8</v>
      </c>
      <c r="D90" s="54"/>
      <c r="E90" s="54"/>
      <c r="F90" s="55"/>
      <c r="G90" s="59">
        <f>0</f>
        <v>0</v>
      </c>
      <c r="H90" s="60"/>
      <c r="I90" s="46">
        <f>0</f>
        <v>0</v>
      </c>
      <c r="J90" s="47"/>
      <c r="K90" s="7"/>
    </row>
    <row r="93" spans="1:13" ht="13.5" customHeight="1" x14ac:dyDescent="0.2">
      <c r="A93" s="8" t="s">
        <v>9</v>
      </c>
      <c r="B93" s="8">
        <f>1</f>
        <v>1</v>
      </c>
      <c r="C93" s="8" t="str">
        <f>IF(B93=1,"I Kwartał",IF(B93=2,"II Kwartały",IF(B93=3,"III Kwartały",IF(B93=4,"IV Kwartały","-"))))</f>
        <v>I Kwartał</v>
      </c>
    </row>
    <row r="94" spans="1:13" ht="13.5" customHeight="1" x14ac:dyDescent="0.2">
      <c r="A94" s="8" t="s">
        <v>10</v>
      </c>
      <c r="B94" s="8">
        <f>2022</f>
        <v>2022</v>
      </c>
      <c r="C94" s="9"/>
    </row>
    <row r="95" spans="1:13" ht="13.5" customHeight="1" x14ac:dyDescent="0.2">
      <c r="A95" s="8" t="s">
        <v>11</v>
      </c>
      <c r="B95" s="10" t="str">
        <f>"May 19 2022 12:00AM"</f>
        <v>May 19 2022 12:00AM</v>
      </c>
      <c r="C95" s="9"/>
    </row>
    <row r="96" spans="1:13" ht="13.5" customHeight="1" x14ac:dyDescent="0.2">
      <c r="A96" s="15" t="s">
        <v>78</v>
      </c>
      <c r="B96" s="10" t="str">
        <f>""</f>
        <v/>
      </c>
    </row>
  </sheetData>
  <mergeCells count="79">
    <mergeCell ref="O6:Q6"/>
    <mergeCell ref="O7:O10"/>
    <mergeCell ref="A66:M66"/>
    <mergeCell ref="L35:L37"/>
    <mergeCell ref="P35:P37"/>
    <mergeCell ref="B75:E75"/>
    <mergeCell ref="F75:L75"/>
    <mergeCell ref="B12:Q12"/>
    <mergeCell ref="B39:Q39"/>
    <mergeCell ref="L70:L73"/>
    <mergeCell ref="G90:H90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C87:F87"/>
    <mergeCell ref="B81:E81"/>
    <mergeCell ref="G69:L69"/>
    <mergeCell ref="H70:H73"/>
    <mergeCell ref="I70:I73"/>
    <mergeCell ref="J70:J73"/>
    <mergeCell ref="I90:J90"/>
    <mergeCell ref="I89:J89"/>
    <mergeCell ref="A6:A10"/>
    <mergeCell ref="C6:N6"/>
    <mergeCell ref="D7:D10"/>
    <mergeCell ref="E7:E10"/>
    <mergeCell ref="B80:E80"/>
    <mergeCell ref="B77:E77"/>
    <mergeCell ref="M35:M37"/>
    <mergeCell ref="B76:E76"/>
    <mergeCell ref="C88:F88"/>
    <mergeCell ref="C89:F89"/>
    <mergeCell ref="C90:F90"/>
    <mergeCell ref="G88:H88"/>
    <mergeCell ref="G87:H87"/>
    <mergeCell ref="G89:H89"/>
    <mergeCell ref="A1:M1"/>
    <mergeCell ref="C5:M5"/>
    <mergeCell ref="A3:M3"/>
    <mergeCell ref="K7:K10"/>
    <mergeCell ref="C7:C10"/>
    <mergeCell ref="B6:B10"/>
    <mergeCell ref="G7:G10"/>
    <mergeCell ref="F7:F10"/>
    <mergeCell ref="I7:I10"/>
    <mergeCell ref="J7:J10"/>
    <mergeCell ref="H7:H10"/>
    <mergeCell ref="Q7:Q10"/>
    <mergeCell ref="C34:N34"/>
    <mergeCell ref="L7:L10"/>
    <mergeCell ref="M7:M10"/>
    <mergeCell ref="N7:N10"/>
    <mergeCell ref="P7:P10"/>
    <mergeCell ref="A30:M30"/>
    <mergeCell ref="O34:Q34"/>
    <mergeCell ref="A32:M32"/>
    <mergeCell ref="B34:B37"/>
    <mergeCell ref="Q35:Q37"/>
    <mergeCell ref="N35:N37"/>
    <mergeCell ref="O35:O37"/>
    <mergeCell ref="D35:D37"/>
    <mergeCell ref="A34:A37"/>
    <mergeCell ref="C35:C37"/>
    <mergeCell ref="E35:E37"/>
    <mergeCell ref="K70:K73"/>
    <mergeCell ref="F35:F37"/>
    <mergeCell ref="G35:G37"/>
    <mergeCell ref="H35:H37"/>
    <mergeCell ref="K35:K37"/>
    <mergeCell ref="I35:I37"/>
    <mergeCell ref="J35:J37"/>
    <mergeCell ref="F69:F73"/>
    <mergeCell ref="G70:G73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2016-08-26T11:41:03Z</cp:lastPrinted>
  <dcterms:created xsi:type="dcterms:W3CDTF">2001-05-17T08:58:03Z</dcterms:created>
  <dcterms:modified xsi:type="dcterms:W3CDTF">2022-06-13T19:50:53Z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2022-06-13T21:50:50.9537275+02:00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GRN-5cf69495-a4a5-49c5-b7dc-5ca31fc43881</vt:lpwstr>
  </property>
  <property fmtid="{D5CDD505-2E9C-101B-9397-08002B2CF9AE}" pid="7" name="MFHash">
    <vt:lpwstr>MYvBlGlqsrSoGM+QccXhTDLSMQ6GykBar91RJU63KeA=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