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DROGI\Lista zmieniona nr 5\"/>
    </mc:Choice>
  </mc:AlternateContent>
  <xr:revisionPtr revIDLastSave="0" documentId="13_ncr:81_{FAE3669A-6034-42F8-AB62-51D57BEE1E4E}" xr6:coauthVersionLast="36" xr6:coauthVersionMax="36" xr10:uidLastSave="{00000000-0000-0000-0000-000000000000}"/>
  <bookViews>
    <workbookView xWindow="0" yWindow="0" windowWidth="28800" windowHeight="13425" tabRatio="599" activeTab="1" xr2:uid="{00000000-000D-0000-FFFF-FFFF00000000}"/>
  </bookViews>
  <sheets>
    <sheet name="TERC - &quot;nazwa woj&quot;" sheetId="1" r:id="rId1"/>
    <sheet name="pow podst" sheetId="2" r:id="rId2"/>
    <sheet name="gm podst" sheetId="3" r:id="rId3"/>
    <sheet name="pow rez" sheetId="4" r:id="rId4"/>
    <sheet name="gm rez" sheetId="5" r:id="rId5"/>
  </sheets>
  <definedNames>
    <definedName name="_xlnm._FilterDatabase" localSheetId="2" hidden="1">'gm podst'!$A$1:$X$81</definedName>
    <definedName name="_xlnm._FilterDatabase" localSheetId="4" hidden="1">'gm rez'!$A$2:$AB$2</definedName>
    <definedName name="_xlnm._FilterDatabase" localSheetId="1" hidden="1">'pow podst'!$A$2:$FG$20</definedName>
    <definedName name="_xlnm._FilterDatabase" localSheetId="3" hidden="1">'pow rez'!$A$2:$AD$6</definedName>
    <definedName name="_xlnm.Print_Area" localSheetId="2">'gm podst'!$A$1:$X$77</definedName>
    <definedName name="_xlnm.Print_Area" localSheetId="4">'gm rez'!$A$1:$X$30</definedName>
    <definedName name="_xlnm.Print_Area" localSheetId="1">'pow podst'!$A$1:$W$30</definedName>
    <definedName name="_xlnm.Print_Area" localSheetId="3">'pow rez'!$A$1:$W$14</definedName>
    <definedName name="_xlnm.Print_Area" localSheetId="0">'TERC - "nazwa woj"'!$A$1:$O$35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  <definedName name="Z_311EC7E4_4502_4495_A396_BC484610CAF8_.wvu.FilterData" localSheetId="2" hidden="1">'gm podst'!$A$1:$X$81</definedName>
    <definedName name="Z_7BB0DA2A_E6EC_4283_8DAA_56DD15906E8E_.wvu.FilterData" localSheetId="2" hidden="1">'gm podst'!$A$1:$X$81</definedName>
    <definedName name="Z_7BB0DA2A_E6EC_4283_8DAA_56DD15906E8E_.wvu.FilterData" localSheetId="4" hidden="1">'gm rez'!$A$2:$AB$2</definedName>
    <definedName name="Z_7BB0DA2A_E6EC_4283_8DAA_56DD15906E8E_.wvu.FilterData" localSheetId="1" hidden="1">'pow podst'!$A$2:$FG$20</definedName>
    <definedName name="Z_7BB0DA2A_E6EC_4283_8DAA_56DD15906E8E_.wvu.FilterData" localSheetId="3" hidden="1">'pow rez'!$A$2:$AD$6</definedName>
    <definedName name="Z_7BB0DA2A_E6EC_4283_8DAA_56DD15906E8E_.wvu.PrintArea" localSheetId="2" hidden="1">'gm podst'!$A$1:$X$77</definedName>
    <definedName name="Z_7BB0DA2A_E6EC_4283_8DAA_56DD15906E8E_.wvu.PrintArea" localSheetId="4" hidden="1">'gm rez'!$A$1:$X$30</definedName>
    <definedName name="Z_7BB0DA2A_E6EC_4283_8DAA_56DD15906E8E_.wvu.PrintArea" localSheetId="1" hidden="1">'pow podst'!$A$1:$W$30</definedName>
    <definedName name="Z_7BB0DA2A_E6EC_4283_8DAA_56DD15906E8E_.wvu.PrintArea" localSheetId="3" hidden="1">'pow rez'!$A$1:$W$14</definedName>
    <definedName name="Z_7BB0DA2A_E6EC_4283_8DAA_56DD15906E8E_.wvu.PrintArea" localSheetId="0" hidden="1">'TERC - "nazwa woj"'!$A$1:$O$35</definedName>
    <definedName name="Z_7BB0DA2A_E6EC_4283_8DAA_56DD15906E8E_.wvu.PrintTitles" localSheetId="2" hidden="1">'gm podst'!$1:$2</definedName>
    <definedName name="Z_7BB0DA2A_E6EC_4283_8DAA_56DD15906E8E_.wvu.PrintTitles" localSheetId="4" hidden="1">'gm rez'!$1:$2</definedName>
    <definedName name="Z_7BB0DA2A_E6EC_4283_8DAA_56DD15906E8E_.wvu.PrintTitles" localSheetId="1" hidden="1">'pow podst'!$1:$2</definedName>
    <definedName name="Z_7BB0DA2A_E6EC_4283_8DAA_56DD15906E8E_.wvu.PrintTitles" localSheetId="3" hidden="1">'pow rez'!$1:$2</definedName>
    <definedName name="Z_90AAACFD_C45E_4B79_9ECD_2C756BD997B3_.wvu.FilterData" localSheetId="2" hidden="1">'gm podst'!$A$1:$X$81</definedName>
    <definedName name="Z_90AAACFD_C45E_4B79_9ECD_2C756BD997B3_.wvu.FilterData" localSheetId="4" hidden="1">'gm rez'!$A$2:$AB$2</definedName>
    <definedName name="Z_90AAACFD_C45E_4B79_9ECD_2C756BD997B3_.wvu.FilterData" localSheetId="1" hidden="1">'pow podst'!$A$2:$FG$20</definedName>
    <definedName name="Z_90AAACFD_C45E_4B79_9ECD_2C756BD997B3_.wvu.FilterData" localSheetId="3" hidden="1">'pow rez'!$A$2:$AD$6</definedName>
    <definedName name="Z_90AAACFD_C45E_4B79_9ECD_2C756BD997B3_.wvu.PrintArea" localSheetId="2" hidden="1">'gm podst'!$A$1:$X$77</definedName>
    <definedName name="Z_90AAACFD_C45E_4B79_9ECD_2C756BD997B3_.wvu.PrintArea" localSheetId="4" hidden="1">'gm rez'!$A$1:$X$30</definedName>
    <definedName name="Z_90AAACFD_C45E_4B79_9ECD_2C756BD997B3_.wvu.PrintArea" localSheetId="1" hidden="1">'pow podst'!$A$1:$W$30</definedName>
    <definedName name="Z_90AAACFD_C45E_4B79_9ECD_2C756BD997B3_.wvu.PrintArea" localSheetId="3" hidden="1">'pow rez'!$A$1:$W$14</definedName>
    <definedName name="Z_90AAACFD_C45E_4B79_9ECD_2C756BD997B3_.wvu.PrintArea" localSheetId="0" hidden="1">'TERC - "nazwa woj"'!$A$1:$O$35</definedName>
    <definedName name="Z_90AAACFD_C45E_4B79_9ECD_2C756BD997B3_.wvu.PrintTitles" localSheetId="2" hidden="1">'gm podst'!$1:$2</definedName>
    <definedName name="Z_90AAACFD_C45E_4B79_9ECD_2C756BD997B3_.wvu.PrintTitles" localSheetId="4" hidden="1">'gm rez'!$1:$2</definedName>
    <definedName name="Z_90AAACFD_C45E_4B79_9ECD_2C756BD997B3_.wvu.PrintTitles" localSheetId="1" hidden="1">'pow podst'!$1:$2</definedName>
    <definedName name="Z_90AAACFD_C45E_4B79_9ECD_2C756BD997B3_.wvu.PrintTitles" localSheetId="3" hidden="1">'pow rez'!$1:$2</definedName>
    <definedName name="Z_A2BCF76A_36CA_47CC_AE0E_554D5E4069A6_.wvu.FilterData" localSheetId="2" hidden="1">'gm podst'!$A$1:$X$81</definedName>
    <definedName name="Z_A2BCF76A_36CA_47CC_AE0E_554D5E4069A6_.wvu.FilterData" localSheetId="4" hidden="1">'gm rez'!$A$2:$AB$2</definedName>
    <definedName name="Z_A2BCF76A_36CA_47CC_AE0E_554D5E4069A6_.wvu.FilterData" localSheetId="1" hidden="1">'pow podst'!$A$2:$FG$20</definedName>
    <definedName name="Z_A2BCF76A_36CA_47CC_AE0E_554D5E4069A6_.wvu.FilterData" localSheetId="3" hidden="1">'pow rez'!$A$2:$AD$6</definedName>
    <definedName name="Z_A2BCF76A_36CA_47CC_AE0E_554D5E4069A6_.wvu.PrintArea" localSheetId="2" hidden="1">'gm podst'!$A$1:$X$77</definedName>
    <definedName name="Z_A2BCF76A_36CA_47CC_AE0E_554D5E4069A6_.wvu.PrintArea" localSheetId="4" hidden="1">'gm rez'!$A$1:$X$30</definedName>
    <definedName name="Z_A2BCF76A_36CA_47CC_AE0E_554D5E4069A6_.wvu.PrintArea" localSheetId="1" hidden="1">'pow podst'!$A$1:$W$30</definedName>
    <definedName name="Z_A2BCF76A_36CA_47CC_AE0E_554D5E4069A6_.wvu.PrintArea" localSheetId="3" hidden="1">'pow rez'!$A$1:$W$14</definedName>
    <definedName name="Z_A2BCF76A_36CA_47CC_AE0E_554D5E4069A6_.wvu.PrintArea" localSheetId="0" hidden="1">'TERC - "nazwa woj"'!$A$1:$O$35</definedName>
    <definedName name="Z_A2BCF76A_36CA_47CC_AE0E_554D5E4069A6_.wvu.PrintTitles" localSheetId="2" hidden="1">'gm podst'!$1:$2</definedName>
    <definedName name="Z_A2BCF76A_36CA_47CC_AE0E_554D5E4069A6_.wvu.PrintTitles" localSheetId="4" hidden="1">'gm rez'!$1:$2</definedName>
    <definedName name="Z_A2BCF76A_36CA_47CC_AE0E_554D5E4069A6_.wvu.PrintTitles" localSheetId="1" hidden="1">'pow podst'!$1:$2</definedName>
    <definedName name="Z_A2BCF76A_36CA_47CC_AE0E_554D5E4069A6_.wvu.PrintTitles" localSheetId="3" hidden="1">'pow rez'!$1:$2</definedName>
    <definedName name="Z_B2D40DA4_5FA0_499A_A7D1_4F99A3F826AC_.wvu.FilterData" localSheetId="2" hidden="1">'gm podst'!$A$1:$X$81</definedName>
    <definedName name="Z_B2D40DA4_5FA0_499A_A7D1_4F99A3F826AC_.wvu.FilterData" localSheetId="4" hidden="1">'gm rez'!$A$2:$AB$2</definedName>
    <definedName name="Z_B2D40DA4_5FA0_499A_A7D1_4F99A3F826AC_.wvu.FilterData" localSheetId="1" hidden="1">'pow podst'!$A$2:$FG$20</definedName>
    <definedName name="Z_B2D40DA4_5FA0_499A_A7D1_4F99A3F826AC_.wvu.FilterData" localSheetId="3" hidden="1">'pow rez'!$A$2:$AD$6</definedName>
    <definedName name="Z_B2D40DA4_5FA0_499A_A7D1_4F99A3F826AC_.wvu.PrintArea" localSheetId="2" hidden="1">'gm podst'!$A$1:$X$77</definedName>
    <definedName name="Z_B2D40DA4_5FA0_499A_A7D1_4F99A3F826AC_.wvu.PrintArea" localSheetId="4" hidden="1">'gm rez'!$A$1:$X$30</definedName>
    <definedName name="Z_B2D40DA4_5FA0_499A_A7D1_4F99A3F826AC_.wvu.PrintArea" localSheetId="1" hidden="1">'pow podst'!$A$1:$W$30</definedName>
    <definedName name="Z_B2D40DA4_5FA0_499A_A7D1_4F99A3F826AC_.wvu.PrintArea" localSheetId="3" hidden="1">'pow rez'!$A$1:$W$14</definedName>
    <definedName name="Z_B2D40DA4_5FA0_499A_A7D1_4F99A3F826AC_.wvu.PrintArea" localSheetId="0" hidden="1">'TERC - "nazwa woj"'!$A$1:$O$35</definedName>
    <definedName name="Z_B2D40DA4_5FA0_499A_A7D1_4F99A3F826AC_.wvu.PrintTitles" localSheetId="2" hidden="1">'gm podst'!$1:$2</definedName>
    <definedName name="Z_B2D40DA4_5FA0_499A_A7D1_4F99A3F826AC_.wvu.PrintTitles" localSheetId="4" hidden="1">'gm rez'!$1:$2</definedName>
    <definedName name="Z_B2D40DA4_5FA0_499A_A7D1_4F99A3F826AC_.wvu.PrintTitles" localSheetId="1" hidden="1">'pow podst'!$1:$2</definedName>
    <definedName name="Z_B2D40DA4_5FA0_499A_A7D1_4F99A3F826AC_.wvu.PrintTitles" localSheetId="3" hidden="1">'pow rez'!$1:$2</definedName>
  </definedNames>
  <calcPr calcId="191029" iterateDelta="1E-4"/>
  <customWorkbookViews>
    <customWorkbookView name="Zofia Malik - Widok osobisty" guid="{B2D40DA4-5FA0-499A-A7D1-4F99A3F826AC}" mergeInterval="0" personalView="1" maximized="1" windowWidth="1600" windowHeight="714" tabRatio="599" activeSheetId="3"/>
    <customWorkbookView name="Justyna Sperczyńska - Widok osobisty" guid="{90AAACFD-C45E-4B79-9ECD-2C756BD997B3}" mergeInterval="0" personalView="1" maximized="1" xWindow="-8" yWindow="-8" windowWidth="1936" windowHeight="1176" tabRatio="599" activeSheetId="3"/>
    <customWorkbookView name="Katarzyna Juszczak - Widok osobisty" guid="{7BB0DA2A-E6EC-4283-8DAA-56DD15906E8E}" mergeInterval="0" personalView="1" maximized="1" xWindow="1912" yWindow="-8" windowWidth="1936" windowHeight="1176" tabRatio="599" activeSheetId="3"/>
    <customWorkbookView name="Kinga Kucharska - Widok osobisty" guid="{A2BCF76A-36CA-47CC-AE0E-554D5E4069A6}" mergeInterval="0" personalView="1" maximized="1" windowWidth="1920" windowHeight="854" tabRatio="599" activeSheetId="3"/>
  </customWorkbookViews>
</workbook>
</file>

<file path=xl/calcChain.xml><?xml version="1.0" encoding="utf-8"?>
<calcChain xmlns="http://schemas.openxmlformats.org/spreadsheetml/2006/main">
  <c r="S74" i="3" l="1"/>
  <c r="R75" i="3"/>
  <c r="X76" i="3"/>
  <c r="X75" i="3"/>
  <c r="X74" i="3"/>
  <c r="W76" i="3"/>
  <c r="W75" i="3"/>
  <c r="W74" i="3"/>
  <c r="V76" i="3"/>
  <c r="V75" i="3"/>
  <c r="V74" i="3"/>
  <c r="U76" i="3"/>
  <c r="U75" i="3"/>
  <c r="U74" i="3"/>
  <c r="T76" i="3"/>
  <c r="T75" i="3"/>
  <c r="T74" i="3"/>
  <c r="S76" i="3"/>
  <c r="S75" i="3"/>
  <c r="R74" i="3"/>
  <c r="Q74" i="3"/>
  <c r="P76" i="3"/>
  <c r="P75" i="3"/>
  <c r="P74" i="3"/>
  <c r="O76" i="3"/>
  <c r="O75" i="3"/>
  <c r="O74" i="3"/>
  <c r="K76" i="3"/>
  <c r="K75" i="3"/>
  <c r="K74" i="3"/>
  <c r="P73" i="3"/>
  <c r="S73" i="3"/>
  <c r="T73" i="3"/>
  <c r="U73" i="3"/>
  <c r="V73" i="3"/>
  <c r="W73" i="3"/>
  <c r="X73" i="3"/>
  <c r="O73" i="3"/>
  <c r="K73" i="3"/>
  <c r="I76" i="3"/>
  <c r="I75" i="3"/>
  <c r="I74" i="3"/>
  <c r="I73" i="3"/>
  <c r="O19" i="1"/>
  <c r="O18" i="1"/>
  <c r="O17" i="1"/>
  <c r="N19" i="1"/>
  <c r="N18" i="1"/>
  <c r="N17" i="1"/>
  <c r="M19" i="1"/>
  <c r="M18" i="1"/>
  <c r="M17" i="1"/>
  <c r="L19" i="1"/>
  <c r="L18" i="1"/>
  <c r="L17" i="1"/>
  <c r="K19" i="1"/>
  <c r="K18" i="1"/>
  <c r="K17" i="1"/>
  <c r="J19" i="1"/>
  <c r="J18" i="1"/>
  <c r="J17" i="1"/>
  <c r="I18" i="1"/>
  <c r="I17" i="1"/>
  <c r="H17" i="1"/>
  <c r="G19" i="1"/>
  <c r="G18" i="1"/>
  <c r="G17" i="1"/>
  <c r="F19" i="1"/>
  <c r="F18" i="1"/>
  <c r="F17" i="1"/>
  <c r="G16" i="1"/>
  <c r="J16" i="1"/>
  <c r="K16" i="1"/>
  <c r="L16" i="1"/>
  <c r="M16" i="1"/>
  <c r="N16" i="1"/>
  <c r="O16" i="1"/>
  <c r="F16" i="1"/>
  <c r="C19" i="1"/>
  <c r="C18" i="1"/>
  <c r="C17" i="1"/>
  <c r="C16" i="1"/>
  <c r="B19" i="1"/>
  <c r="B18" i="1"/>
  <c r="B17" i="1"/>
  <c r="Y72" i="3"/>
  <c r="L71" i="3"/>
  <c r="M71" i="3" s="1"/>
  <c r="L70" i="3"/>
  <c r="M70" i="3" s="1"/>
  <c r="L69" i="3"/>
  <c r="L68" i="3"/>
  <c r="Q68" i="3" s="1"/>
  <c r="Q70" i="3" l="1"/>
  <c r="Y70" i="3" s="1"/>
  <c r="AB71" i="3"/>
  <c r="AB70" i="3"/>
  <c r="Z72" i="3"/>
  <c r="AA72" i="3" s="1"/>
  <c r="M72" i="3"/>
  <c r="Z71" i="3"/>
  <c r="AA71" i="3" s="1"/>
  <c r="Q71" i="3"/>
  <c r="Y71" i="3" s="1"/>
  <c r="Z70" i="3"/>
  <c r="AA70" i="3" s="1"/>
  <c r="Q69" i="3"/>
  <c r="Y69" i="3" s="1"/>
  <c r="Z69" i="3"/>
  <c r="AA69" i="3" s="1"/>
  <c r="M69" i="3"/>
  <c r="AB72" i="3" l="1"/>
  <c r="AB69" i="3"/>
  <c r="N62" i="3" l="1"/>
  <c r="Z62" i="3"/>
  <c r="R62" i="3"/>
  <c r="Y62" i="3"/>
  <c r="L41" i="3"/>
  <c r="AA62" i="3" l="1"/>
  <c r="N35" i="3" l="1"/>
  <c r="M7" i="2" l="1"/>
  <c r="Y7" i="2"/>
  <c r="H22" i="2" l="1"/>
  <c r="Y68" i="3"/>
  <c r="Z68" i="3"/>
  <c r="AA68" i="3" s="1"/>
  <c r="M68" i="3"/>
  <c r="AB68" i="3" s="1"/>
  <c r="L67" i="3"/>
  <c r="M67" i="3" s="1"/>
  <c r="L66" i="3"/>
  <c r="Z67" i="3" l="1"/>
  <c r="AA67" i="3" s="1"/>
  <c r="AB67" i="3"/>
  <c r="Q67" i="3"/>
  <c r="Y67" i="3" s="1"/>
  <c r="Q66" i="3"/>
  <c r="O15" i="1"/>
  <c r="O14" i="1"/>
  <c r="O13" i="1"/>
  <c r="O12" i="1"/>
  <c r="N15" i="1"/>
  <c r="N14" i="1"/>
  <c r="N13" i="1"/>
  <c r="N12" i="1"/>
  <c r="M15" i="1"/>
  <c r="M14" i="1"/>
  <c r="M13" i="1"/>
  <c r="M12" i="1"/>
  <c r="L15" i="1"/>
  <c r="L14" i="1"/>
  <c r="L13" i="1"/>
  <c r="L12" i="1"/>
  <c r="K15" i="1"/>
  <c r="K14" i="1"/>
  <c r="K13" i="1"/>
  <c r="K12" i="1"/>
  <c r="J15" i="1"/>
  <c r="J14" i="1"/>
  <c r="J13" i="1"/>
  <c r="J12" i="1"/>
  <c r="I14" i="1"/>
  <c r="I13" i="1"/>
  <c r="H13" i="1"/>
  <c r="G15" i="1"/>
  <c r="G14" i="1"/>
  <c r="G13" i="1"/>
  <c r="G12" i="1"/>
  <c r="F15" i="1"/>
  <c r="F14" i="1"/>
  <c r="F13" i="1"/>
  <c r="F12" i="1"/>
  <c r="C15" i="1"/>
  <c r="C14" i="1"/>
  <c r="C13" i="1"/>
  <c r="C12" i="1"/>
  <c r="B15" i="1"/>
  <c r="B14" i="1"/>
  <c r="B13" i="1"/>
  <c r="B12" i="1"/>
  <c r="L64" i="3" l="1"/>
  <c r="L65" i="3"/>
  <c r="L63" i="3"/>
  <c r="M64" i="3" l="1"/>
  <c r="AB64" i="3" s="1"/>
  <c r="Z64" i="3"/>
  <c r="AA64" i="3" s="1"/>
  <c r="M65" i="3"/>
  <c r="AB65" i="3" s="1"/>
  <c r="Z65" i="3"/>
  <c r="AA65" i="3" s="1"/>
  <c r="Q63" i="3"/>
  <c r="Y63" i="3" s="1"/>
  <c r="Z63" i="3"/>
  <c r="AA63" i="3" s="1"/>
  <c r="M66" i="3"/>
  <c r="AB66" i="3" s="1"/>
  <c r="Y66" i="3"/>
  <c r="Z66" i="3"/>
  <c r="AA66" i="3" s="1"/>
  <c r="Q65" i="3"/>
  <c r="Y65" i="3" s="1"/>
  <c r="Q64" i="3"/>
  <c r="Y64" i="3" s="1"/>
  <c r="M63" i="3"/>
  <c r="AB63" i="3" s="1"/>
  <c r="S25" i="2" l="1"/>
  <c r="T25" i="2"/>
  <c r="U25" i="2"/>
  <c r="V25" i="2"/>
  <c r="W25" i="2"/>
  <c r="T24" i="2"/>
  <c r="U24" i="2"/>
  <c r="V24" i="2"/>
  <c r="W24" i="2"/>
  <c r="T23" i="2"/>
  <c r="U23" i="2"/>
  <c r="V23" i="2"/>
  <c r="W23" i="2"/>
  <c r="S24" i="2"/>
  <c r="S23" i="2"/>
  <c r="R25" i="2"/>
  <c r="R24" i="2"/>
  <c r="R23" i="2"/>
  <c r="Q24" i="2"/>
  <c r="Q23" i="2"/>
  <c r="P23" i="2"/>
  <c r="O25" i="2"/>
  <c r="O24" i="2"/>
  <c r="O23" i="2"/>
  <c r="R22" i="2"/>
  <c r="S22" i="2"/>
  <c r="T22" i="2"/>
  <c r="U22" i="2"/>
  <c r="V22" i="2"/>
  <c r="W22" i="2"/>
  <c r="O22" i="2"/>
  <c r="J25" i="2"/>
  <c r="J24" i="2"/>
  <c r="J23" i="2"/>
  <c r="J22" i="2"/>
  <c r="H25" i="2"/>
  <c r="H24" i="2"/>
  <c r="H23" i="2"/>
  <c r="K20" i="2"/>
  <c r="L20" i="2" s="1"/>
  <c r="K19" i="2"/>
  <c r="P19" i="2" s="1"/>
  <c r="P20" i="2" l="1"/>
  <c r="L59" i="3"/>
  <c r="K17" i="2" l="1"/>
  <c r="L17" i="2" s="1"/>
  <c r="R7" i="4"/>
  <c r="N7" i="4"/>
  <c r="Q7" i="4"/>
  <c r="S7" i="4"/>
  <c r="T7" i="4"/>
  <c r="U7" i="4"/>
  <c r="V7" i="4"/>
  <c r="W7" i="4"/>
  <c r="X19" i="2" l="1"/>
  <c r="L19" i="2"/>
  <c r="K18" i="2"/>
  <c r="L18" i="2" s="1"/>
  <c r="AA18" i="2" s="1"/>
  <c r="P17" i="2"/>
  <c r="Y18" i="2" l="1"/>
  <c r="Z18" i="2" s="1"/>
  <c r="Y19" i="2"/>
  <c r="Z19" i="2" s="1"/>
  <c r="AA19" i="2"/>
  <c r="P18" i="2"/>
  <c r="X18" i="2" s="1"/>
  <c r="L6" i="3"/>
  <c r="Q6" i="3"/>
  <c r="M62" i="3" l="1"/>
  <c r="AB62" i="3" s="1"/>
  <c r="L61" i="3"/>
  <c r="M61" i="3" s="1"/>
  <c r="L60" i="3"/>
  <c r="M60" i="3" s="1"/>
  <c r="Q59" i="3"/>
  <c r="Z60" i="3" l="1"/>
  <c r="AA60" i="3" s="1"/>
  <c r="AB61" i="3"/>
  <c r="Z61" i="3"/>
  <c r="AA61" i="3" s="1"/>
  <c r="Q60" i="3"/>
  <c r="Y60" i="3" s="1"/>
  <c r="AB60" i="3"/>
  <c r="Q61" i="3"/>
  <c r="Y61" i="3" s="1"/>
  <c r="Y17" i="2" l="1"/>
  <c r="Q12" i="3" l="1"/>
  <c r="Q11" i="2" l="1"/>
  <c r="P11" i="2"/>
  <c r="H15" i="1" l="1"/>
  <c r="P25" i="2"/>
  <c r="I15" i="1"/>
  <c r="I12" i="1"/>
  <c r="Q25" i="2"/>
  <c r="Q22" i="2"/>
  <c r="Y59" i="3"/>
  <c r="Z59" i="3"/>
  <c r="AA59" i="3" s="1"/>
  <c r="M59" i="3"/>
  <c r="L58" i="3"/>
  <c r="AB59" i="3" l="1"/>
  <c r="L39" i="3"/>
  <c r="L57" i="3" l="1"/>
  <c r="Z57" i="3" s="1"/>
  <c r="AA57" i="3" s="1"/>
  <c r="L56" i="3"/>
  <c r="L55" i="3"/>
  <c r="L54" i="3"/>
  <c r="Q54" i="3" s="1"/>
  <c r="Z56" i="3" l="1"/>
  <c r="AA56" i="3" s="1"/>
  <c r="M57" i="3"/>
  <c r="AB57" i="3" s="1"/>
  <c r="M56" i="3"/>
  <c r="AB56" i="3" s="1"/>
  <c r="Q57" i="3"/>
  <c r="Y57" i="3" s="1"/>
  <c r="Q56" i="3"/>
  <c r="M55" i="3"/>
  <c r="AB55" i="3" s="1"/>
  <c r="Q55" i="3"/>
  <c r="Y55" i="3" s="1"/>
  <c r="Z55" i="3"/>
  <c r="AA55" i="3" s="1"/>
  <c r="Y56" i="3" l="1"/>
  <c r="L52" i="3"/>
  <c r="L51" i="3"/>
  <c r="Y5" i="3" l="1"/>
  <c r="Z5" i="3"/>
  <c r="AA5" i="3" s="1"/>
  <c r="Y54" i="3"/>
  <c r="Z54" i="3"/>
  <c r="AA54" i="3" s="1"/>
  <c r="Y3" i="3"/>
  <c r="Z3" i="3"/>
  <c r="AA3" i="3" s="1"/>
  <c r="K23" i="5" l="1"/>
  <c r="I23" i="5"/>
  <c r="Q52" i="3" l="1"/>
  <c r="Z51" i="3" l="1"/>
  <c r="AA51" i="3" s="1"/>
  <c r="M52" i="3"/>
  <c r="AB52" i="3" s="1"/>
  <c r="Y52" i="3"/>
  <c r="Z52" i="3"/>
  <c r="AA52" i="3" s="1"/>
  <c r="M51" i="3"/>
  <c r="AB51" i="3" s="1"/>
  <c r="Q51" i="3"/>
  <c r="Y51" i="3" s="1"/>
  <c r="L53" i="3"/>
  <c r="Z53" i="3" l="1"/>
  <c r="AA53" i="3" s="1"/>
  <c r="Q53" i="3"/>
  <c r="Y53" i="3" s="1"/>
  <c r="M53" i="3"/>
  <c r="AB53" i="3" s="1"/>
  <c r="O26" i="1"/>
  <c r="N26" i="1"/>
  <c r="M26" i="1"/>
  <c r="L26" i="1"/>
  <c r="K26" i="1"/>
  <c r="J26" i="1"/>
  <c r="I26" i="1"/>
  <c r="H26" i="1"/>
  <c r="G26" i="1"/>
  <c r="F26" i="1"/>
  <c r="O25" i="1"/>
  <c r="N25" i="1"/>
  <c r="M25" i="1"/>
  <c r="L25" i="1"/>
  <c r="K25" i="1"/>
  <c r="J25" i="1"/>
  <c r="I25" i="1"/>
  <c r="I24" i="1"/>
  <c r="J24" i="1"/>
  <c r="K24" i="1"/>
  <c r="L24" i="1"/>
  <c r="M24" i="1"/>
  <c r="N24" i="1"/>
  <c r="O24" i="1"/>
  <c r="G24" i="1"/>
  <c r="F24" i="1"/>
  <c r="E26" i="1"/>
  <c r="D26" i="1"/>
  <c r="C26" i="1"/>
  <c r="C25" i="1"/>
  <c r="C24" i="1"/>
  <c r="B26" i="1"/>
  <c r="B25" i="1"/>
  <c r="B24" i="1"/>
  <c r="H10" i="4"/>
  <c r="K10" i="4"/>
  <c r="L10" i="4"/>
  <c r="J10" i="4"/>
  <c r="Q10" i="4"/>
  <c r="R10" i="4"/>
  <c r="S10" i="4"/>
  <c r="T10" i="4"/>
  <c r="U10" i="4"/>
  <c r="V10" i="4"/>
  <c r="W10" i="4"/>
  <c r="N10" i="4"/>
  <c r="O10" i="4"/>
  <c r="P10" i="4"/>
  <c r="Q9" i="4"/>
  <c r="R9" i="4"/>
  <c r="S9" i="4"/>
  <c r="T9" i="4"/>
  <c r="U9" i="4"/>
  <c r="V9" i="4"/>
  <c r="W9" i="4"/>
  <c r="N9" i="4"/>
  <c r="O9" i="4"/>
  <c r="Q8" i="4"/>
  <c r="R8" i="4"/>
  <c r="S8" i="4"/>
  <c r="T8" i="4"/>
  <c r="U8" i="4"/>
  <c r="V8" i="4"/>
  <c r="W8" i="4"/>
  <c r="N8" i="4"/>
  <c r="O8" i="4"/>
  <c r="O7" i="4"/>
  <c r="P9" i="4"/>
  <c r="L9" i="4"/>
  <c r="K9" i="4"/>
  <c r="J9" i="4"/>
  <c r="H9" i="4"/>
  <c r="J8" i="4"/>
  <c r="H8" i="4"/>
  <c r="J7" i="4"/>
  <c r="H7" i="4"/>
  <c r="K6" i="4"/>
  <c r="P6" i="4" s="1"/>
  <c r="K5" i="4"/>
  <c r="K4" i="4"/>
  <c r="L4" i="4" s="1"/>
  <c r="K3" i="4"/>
  <c r="X17" i="2"/>
  <c r="Y16" i="2"/>
  <c r="Z16" i="2" s="1"/>
  <c r="K15" i="2"/>
  <c r="K14" i="2"/>
  <c r="L14" i="2" s="1"/>
  <c r="K13" i="2"/>
  <c r="K12" i="2"/>
  <c r="L12" i="2" s="1"/>
  <c r="K11" i="2"/>
  <c r="L11" i="2" s="1"/>
  <c r="K10" i="2"/>
  <c r="P10" i="2" s="1"/>
  <c r="X10" i="2" s="1"/>
  <c r="K9" i="2"/>
  <c r="Y9" i="2" s="1"/>
  <c r="Z9" i="2" s="1"/>
  <c r="K8" i="2"/>
  <c r="Y8" i="2" s="1"/>
  <c r="Z8" i="2" s="1"/>
  <c r="K6" i="2"/>
  <c r="Y6" i="2" s="1"/>
  <c r="Z6" i="2" s="1"/>
  <c r="K5" i="2"/>
  <c r="K4" i="2"/>
  <c r="K3" i="2"/>
  <c r="Z17" i="2"/>
  <c r="M3" i="3"/>
  <c r="O29" i="1"/>
  <c r="N29" i="1"/>
  <c r="N32" i="1" s="1"/>
  <c r="M29" i="1"/>
  <c r="L29" i="1"/>
  <c r="K29" i="1"/>
  <c r="O28" i="1"/>
  <c r="N28" i="1"/>
  <c r="M28" i="1"/>
  <c r="L28" i="1"/>
  <c r="L31" i="1" s="1"/>
  <c r="K28" i="1"/>
  <c r="G25" i="1"/>
  <c r="F25" i="1"/>
  <c r="N21" i="1"/>
  <c r="M22" i="1"/>
  <c r="I21" i="1"/>
  <c r="M54" i="3"/>
  <c r="AB54" i="3" s="1"/>
  <c r="L22" i="5"/>
  <c r="M22" i="5" s="1"/>
  <c r="S23" i="5"/>
  <c r="T23" i="5"/>
  <c r="U23" i="5"/>
  <c r="V23" i="5"/>
  <c r="W23" i="5"/>
  <c r="X23" i="5"/>
  <c r="L50" i="3"/>
  <c r="L49" i="3"/>
  <c r="L48" i="3"/>
  <c r="L47" i="3"/>
  <c r="J29" i="1"/>
  <c r="J28" i="1"/>
  <c r="J27" i="1"/>
  <c r="K27" i="1"/>
  <c r="L27" i="1"/>
  <c r="M27" i="1"/>
  <c r="N27" i="1"/>
  <c r="O27" i="1"/>
  <c r="I28" i="1"/>
  <c r="G29" i="1"/>
  <c r="G28" i="1"/>
  <c r="G27" i="1"/>
  <c r="F29" i="1"/>
  <c r="F32" i="1" s="1"/>
  <c r="F28" i="1"/>
  <c r="F27" i="1"/>
  <c r="F30" i="1" s="1"/>
  <c r="C29" i="1"/>
  <c r="C28" i="1"/>
  <c r="C27" i="1"/>
  <c r="B28" i="1"/>
  <c r="B27" i="1"/>
  <c r="O23" i="5"/>
  <c r="P23" i="5"/>
  <c r="O26" i="5"/>
  <c r="P26" i="5"/>
  <c r="O25" i="5"/>
  <c r="P25" i="5"/>
  <c r="R25" i="5"/>
  <c r="L24" i="5"/>
  <c r="M24" i="5"/>
  <c r="O24" i="5"/>
  <c r="P24" i="5"/>
  <c r="Q24" i="5"/>
  <c r="R24" i="5"/>
  <c r="K25" i="5"/>
  <c r="K24" i="5"/>
  <c r="K26" i="5"/>
  <c r="B29" i="1"/>
  <c r="I24" i="5"/>
  <c r="I26" i="5"/>
  <c r="I25" i="5"/>
  <c r="L46" i="3"/>
  <c r="L45" i="3"/>
  <c r="L43" i="3"/>
  <c r="I27" i="1"/>
  <c r="I30" i="1" s="1"/>
  <c r="H29" i="1"/>
  <c r="Q3" i="5"/>
  <c r="Y3" i="5" s="1"/>
  <c r="L8" i="5"/>
  <c r="L9" i="5"/>
  <c r="L10" i="5"/>
  <c r="L11" i="5"/>
  <c r="Q11" i="5" s="1"/>
  <c r="L12" i="5"/>
  <c r="M12" i="5" s="1"/>
  <c r="L13" i="5"/>
  <c r="M13" i="5" s="1"/>
  <c r="L17" i="5"/>
  <c r="Q16" i="5"/>
  <c r="L18" i="5"/>
  <c r="Q18" i="5" s="1"/>
  <c r="L14" i="5"/>
  <c r="L19" i="5"/>
  <c r="M19" i="5" s="1"/>
  <c r="L20" i="5"/>
  <c r="L21" i="5"/>
  <c r="M21" i="5" s="1"/>
  <c r="Q5" i="5"/>
  <c r="L4" i="3"/>
  <c r="Q39" i="3"/>
  <c r="L44" i="3"/>
  <c r="L40" i="3"/>
  <c r="L38" i="3"/>
  <c r="L36" i="3"/>
  <c r="L42" i="3"/>
  <c r="L29" i="3"/>
  <c r="L31" i="3"/>
  <c r="L30" i="3"/>
  <c r="L33" i="3"/>
  <c r="Q33" i="3" s="1"/>
  <c r="L34" i="3"/>
  <c r="L32" i="3"/>
  <c r="L37" i="3"/>
  <c r="Q15" i="3"/>
  <c r="R6" i="3"/>
  <c r="L7" i="3"/>
  <c r="L9" i="3"/>
  <c r="L8" i="3"/>
  <c r="M8" i="3" s="1"/>
  <c r="L10" i="3"/>
  <c r="L11" i="3"/>
  <c r="Q11" i="3" s="1"/>
  <c r="L12" i="3"/>
  <c r="L13" i="3"/>
  <c r="L15" i="3"/>
  <c r="L14" i="3"/>
  <c r="L16" i="3"/>
  <c r="L17" i="3"/>
  <c r="L19" i="3"/>
  <c r="L18" i="3"/>
  <c r="M18" i="3" s="1"/>
  <c r="L20" i="3"/>
  <c r="L21" i="3"/>
  <c r="L24" i="3"/>
  <c r="M24" i="3" s="1"/>
  <c r="L22" i="3"/>
  <c r="L23" i="3"/>
  <c r="L25" i="3"/>
  <c r="L26" i="3"/>
  <c r="L27" i="3"/>
  <c r="L28" i="3"/>
  <c r="M5" i="3"/>
  <c r="AB5" i="3" s="1"/>
  <c r="X26" i="5"/>
  <c r="W26" i="5"/>
  <c r="V26" i="5"/>
  <c r="U26" i="5"/>
  <c r="T26" i="5"/>
  <c r="S26" i="5"/>
  <c r="X24" i="5"/>
  <c r="W24" i="5"/>
  <c r="V24" i="5"/>
  <c r="U24" i="5"/>
  <c r="T24" i="5"/>
  <c r="S24" i="5"/>
  <c r="G30" i="1"/>
  <c r="E18" i="1" l="1"/>
  <c r="L75" i="3"/>
  <c r="L73" i="3"/>
  <c r="E17" i="1"/>
  <c r="E16" i="1"/>
  <c r="L74" i="3"/>
  <c r="B16" i="1"/>
  <c r="L76" i="3"/>
  <c r="Z76" i="3" s="1"/>
  <c r="E19" i="1"/>
  <c r="Q76" i="3"/>
  <c r="H19" i="1"/>
  <c r="D15" i="1"/>
  <c r="L25" i="2"/>
  <c r="Y11" i="2"/>
  <c r="Z11" i="2" s="1"/>
  <c r="E15" i="1"/>
  <c r="K25" i="2"/>
  <c r="X25" i="2" s="1"/>
  <c r="E13" i="1"/>
  <c r="Q13" i="1" s="1"/>
  <c r="K23" i="2"/>
  <c r="Y23" i="2" s="1"/>
  <c r="H23" i="1"/>
  <c r="E14" i="1"/>
  <c r="E12" i="1"/>
  <c r="K22" i="2"/>
  <c r="Y22" i="2" s="1"/>
  <c r="K24" i="2"/>
  <c r="G31" i="1"/>
  <c r="T25" i="5"/>
  <c r="J32" i="1"/>
  <c r="Y3" i="2"/>
  <c r="Z3" i="2" s="1"/>
  <c r="Y4" i="2"/>
  <c r="Z4" i="2" s="1"/>
  <c r="B30" i="1"/>
  <c r="H32" i="1"/>
  <c r="J31" i="1"/>
  <c r="L5" i="2"/>
  <c r="AA17" i="2"/>
  <c r="Y10" i="2"/>
  <c r="Z10" i="2" s="1"/>
  <c r="L10" i="2"/>
  <c r="AA10" i="2" s="1"/>
  <c r="P26" i="1"/>
  <c r="P5" i="2"/>
  <c r="Y5" i="2"/>
  <c r="Z5" i="2" s="1"/>
  <c r="AA11" i="2"/>
  <c r="V25" i="5"/>
  <c r="L30" i="1"/>
  <c r="P14" i="2"/>
  <c r="X14" i="2" s="1"/>
  <c r="Q13" i="5"/>
  <c r="Y13" i="5" s="1"/>
  <c r="I29" i="1"/>
  <c r="I32" i="1" s="1"/>
  <c r="W25" i="5"/>
  <c r="K30" i="1"/>
  <c r="J30" i="1"/>
  <c r="M32" i="1"/>
  <c r="Z24" i="5"/>
  <c r="AB3" i="3"/>
  <c r="M4" i="3"/>
  <c r="M74" i="3" s="1"/>
  <c r="M31" i="1"/>
  <c r="M34" i="1" s="1"/>
  <c r="L32" i="1"/>
  <c r="AB24" i="5"/>
  <c r="O22" i="1"/>
  <c r="B21" i="1"/>
  <c r="F21" i="1"/>
  <c r="O31" i="1"/>
  <c r="G21" i="1"/>
  <c r="L22" i="1"/>
  <c r="L34" i="1" s="1"/>
  <c r="P6" i="2"/>
  <c r="X6" i="2" s="1"/>
  <c r="L6" i="2"/>
  <c r="AA6" i="2" s="1"/>
  <c r="P13" i="2"/>
  <c r="X13" i="2" s="1"/>
  <c r="Q12" i="5"/>
  <c r="Y12" i="5" s="1"/>
  <c r="K32" i="1"/>
  <c r="C21" i="1"/>
  <c r="J23" i="1"/>
  <c r="N23" i="1"/>
  <c r="N35" i="1" s="1"/>
  <c r="L4" i="2"/>
  <c r="L13" i="2"/>
  <c r="AA13" i="2" s="1"/>
  <c r="B31" i="1"/>
  <c r="G32" i="1"/>
  <c r="O32" i="1"/>
  <c r="R23" i="5"/>
  <c r="F31" i="1"/>
  <c r="C23" i="1"/>
  <c r="G23" i="1"/>
  <c r="K20" i="1"/>
  <c r="M20" i="1"/>
  <c r="P8" i="2"/>
  <c r="X8" i="2" s="1"/>
  <c r="H21" i="1"/>
  <c r="K21" i="1"/>
  <c r="Y14" i="2"/>
  <c r="Z14" i="2" s="1"/>
  <c r="AA9" i="4"/>
  <c r="N31" i="1"/>
  <c r="P4" i="2"/>
  <c r="F20" i="1"/>
  <c r="F33" i="1" s="1"/>
  <c r="G22" i="1"/>
  <c r="G20" i="1"/>
  <c r="G33" i="1" s="1"/>
  <c r="J22" i="1"/>
  <c r="Y6" i="3"/>
  <c r="Z6" i="3"/>
  <c r="AA6" i="3" s="1"/>
  <c r="Z21" i="3"/>
  <c r="AA21" i="3" s="1"/>
  <c r="Z30" i="3"/>
  <c r="AA30" i="3" s="1"/>
  <c r="Q22" i="5"/>
  <c r="Y22" i="5" s="1"/>
  <c r="Z22" i="5"/>
  <c r="AA22" i="5" s="1"/>
  <c r="AB22" i="5"/>
  <c r="Q23" i="3"/>
  <c r="Y23" i="3" s="1"/>
  <c r="Z23" i="3"/>
  <c r="AA23" i="3" s="1"/>
  <c r="Z16" i="3"/>
  <c r="AA16" i="3" s="1"/>
  <c r="M9" i="3"/>
  <c r="AB9" i="3" s="1"/>
  <c r="Z9" i="3"/>
  <c r="AA9" i="3" s="1"/>
  <c r="Q34" i="3"/>
  <c r="Y34" i="3" s="1"/>
  <c r="Z34" i="3"/>
  <c r="AA34" i="3" s="1"/>
  <c r="Q36" i="3"/>
  <c r="Y36" i="3" s="1"/>
  <c r="Z36" i="3"/>
  <c r="AA36" i="3" s="1"/>
  <c r="Z21" i="5"/>
  <c r="AA21" i="5" s="1"/>
  <c r="AB21" i="5"/>
  <c r="Z13" i="5"/>
  <c r="AA13" i="5" s="1"/>
  <c r="AB13" i="5"/>
  <c r="Z5" i="5"/>
  <c r="AA5" i="5" s="1"/>
  <c r="Y5" i="5"/>
  <c r="Z45" i="3"/>
  <c r="AA45" i="3" s="1"/>
  <c r="I31" i="1"/>
  <c r="Z50" i="3"/>
  <c r="AA50" i="3" s="1"/>
  <c r="C20" i="1"/>
  <c r="L21" i="1"/>
  <c r="P7" i="2"/>
  <c r="Z7" i="2"/>
  <c r="L8" i="2"/>
  <c r="AA8" i="2" s="1"/>
  <c r="K7" i="4"/>
  <c r="Y7" i="4" s="1"/>
  <c r="Q24" i="3"/>
  <c r="Z24" i="3"/>
  <c r="AA24" i="3" s="1"/>
  <c r="AB24" i="3"/>
  <c r="Z40" i="3"/>
  <c r="AA40" i="3" s="1"/>
  <c r="Z19" i="5"/>
  <c r="AA19" i="5" s="1"/>
  <c r="AB19" i="5"/>
  <c r="Z4" i="5"/>
  <c r="AA4" i="5" s="1"/>
  <c r="M22" i="3"/>
  <c r="AB22" i="3" s="1"/>
  <c r="Z22" i="3"/>
  <c r="AA22" i="3" s="1"/>
  <c r="M14" i="3"/>
  <c r="AB14" i="3" s="1"/>
  <c r="Z14" i="3"/>
  <c r="AA14" i="3" s="1"/>
  <c r="Z7" i="3"/>
  <c r="AA7" i="3" s="1"/>
  <c r="M33" i="3"/>
  <c r="AB33" i="3" s="1"/>
  <c r="Z33" i="3"/>
  <c r="AA33" i="3" s="1"/>
  <c r="Y33" i="3"/>
  <c r="Z38" i="3"/>
  <c r="AA38" i="3" s="1"/>
  <c r="AB4" i="5"/>
  <c r="Z20" i="5"/>
  <c r="AA20" i="5" s="1"/>
  <c r="AB12" i="5"/>
  <c r="Z12" i="5"/>
  <c r="AA12" i="5" s="1"/>
  <c r="L23" i="5"/>
  <c r="Z23" i="5" s="1"/>
  <c r="Z46" i="3"/>
  <c r="AA46" i="3" s="1"/>
  <c r="Y24" i="5"/>
  <c r="O30" i="1"/>
  <c r="L23" i="1"/>
  <c r="C22" i="1"/>
  <c r="N22" i="1"/>
  <c r="L3" i="4"/>
  <c r="AA3" i="4" s="1"/>
  <c r="P3" i="4"/>
  <c r="M38" i="3"/>
  <c r="AB38" i="3" s="1"/>
  <c r="M28" i="3"/>
  <c r="AB28" i="3" s="1"/>
  <c r="Z28" i="3"/>
  <c r="AA28" i="3" s="1"/>
  <c r="Z20" i="3"/>
  <c r="AA20" i="3" s="1"/>
  <c r="Z12" i="3"/>
  <c r="AA12" i="3" s="1"/>
  <c r="Q31" i="3"/>
  <c r="Y31" i="3" s="1"/>
  <c r="Z31" i="3"/>
  <c r="AA31" i="3" s="1"/>
  <c r="Q19" i="5"/>
  <c r="Y19" i="5" s="1"/>
  <c r="M20" i="5"/>
  <c r="AB20" i="5" s="1"/>
  <c r="M18" i="5"/>
  <c r="AB18" i="5" s="1"/>
  <c r="Z18" i="5"/>
  <c r="AA18" i="5" s="1"/>
  <c r="Y18" i="5"/>
  <c r="M9" i="5"/>
  <c r="AB9" i="5" s="1"/>
  <c r="Z9" i="5"/>
  <c r="AA9" i="5" s="1"/>
  <c r="L7" i="2"/>
  <c r="L3" i="2"/>
  <c r="E25" i="1"/>
  <c r="Y5" i="4"/>
  <c r="X10" i="4"/>
  <c r="M35" i="3"/>
  <c r="AB35" i="3" s="1"/>
  <c r="Z35" i="3"/>
  <c r="AA35" i="3" s="1"/>
  <c r="Q35" i="3"/>
  <c r="Y35" i="3" s="1"/>
  <c r="Y10" i="5"/>
  <c r="Z10" i="5"/>
  <c r="AA10" i="5" s="1"/>
  <c r="Y3" i="4"/>
  <c r="P4" i="4"/>
  <c r="X4" i="4" s="1"/>
  <c r="Y4" i="4"/>
  <c r="AA4" i="4"/>
  <c r="M27" i="3"/>
  <c r="AB27" i="3" s="1"/>
  <c r="Z27" i="3"/>
  <c r="AA27" i="3" s="1"/>
  <c r="Q18" i="3"/>
  <c r="Y18" i="3" s="1"/>
  <c r="AB18" i="3"/>
  <c r="Z18" i="3"/>
  <c r="AA18" i="3" s="1"/>
  <c r="Y11" i="3"/>
  <c r="Z11" i="3"/>
  <c r="AA11" i="3" s="1"/>
  <c r="M29" i="3"/>
  <c r="AB29" i="3" s="1"/>
  <c r="Z29" i="3"/>
  <c r="AA29" i="3" s="1"/>
  <c r="M39" i="3"/>
  <c r="AB39" i="3" s="1"/>
  <c r="Y39" i="3"/>
  <c r="Z39" i="3"/>
  <c r="AA39" i="3" s="1"/>
  <c r="Z3" i="5"/>
  <c r="AA3" i="5" s="1"/>
  <c r="Q26" i="5"/>
  <c r="Q15" i="5"/>
  <c r="Y15" i="5" s="1"/>
  <c r="Z15" i="5"/>
  <c r="AA15" i="5" s="1"/>
  <c r="Z8" i="5"/>
  <c r="AA8" i="5" s="1"/>
  <c r="Z43" i="3"/>
  <c r="AA43" i="3" s="1"/>
  <c r="Q47" i="3"/>
  <c r="Y47" i="3" s="1"/>
  <c r="Z47" i="3"/>
  <c r="AA47" i="3" s="1"/>
  <c r="K22" i="1"/>
  <c r="L9" i="2"/>
  <c r="AA9" i="2" s="1"/>
  <c r="Z11" i="5"/>
  <c r="AA11" i="5" s="1"/>
  <c r="Y11" i="5"/>
  <c r="S25" i="5"/>
  <c r="M13" i="3"/>
  <c r="AB13" i="3" s="1"/>
  <c r="Z13" i="3"/>
  <c r="AA13" i="3" s="1"/>
  <c r="M6" i="3"/>
  <c r="M34" i="3"/>
  <c r="AB34" i="3" s="1"/>
  <c r="Q26" i="3"/>
  <c r="Z26" i="3"/>
  <c r="AA26" i="3" s="1"/>
  <c r="Z19" i="3"/>
  <c r="AA19" i="3" s="1"/>
  <c r="M10" i="3"/>
  <c r="AB10" i="3" s="1"/>
  <c r="Z10" i="3"/>
  <c r="AA10" i="3" s="1"/>
  <c r="Q37" i="3"/>
  <c r="Y37" i="3" s="1"/>
  <c r="Z37" i="3"/>
  <c r="AA37" i="3" s="1"/>
  <c r="Q42" i="3"/>
  <c r="Y42" i="3" s="1"/>
  <c r="Z42" i="3"/>
  <c r="AA42" i="3" s="1"/>
  <c r="Y4" i="3"/>
  <c r="Z4" i="3"/>
  <c r="AA4" i="3" s="1"/>
  <c r="AB5" i="5"/>
  <c r="Y16" i="5"/>
  <c r="Z16" i="5"/>
  <c r="AA16" i="5" s="1"/>
  <c r="Z7" i="5"/>
  <c r="AA7" i="5" s="1"/>
  <c r="B32" i="1"/>
  <c r="M48" i="3"/>
  <c r="AB48" i="3" s="1"/>
  <c r="Z48" i="3"/>
  <c r="AA48" i="3" s="1"/>
  <c r="B22" i="1"/>
  <c r="F22" i="1"/>
  <c r="K23" i="1"/>
  <c r="M23" i="1"/>
  <c r="AA14" i="2"/>
  <c r="X6" i="4"/>
  <c r="Y6" i="4"/>
  <c r="Z15" i="3"/>
  <c r="AA15" i="3" s="1"/>
  <c r="Q44" i="3"/>
  <c r="Y44" i="3" s="1"/>
  <c r="Z44" i="3"/>
  <c r="AA44" i="3" s="1"/>
  <c r="M14" i="5"/>
  <c r="AB14" i="5" s="1"/>
  <c r="Z14" i="5"/>
  <c r="AA14" i="5" s="1"/>
  <c r="M36" i="3"/>
  <c r="AB36" i="3" s="1"/>
  <c r="M25" i="3"/>
  <c r="AB25" i="3" s="1"/>
  <c r="Z25" i="3"/>
  <c r="AA25" i="3" s="1"/>
  <c r="Z17" i="3"/>
  <c r="AA17" i="3" s="1"/>
  <c r="Q8" i="3"/>
  <c r="Y8" i="3" s="1"/>
  <c r="Z8" i="3"/>
  <c r="AA8" i="3" s="1"/>
  <c r="AB8" i="3"/>
  <c r="Z32" i="3"/>
  <c r="AA32" i="3" s="1"/>
  <c r="Z41" i="3"/>
  <c r="AA41" i="3" s="1"/>
  <c r="Q4" i="5"/>
  <c r="Q20" i="5"/>
  <c r="Y20" i="5" s="1"/>
  <c r="M11" i="5"/>
  <c r="AB11" i="5" s="1"/>
  <c r="Z17" i="5"/>
  <c r="AA17" i="5" s="1"/>
  <c r="Z6" i="5"/>
  <c r="AA6" i="5" s="1"/>
  <c r="AB6" i="5"/>
  <c r="M49" i="3"/>
  <c r="AB49" i="3" s="1"/>
  <c r="Z49" i="3"/>
  <c r="AA49" i="3" s="1"/>
  <c r="B23" i="1"/>
  <c r="B35" i="1" s="1"/>
  <c r="F23" i="1"/>
  <c r="F35" i="1" s="1"/>
  <c r="L20" i="1"/>
  <c r="N20" i="1"/>
  <c r="Q22" i="3"/>
  <c r="Y22" i="3" s="1"/>
  <c r="Q7" i="3"/>
  <c r="M7" i="3"/>
  <c r="Q14" i="3"/>
  <c r="Y14" i="3" s="1"/>
  <c r="O20" i="1"/>
  <c r="Q28" i="3"/>
  <c r="Y28" i="3" s="1"/>
  <c r="Q38" i="3"/>
  <c r="Y38" i="3" s="1"/>
  <c r="M16" i="3"/>
  <c r="AB16" i="3" s="1"/>
  <c r="J21" i="1"/>
  <c r="M21" i="1"/>
  <c r="M15" i="3"/>
  <c r="M20" i="3"/>
  <c r="AB20" i="3" s="1"/>
  <c r="Q40" i="3"/>
  <c r="Y40" i="3" s="1"/>
  <c r="Q48" i="3"/>
  <c r="Y48" i="3" s="1"/>
  <c r="Q20" i="3"/>
  <c r="Y20" i="3" s="1"/>
  <c r="M12" i="3"/>
  <c r="AB12" i="3" s="1"/>
  <c r="M11" i="3"/>
  <c r="AB11" i="3" s="1"/>
  <c r="Q29" i="3"/>
  <c r="Y29" i="3" s="1"/>
  <c r="Q41" i="3"/>
  <c r="Y41" i="3" s="1"/>
  <c r="R15" i="3"/>
  <c r="Y15" i="3" s="1"/>
  <c r="M47" i="3"/>
  <c r="AB47" i="3" s="1"/>
  <c r="M31" i="3"/>
  <c r="AB31" i="3" s="1"/>
  <c r="M44" i="3"/>
  <c r="AB44" i="3" s="1"/>
  <c r="M30" i="3"/>
  <c r="AB30" i="3" s="1"/>
  <c r="N30" i="1"/>
  <c r="K31" i="1"/>
  <c r="Q9" i="5"/>
  <c r="Y9" i="5" s="1"/>
  <c r="U25" i="5"/>
  <c r="Q14" i="5"/>
  <c r="Y14" i="5" s="1"/>
  <c r="Q21" i="5"/>
  <c r="Y21" i="5" s="1"/>
  <c r="E29" i="1"/>
  <c r="E32" i="1" s="1"/>
  <c r="M30" i="1"/>
  <c r="L26" i="5"/>
  <c r="Z26" i="5" s="1"/>
  <c r="X25" i="5"/>
  <c r="M10" i="5"/>
  <c r="AB10" i="5" s="1"/>
  <c r="J20" i="1"/>
  <c r="Q21" i="3"/>
  <c r="Y21" i="3" s="1"/>
  <c r="M21" i="3"/>
  <c r="AB21" i="3" s="1"/>
  <c r="M50" i="3"/>
  <c r="AB50" i="3" s="1"/>
  <c r="M46" i="3"/>
  <c r="AB46" i="3" s="1"/>
  <c r="Q50" i="3"/>
  <c r="Y50" i="3" s="1"/>
  <c r="I22" i="1"/>
  <c r="Q49" i="3"/>
  <c r="Y49" i="3" s="1"/>
  <c r="Q13" i="3"/>
  <c r="Y13" i="3" s="1"/>
  <c r="Q46" i="3"/>
  <c r="Y46" i="3" s="1"/>
  <c r="Q30" i="3"/>
  <c r="Y30" i="3" s="1"/>
  <c r="M40" i="3"/>
  <c r="AB40" i="3" s="1"/>
  <c r="Q27" i="3"/>
  <c r="Y27" i="3" s="1"/>
  <c r="Q10" i="3"/>
  <c r="Y10" i="3" s="1"/>
  <c r="M37" i="3"/>
  <c r="AB37" i="3" s="1"/>
  <c r="Q26" i="1"/>
  <c r="Q32" i="3"/>
  <c r="Y32" i="3" s="1"/>
  <c r="AA10" i="4"/>
  <c r="Y10" i="4"/>
  <c r="C31" i="1"/>
  <c r="Y15" i="2"/>
  <c r="Z15" i="2" s="1"/>
  <c r="L15" i="2"/>
  <c r="AA15" i="2" s="1"/>
  <c r="P15" i="2"/>
  <c r="X15" i="2" s="1"/>
  <c r="M45" i="3"/>
  <c r="Q45" i="3"/>
  <c r="C30" i="1"/>
  <c r="M17" i="3"/>
  <c r="AB17" i="3" s="1"/>
  <c r="Q17" i="3"/>
  <c r="Y17" i="3" s="1"/>
  <c r="Q25" i="3"/>
  <c r="Y25" i="3" s="1"/>
  <c r="AB16" i="5"/>
  <c r="M8" i="5"/>
  <c r="AB8" i="5" s="1"/>
  <c r="Q8" i="5"/>
  <c r="Y8" i="5" s="1"/>
  <c r="Q43" i="3"/>
  <c r="Y43" i="3" s="1"/>
  <c r="M43" i="3"/>
  <c r="AB43" i="3" s="1"/>
  <c r="L16" i="2"/>
  <c r="AA16" i="2" s="1"/>
  <c r="M26" i="3"/>
  <c r="M17" i="5"/>
  <c r="AB17" i="5" s="1"/>
  <c r="Q17" i="5"/>
  <c r="Y17" i="5" s="1"/>
  <c r="Q7" i="5"/>
  <c r="Y7" i="5" s="1"/>
  <c r="M19" i="3"/>
  <c r="Q19" i="3"/>
  <c r="M42" i="3"/>
  <c r="AB42" i="3" s="1"/>
  <c r="C32" i="1"/>
  <c r="P5" i="4"/>
  <c r="X5" i="4" s="1"/>
  <c r="L5" i="4"/>
  <c r="K8" i="4"/>
  <c r="M41" i="3"/>
  <c r="AB41" i="3" s="1"/>
  <c r="X9" i="4"/>
  <c r="Y9" i="4"/>
  <c r="M32" i="3"/>
  <c r="AB32" i="3" s="1"/>
  <c r="E28" i="1"/>
  <c r="P16" i="2"/>
  <c r="X16" i="2" s="1"/>
  <c r="E24" i="1"/>
  <c r="X11" i="2"/>
  <c r="R12" i="3"/>
  <c r="Y12" i="3" s="1"/>
  <c r="P12" i="2"/>
  <c r="X12" i="2" s="1"/>
  <c r="Y12" i="2"/>
  <c r="Z12" i="2" s="1"/>
  <c r="AA12" i="2"/>
  <c r="L25" i="5"/>
  <c r="L6" i="4"/>
  <c r="AA6" i="4" s="1"/>
  <c r="Q6" i="5"/>
  <c r="Y6" i="5" s="1"/>
  <c r="X3" i="2"/>
  <c r="Y13" i="2"/>
  <c r="Z13" i="2" s="1"/>
  <c r="Q9" i="3"/>
  <c r="Y9" i="3" s="1"/>
  <c r="Q16" i="3"/>
  <c r="Y16" i="3" s="1"/>
  <c r="M23" i="3"/>
  <c r="AB23" i="3" s="1"/>
  <c r="AB15" i="5"/>
  <c r="P9" i="2"/>
  <c r="R26" i="5"/>
  <c r="E27" i="1"/>
  <c r="O21" i="1"/>
  <c r="O23" i="1"/>
  <c r="D19" i="1" l="1"/>
  <c r="D23" i="1" s="1"/>
  <c r="M76" i="3"/>
  <c r="AB76" i="3" s="1"/>
  <c r="R76" i="3"/>
  <c r="Y76" i="3" s="1"/>
  <c r="I19" i="1"/>
  <c r="R73" i="3"/>
  <c r="I16" i="1"/>
  <c r="I20" i="1" s="1"/>
  <c r="I33" i="1" s="1"/>
  <c r="D17" i="1"/>
  <c r="P17" i="1" s="1"/>
  <c r="O33" i="1"/>
  <c r="D13" i="1"/>
  <c r="P13" i="1" s="1"/>
  <c r="L23" i="2"/>
  <c r="AA23" i="2" s="1"/>
  <c r="AB74" i="3"/>
  <c r="Q19" i="1"/>
  <c r="X7" i="2"/>
  <c r="H12" i="1"/>
  <c r="Q12" i="1" s="1"/>
  <c r="H14" i="1"/>
  <c r="Q14" i="1" s="1"/>
  <c r="P22" i="2"/>
  <c r="P24" i="2"/>
  <c r="X24" i="2" s="1"/>
  <c r="AA7" i="2"/>
  <c r="D12" i="1"/>
  <c r="D14" i="1"/>
  <c r="P14" i="1" s="1"/>
  <c r="L24" i="2"/>
  <c r="AA24" i="2" s="1"/>
  <c r="L22" i="2"/>
  <c r="AA22" i="2" s="1"/>
  <c r="Y45" i="3"/>
  <c r="AB45" i="3"/>
  <c r="G34" i="1"/>
  <c r="J35" i="1"/>
  <c r="E21" i="1"/>
  <c r="Q21" i="1" s="1"/>
  <c r="P15" i="1"/>
  <c r="E23" i="1"/>
  <c r="E35" i="1" s="1"/>
  <c r="AA25" i="2"/>
  <c r="Y25" i="2"/>
  <c r="X3" i="4"/>
  <c r="P7" i="4"/>
  <c r="X7" i="4" s="1"/>
  <c r="X4" i="2"/>
  <c r="AA4" i="2"/>
  <c r="AB26" i="3"/>
  <c r="Y26" i="3"/>
  <c r="N34" i="1"/>
  <c r="H35" i="1"/>
  <c r="J34" i="1"/>
  <c r="X5" i="2"/>
  <c r="AA5" i="2"/>
  <c r="K35" i="1"/>
  <c r="X23" i="2"/>
  <c r="Z73" i="3"/>
  <c r="Y24" i="3"/>
  <c r="I34" i="1"/>
  <c r="AB7" i="3"/>
  <c r="F34" i="1"/>
  <c r="L33" i="1"/>
  <c r="J33" i="1"/>
  <c r="K33" i="1"/>
  <c r="B34" i="1"/>
  <c r="D25" i="1"/>
  <c r="P25" i="1" s="1"/>
  <c r="M35" i="1"/>
  <c r="N33" i="1"/>
  <c r="L7" i="4"/>
  <c r="AA7" i="4" s="1"/>
  <c r="AB4" i="3"/>
  <c r="Y19" i="3"/>
  <c r="AB19" i="3"/>
  <c r="Y7" i="3"/>
  <c r="AB6" i="3"/>
  <c r="G35" i="1"/>
  <c r="O34" i="1"/>
  <c r="L35" i="1"/>
  <c r="M33" i="1"/>
  <c r="D24" i="1"/>
  <c r="P24" i="1" s="1"/>
  <c r="H25" i="1"/>
  <c r="Q25" i="1" s="1"/>
  <c r="P8" i="4"/>
  <c r="X8" i="4" s="1"/>
  <c r="Q23" i="5"/>
  <c r="Y23" i="5" s="1"/>
  <c r="AA3" i="2"/>
  <c r="C33" i="1"/>
  <c r="K34" i="1"/>
  <c r="Y26" i="5"/>
  <c r="Y4" i="5"/>
  <c r="H24" i="1"/>
  <c r="Q24" i="1" s="1"/>
  <c r="Q17" i="1"/>
  <c r="AA5" i="4"/>
  <c r="D27" i="1"/>
  <c r="P27" i="1" s="1"/>
  <c r="AB7" i="5"/>
  <c r="H28" i="1"/>
  <c r="Q28" i="1" s="1"/>
  <c r="AB15" i="3"/>
  <c r="AB3" i="5"/>
  <c r="M23" i="5"/>
  <c r="L8" i="4"/>
  <c r="AA8" i="4" s="1"/>
  <c r="B20" i="1"/>
  <c r="B33" i="1" s="1"/>
  <c r="D29" i="1"/>
  <c r="M26" i="5"/>
  <c r="AB26" i="5" s="1"/>
  <c r="Q25" i="5"/>
  <c r="Y25" i="5" s="1"/>
  <c r="Q29" i="1"/>
  <c r="Q32" i="1"/>
  <c r="E22" i="1"/>
  <c r="Z25" i="5"/>
  <c r="M25" i="5"/>
  <c r="AB25" i="5" s="1"/>
  <c r="E20" i="1"/>
  <c r="Y24" i="2"/>
  <c r="C34" i="1"/>
  <c r="Y8" i="4"/>
  <c r="E30" i="1"/>
  <c r="H27" i="1"/>
  <c r="X9" i="2"/>
  <c r="Q15" i="1"/>
  <c r="E31" i="1"/>
  <c r="D28" i="1"/>
  <c r="P28" i="1" s="1"/>
  <c r="Y74" i="3"/>
  <c r="Z74" i="3"/>
  <c r="C35" i="1"/>
  <c r="O35" i="1"/>
  <c r="P23" i="1" l="1"/>
  <c r="X22" i="2"/>
  <c r="D21" i="1"/>
  <c r="P21" i="1" s="1"/>
  <c r="D30" i="1"/>
  <c r="P30" i="1" s="1"/>
  <c r="P19" i="1"/>
  <c r="H30" i="1"/>
  <c r="Q30" i="1" s="1"/>
  <c r="H31" i="1"/>
  <c r="Q31" i="1" s="1"/>
  <c r="D32" i="1"/>
  <c r="P29" i="1"/>
  <c r="E34" i="1"/>
  <c r="P12" i="1"/>
  <c r="E33" i="1"/>
  <c r="Q27" i="1"/>
  <c r="D31" i="1"/>
  <c r="P31" i="1" s="1"/>
  <c r="I23" i="1"/>
  <c r="P32" i="1" l="1"/>
  <c r="D35" i="1"/>
  <c r="P35" i="1" s="1"/>
  <c r="I35" i="1"/>
  <c r="Q35" i="1" s="1"/>
  <c r="Q23" i="1"/>
  <c r="Q58" i="3" l="1"/>
  <c r="Z58" i="3"/>
  <c r="AA58" i="3" s="1"/>
  <c r="M58" i="3"/>
  <c r="M73" i="3" l="1"/>
  <c r="M75" i="3"/>
  <c r="AB75" i="3" s="1"/>
  <c r="D18" i="1"/>
  <c r="D16" i="1"/>
  <c r="P16" i="1" s="1"/>
  <c r="Q75" i="3"/>
  <c r="Y75" i="3" s="1"/>
  <c r="Q73" i="3"/>
  <c r="H18" i="1"/>
  <c r="Q18" i="1" s="1"/>
  <c r="H16" i="1"/>
  <c r="AB73" i="3"/>
  <c r="AB58" i="3"/>
  <c r="Y58" i="3"/>
  <c r="Z75" i="3"/>
  <c r="Y73" i="3" l="1"/>
  <c r="D20" i="1"/>
  <c r="P20" i="1" s="1"/>
  <c r="H22" i="1"/>
  <c r="H20" i="1"/>
  <c r="Q16" i="1"/>
  <c r="P18" i="1"/>
  <c r="D22" i="1"/>
  <c r="D33" i="1" l="1"/>
  <c r="P33" i="1" s="1"/>
  <c r="P22" i="1"/>
  <c r="D34" i="1"/>
  <c r="P34" i="1" s="1"/>
  <c r="H33" i="1"/>
  <c r="Q33" i="1" s="1"/>
  <c r="Q20" i="1"/>
  <c r="Q22" i="1"/>
  <c r="H34" i="1"/>
  <c r="Q34" i="1" s="1"/>
</calcChain>
</file>

<file path=xl/sharedStrings.xml><?xml version="1.0" encoding="utf-8"?>
<sst xmlns="http://schemas.openxmlformats.org/spreadsheetml/2006/main" count="951" uniqueCount="374">
  <si>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</si>
  <si>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</si>
  <si>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</si>
  <si>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</si>
  <si>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</si>
  <si>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</si>
  <si>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</si>
  <si>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</si>
  <si>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</si>
  <si>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</si>
  <si>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</si>
  <si>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</si>
  <si>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</si>
  <si>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</si>
  <si>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</si>
  <si>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</si>
  <si>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</si>
  <si>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</si>
  <si>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</si>
  <si>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</si>
  <si>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</si>
  <si>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</si>
  <si>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</si>
  <si>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</si>
  <si>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</si>
  <si>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</si>
  <si>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</si>
  <si>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t>spr-lata</t>
  </si>
  <si>
    <t>spr-procent</t>
  </si>
  <si>
    <t>spr-dof</t>
  </si>
  <si>
    <t>spr-montaż</t>
  </si>
  <si>
    <t>TERC</t>
  </si>
  <si>
    <t>Zadanie wieloletnie [N/W]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</si>
  <si>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</si>
  <si>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</si>
  <si>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</si>
  <si>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</si>
  <si>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</si>
  <si>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</si>
  <si>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</si>
  <si>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</si>
  <si>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</si>
  <si>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</si>
  <si>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</si>
  <si>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</si>
  <si>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Powiat Nyski</t>
  </si>
  <si>
    <t>P</t>
  </si>
  <si>
    <t>K</t>
  </si>
  <si>
    <t>Powiat Brzeski</t>
  </si>
  <si>
    <t>Powiat Prudnicki</t>
  </si>
  <si>
    <t>Gmina Nysa</t>
  </si>
  <si>
    <t>Gmina Grodków</t>
  </si>
  <si>
    <t>N</t>
  </si>
  <si>
    <t>Gmina Brzeg</t>
  </si>
  <si>
    <t>Gmina Łubniany</t>
  </si>
  <si>
    <t>Powiat Opolski</t>
  </si>
  <si>
    <t>Powiat Oleski</t>
  </si>
  <si>
    <t>Powiat Strzelecki</t>
  </si>
  <si>
    <t>Powiat Namysłowski</t>
  </si>
  <si>
    <t>Powiat Krapkowicki</t>
  </si>
  <si>
    <t>Powiat Kędzierzyńsko - Kozielski</t>
  </si>
  <si>
    <t>Przebudowa mostu nad zalewem rz. Nysa Kłodzka w ciągu drogi powiatowej nr 1508 O w km 12+270 w Lewinie Brzeskim</t>
  </si>
  <si>
    <t>lipiec 2020 - wrzesień 2021</t>
  </si>
  <si>
    <t>FDS/G/2/2019</t>
  </si>
  <si>
    <t>FDS/G/57/2019</t>
  </si>
  <si>
    <t>Gmina Chrząstowice</t>
  </si>
  <si>
    <t>Gmina Wołczyn</t>
  </si>
  <si>
    <t>Gmina Prudnik</t>
  </si>
  <si>
    <t>Gmina Popielów</t>
  </si>
  <si>
    <t>Gmina Świerczów</t>
  </si>
  <si>
    <t>Gmina Dobrzeń Wielki</t>
  </si>
  <si>
    <t>Gmina Gogolin</t>
  </si>
  <si>
    <t>Gmina Reńska Wieś</t>
  </si>
  <si>
    <t>Gmina Pokój</t>
  </si>
  <si>
    <t>Gmina Korfantów</t>
  </si>
  <si>
    <t>Gmina Praszka</t>
  </si>
  <si>
    <t>Gmina Krapkowice</t>
  </si>
  <si>
    <t>Gmina Skoroszyce</t>
  </si>
  <si>
    <t>Gmina Namysłów</t>
  </si>
  <si>
    <t>Gmina Bierawa</t>
  </si>
  <si>
    <t>Gmina Zawadzkie</t>
  </si>
  <si>
    <t>Gmina Kietrz</t>
  </si>
  <si>
    <t>Gmina Kluczbork</t>
  </si>
  <si>
    <t>Powiat Głubczycki</t>
  </si>
  <si>
    <t>Powiat Kluczborski</t>
  </si>
  <si>
    <t>Przebudowa drogi gminnej ul. Szkolnej w Lędzinach</t>
  </si>
  <si>
    <t>Przebudowa ulic Kochanowskiego i Dąbrowskiej w Grodkowie</t>
  </si>
  <si>
    <t>kwiecień 2020 - grudzień 2021</t>
  </si>
  <si>
    <t>marzec 2020 - grudzień 2021</t>
  </si>
  <si>
    <t>W</t>
  </si>
  <si>
    <t>1601</t>
  </si>
  <si>
    <t>Gmina Głubczyce</t>
  </si>
  <si>
    <t>Gmina Byczyna</t>
  </si>
  <si>
    <t>FDS/2020/P/10</t>
  </si>
  <si>
    <t>FDS/2020/P/12</t>
  </si>
  <si>
    <t>FDS/2020/P/13</t>
  </si>
  <si>
    <t>FDS/2020/P/4</t>
  </si>
  <si>
    <t>FDS/2020/P/15</t>
  </si>
  <si>
    <t>FDS/2020/P/9</t>
  </si>
  <si>
    <t>FDS/2020/P/14</t>
  </si>
  <si>
    <t>FDS/2020/P/11</t>
  </si>
  <si>
    <t>FDS/2020/P/5</t>
  </si>
  <si>
    <t>FDS/2020/P/20</t>
  </si>
  <si>
    <t xml:space="preserve">FDS/P/17/2019
</t>
  </si>
  <si>
    <t>FDS/2020/P/21</t>
  </si>
  <si>
    <t>FDS/2020/P/19</t>
  </si>
  <si>
    <t>Gmina Niemodlin</t>
  </si>
  <si>
    <t>Gmina Dąbrowa</t>
  </si>
  <si>
    <t>Gmina Tułowice</t>
  </si>
  <si>
    <t>Gmina Głogówek</t>
  </si>
  <si>
    <t>FDS/2020/G/7</t>
  </si>
  <si>
    <t>FDS/2020/G/4</t>
  </si>
  <si>
    <t>FDS/2020/G/22</t>
  </si>
  <si>
    <t>FDS/2020/G/27</t>
  </si>
  <si>
    <t>FDS/2020/G/52</t>
  </si>
  <si>
    <t>FDS/2020/G/66</t>
  </si>
  <si>
    <t>FDS/2020/G/1</t>
  </si>
  <si>
    <t>FDS/2020/G/69</t>
  </si>
  <si>
    <t>FDS/2020/G/13</t>
  </si>
  <si>
    <t>FDS/2020/G/24</t>
  </si>
  <si>
    <t>Gmina Olesno</t>
  </si>
  <si>
    <t>Gmina Paczków</t>
  </si>
  <si>
    <t>Gmina Biała</t>
  </si>
  <si>
    <t>FDS/2020/G/20</t>
  </si>
  <si>
    <t>FDS/2020/G/64</t>
  </si>
  <si>
    <t>FDS/2020/G/23</t>
  </si>
  <si>
    <t>FDS/2020/G/16</t>
  </si>
  <si>
    <t>FDS/2020/G/14</t>
  </si>
  <si>
    <t>FDS/2020/G/25</t>
  </si>
  <si>
    <t>FDS/2020/G/73</t>
  </si>
  <si>
    <t>FDS/2020/G/43</t>
  </si>
  <si>
    <t>FDS/2020/G/79</t>
  </si>
  <si>
    <t>FDS/2020/G/50</t>
  </si>
  <si>
    <t>FDS/2020/G/29</t>
  </si>
  <si>
    <t>FDS/2020/G/46</t>
  </si>
  <si>
    <t>FDS/2020/G/44</t>
  </si>
  <si>
    <t>FDS/2020/G/51</t>
  </si>
  <si>
    <t>FDS/2020/G/80</t>
  </si>
  <si>
    <t>FDS/2020/G/2</t>
  </si>
  <si>
    <t>FDS/2020/G/78</t>
  </si>
  <si>
    <t>FDS/2020/G/53</t>
  </si>
  <si>
    <t>FDS/2020/G/81</t>
  </si>
  <si>
    <t>FDS/2020/G/17</t>
  </si>
  <si>
    <t>FDS/2020/G/8</t>
  </si>
  <si>
    <t>Gmina Turawa</t>
  </si>
  <si>
    <t>Gmina Baborów</t>
  </si>
  <si>
    <t>FDS/2020/G/18</t>
  </si>
  <si>
    <t>FDS/2020/G/63</t>
  </si>
  <si>
    <t>FDS/2020/G/9</t>
  </si>
  <si>
    <t>FDS/2020/G/10</t>
  </si>
  <si>
    <t>FDS/2020/G/83</t>
  </si>
  <si>
    <t>FDS/2020/G/21</t>
  </si>
  <si>
    <t>FDS/2020/G/47</t>
  </si>
  <si>
    <t>FDS/2020/G/15</t>
  </si>
  <si>
    <t>FDS/2020/G/3</t>
  </si>
  <si>
    <t>Gmina Lewin Brzeski</t>
  </si>
  <si>
    <t>Gmina Strzelce Opolskie</t>
  </si>
  <si>
    <t>Gmina Radłów</t>
  </si>
  <si>
    <t>FDS/2020/G/40</t>
  </si>
  <si>
    <t>FDS/2020/G/26</t>
  </si>
  <si>
    <t>Gmina Kolonowskie</t>
  </si>
  <si>
    <t>Gmina Polska Cerekiew</t>
  </si>
  <si>
    <t>FDS/2020/G/28</t>
  </si>
  <si>
    <t>FDS/2020/G/62</t>
  </si>
  <si>
    <t>FDS/2020/G/48</t>
  </si>
  <si>
    <t>FDS/2020/G/35</t>
  </si>
  <si>
    <t>Gmina Zdzieszowice</t>
  </si>
  <si>
    <t xml:space="preserve">Gmina Pawłowiczki </t>
  </si>
  <si>
    <t>Gmina Ozimek</t>
  </si>
  <si>
    <t>FDS/2020/G/72</t>
  </si>
  <si>
    <t>FDS/2020/G/71</t>
  </si>
  <si>
    <t>FDS/2020/G/67</t>
  </si>
  <si>
    <t>Gmina Jemielnica</t>
  </si>
  <si>
    <t>Gmina Lubrza</t>
  </si>
  <si>
    <t>FDS/2020/P/3</t>
  </si>
  <si>
    <t>FDS/2020/P/2</t>
  </si>
  <si>
    <t>Przebudowa drogi powiatowej nr 1905 O (Goła - Przytoczna - do DW487) na długości 995 m w miejscowości Goła</t>
  </si>
  <si>
    <t>Przebudowa drogi powiatowej nr 1220 O na odcinku Lewice - Michałkowice oraz drogi powiatowej nr 1241 O w miejscowości Lewice</t>
  </si>
  <si>
    <t>ROZBUDOWA DROGI POWIATOWEJ NR 2189 O - ALEJA WOJSKA POLSKIEGO W NYSIE</t>
  </si>
  <si>
    <t xml:space="preserve">Przebudowa drogi powiatowej nr 1477 O ul. Mostowa w Kędzierzynie - Koźlu </t>
  </si>
  <si>
    <t>PRZEBUDOWA ODCINKA DROGI POWIATOWEJ NR 1654 O</t>
  </si>
  <si>
    <t>PRZEBUDOWA ODCINKA DROGI POWIATOWEJ NR 1531 O W MIEJSCOWOŚCI WŁODARY</t>
  </si>
  <si>
    <t>Przebudowa drogi powiatowej nr 1211 O na odcinku Gościęcin - Karchów</t>
  </si>
  <si>
    <t>Przebudowa drogi powiatowej nr 1916 O (Praszka - Szyszków - Gorzów Śląski) na długości 995 m w miejscowości Praszka</t>
  </si>
  <si>
    <t>Remont DP nr 1165 O odc. od mostu do m. Prędocin</t>
  </si>
  <si>
    <t>Przebudowa drogi polegająca na budowie chodnika w ciągu DP nr 1716 O na odc. od DW 415 do m. Zimnice Małe wraz z przebudową kolidującej sieci teletechnicznej</t>
  </si>
  <si>
    <t>Przebudowa drogi powiatowej Nr 1522 O w zakresie budowy chodnika w miejscowości Goszczowice</t>
  </si>
  <si>
    <t>Przebudowa drogi powiatowej nr 1209 O relacji Mochów - Racławice Śląskie - etap II</t>
  </si>
  <si>
    <t>Przebudowa drogi powiatowej nr 1811 O w zakresie budowy ścieżki pieszo-rowerowej na odcinku Komorniki-Kórnica</t>
  </si>
  <si>
    <t>Przebudowa ulicy Jana Pawła II w Brzegu</t>
  </si>
  <si>
    <t>Przebudowa i rozbudowa ul. Słonecznej w Niemodlinie od km 0+021,15 do km 1 + 160,55</t>
  </si>
  <si>
    <t xml:space="preserve">Przebudowa ul. Kasztanowej w Szymonkowie </t>
  </si>
  <si>
    <t>Przebudowa ul. Wiejskiej w Karczowie</t>
  </si>
  <si>
    <t>Budowa dróg publicznych w rejonie Wałbrzyskiej Strefy Ekonomicznej w Grodkowie</t>
  </si>
  <si>
    <t>Przebudowa drogi w Rynku w Nysie</t>
  </si>
  <si>
    <t>Przebudowa ulicy Wyzwolenia w Gogolinie, droga gminna nr 106141 O</t>
  </si>
  <si>
    <t>Budowa dróg w rejonie ulic Azalii i Prudnickiej w Krapkowicach</t>
  </si>
  <si>
    <t xml:space="preserve">Przebudowa drogi gminnej, ul. Pocztowej w m. Tułowice wraz z przebudową skrzyżowania z drogą wojewódzką nr 405 </t>
  </si>
  <si>
    <t>Przebudowa ulicy Korfantego w Głogówku</t>
  </si>
  <si>
    <t>Przebudowa drogi z poprawą bezpieczeństwa w rejonie osiedla mieszkaniowego w Brzezinkach</t>
  </si>
  <si>
    <t>Przebudowa drogi gminnej ul. Wrzosowej w Suchym Borze</t>
  </si>
  <si>
    <t>Budowa ul. Brzozowej w Oleśnie</t>
  </si>
  <si>
    <t>Remont drogi dojazdowej do terenów inwestycyjnych ul. Fabrycznej w Wołczynie etap II</t>
  </si>
  <si>
    <t>Remont dróg lokalnych na terenie sołectwa Pokrzywnica</t>
  </si>
  <si>
    <t>Remont ulicy Klonowej w Byczynie</t>
  </si>
  <si>
    <t>Przebudowa ul. Cyprysowej oraz ul. Lipowej w Oleśnie</t>
  </si>
  <si>
    <t>Remont dróg gminnych ul. Kwiatowej i ul. Stromej w Reńskiej Wsi</t>
  </si>
  <si>
    <t>Remont drogi w Trzeboszowicach położonej na działce 850</t>
  </si>
  <si>
    <t>Przebudowa drogi gminnej ul. Strażaków nr 108717 O w Baborowie</t>
  </si>
  <si>
    <t>Przebudowa drogi wewnętrznej w miejscowości Niesiebędowice</t>
  </si>
  <si>
    <t>Przebudowa drogi gminnej w m. Prężyna</t>
  </si>
  <si>
    <t>Budowa drogi gminnej w miejscowości Chróścice</t>
  </si>
  <si>
    <t>Remont drogi w Unikowicach położonej na działce nr 202</t>
  </si>
  <si>
    <t>Przebudowa drogi gminnej - ul. Pokojskiej w miejscowości Lubienia</t>
  </si>
  <si>
    <t>Przebudowa drogi gminnej w miejscowości Krobusz</t>
  </si>
  <si>
    <t>Przebudowa nawierzchni drogi w miejscowości Piechocice</t>
  </si>
  <si>
    <t>Budowa drogi w Kowalowicach</t>
  </si>
  <si>
    <t>Przebudowa ulic: Klonowej, Brzozowej, Akacjowej i Świerkowej w miejscowości Kotórz Mały</t>
  </si>
  <si>
    <t>Remont drogi położonej w Paczkowie przy ul. Dworcowej na działkach nr 65, 51/2</t>
  </si>
  <si>
    <t>Przebudowa ulicy Pływackiej w miejscowości Rzędów (etap II)</t>
  </si>
  <si>
    <t>Przebudowa drogi gminnej ul. Piaskowa nr 108732 O w Baborowie</t>
  </si>
  <si>
    <t>Przebudowa ul. Kolejowej w Dąbrowie</t>
  </si>
  <si>
    <t>Rozbudowa drogi gminnej ul. Kościuszki w m. Dobrzeń Wielki - Etap I</t>
  </si>
  <si>
    <t>Przebudowa ulicy Kopernika w miejscowości Krapkowice</t>
  </si>
  <si>
    <t>Budowa dróg gminnych ulicy Dębowej w Ozimku i Krasiejowie, Sosnowej i Modrzewiowej w Ozimku wraz z oświetleniem i odwodnieniem oraz budową skrzyżowania drogi gminnej ulicy Dębowej z drogą wojewódzką nr 463 ul. Wyzwolenia w miejscowości Ozimek</t>
  </si>
  <si>
    <t>Budowa drogi gminnej - ul. Zielona w Radziejowie</t>
  </si>
  <si>
    <t>Przebudowa drogi gminnej - ul. Sportowej w Radziejowie</t>
  </si>
  <si>
    <t>Remont ul. Powstańców Śląskich w Brzegu</t>
  </si>
  <si>
    <t>Przebudowa ul. Nowa-Droga Gminna nr 102612 O, M.Kępa, Gmina Łubniany</t>
  </si>
  <si>
    <t>Przebudowa drogi gminnej nr 100933 O - ul. Curie - Skłodowskiej w Praszce - Etap II</t>
  </si>
  <si>
    <t>Przebudowa drogi w m. Grodziec (DZ. NR 204 i 205)</t>
  </si>
  <si>
    <t>Przebudowa drogi gminnej - ul. Kościelnej w miejscowości Karłowice</t>
  </si>
  <si>
    <t>Przebudowa drogi gminnej oraz dróg wewnętrznych w miejscowości Sarny Małe</t>
  </si>
  <si>
    <t>Przebudowa drogi gminnej - ul. Długiej w Kolonowskiem</t>
  </si>
  <si>
    <t xml:space="preserve">Przebudowa drogi gminnej nr 101226 O Boroszów - Radłów od km 4+300 do km 5+240 </t>
  </si>
  <si>
    <t>Przebudowa dróg w Chróścinie - ul. Słoneczna, Krótka, Boczna</t>
  </si>
  <si>
    <t>Przebudowa ulicy Karola Miarki w Głubczycach</t>
  </si>
  <si>
    <t>Remont odcinka drogi w ciągu ul. Długiej w Kietrzu, będącej drogą publiczną gminną nr 108809 O</t>
  </si>
  <si>
    <t>Remont dróg gminnych nr G 107310 O i G 107323 O w Nowym Browińcu</t>
  </si>
  <si>
    <t>Przebudowa drogi gminnej - ul. Polna w miejscowości Nowe Siołkowice</t>
  </si>
  <si>
    <t>Budowa drogi ul. Podkowińskiego, ul. Kantora wraz z łącznikiem, sieci kanalizacji deszczowej wraz z odprowadzeniem wód deszczowych do rowu melioracyjnejgo, przebudowa sieci wodociągowej, zjazdów indywidualnych i publicznych</t>
  </si>
  <si>
    <t>Przebudowa dróg gminnych - ulic Ciepłodolskiej i Dworcowej w Polskiej Cerekwi</t>
  </si>
  <si>
    <t>Przebudowa ul. Wschodniej w Zdzieszowicach</t>
  </si>
  <si>
    <t>Przebudowa drogi gminnej - ul. Chabrów w Kolonowskiem</t>
  </si>
  <si>
    <t>Remont drogi gminnej ul. Wiejskiej w Goszycach - etap II</t>
  </si>
  <si>
    <t>Przebudowa drogi gminnej ul. Wierzbowej w miejscowości Stare Koźle etap II</t>
  </si>
  <si>
    <t>Przebudowa drogi gminnej - ul. Bzów w Kolonowskiem</t>
  </si>
  <si>
    <t>Remont odcinka ulicy Krasickiego w Pilszczu będącej drogą publiczną gminną nr 108832 O</t>
  </si>
  <si>
    <t>Remont drogi gminnej nr 108442 O ulicy Ogrodowej oraz parkingu w Pawłowiczkach</t>
  </si>
  <si>
    <t>Remont drogi gminnej publicznej w miejscowości Krogulna o długości 1953,00 m</t>
  </si>
  <si>
    <t>Remont drogi gminnej nr 105567 O Gąsiorowice - Łaziska ul. Młyńska w m. Gąsiorowice</t>
  </si>
  <si>
    <t>Remont nawierzchni jezdni i chodników ulicy Mickiewicza w Zawadzkiem wraz z przebudową kanalizacji deszczowej</t>
  </si>
  <si>
    <t>Remont dróg gminnych ul. Dworcowej, Górnej, Związkowej, Harcerskiej i Spokojnej w Reńskiej Wsi</t>
  </si>
  <si>
    <t>Remont nawierzchni jezdni i chodników ulicy 1 Maja w Zawadzkiem wraz z przebudową kanalizacji deszczowej</t>
  </si>
  <si>
    <t>Długość odcinka (w km)</t>
  </si>
  <si>
    <t>B</t>
  </si>
  <si>
    <t>czerwiec 2021 - grudzień 2021</t>
  </si>
  <si>
    <t>R</t>
  </si>
  <si>
    <t>Przebudowa ulicy Grottgera w Prudniku</t>
  </si>
  <si>
    <t>kwiecień 2021 - listopad 2021</t>
  </si>
  <si>
    <t>kwiecień 2021 - październik 2021</t>
  </si>
  <si>
    <t>marzec 2021 - listopad 2021</t>
  </si>
  <si>
    <t>kwiecień 2021 - lipiec 2021</t>
  </si>
  <si>
    <t>luty 2021 - październik 2021</t>
  </si>
  <si>
    <t>czerwiec 2021 - październik 2021</t>
  </si>
  <si>
    <t>czerwiec 2021 - listopad 2021</t>
  </si>
  <si>
    <t>maj 2021 - listopad 2021</t>
  </si>
  <si>
    <t>maj 2021 - grudzień 2021</t>
  </si>
  <si>
    <t>lipiec 2021 - październik 2021</t>
  </si>
  <si>
    <t>Powiat Krapkowice</t>
  </si>
  <si>
    <t>Powiat P:rudnicki</t>
  </si>
  <si>
    <t>okres realizacji zadania</t>
  </si>
  <si>
    <t>marzec 2021 - październik 2021</t>
  </si>
  <si>
    <t>maj 2021 - wrzesień 2021</t>
  </si>
  <si>
    <t>marzec 2021 - wrzesień 2021</t>
  </si>
  <si>
    <t>kwiecień 2021 - sierpień 2022</t>
  </si>
  <si>
    <t>kwiecień 2021 - listopad  2021</t>
  </si>
  <si>
    <t>maJ 2021 - październik 2021</t>
  </si>
  <si>
    <t>czerwiec 2021 - wrzesień  2021</t>
  </si>
  <si>
    <t>maj 2021 - sierpień 2021</t>
  </si>
  <si>
    <t>1602</t>
  </si>
  <si>
    <t>1607</t>
  </si>
  <si>
    <t>1603</t>
  </si>
  <si>
    <t>1611</t>
  </si>
  <si>
    <t>kwiecień 2021 - wrzesień 2021</t>
  </si>
  <si>
    <t>1609</t>
  </si>
  <si>
    <t>1610</t>
  </si>
  <si>
    <t>1605</t>
  </si>
  <si>
    <t>kwiecień 2021 - sierpień 2021</t>
  </si>
  <si>
    <t xml:space="preserve">Remont drogi powiatowej nr 2093 O (ulica Drzymały w Kluczborku) na odcinku o długości 483m (w km od 0+007,5 do 490,5) </t>
  </si>
  <si>
    <t>Remont drogi powiatowej nr 1208 O relacji Biała - Mochów (do DK40) na odcinku od miejscowości Rostkowice do miejscowości Mionów na odcinku 2845m</t>
  </si>
  <si>
    <t>Remont drogi powiatowej nr 1614 O relacji Prudnik - Biała na odcinku od miejscowości Prudnik do miejscowości Prężynka na odcinku 2883m</t>
  </si>
  <si>
    <t>FDS/2020/P/18</t>
  </si>
  <si>
    <t>Przebudowa i rozbudowa ul. Zamkowej w Kadłubie</t>
  </si>
  <si>
    <t>kwiecień 2021 -
 maj 2021</t>
  </si>
  <si>
    <t>1604</t>
  </si>
  <si>
    <t>Przebudowa mostu JNI 30004471 w ciągu drogi powiatowej 1401 O Zdzieszowice - Leśnica - Zalesie Śląskie w m. Leśnica ul. Zdzieszowicka</t>
  </si>
  <si>
    <t>16070503</t>
  </si>
  <si>
    <t>Budowa dróg i uzbrojenia podziemnego Regionalnego Parku Przemysłowego WSSE Invest - Park na terenie Gminy Nysa, w obrębach wsi Radzikowice i Goświnowice - etap II</t>
  </si>
  <si>
    <t>FDS/G/44/2019</t>
  </si>
  <si>
    <t>maj 2019
marzec 2021</t>
  </si>
  <si>
    <t xml:space="preserve">Lista zadań rekomendowanych do dofinansowania w ramach Rządowego Funduszu Rozwoju Dróg 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</si>
  <si>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</si>
  <si>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</si>
  <si>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</si>
  <si>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Gmina Branice</t>
  </si>
  <si>
    <t>Przebudowa drogi gminnej w miejscowości Bliszczyce</t>
  </si>
  <si>
    <t>Przebudowa drogi gminnej w miejscowości Jędrychowice</t>
  </si>
  <si>
    <t>luty 2021 - wrzesień 2021</t>
  </si>
  <si>
    <t>Przebudowa drogi powiatowej nr 1213 O relacji Klisino - Pomorzowiczki</t>
  </si>
  <si>
    <t>czerwiec 2021 - grudzień 2022</t>
  </si>
  <si>
    <t>sierpień 2021 - grudzień 2021</t>
  </si>
  <si>
    <t>FDS/2020/G/32</t>
  </si>
  <si>
    <t>FDS/2020/G/33</t>
  </si>
  <si>
    <t>FDS/2020/G/54 zadanie przeniesione na listę podstawową</t>
  </si>
  <si>
    <t>FDS/2020/G/38 zadanie przeniesione na listę podstawową</t>
  </si>
  <si>
    <t>FDS/2020/G/11 zadanie przeniesione na listę podstawową</t>
  </si>
  <si>
    <t>FDS/2020/G/41 zadanie przeniesione na listę podstawową</t>
  </si>
  <si>
    <t>luty 2021 - grudzień 2021</t>
  </si>
  <si>
    <t>FDS/2020/G/54
 zadanie przeniesione z listy rezerwowej</t>
  </si>
  <si>
    <t>FDS/2020/G/38 
zadanie przeniesione z listy rezerwowej</t>
  </si>
  <si>
    <t>FDS/2020/G/11 
zadanie przeniesione z listy rezerwowej</t>
  </si>
  <si>
    <t>FDS/2020/G/41 
zadanie przeniesione z listy rezerwowej</t>
  </si>
  <si>
    <t>maj 2021- sierpień 2021</t>
  </si>
  <si>
    <t>sierpień 2021 - listopad 2021</t>
  </si>
  <si>
    <t>FDS/2020/G/36
zadanie przeniesione z listy rezerwowej</t>
  </si>
  <si>
    <t>czerwiec 2021 - czerwiec 2022</t>
  </si>
  <si>
    <t>czerwiec 2021 - wrzesień 2022</t>
  </si>
  <si>
    <t>maj 2021 - lipiec 2021</t>
  </si>
  <si>
    <t>czerwiec 2021 -  listopad 2021</t>
  </si>
  <si>
    <t>lipiec2021 - październik 2021</t>
  </si>
  <si>
    <t>lipiec 2021 - listopad 2021</t>
  </si>
  <si>
    <t>FDS/2020/G/65
zadanie przeniesione z listy rezerwowej</t>
  </si>
  <si>
    <t>FDS/2020/G/45
zadanie przeniesione z listy rezerwowej</t>
  </si>
  <si>
    <t>FDS/2020/G/12
zadanie przeniesione z listy rezerwowej</t>
  </si>
  <si>
    <t>FDS/2020/G/36
zadanie przeniesione na listę podstawową</t>
  </si>
  <si>
    <t>FDS/2020/G/65
zadanie przeniesione na listę podstawową</t>
  </si>
  <si>
    <t>FDS/2020/G/45
zadanie przeniesione na listę podstawową</t>
  </si>
  <si>
    <t>FDS/2020/G/12
zadanie przeniesione na listę podstawową</t>
  </si>
  <si>
    <t>lipiec 2021 - grudzień 2021</t>
  </si>
  <si>
    <t>REZYGNACJA</t>
  </si>
  <si>
    <t>FDS/2020/P/22zadanie przeniesione z listy rezerwowej</t>
  </si>
  <si>
    <t>FDS/2020/P/16
zadanie przeniesione z listy rezerwowej</t>
  </si>
  <si>
    <t>FDS/2020/P/22
zadanie przeniesione na listę podstawową</t>
  </si>
  <si>
    <t>FDS/2020/P/16
zadanie przeniesione na listę podstawową</t>
  </si>
  <si>
    <t>czerwiec 2021 - październik 2023</t>
  </si>
  <si>
    <t>FDS/2020/P/17
zadanie przeniesione z listy rezerwowej</t>
  </si>
  <si>
    <t>FDS/2020/G/82
zadanie przeniesione z listy rezerwowej</t>
  </si>
  <si>
    <t>FDS/2020/G/70
zadanie przeniesione z listy rezerwowej</t>
  </si>
  <si>
    <t>FDS/2020/G/37
zadanie przeniesione z listy rezerwowej</t>
  </si>
  <si>
    <t>FDS/2020/G/31
zadanie przeniesione z listy rezerwowej</t>
  </si>
  <si>
    <t>FDS/2020/G/82
zadanie przeniesione na listę podstawową</t>
  </si>
  <si>
    <t>FDS/2020/G/70
zadanie przeniesione na listę podstawową</t>
  </si>
  <si>
    <t>FDS/2020/G/37
zadanie przeniesione na listę podstawową</t>
  </si>
  <si>
    <t>FDS/2020/G/31
zadanie przeniesione na listę podstawową</t>
  </si>
  <si>
    <t>FDS/2020/P/17 
zadanie przeniesione na listę podstawową</t>
  </si>
  <si>
    <t xml:space="preserve">REZYGNACJA </t>
  </si>
  <si>
    <t>FDS/2020/G/39
zadanie przeniesione z listy rezerwowej</t>
  </si>
  <si>
    <t>FDS/2020/G/6
zadanie przeniesione z listy rezerwowej</t>
  </si>
  <si>
    <t>FDS/2020/G/39
zadanie przeniesione na listę podstawową</t>
  </si>
  <si>
    <t>FDS/2020/G/6
zadanie przeniesione na listę podstawową</t>
  </si>
  <si>
    <t>Lista zmieniona nr 5</t>
  </si>
  <si>
    <t>lipiec 2021 - lipiec 2022</t>
  </si>
  <si>
    <t>26 lutego 2021 - 22 grudnia 2021</t>
  </si>
  <si>
    <t>FDS/2020/G/5
zadanie przeniesione z listy rezerwowej</t>
  </si>
  <si>
    <t>FDS/2020/G/76
zadanie przeniesione z listy rezerwowej</t>
  </si>
  <si>
    <t>FDS/2020/G/5
zadanie przeniesione na listę podstawową</t>
  </si>
  <si>
    <t>FDS/2020/G/76
zadanie przeniesione na listę podstawową</t>
  </si>
  <si>
    <t>FDS/2020/G/68
zadanie przeniesione z listy rezerwowej</t>
  </si>
  <si>
    <t>FDS/2020/G/68
zadanie przeniesione na listę podstawową</t>
  </si>
  <si>
    <t>70*</t>
  </si>
  <si>
    <t>FDS/2020/G/49
zadanie przeniesione z listy rezerwowej</t>
  </si>
  <si>
    <t>FDS/2020/G/49
zadanie przeniesione na listę podstawową</t>
  </si>
  <si>
    <t xml:space="preserve">sierpień 2021 - grudzień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</si>
</sst>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  <numFmt numFmtId="168" formatCode="0.000"/>
  </numFmts>
  <fonts count="4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8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sz val="8"/>
      <color theme="5" tint="0.3999755851924192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9" fillId="0" borderId="0"/>
    <xf numFmtId="0" fontId="12" fillId="0" borderId="0"/>
    <xf numFmtId="0" fontId="9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/>
    <xf numFmtId="4" fontId="3" fillId="0" borderId="0" xfId="0" applyNumberFormat="1" applyFont="1" applyBorder="1" applyAlignment="1"/>
    <xf numFmtId="0" fontId="3" fillId="0" borderId="0" xfId="0" applyFont="1" applyBorder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17" fillId="0" borderId="0" xfId="0" applyFont="1"/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16" applyFont="1" applyFill="1" applyAlignment="1">
      <alignment vertical="center"/>
    </xf>
    <xf numFmtId="0" fontId="21" fillId="0" borderId="0" xfId="16" applyFont="1" applyFill="1" applyAlignment="1">
      <alignment vertical="center"/>
    </xf>
    <xf numFmtId="0" fontId="1" fillId="0" borderId="0" xfId="0" applyFont="1"/>
    <xf numFmtId="0" fontId="22" fillId="0" borderId="0" xfId="0" applyFont="1"/>
    <xf numFmtId="4" fontId="0" fillId="0" borderId="0" xfId="0" applyNumberForma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 shrinkToFit="1"/>
    </xf>
    <xf numFmtId="0" fontId="22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15" fillId="0" borderId="0" xfId="3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6" fillId="2" borderId="3" xfId="0" applyNumberFormat="1" applyFont="1" applyFill="1" applyBorder="1" applyAlignment="1">
      <alignment vertical="center"/>
    </xf>
    <xf numFmtId="165" fontId="23" fillId="2" borderId="3" xfId="0" applyNumberFormat="1" applyFont="1" applyFill="1" applyBorder="1" applyAlignment="1">
      <alignment vertical="center"/>
    </xf>
    <xf numFmtId="165" fontId="23" fillId="3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0" fontId="23" fillId="3" borderId="6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vertical="center"/>
    </xf>
    <xf numFmtId="0" fontId="24" fillId="5" borderId="6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indent="2"/>
    </xf>
    <xf numFmtId="165" fontId="23" fillId="3" borderId="7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5" fontId="6" fillId="4" borderId="7" xfId="0" applyNumberFormat="1" applyFont="1" applyFill="1" applyBorder="1" applyAlignment="1">
      <alignment vertical="center"/>
    </xf>
    <xf numFmtId="165" fontId="23" fillId="3" borderId="6" xfId="0" applyNumberFormat="1" applyFont="1" applyFill="1" applyBorder="1" applyAlignment="1">
      <alignment vertical="center"/>
    </xf>
    <xf numFmtId="165" fontId="6" fillId="3" borderId="6" xfId="0" applyNumberFormat="1" applyFont="1" applyFill="1" applyBorder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65" fontId="24" fillId="5" borderId="6" xfId="0" applyNumberFormat="1" applyFont="1" applyFill="1" applyBorder="1" applyAlignment="1">
      <alignment vertical="center"/>
    </xf>
    <xf numFmtId="165" fontId="24" fillId="2" borderId="3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165" fontId="6" fillId="0" borderId="15" xfId="0" applyNumberFormat="1" applyFont="1" applyFill="1" applyBorder="1" applyAlignment="1">
      <alignment vertical="center"/>
    </xf>
    <xf numFmtId="165" fontId="6" fillId="0" borderId="16" xfId="0" applyNumberFormat="1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vertical="center"/>
    </xf>
    <xf numFmtId="0" fontId="23" fillId="0" borderId="18" xfId="0" applyFont="1" applyFill="1" applyBorder="1" applyAlignment="1">
      <alignment horizontal="left" vertical="center" wrapText="1" indent="2"/>
    </xf>
    <xf numFmtId="0" fontId="6" fillId="0" borderId="18" xfId="0" applyFont="1" applyFill="1" applyBorder="1" applyAlignment="1">
      <alignment horizontal="left" vertical="center" indent="2"/>
    </xf>
    <xf numFmtId="0" fontId="23" fillId="0" borderId="19" xfId="0" applyFont="1" applyFill="1" applyBorder="1" applyAlignment="1">
      <alignment horizontal="left" vertical="center" indent="2"/>
    </xf>
    <xf numFmtId="165" fontId="23" fillId="2" borderId="20" xfId="0" applyNumberFormat="1" applyFont="1" applyFill="1" applyBorder="1" applyAlignment="1">
      <alignment vertical="center"/>
    </xf>
    <xf numFmtId="0" fontId="23" fillId="3" borderId="18" xfId="0" applyFont="1" applyFill="1" applyBorder="1" applyAlignment="1">
      <alignment horizontal="left" vertical="center" wrapText="1" indent="2"/>
    </xf>
    <xf numFmtId="0" fontId="6" fillId="3" borderId="18" xfId="0" applyFont="1" applyFill="1" applyBorder="1" applyAlignment="1">
      <alignment horizontal="left" vertical="center" indent="2"/>
    </xf>
    <xf numFmtId="0" fontId="23" fillId="3" borderId="19" xfId="0" applyFont="1" applyFill="1" applyBorder="1" applyAlignment="1">
      <alignment horizontal="left" vertical="center" indent="2"/>
    </xf>
    <xf numFmtId="0" fontId="23" fillId="3" borderId="21" xfId="0" applyNumberFormat="1" applyFont="1" applyFill="1" applyBorder="1" applyAlignment="1">
      <alignment vertical="center"/>
    </xf>
    <xf numFmtId="165" fontId="23" fillId="3" borderId="22" xfId="0" applyNumberFormat="1" applyFont="1" applyFill="1" applyBorder="1" applyAlignment="1">
      <alignment vertical="center"/>
    </xf>
    <xf numFmtId="165" fontId="23" fillId="3" borderId="23" xfId="0" applyNumberFormat="1" applyFont="1" applyFill="1" applyBorder="1" applyAlignment="1">
      <alignment vertical="center"/>
    </xf>
    <xf numFmtId="165" fontId="23" fillId="3" borderId="2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24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65" fontId="6" fillId="4" borderId="24" xfId="0" applyNumberFormat="1" applyFont="1" applyFill="1" applyBorder="1" applyAlignment="1">
      <alignment vertical="center"/>
    </xf>
    <xf numFmtId="165" fontId="6" fillId="4" borderId="27" xfId="0" applyNumberFormat="1" applyFont="1" applyFill="1" applyBorder="1" applyAlignment="1">
      <alignment vertical="center"/>
    </xf>
    <xf numFmtId="0" fontId="23" fillId="4" borderId="28" xfId="0" applyFont="1" applyFill="1" applyBorder="1" applyAlignment="1">
      <alignment horizontal="left" vertical="center" indent="2"/>
    </xf>
    <xf numFmtId="0" fontId="23" fillId="4" borderId="9" xfId="0" applyNumberFormat="1" applyFont="1" applyFill="1" applyBorder="1" applyAlignment="1">
      <alignment vertical="center"/>
    </xf>
    <xf numFmtId="165" fontId="23" fillId="4" borderId="10" xfId="0" applyNumberFormat="1" applyFont="1" applyFill="1" applyBorder="1" applyAlignment="1">
      <alignment vertical="center"/>
    </xf>
    <xf numFmtId="165" fontId="23" fillId="4" borderId="29" xfId="0" applyNumberFormat="1" applyFont="1" applyFill="1" applyBorder="1" applyAlignment="1">
      <alignment vertical="center"/>
    </xf>
    <xf numFmtId="165" fontId="23" fillId="2" borderId="28" xfId="0" applyNumberFormat="1" applyFont="1" applyFill="1" applyBorder="1" applyAlignment="1">
      <alignment vertical="center"/>
    </xf>
    <xf numFmtId="165" fontId="23" fillId="4" borderId="9" xfId="0" applyNumberFormat="1" applyFont="1" applyFill="1" applyBorder="1" applyAlignment="1">
      <alignment vertical="center"/>
    </xf>
    <xf numFmtId="165" fontId="23" fillId="4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4" fillId="5" borderId="14" xfId="0" applyNumberFormat="1" applyFont="1" applyFill="1" applyBorder="1" applyAlignment="1">
      <alignment vertical="center"/>
    </xf>
    <xf numFmtId="165" fontId="24" fillId="5" borderId="15" xfId="0" applyNumberFormat="1" applyFont="1" applyFill="1" applyBorder="1" applyAlignment="1">
      <alignment vertical="center"/>
    </xf>
    <xf numFmtId="165" fontId="24" fillId="5" borderId="16" xfId="0" applyNumberFormat="1" applyFont="1" applyFill="1" applyBorder="1" applyAlignment="1">
      <alignment vertical="center"/>
    </xf>
    <xf numFmtId="165" fontId="24" fillId="2" borderId="17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4" fillId="5" borderId="30" xfId="0" applyNumberFormat="1" applyFont="1" applyFill="1" applyBorder="1" applyAlignment="1">
      <alignment vertical="center"/>
    </xf>
    <xf numFmtId="0" fontId="6" fillId="5" borderId="18" xfId="0" applyFont="1" applyFill="1" applyBorder="1" applyAlignment="1">
      <alignment horizontal="left" vertical="center" indent="2"/>
    </xf>
    <xf numFmtId="0" fontId="23" fillId="5" borderId="19" xfId="0" applyFont="1" applyFill="1" applyBorder="1" applyAlignment="1">
      <alignment horizontal="left" vertical="center" indent="2"/>
    </xf>
    <xf numFmtId="0" fontId="23" fillId="5" borderId="21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23" fillId="6" borderId="6" xfId="0" applyNumberFormat="1" applyFont="1" applyFill="1" applyBorder="1" applyAlignment="1">
      <alignment vertical="center"/>
    </xf>
    <xf numFmtId="165" fontId="23" fillId="6" borderId="2" xfId="0" applyNumberFormat="1" applyFont="1" applyFill="1" applyBorder="1" applyAlignment="1">
      <alignment vertical="center"/>
    </xf>
    <xf numFmtId="165" fontId="23" fillId="6" borderId="7" xfId="0" applyNumberFormat="1" applyFont="1" applyFill="1" applyBorder="1" applyAlignment="1">
      <alignment vertical="center"/>
    </xf>
    <xf numFmtId="0" fontId="6" fillId="6" borderId="6" xfId="0" applyNumberFormat="1" applyFont="1" applyFill="1" applyBorder="1" applyAlignment="1">
      <alignment vertical="center"/>
    </xf>
    <xf numFmtId="165" fontId="6" fillId="6" borderId="2" xfId="0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0" fontId="23" fillId="6" borderId="21" xfId="0" applyNumberFormat="1" applyFont="1" applyFill="1" applyBorder="1" applyAlignment="1">
      <alignment vertical="center"/>
    </xf>
    <xf numFmtId="165" fontId="23" fillId="6" borderId="22" xfId="0" applyNumberFormat="1" applyFont="1" applyFill="1" applyBorder="1" applyAlignment="1">
      <alignment vertical="center"/>
    </xf>
    <xf numFmtId="165" fontId="23" fillId="6" borderId="23" xfId="0" applyNumberFormat="1" applyFont="1" applyFill="1" applyBorder="1" applyAlignment="1">
      <alignment vertical="center"/>
    </xf>
    <xf numFmtId="165" fontId="23" fillId="6" borderId="6" xfId="0" applyNumberFormat="1" applyFont="1" applyFill="1" applyBorder="1" applyAlignment="1">
      <alignment vertical="center"/>
    </xf>
    <xf numFmtId="165" fontId="6" fillId="6" borderId="6" xfId="0" applyNumberFormat="1" applyFont="1" applyFill="1" applyBorder="1" applyAlignment="1">
      <alignment vertical="center"/>
    </xf>
    <xf numFmtId="165" fontId="23" fillId="6" borderId="21" xfId="0" applyNumberFormat="1" applyFont="1" applyFill="1" applyBorder="1" applyAlignment="1">
      <alignment vertical="center"/>
    </xf>
    <xf numFmtId="165" fontId="6" fillId="6" borderId="14" xfId="0" applyNumberFormat="1" applyFont="1" applyFill="1" applyBorder="1" applyAlignment="1">
      <alignment vertical="center"/>
    </xf>
    <xf numFmtId="9" fontId="15" fillId="0" borderId="0" xfId="3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4" fontId="0" fillId="0" borderId="0" xfId="0" applyNumberFormat="1"/>
    <xf numFmtId="0" fontId="0" fillId="0" borderId="2" xfId="0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" fontId="25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5" borderId="6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/>
    </xf>
    <xf numFmtId="0" fontId="0" fillId="7" borderId="31" xfId="0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>
      <alignment horizontal="center" vertical="center"/>
    </xf>
    <xf numFmtId="4" fontId="1" fillId="0" borderId="10" xfId="4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2" xfId="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6" borderId="2" xfId="4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9" fontId="28" fillId="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/>
    </xf>
    <xf numFmtId="168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68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6" fontId="28" fillId="0" borderId="25" xfId="0" applyNumberFormat="1" applyFont="1" applyFill="1" applyBorder="1" applyAlignment="1">
      <alignment horizontal="center" vertical="center"/>
    </xf>
    <xf numFmtId="4" fontId="1" fillId="0" borderId="2" xfId="4" applyNumberFormat="1" applyFont="1" applyBorder="1" applyAlignment="1">
      <alignment horizontal="center" vertical="center"/>
    </xf>
    <xf numFmtId="4" fontId="28" fillId="0" borderId="2" xfId="4" applyNumberFormat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25" xfId="0" applyNumberFormat="1" applyFont="1" applyFill="1" applyBorder="1" applyAlignment="1">
      <alignment horizontal="center" vertical="center"/>
    </xf>
    <xf numFmtId="0" fontId="31" fillId="0" borderId="2" xfId="16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2" fillId="0" borderId="2" xfId="4" applyNumberFormat="1" applyFont="1" applyFill="1" applyBorder="1" applyAlignment="1">
      <alignment horizontal="center" vertical="center"/>
    </xf>
    <xf numFmtId="4" fontId="14" fillId="0" borderId="2" xfId="4" applyNumberFormat="1" applyFont="1" applyFill="1" applyBorder="1" applyAlignment="1">
      <alignment horizontal="center" vertical="center"/>
    </xf>
    <xf numFmtId="0" fontId="31" fillId="0" borderId="10" xfId="4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166" fontId="14" fillId="6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25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6" fontId="28" fillId="0" borderId="2" xfId="0" applyNumberFormat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166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 wrapText="1"/>
    </xf>
    <xf numFmtId="9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/>
    </xf>
    <xf numFmtId="4" fontId="31" fillId="0" borderId="0" xfId="0" applyNumberFormat="1" applyFont="1"/>
    <xf numFmtId="0" fontId="1" fillId="0" borderId="0" xfId="16" applyFont="1" applyFill="1" applyAlignment="1">
      <alignment vertical="center"/>
    </xf>
    <xf numFmtId="4" fontId="31" fillId="0" borderId="0" xfId="0" applyNumberFormat="1" applyFont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28" fillId="0" borderId="2" xfId="16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7" fontId="28" fillId="0" borderId="2" xfId="3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9" fontId="1" fillId="0" borderId="2" xfId="29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 wrapText="1"/>
    </xf>
    <xf numFmtId="168" fontId="19" fillId="0" borderId="6" xfId="0" applyNumberFormat="1" applyFont="1" applyBorder="1" applyAlignment="1">
      <alignment horizontal="center" vertical="center" wrapText="1"/>
    </xf>
    <xf numFmtId="168" fontId="33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9" fontId="1" fillId="0" borderId="33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168" fontId="32" fillId="0" borderId="25" xfId="0" applyNumberFormat="1" applyFont="1" applyBorder="1" applyAlignment="1">
      <alignment horizontal="center" vertical="center"/>
    </xf>
    <xf numFmtId="4" fontId="32" fillId="0" borderId="25" xfId="0" applyNumberFormat="1" applyFont="1" applyFill="1" applyBorder="1" applyAlignment="1">
      <alignment horizontal="right" vertical="center"/>
    </xf>
    <xf numFmtId="2" fontId="28" fillId="0" borderId="2" xfId="0" applyNumberFormat="1" applyFont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4" fillId="6" borderId="6" xfId="0" applyNumberFormat="1" applyFont="1" applyFill="1" applyBorder="1" applyAlignment="1">
      <alignment horizontal="center" vertical="center"/>
    </xf>
    <xf numFmtId="166" fontId="33" fillId="6" borderId="6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31" fillId="0" borderId="32" xfId="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9" fontId="1" fillId="0" borderId="25" xfId="0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9" fontId="15" fillId="7" borderId="0" xfId="30" applyFont="1" applyFill="1" applyBorder="1" applyAlignment="1">
      <alignment horizontal="center" vertical="center"/>
    </xf>
    <xf numFmtId="4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1" xfId="0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vertical="center" wrapText="1"/>
    </xf>
    <xf numFmtId="168" fontId="14" fillId="0" borderId="2" xfId="0" applyNumberFormat="1" applyFont="1" applyFill="1" applyBorder="1" applyAlignment="1">
      <alignment horizontal="center" vertical="center"/>
    </xf>
    <xf numFmtId="0" fontId="14" fillId="0" borderId="2" xfId="16" applyFont="1" applyBorder="1" applyAlignment="1">
      <alignment horizontal="center" vertical="center" wrapText="1"/>
    </xf>
    <xf numFmtId="4" fontId="32" fillId="0" borderId="2" xfId="4" applyNumberFormat="1" applyFont="1" applyFill="1" applyBorder="1" applyAlignment="1">
      <alignment horizontal="right" vertical="center"/>
    </xf>
    <xf numFmtId="9" fontId="14" fillId="0" borderId="2" xfId="29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wrapText="1"/>
    </xf>
    <xf numFmtId="4" fontId="28" fillId="0" borderId="2" xfId="16" applyNumberFormat="1" applyFont="1" applyFill="1" applyBorder="1" applyAlignment="1">
      <alignment horizontal="center" vertical="center" wrapText="1"/>
    </xf>
    <xf numFmtId="9" fontId="28" fillId="0" borderId="2" xfId="29" applyFont="1" applyFill="1" applyBorder="1" applyAlignment="1">
      <alignment horizontal="center" vertical="center" wrapText="1"/>
    </xf>
    <xf numFmtId="2" fontId="28" fillId="0" borderId="2" xfId="16" applyNumberFormat="1" applyFont="1" applyFill="1" applyBorder="1" applyAlignment="1">
      <alignment horizontal="center" vertical="center" wrapText="1"/>
    </xf>
    <xf numFmtId="0" fontId="18" fillId="0" borderId="0" xfId="0" applyFont="1"/>
    <xf numFmtId="0" fontId="6" fillId="3" borderId="13" xfId="0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165" fontId="6" fillId="3" borderId="15" xfId="0" applyNumberFormat="1" applyFont="1" applyFill="1" applyBorder="1" applyAlignment="1">
      <alignment vertical="center"/>
    </xf>
    <xf numFmtId="165" fontId="6" fillId="3" borderId="16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0" fontId="35" fillId="0" borderId="0" xfId="0" applyFont="1"/>
    <xf numFmtId="0" fontId="26" fillId="0" borderId="0" xfId="0" applyFont="1" applyFill="1" applyBorder="1" applyAlignment="1">
      <alignment horizontal="center" vertical="center"/>
    </xf>
    <xf numFmtId="9" fontId="26" fillId="0" borderId="0" xfId="30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30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/>
    </xf>
    <xf numFmtId="0" fontId="28" fillId="0" borderId="25" xfId="16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2" xfId="16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/>
    </xf>
    <xf numFmtId="4" fontId="26" fillId="0" borderId="0" xfId="0" applyNumberFormat="1" applyFont="1" applyAlignment="1">
      <alignment vertical="center"/>
    </xf>
    <xf numFmtId="2" fontId="28" fillId="0" borderId="7" xfId="16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9" fontId="26" fillId="0" borderId="0" xfId="30" applyFont="1" applyBorder="1" applyAlignment="1">
      <alignment horizontal="center" vertical="center"/>
    </xf>
    <xf numFmtId="4" fontId="26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26" fillId="0" borderId="0" xfId="0" applyFon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4" fontId="33" fillId="0" borderId="2" xfId="16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10" xfId="4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 wrapText="1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0" fillId="6" borderId="0" xfId="0" applyFont="1" applyFill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4" fillId="6" borderId="0" xfId="0" applyFont="1" applyFill="1" applyAlignment="1"/>
    <xf numFmtId="0" fontId="3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1" fillId="6" borderId="2" xfId="4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4" fontId="1" fillId="6" borderId="7" xfId="0" applyNumberFormat="1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4" fontId="1" fillId="6" borderId="2" xfId="4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" fontId="34" fillId="6" borderId="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5" fillId="0" borderId="0" xfId="3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28" fillId="0" borderId="2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/>
    </xf>
    <xf numFmtId="0" fontId="31" fillId="0" borderId="7" xfId="16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/>
    <xf numFmtId="4" fontId="0" fillId="0" borderId="0" xfId="0" applyNumberFormat="1" applyBorder="1"/>
    <xf numFmtId="4" fontId="14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" fontId="32" fillId="0" borderId="10" xfId="4" applyNumberFormat="1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164" fontId="28" fillId="0" borderId="2" xfId="0" applyNumberFormat="1" applyFont="1" applyFill="1" applyBorder="1" applyAlignment="1">
      <alignment horizontal="center" vertical="center" wrapText="1"/>
    </xf>
    <xf numFmtId="4" fontId="33" fillId="0" borderId="2" xfId="4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 wrapText="1"/>
    </xf>
    <xf numFmtId="0" fontId="38" fillId="0" borderId="2" xfId="16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10" fontId="1" fillId="0" borderId="33" xfId="0" applyNumberFormat="1" applyFont="1" applyFill="1" applyBorder="1" applyAlignment="1">
      <alignment horizontal="center" vertical="center"/>
    </xf>
    <xf numFmtId="0" fontId="14" fillId="0" borderId="2" xfId="16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9" fontId="26" fillId="2" borderId="0" xfId="30" applyFont="1" applyFill="1" applyAlignment="1">
      <alignment horizontal="center" vertical="center"/>
    </xf>
    <xf numFmtId="4" fontId="26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10" fontId="28" fillId="0" borderId="10" xfId="0" applyNumberFormat="1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/>
    </xf>
    <xf numFmtId="168" fontId="31" fillId="0" borderId="10" xfId="0" applyNumberFormat="1" applyFont="1" applyFill="1" applyBorder="1" applyAlignment="1">
      <alignment horizontal="center" vertical="center"/>
    </xf>
    <xf numFmtId="168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4" fontId="1" fillId="0" borderId="2" xfId="4" applyNumberFormat="1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 shrinkToFit="1"/>
    </xf>
    <xf numFmtId="0" fontId="32" fillId="0" borderId="2" xfId="0" applyFont="1" applyFill="1" applyBorder="1" applyAlignment="1">
      <alignment horizontal="center" vertical="center" wrapText="1" shrinkToFit="1"/>
    </xf>
    <xf numFmtId="0" fontId="19" fillId="0" borderId="29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</cellXfs>
  <cellStyles count="35">
    <cellStyle name="Dziesiętny 2" xfId="1" xr:uid="{00000000-0005-0000-0000-000000000000}"/>
    <cellStyle name="Dziesiętny 2 2" xfId="2" xr:uid="{00000000-0005-0000-0000-000001000000}"/>
    <cellStyle name="Dziesiętny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2 2 2" xfId="6" xr:uid="{00000000-0005-0000-0000-000006000000}"/>
    <cellStyle name="Normalny 2 2 2 2" xfId="7" xr:uid="{00000000-0005-0000-0000-000007000000}"/>
    <cellStyle name="Normalny 2 2 3" xfId="8" xr:uid="{00000000-0005-0000-0000-000008000000}"/>
    <cellStyle name="Normalny 2 2 3 2" xfId="9" xr:uid="{00000000-0005-0000-0000-000009000000}"/>
    <cellStyle name="Normalny 2 2 4" xfId="10" xr:uid="{00000000-0005-0000-0000-00000A000000}"/>
    <cellStyle name="Normalny 2 3" xfId="11" xr:uid="{00000000-0005-0000-0000-00000B000000}"/>
    <cellStyle name="Normalny 2 3 2" xfId="12" xr:uid="{00000000-0005-0000-0000-00000C000000}"/>
    <cellStyle name="Normalny 2 4" xfId="13" xr:uid="{00000000-0005-0000-0000-00000D000000}"/>
    <cellStyle name="Normalny 2 5" xfId="14" xr:uid="{00000000-0005-0000-0000-00000E000000}"/>
    <cellStyle name="Normalny 2 6" xfId="15" xr:uid="{00000000-0005-0000-0000-00000F000000}"/>
    <cellStyle name="Normalny 3" xfId="16" xr:uid="{00000000-0005-0000-0000-000010000000}"/>
    <cellStyle name="Normalny 3 2" xfId="17" xr:uid="{00000000-0005-0000-0000-000011000000}"/>
    <cellStyle name="Normalny 3 3" xfId="18" xr:uid="{00000000-0005-0000-0000-000012000000}"/>
    <cellStyle name="Normalny 4" xfId="19" xr:uid="{00000000-0005-0000-0000-000013000000}"/>
    <cellStyle name="Normalny 4 2" xfId="20" xr:uid="{00000000-0005-0000-0000-000014000000}"/>
    <cellStyle name="Normalny 4 2 2" xfId="21" xr:uid="{00000000-0005-0000-0000-000015000000}"/>
    <cellStyle name="Normalny 5" xfId="22" xr:uid="{00000000-0005-0000-0000-000016000000}"/>
    <cellStyle name="Normalny 5 2" xfId="23" xr:uid="{00000000-0005-0000-0000-000017000000}"/>
    <cellStyle name="Normalny 5 2 2" xfId="24" xr:uid="{00000000-0005-0000-0000-000018000000}"/>
    <cellStyle name="Normalny 5 3" xfId="25" xr:uid="{00000000-0005-0000-0000-000019000000}"/>
    <cellStyle name="Normalny 6" xfId="26" xr:uid="{00000000-0005-0000-0000-00001A000000}"/>
    <cellStyle name="Normalny 7" xfId="27" xr:uid="{00000000-0005-0000-0000-00001B000000}"/>
    <cellStyle name="Normalny 8" xfId="28" xr:uid="{00000000-0005-0000-0000-00001C000000}"/>
    <cellStyle name="Procentowy" xfId="29" builtinId="5"/>
    <cellStyle name="Procentowy 2" xfId="30" xr:uid="{00000000-0005-0000-0000-00001E000000}"/>
    <cellStyle name="Procentowy 3" xfId="31" xr:uid="{00000000-0005-0000-0000-00001F000000}"/>
    <cellStyle name="Walutowy" xfId="32" builtinId="4"/>
    <cellStyle name="Walutowy 2" xfId="33" xr:uid="{00000000-0005-0000-0000-000021000000}"/>
    <cellStyle name="Walutowy 3" xfId="34" xr:uid="{00000000-0005-0000-0000-000022000000}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8B7AF3B-65E2-4FC6-9CE7-0A467420A955}" diskRevisions="1" revisionId="315" version="6">
  <header guid="{97CE5D9D-4D92-4327-9339-281D2616BB95}" dateTime="2021-10-11T14:27:36" maxSheetId="6" userName="Katarzyna Juszczak" r:id="rId1">
    <sheetIdMap count="5">
      <sheetId val="1"/>
      <sheetId val="2"/>
      <sheetId val="3"/>
      <sheetId val="4"/>
      <sheetId val="5"/>
    </sheetIdMap>
  </header>
  <header guid="{D25E5892-27F5-4B7A-868B-17AB2CDDF9CA}" dateTime="2021-10-13T12:19:07" maxSheetId="6" userName="Justyna Sperczyńska" r:id="rId2" minRId="1" maxRId="4">
    <sheetIdMap count="5">
      <sheetId val="1"/>
      <sheetId val="2"/>
      <sheetId val="3"/>
      <sheetId val="4"/>
      <sheetId val="5"/>
    </sheetIdMap>
  </header>
  <header guid="{5A74F7A2-11F0-42E0-8BD0-FA223DAEB9A2}" dateTime="2021-10-15T11:00:23" maxSheetId="6" userName="Zofia Malik" r:id="rId3" minRId="18" maxRId="20">
    <sheetIdMap count="5">
      <sheetId val="1"/>
      <sheetId val="2"/>
      <sheetId val="3"/>
      <sheetId val="4"/>
      <sheetId val="5"/>
    </sheetIdMap>
  </header>
  <header guid="{70BEE5B7-7A20-4798-B6E8-52959A2353AA}" dateTime="2021-10-18T08:01:36" maxSheetId="6" userName="Kinga Kucharska" r:id="rId4" minRId="34" maxRId="36">
    <sheetIdMap count="5">
      <sheetId val="1"/>
      <sheetId val="2"/>
      <sheetId val="3"/>
      <sheetId val="4"/>
      <sheetId val="5"/>
    </sheetIdMap>
  </header>
  <header guid="{3836A0BE-21D3-4DEF-A41F-6D44FE5EA2AE}" dateTime="2021-10-18T11:44:09" maxSheetId="6" userName="Katarzyna Juszczak" r:id="rId5" minRId="50" maxRId="51">
    <sheetIdMap count="5">
      <sheetId val="1"/>
      <sheetId val="2"/>
      <sheetId val="3"/>
      <sheetId val="4"/>
      <sheetId val="5"/>
    </sheetIdMap>
  </header>
  <header guid="{18B7AF3B-65E2-4FC6-9CE7-0A467420A955}" dateTime="2021-10-25T12:40:07" maxSheetId="6" userName="Katarzyna Juszczak" r:id="rId6" minRId="52" maxRId="315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J51:M51">
    <dxf>
      <fill>
        <patternFill patternType="solid">
          <bgColor rgb="FFFFFF00"/>
        </patternFill>
      </fill>
    </dxf>
  </rfmt>
  <rcc rId="1" sId="3" numFmtId="4">
    <oc r="K51">
      <v>261145.86</v>
    </oc>
    <nc r="K51">
      <v>197330.28</v>
    </nc>
  </rcc>
  <rcc rId="2" sId="3">
    <oc r="J51" t="inlineStr">
      <is>
        <t>marzec 2021 - kwiecień 2021</t>
      </is>
    </oc>
    <nc r="J51" t="inlineStr">
      <is>
        <t>lipiec 2021 - listopad 2021</t>
      </is>
    </nc>
  </rcc>
  <rcc rId="3" sId="3" numFmtId="4">
    <oc r="K52">
      <v>330897.75</v>
    </oc>
    <nc r="K52">
      <v>250064.55</v>
    </nc>
  </rcc>
  <rcc rId="4" sId="3" odxf="1" dxf="1">
    <oc r="J52" t="inlineStr">
      <is>
        <t>marzec 2021 - kwiecień 2021</t>
      </is>
    </oc>
    <nc r="J52" t="inlineStr">
      <is>
        <t>lipiec 2021 - listopad 2021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fmt sheetId="3" sqref="K52:M52">
    <dxf>
      <fill>
        <patternFill patternType="solid">
          <bgColor rgb="FFFFFF00"/>
        </patternFill>
      </fill>
    </dxf>
  </rfmt>
  <rdn rId="0" localSheetId="1" customView="1" name="Z_90AAACFD_C45E_4B79_9ECD_2C756BD997B3_.wvu.PrintArea" hidden="1" oldHidden="1">
    <formula>'TERC - "nazwa woj"'!$A$1:$O$35</formula>
  </rdn>
  <rdn rId="0" localSheetId="2" customView="1" name="Z_90AAACFD_C45E_4B79_9ECD_2C756BD997B3_.wvu.PrintArea" hidden="1" oldHidden="1">
    <formula>'pow podst'!$A$1:$W$30</formula>
  </rdn>
  <rdn rId="0" localSheetId="2" customView="1" name="Z_90AAACFD_C45E_4B79_9ECD_2C756BD997B3_.wvu.PrintTitles" hidden="1" oldHidden="1">
    <formula>'pow podst'!$1:$2</formula>
  </rdn>
  <rdn rId="0" localSheetId="2" customView="1" name="Z_90AAACFD_C45E_4B79_9ECD_2C756BD997B3_.wvu.FilterData" hidden="1" oldHidden="1">
    <formula>'pow podst'!$A$2:$FG$20</formula>
  </rdn>
  <rdn rId="0" localSheetId="3" customView="1" name="Z_90AAACFD_C45E_4B79_9ECD_2C756BD997B3_.wvu.PrintArea" hidden="1" oldHidden="1">
    <formula>'gm podst'!$A$1:$X$73</formula>
  </rdn>
  <rdn rId="0" localSheetId="3" customView="1" name="Z_90AAACFD_C45E_4B79_9ECD_2C756BD997B3_.wvu.PrintTitles" hidden="1" oldHidden="1">
    <formula>'gm podst'!$1:$2</formula>
  </rdn>
  <rdn rId="0" localSheetId="3" customView="1" name="Z_90AAACFD_C45E_4B79_9ECD_2C756BD997B3_.wvu.FilterData" hidden="1" oldHidden="1">
    <formula>'gm podst'!$A$1:$X$77</formula>
  </rdn>
  <rdn rId="0" localSheetId="4" customView="1" name="Z_90AAACFD_C45E_4B79_9ECD_2C756BD997B3_.wvu.PrintArea" hidden="1" oldHidden="1">
    <formula>'pow rez'!$A$1:$W$14</formula>
  </rdn>
  <rdn rId="0" localSheetId="4" customView="1" name="Z_90AAACFD_C45E_4B79_9ECD_2C756BD997B3_.wvu.PrintTitles" hidden="1" oldHidden="1">
    <formula>'pow rez'!$1:$2</formula>
  </rdn>
  <rdn rId="0" localSheetId="4" customView="1" name="Z_90AAACFD_C45E_4B79_9ECD_2C756BD997B3_.wvu.FilterData" hidden="1" oldHidden="1">
    <formula>'pow rez'!$A$2:$AD$6</formula>
  </rdn>
  <rdn rId="0" localSheetId="5" customView="1" name="Z_90AAACFD_C45E_4B79_9ECD_2C756BD997B3_.wvu.PrintArea" hidden="1" oldHidden="1">
    <formula>'gm rez'!$A$1:$X$30</formula>
  </rdn>
  <rdn rId="0" localSheetId="5" customView="1" name="Z_90AAACFD_C45E_4B79_9ECD_2C756BD997B3_.wvu.PrintTitles" hidden="1" oldHidden="1">
    <formula>'gm rez'!$1:$2</formula>
  </rdn>
  <rdn rId="0" localSheetId="5" customView="1" name="Z_90AAACFD_C45E_4B79_9ECD_2C756BD997B3_.wvu.FilterData" hidden="1" oldHidden="1">
    <formula>'gm rez'!$A$2:$AB$2</formula>
  </rdn>
  <rcv guid="{90AAACFD-C45E-4B79-9ECD-2C756BD997B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5:XFD35">
    <dxf>
      <fill>
        <patternFill patternType="solid">
          <bgColor theme="2"/>
        </patternFill>
      </fill>
    </dxf>
  </rfmt>
  <rfmt sheetId="3" sqref="N35">
    <dxf>
      <numFmt numFmtId="2" formatCode="0.00"/>
    </dxf>
  </rfmt>
  <rfmt sheetId="3" sqref="N35">
    <dxf>
      <numFmt numFmtId="0" formatCode="General"/>
    </dxf>
  </rfmt>
  <rcc rId="18" sId="3" odxf="1" dxf="1" numFmtId="14">
    <oc r="N35">
      <v>0.7</v>
    </oc>
    <nc r="N35">
      <v>0.69989999999999997</v>
    </nc>
    <ndxf>
      <numFmt numFmtId="14" formatCode="0.00%"/>
    </ndxf>
  </rcc>
  <rcc rId="19" sId="3" numFmtId="4">
    <oc r="K35">
      <v>1716304.38</v>
    </oc>
    <nc r="K35">
      <v>1716613.72</v>
    </nc>
  </rcc>
  <rfmt sheetId="3" sqref="K35:N35">
    <dxf>
      <fill>
        <patternFill>
          <bgColor theme="9" tint="0.59999389629810485"/>
        </patternFill>
      </fill>
    </dxf>
  </rfmt>
  <rcc rId="20" sId="3">
    <oc r="L35">
      <f>ROUND(K35*N35,2)</f>
    </oc>
    <nc r="L35">
      <f>ROUND(K35*N35,2)</f>
    </nc>
  </rcc>
  <rdn rId="0" localSheetId="1" customView="1" name="Z_B2D40DA4_5FA0_499A_A7D1_4F99A3F826AC_.wvu.PrintArea" hidden="1" oldHidden="1">
    <formula>'TERC - "nazwa woj"'!$A$1:$O$35</formula>
  </rdn>
  <rdn rId="0" localSheetId="2" customView="1" name="Z_B2D40DA4_5FA0_499A_A7D1_4F99A3F826AC_.wvu.PrintArea" hidden="1" oldHidden="1">
    <formula>'pow podst'!$A$1:$W$30</formula>
  </rdn>
  <rdn rId="0" localSheetId="2" customView="1" name="Z_B2D40DA4_5FA0_499A_A7D1_4F99A3F826AC_.wvu.PrintTitles" hidden="1" oldHidden="1">
    <formula>'pow podst'!$1:$2</formula>
  </rdn>
  <rdn rId="0" localSheetId="2" customView="1" name="Z_B2D40DA4_5FA0_499A_A7D1_4F99A3F826AC_.wvu.FilterData" hidden="1" oldHidden="1">
    <formula>'pow podst'!$A$2:$FG$20</formula>
  </rdn>
  <rdn rId="0" localSheetId="3" customView="1" name="Z_B2D40DA4_5FA0_499A_A7D1_4F99A3F826AC_.wvu.PrintArea" hidden="1" oldHidden="1">
    <formula>'gm podst'!$A$1:$X$73</formula>
  </rdn>
  <rdn rId="0" localSheetId="3" customView="1" name="Z_B2D40DA4_5FA0_499A_A7D1_4F99A3F826AC_.wvu.PrintTitles" hidden="1" oldHidden="1">
    <formula>'gm podst'!$1:$2</formula>
  </rdn>
  <rdn rId="0" localSheetId="3" customView="1" name="Z_B2D40DA4_5FA0_499A_A7D1_4F99A3F826AC_.wvu.FilterData" hidden="1" oldHidden="1">
    <formula>'gm podst'!$A$1:$X$77</formula>
  </rdn>
  <rdn rId="0" localSheetId="4" customView="1" name="Z_B2D40DA4_5FA0_499A_A7D1_4F99A3F826AC_.wvu.PrintArea" hidden="1" oldHidden="1">
    <formula>'pow rez'!$A$1:$W$14</formula>
  </rdn>
  <rdn rId="0" localSheetId="4" customView="1" name="Z_B2D40DA4_5FA0_499A_A7D1_4F99A3F826AC_.wvu.PrintTitles" hidden="1" oldHidden="1">
    <formula>'pow rez'!$1:$2</formula>
  </rdn>
  <rdn rId="0" localSheetId="4" customView="1" name="Z_B2D40DA4_5FA0_499A_A7D1_4F99A3F826AC_.wvu.FilterData" hidden="1" oldHidden="1">
    <formula>'pow rez'!$A$2:$AD$6</formula>
  </rdn>
  <rdn rId="0" localSheetId="5" customView="1" name="Z_B2D40DA4_5FA0_499A_A7D1_4F99A3F826AC_.wvu.PrintArea" hidden="1" oldHidden="1">
    <formula>'gm rez'!$A$1:$X$30</formula>
  </rdn>
  <rdn rId="0" localSheetId="5" customView="1" name="Z_B2D40DA4_5FA0_499A_A7D1_4F99A3F826AC_.wvu.PrintTitles" hidden="1" oldHidden="1">
    <formula>'gm rez'!$1:$2</formula>
  </rdn>
  <rdn rId="0" localSheetId="5" customView="1" name="Z_B2D40DA4_5FA0_499A_A7D1_4F99A3F826AC_.wvu.FilterData" hidden="1" oldHidden="1">
    <formula>'gm rez'!$A$2:$AB$2</formula>
  </rdn>
  <rcv guid="{B2D40DA4-5FA0-499A-A7D1-4F99A3F826A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3">
    <oc r="J41" t="inlineStr">
      <is>
        <t>lipiec 2021 - listopad 2021</t>
      </is>
    </oc>
    <nc r="J41" t="inlineStr">
      <is>
        <t>lipiec 2021 - grudzień 2021</t>
      </is>
    </nc>
  </rcc>
  <rfmt sheetId="3" sqref="J41">
    <dxf>
      <fill>
        <patternFill patternType="solid">
          <bgColor rgb="FFFFFF00"/>
        </patternFill>
      </fill>
    </dxf>
  </rfmt>
  <rcc rId="35" sId="3" numFmtId="4">
    <oc r="K41">
      <v>198839.05</v>
    </oc>
    <nc r="K41">
      <v>207451.16</v>
    </nc>
  </rcc>
  <rfmt sheetId="3" sqref="N41">
    <dxf>
      <fill>
        <patternFill>
          <bgColor rgb="FFFFFF00"/>
        </patternFill>
      </fill>
    </dxf>
  </rfmt>
  <rfmt sheetId="3" sqref="N41" start="0" length="2147483647">
    <dxf>
      <font>
        <color rgb="FFFF0000"/>
      </font>
    </dxf>
  </rfmt>
  <rcc rId="36" sId="3" numFmtId="13">
    <oc r="N41">
      <v>0.8</v>
    </oc>
    <nc r="N41">
      <v>0.76678884999999997</v>
    </nc>
  </rcc>
  <rfmt sheetId="3" sqref="N41">
    <dxf>
      <numFmt numFmtId="14" formatCode="0.00%"/>
    </dxf>
  </rfmt>
  <rdn rId="0" localSheetId="1" customView="1" name="Z_A2BCF76A_36CA_47CC_AE0E_554D5E4069A6_.wvu.PrintArea" hidden="1" oldHidden="1">
    <formula>'TERC - "nazwa woj"'!$A$1:$O$35</formula>
  </rdn>
  <rdn rId="0" localSheetId="2" customView="1" name="Z_A2BCF76A_36CA_47CC_AE0E_554D5E4069A6_.wvu.PrintArea" hidden="1" oldHidden="1">
    <formula>'pow podst'!$A$1:$W$30</formula>
  </rdn>
  <rdn rId="0" localSheetId="2" customView="1" name="Z_A2BCF76A_36CA_47CC_AE0E_554D5E4069A6_.wvu.PrintTitles" hidden="1" oldHidden="1">
    <formula>'pow podst'!$1:$2</formula>
  </rdn>
  <rdn rId="0" localSheetId="2" customView="1" name="Z_A2BCF76A_36CA_47CC_AE0E_554D5E4069A6_.wvu.FilterData" hidden="1" oldHidden="1">
    <formula>'pow podst'!$A$2:$FG$20</formula>
  </rdn>
  <rdn rId="0" localSheetId="3" customView="1" name="Z_A2BCF76A_36CA_47CC_AE0E_554D5E4069A6_.wvu.PrintArea" hidden="1" oldHidden="1">
    <formula>'gm podst'!$A$1:$X$73</formula>
  </rdn>
  <rdn rId="0" localSheetId="3" customView="1" name="Z_A2BCF76A_36CA_47CC_AE0E_554D5E4069A6_.wvu.PrintTitles" hidden="1" oldHidden="1">
    <formula>'gm podst'!$1:$2</formula>
  </rdn>
  <rdn rId="0" localSheetId="3" customView="1" name="Z_A2BCF76A_36CA_47CC_AE0E_554D5E4069A6_.wvu.FilterData" hidden="1" oldHidden="1">
    <formula>'gm podst'!$A$1:$X$77</formula>
  </rdn>
  <rdn rId="0" localSheetId="4" customView="1" name="Z_A2BCF76A_36CA_47CC_AE0E_554D5E4069A6_.wvu.PrintArea" hidden="1" oldHidden="1">
    <formula>'pow rez'!$A$1:$W$14</formula>
  </rdn>
  <rdn rId="0" localSheetId="4" customView="1" name="Z_A2BCF76A_36CA_47CC_AE0E_554D5E4069A6_.wvu.PrintTitles" hidden="1" oldHidden="1">
    <formula>'pow rez'!$1:$2</formula>
  </rdn>
  <rdn rId="0" localSheetId="4" customView="1" name="Z_A2BCF76A_36CA_47CC_AE0E_554D5E4069A6_.wvu.FilterData" hidden="1" oldHidden="1">
    <formula>'pow rez'!$A$2:$AD$6</formula>
  </rdn>
  <rdn rId="0" localSheetId="5" customView="1" name="Z_A2BCF76A_36CA_47CC_AE0E_554D5E4069A6_.wvu.PrintArea" hidden="1" oldHidden="1">
    <formula>'gm rez'!$A$1:$X$30</formula>
  </rdn>
  <rdn rId="0" localSheetId="5" customView="1" name="Z_A2BCF76A_36CA_47CC_AE0E_554D5E4069A6_.wvu.PrintTitles" hidden="1" oldHidden="1">
    <formula>'gm rez'!$1:$2</formula>
  </rdn>
  <rdn rId="0" localSheetId="5" customView="1" name="Z_A2BCF76A_36CA_47CC_AE0E_554D5E4069A6_.wvu.FilterData" hidden="1" oldHidden="1">
    <formula>'gm rez'!$A$2:$AB$2</formula>
  </rdn>
  <rcv guid="{A2BCF76A-36CA-47CC-AE0E-554D5E4069A6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3" numFmtId="4">
    <oc r="L35">
      <f>ROUND(K35*N35,2)</f>
    </oc>
    <nc r="L35">
      <v>1201413.07</v>
    </nc>
  </rcc>
  <rcc rId="51" sId="3" numFmtId="14">
    <oc r="N35">
      <v>0.69989999999999997</v>
    </oc>
    <nc r="N35">
      <f>L35/K35</f>
    </nc>
  </rcc>
  <rfmt sheetId="3" sqref="K35:N35">
    <dxf>
      <fill>
        <patternFill>
          <bgColor rgb="FF92D050"/>
        </patternFill>
      </fill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3" numFmtId="4">
    <oc r="K20">
      <v>906230.91</v>
    </oc>
    <nc r="K20">
      <v>755611.88</v>
    </nc>
  </rcc>
  <rfmt sheetId="3" sqref="K20:M20">
    <dxf>
      <fill>
        <patternFill patternType="solid">
          <bgColor rgb="FFFFFF00"/>
        </patternFill>
      </fill>
    </dxf>
  </rfmt>
  <rcc rId="53" sId="3">
    <oc r="J20" t="inlineStr">
      <is>
        <t>sierpień 2021 - grudzień 2021</t>
      </is>
    </oc>
    <nc r="J20" t="inlineStr">
      <is>
        <t>lipiec 2021 - grudzień 2021</t>
      </is>
    </nc>
  </rcc>
  <rfmt sheetId="3" sqref="J20">
    <dxf>
      <fill>
        <patternFill patternType="solid">
          <bgColor rgb="FFFFFF00"/>
        </patternFill>
      </fill>
    </dxf>
  </rfmt>
  <rcc rId="54" sId="3" numFmtId="4">
    <oc r="K41">
      <v>207451.16</v>
    </oc>
    <nc r="K41">
      <v>198864.05</v>
    </nc>
  </rcc>
  <rcc rId="55" sId="3">
    <oc r="L41">
      <f>ROUND(K41*N41,2)</f>
    </oc>
    <nc r="L41">
      <f>ROUND(K41*N41,2)</f>
    </nc>
  </rcc>
  <rcc rId="56" sId="3" odxf="1" dxf="1" numFmtId="13">
    <oc r="N41">
      <v>0.76678884999999997</v>
    </oc>
    <nc r="N41">
      <v>0.8</v>
    </nc>
    <ndxf>
      <font>
        <sz val="8"/>
        <color auto="1"/>
        <name val="Arial"/>
        <scheme val="none"/>
      </font>
      <numFmt numFmtId="13" formatCode="0%"/>
      <fill>
        <patternFill>
          <bgColor theme="0"/>
        </patternFill>
      </fill>
    </ndxf>
  </rcc>
  <rcc rId="57" sId="3" numFmtId="4">
    <oc r="K48">
      <v>553981.79</v>
    </oc>
    <nc r="K48">
      <v>435843.54</v>
    </nc>
  </rcc>
  <rfmt sheetId="3" sqref="K48">
    <dxf>
      <fill>
        <patternFill patternType="solid">
          <bgColor rgb="FFFFFF00"/>
        </patternFill>
      </fill>
    </dxf>
  </rfmt>
  <rfmt sheetId="3" sqref="L48:M48">
    <dxf>
      <fill>
        <patternFill patternType="solid">
          <bgColor rgb="FFFFFF00"/>
        </patternFill>
      </fill>
    </dxf>
  </rfmt>
  <rfmt sheetId="3" sqref="K65:M65">
    <dxf>
      <fill>
        <patternFill patternType="none">
          <bgColor auto="1"/>
        </patternFill>
      </fill>
    </dxf>
  </rfmt>
  <rfmt sheetId="3" sqref="K59:M59">
    <dxf>
      <fill>
        <patternFill patternType="solid">
          <bgColor rgb="FFFFFF00"/>
        </patternFill>
      </fill>
    </dxf>
  </rfmt>
  <rcc rId="58" sId="3" numFmtId="4">
    <oc r="K62">
      <v>3546600.25</v>
    </oc>
    <nc r="K62">
      <v>3573507.75</v>
    </nc>
  </rcc>
  <rcc rId="59" sId="3" numFmtId="4">
    <oc r="L62">
      <f>ROUND(K62*N62,2)</f>
    </oc>
    <nc r="L62">
      <v>2482620.1800000002</v>
    </nc>
  </rcc>
  <rcc rId="60" sId="3">
    <oc r="Y62">
      <f>L62=SUM(O62:X62)</f>
    </oc>
    <nc r="Y62">
      <f>L62=SUM(O62:X62)</f>
    </nc>
  </rcc>
  <rcc rId="61" sId="3">
    <oc r="R62">
      <f>ROUND(N62*655310.57,2)</f>
    </oc>
    <nc r="R62">
      <f>458717.4</f>
    </nc>
  </rcc>
  <rcc rId="62" sId="3">
    <oc r="Z62">
      <f>ROUND(L62/K62,4)</f>
    </oc>
    <nc r="Z62">
      <f>ROUND(L62/K62,4)</f>
    </nc>
  </rcc>
  <rcc rId="63" sId="3">
    <oc r="AA62">
      <f>Z62=N62</f>
    </oc>
    <nc r="AA62">
      <f>Z62=N62</f>
    </nc>
  </rcc>
  <rcc rId="64" sId="3">
    <oc r="N62">
      <v>0.7</v>
    </oc>
    <nc r="N62">
      <f>ROUND(L62/K62,4)</f>
    </nc>
  </rcc>
  <rfmt sheetId="3" sqref="K62:M62">
    <dxf>
      <fill>
        <patternFill patternType="solid">
          <bgColor rgb="FFFFFF00"/>
        </patternFill>
      </fill>
    </dxf>
  </rfmt>
  <rfmt sheetId="3" sqref="K65:M65">
    <dxf>
      <fill>
        <patternFill patternType="solid">
          <bgColor rgb="FFFFFF00"/>
        </patternFill>
      </fill>
    </dxf>
  </rfmt>
  <rfmt sheetId="3" sqref="K67:M67">
    <dxf>
      <fill>
        <patternFill>
          <bgColor rgb="FFFFFF00"/>
        </patternFill>
      </fill>
    </dxf>
  </rfmt>
  <rfmt sheetId="3" sqref="K66:M66">
    <dxf>
      <fill>
        <patternFill>
          <bgColor rgb="FFFFFF00"/>
        </patternFill>
      </fill>
    </dxf>
  </rfmt>
  <rfmt sheetId="2" sqref="I7:L10">
    <dxf>
      <fill>
        <patternFill patternType="none">
          <bgColor auto="1"/>
        </patternFill>
      </fill>
    </dxf>
  </rfmt>
  <rcc rId="65" sId="3" numFmtId="4">
    <oc r="L68">
      <v>139149.63</v>
    </oc>
    <nc r="L68">
      <f>ROUND(K68*N68,2)</f>
    </nc>
  </rcc>
  <rcc rId="66" sId="3" numFmtId="4">
    <oc r="Q68">
      <v>139149.63</v>
    </oc>
    <nc r="Q68">
      <f>L68</f>
    </nc>
  </rcc>
  <rrc rId="67" sId="3" ref="A69:XFD69" action="insertRow"/>
  <rrc rId="68" sId="3" ref="A69:XFD69" action="insertRow"/>
  <rrc rId="69" sId="3" ref="A69:XFD69" action="insertRow"/>
  <rfmt sheetId="3" sqref="B69" start="0" length="0">
    <dxf>
      <border outline="0">
        <left style="thin">
          <color indexed="64"/>
        </left>
        <right style="thin">
          <color indexed="64"/>
        </right>
      </border>
    </dxf>
  </rfmt>
  <rcc rId="70" sId="3" odxf="1" dxf="1">
    <nc r="C69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71" sId="3" odxf="1" dxf="1">
    <nc r="D69" t="inlineStr">
      <is>
        <t>Gmina Bierawa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2" sId="3" odxf="1" dxf="1">
    <nc r="E69">
      <v>1603022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3" sId="3" odxf="1" dxf="1">
    <nc r="F69" t="inlineStr">
      <is>
        <t>Powiat Kędzierzyńsko - Kozielski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4" sId="3" odxf="1" dxf="1">
    <nc r="G69" t="inlineStr">
      <is>
        <t>Remont drogi gminnej ul. Wiejskiej w Goszycach - etap II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75" sId="3" odxf="1" dxf="1">
    <nc r="H69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76" sId="3" numFmtId="4">
    <nc r="I69">
      <v>0.96699999999999997</v>
    </nc>
  </rcc>
  <rcc rId="77" sId="3">
    <nc r="J69" t="inlineStr">
      <is>
        <t>maJ 2021 - październik 2021</t>
      </is>
    </nc>
  </rcc>
  <rcc rId="78" sId="3" numFmtId="4">
    <nc r="K69">
      <v>776450.61</v>
    </nc>
  </rcc>
  <rfmt sheetId="3" sqref="B70" start="0" length="0">
    <dxf>
      <border outline="0">
        <left style="thin">
          <color indexed="64"/>
        </left>
        <right style="thin">
          <color indexed="64"/>
        </right>
      </border>
    </dxf>
  </rfmt>
  <rcc rId="79" sId="3" odxf="1" dxf="1">
    <nc r="C70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80" sId="3" odxf="1" dxf="1">
    <nc r="D70" t="inlineStr">
      <is>
        <t>Gmina Kietrz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1" sId="3" odxf="1" dxf="1">
    <nc r="E70">
      <v>1602043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2" sId="3" odxf="1" dxf="1">
    <nc r="F70" t="inlineStr">
      <is>
        <t>Powiat Głubczycki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3" sId="3" odxf="1" dxf="1">
    <nc r="G70" t="inlineStr">
      <is>
        <t>Remont odcinka ulicy Krasickiego w Pilszczu będącej drogą publiczną gminną nr 108832 O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84" sId="3" odxf="1" dxf="1">
    <nc r="H70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85" sId="3" numFmtId="4">
    <nc r="I70">
      <v>0.5</v>
    </nc>
  </rcc>
  <rcc rId="86" sId="3">
    <nc r="J70" t="inlineStr">
      <is>
        <t>marzec 2021 - październik 2021</t>
      </is>
    </nc>
  </rcc>
  <rcc rId="87" sId="3" numFmtId="4">
    <nc r="K70">
      <v>360510.12</v>
    </nc>
  </rcc>
  <rcc rId="88" sId="3">
    <nc r="B69" t="inlineStr">
      <is>
        <t>FDS/2020/G/5
zadanie przeniesione z listy rezerwowej</t>
      </is>
    </nc>
  </rcc>
  <rcc rId="89" sId="3">
    <nc r="B70" t="inlineStr">
      <is>
        <t>FDS/2020/G/76
zadanie przeniesione z listy rezerwowej</t>
      </is>
    </nc>
  </rcc>
  <rm rId="90" sheetId="3" source="A68" destination="A70" sourceSheetId="3">
    <rfmt sheetId="3" sqref="A70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91" sId="3" odxf="1" dxf="1">
    <nc r="A68">
      <v>66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" sId="3" odxf="1" dxf="1">
    <nc r="A69">
      <v>67</v>
    </nc>
    <odxf>
      <font>
        <sz val="8"/>
        <color theme="5" tint="0.39997558519241921"/>
        <name val="Arial"/>
        <scheme val="none"/>
      </font>
      <border outline="0">
        <right/>
      </border>
    </odxf>
    <ndxf>
      <font>
        <sz val="8"/>
        <color auto="1"/>
        <name val="Arial"/>
        <scheme val="none"/>
      </font>
      <border outline="0">
        <right style="thin">
          <color indexed="64"/>
        </right>
      </border>
    </ndxf>
  </rcc>
  <rcc rId="93" sId="3" numFmtId="13">
    <nc r="N69">
      <v>0.5</v>
    </nc>
  </rcc>
  <rcc rId="94" sId="3">
    <nc r="L69">
      <f>ROUND(K69*N69,2)</f>
    </nc>
  </rcc>
  <rcc rId="95" sId="3">
    <nc r="M69">
      <f>K69-L69</f>
    </nc>
  </rcc>
  <rcc rId="96" sId="3">
    <nc r="AB69">
      <f>K69=L69+M69</f>
    </nc>
  </rcc>
  <rcc rId="97" sId="3">
    <nc r="Q69">
      <f>L69</f>
    </nc>
  </rcc>
  <rcc rId="98" sId="3">
    <nc r="Z69">
      <f>ROUND(L69/K69,4)</f>
    </nc>
  </rcc>
  <rcc rId="99" sId="3">
    <nc r="AA69">
      <f>Z69=N69</f>
    </nc>
  </rcc>
  <rcc rId="100" sId="3" numFmtId="13">
    <nc r="N70">
      <v>0.7</v>
    </nc>
  </rcc>
  <rcc rId="101" sId="3">
    <nc r="L70">
      <f>ROUND(K70*N70,2)</f>
    </nc>
  </rcc>
  <rcc rId="102" sId="3">
    <nc r="M70">
      <f>K70-L70</f>
    </nc>
  </rcc>
  <rcc rId="103" sId="3">
    <nc r="AB70">
      <f>K70=L70+M70</f>
    </nc>
  </rcc>
  <rcc rId="104" sId="3">
    <nc r="Q70">
      <f>L70</f>
    </nc>
  </rcc>
  <rcc rId="105" sId="3">
    <nc r="Z70">
      <f>ROUND(L70/K70,4)</f>
    </nc>
  </rcc>
  <rcc rId="106" sId="3">
    <nc r="AA70">
      <f>Z70=N70</f>
    </nc>
  </rcc>
  <rcc rId="107" sId="3" numFmtId="4">
    <nc r="O69">
      <v>0</v>
    </nc>
  </rcc>
  <rcc rId="108" sId="3" numFmtId="4">
    <nc r="P69">
      <v>0</v>
    </nc>
  </rcc>
  <rcc rId="109" sId="3" numFmtId="4">
    <nc r="O70">
      <v>0</v>
    </nc>
  </rcc>
  <rcc rId="110" sId="3" numFmtId="4">
    <nc r="P70">
      <v>0</v>
    </nc>
  </rcc>
  <rcc rId="111" sId="5">
    <oc r="B17" t="inlineStr">
      <is>
        <t>FDS/2020/G/5</t>
      </is>
    </oc>
    <nc r="B17" t="inlineStr">
      <is>
        <t>FDS/2020/G/5
zadanie przeniesione na listę podstawową</t>
      </is>
    </nc>
  </rcc>
  <rcc rId="112" sId="5">
    <oc r="B18" t="inlineStr">
      <is>
        <t>FDS/2020/G/76</t>
      </is>
    </oc>
    <nc r="B18" t="inlineStr">
      <is>
        <t>FDS/2020/G/76
zadanie przeniesione na listę podstawową</t>
      </is>
    </nc>
  </rcc>
  <rfmt sheetId="3" sqref="B71" start="0" length="0">
    <dxf>
      <border outline="0">
        <left style="thin">
          <color indexed="64"/>
        </left>
        <right style="thin">
          <color indexed="64"/>
        </right>
      </border>
    </dxf>
  </rfmt>
  <rcc rId="113" sId="3" odxf="1" dxf="1">
    <nc r="C71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114" sId="3" odxf="1" dxf="1">
    <nc r="D71" t="inlineStr">
      <is>
        <t>Gmina Pokój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5" sId="3" odxf="1" dxf="1">
    <nc r="E71">
      <v>1606032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6" sId="3" odxf="1" dxf="1">
    <nc r="F71" t="inlineStr">
      <is>
        <t>Powiat Namysłowski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7" sId="3" odxf="1" dxf="1">
    <nc r="G71" t="inlineStr">
      <is>
        <t>Remont drogi gminnej publicznej w miejscowości Krogulna o długości 1953,00 m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18" sId="3" odxf="1" dxf="1">
    <nc r="H71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119" sId="3" numFmtId="4">
    <nc r="I71">
      <v>1.9530000000000001</v>
    </nc>
  </rcc>
  <rcc rId="120" sId="3">
    <nc r="J71" t="inlineStr">
      <is>
        <t>czerwiec 2021 - wrzesień  2021</t>
      </is>
    </nc>
  </rcc>
  <rcc rId="121" sId="3" numFmtId="4">
    <nc r="K71">
      <v>547253.93999999994</v>
    </nc>
  </rcc>
  <rm rId="122" sheetId="3" source="A70" destination="A71" sourceSheetId="3">
    <rfmt sheetId="3" sqref="A71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123" sId="3" odxf="1" dxf="1">
    <nc r="A70">
      <v>68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4" sId="3" numFmtId="13">
    <nc r="N71">
      <v>0.6</v>
    </nc>
  </rcc>
  <rcc rId="125" sId="3">
    <nc r="L71">
      <f>ROUND(K71*N71,2)</f>
    </nc>
  </rcc>
  <rcc rId="126" sId="3">
    <nc r="M71">
      <f>K71-L71</f>
    </nc>
  </rcc>
  <rcc rId="127" sId="3">
    <nc r="AB71">
      <f>K71=L71+M71</f>
    </nc>
  </rcc>
  <rcc rId="128" sId="3">
    <nc r="Q71">
      <f>L71</f>
    </nc>
  </rcc>
  <rcc rId="129" sId="3">
    <nc r="Z71">
      <f>ROUND(L71/K71,4)</f>
    </nc>
  </rcc>
  <rcc rId="130" sId="3">
    <nc r="AA71">
      <f>Z71=N71</f>
    </nc>
  </rcc>
  <rcc rId="131" sId="3" numFmtId="4">
    <nc r="O71">
      <v>0</v>
    </nc>
  </rcc>
  <rcc rId="132" sId="3" numFmtId="4">
    <nc r="P71">
      <v>0</v>
    </nc>
  </rcc>
  <rcc rId="133" sId="3">
    <nc r="B71" t="inlineStr">
      <is>
        <t>FDS/2020/G/68
zadanie przeniesione z listy rezerwowej</t>
      </is>
    </nc>
  </rcc>
  <rrc rId="134" sId="3" ref="A72:XFD72" action="insertRow"/>
  <rm rId="135" sheetId="3" source="A71" destination="A72" sourceSheetId="3">
    <rfmt sheetId="3" sqref="A72" start="0" length="0">
      <dxf>
        <font>
          <sz val="8"/>
          <color theme="5" tint="0.3999755851924192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</rm>
  <rcc rId="136" sId="3" odxf="1" dxf="1">
    <nc r="A71">
      <v>69</v>
    </nc>
    <odxf>
      <font>
        <sz val="11"/>
        <color theme="1"/>
        <name val="Calibri"/>
        <family val="2"/>
        <charset val="238"/>
        <scheme val="minor"/>
      </font>
      <alignment horizontal="general"/>
      <border outline="0">
        <left/>
        <right/>
        <top/>
        <bottom/>
      </border>
    </odxf>
    <ndxf>
      <font>
        <sz val="8"/>
        <color auto="1"/>
        <name val="Arial"/>
        <family val="2"/>
        <charset val="238"/>
        <scheme val="none"/>
      </font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7" sId="5">
    <oc r="B19" t="inlineStr">
      <is>
        <t>FDS/2020/G/68</t>
      </is>
    </oc>
    <nc r="B19" t="inlineStr">
      <is>
        <t>FDS/2020/G/68
zadanie przeniesione na listę podstawową</t>
      </is>
    </nc>
  </rcc>
  <rfmt sheetId="3" sqref="B72" start="0" length="0">
    <dxf>
      <border outline="0">
        <left style="thin">
          <color indexed="64"/>
        </left>
        <right style="thin">
          <color indexed="64"/>
        </right>
      </border>
    </dxf>
  </rfmt>
  <rcc rId="138" sId="3" odxf="1" dxf="1">
    <nc r="C72" t="inlineStr">
      <is>
        <t>N</t>
      </is>
    </nc>
    <odxf>
      <border outline="0">
        <left/>
      </border>
    </odxf>
    <ndxf>
      <border outline="0">
        <left style="thin">
          <color indexed="64"/>
        </left>
      </border>
    </ndxf>
  </rcc>
  <rcc rId="139" sId="3" odxf="1" dxf="1">
    <nc r="D72" t="inlineStr">
      <is>
        <t>Gmina Jemielnica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0" sId="3" odxf="1" dxf="1">
    <nc r="E72">
      <v>1611022</v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1" sId="3" odxf="1" dxf="1">
    <nc r="F72" t="inlineStr">
      <is>
        <t>Powiat Strzelecki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2" sId="3" odxf="1" dxf="1">
    <nc r="G72" t="inlineStr">
      <is>
        <t>Remont drogi gminnej nr 105567 O Gąsiorowice - Łaziska ul. Młyńska w m. Gąsiorowice</t>
      </is>
    </nc>
    <odxf>
      <border outline="0">
        <left/>
        <right/>
      </border>
    </odxf>
    <ndxf>
      <border outline="0">
        <left style="thin">
          <color indexed="64"/>
        </left>
        <right style="thin">
          <color indexed="64"/>
        </right>
      </border>
    </ndxf>
  </rcc>
  <rcc rId="143" sId="3" odxf="1" dxf="1">
    <nc r="H72" t="inlineStr">
      <is>
        <t>R</t>
      </is>
    </nc>
    <odxf>
      <border outline="0">
        <left/>
      </border>
    </odxf>
    <ndxf>
      <border outline="0">
        <left style="thin">
          <color indexed="64"/>
        </left>
      </border>
    </ndxf>
  </rcc>
  <rcc rId="144" sId="3" numFmtId="4">
    <nc r="I72">
      <v>0.84099999999999997</v>
    </nc>
  </rcc>
  <rcc rId="145" sId="3">
    <nc r="J72" t="inlineStr">
      <is>
        <t>maj 2021 - sierpień 2021</t>
      </is>
    </nc>
  </rcc>
  <rcc rId="146" sId="3" numFmtId="4">
    <nc r="K72">
      <v>445537.98</v>
    </nc>
  </rcc>
  <rcc rId="147" sId="3" numFmtId="13">
    <nc r="N72">
      <v>0.7</v>
    </nc>
  </rcc>
  <rcc rId="148" sId="3">
    <nc r="M72">
      <f>K72-L72</f>
    </nc>
  </rcc>
  <rcc rId="149" sId="3">
    <nc r="AB72">
      <f>K72=L72+M72</f>
    </nc>
  </rcc>
  <rcc rId="150" sId="3">
    <nc r="Z72">
      <f>ROUND(L72/K72,4)</f>
    </nc>
  </rcc>
  <rcc rId="151" sId="3">
    <nc r="AA72">
      <f>Z72=N72</f>
    </nc>
  </rcc>
  <rcc rId="152" sId="3">
    <oc r="A72" t="inlineStr">
      <is>
        <t>66*</t>
      </is>
    </oc>
    <nc r="A72" t="inlineStr">
      <is>
        <t>70*</t>
      </is>
    </nc>
  </rcc>
  <rcc rId="153" sId="3">
    <nc r="B72" t="inlineStr">
      <is>
        <t>FDS/2020/G/49
zadanie przeniesione z listy rezerwowej</t>
      </is>
    </nc>
  </rcc>
  <rcc rId="154" sId="5">
    <oc r="B20" t="inlineStr">
      <is>
        <t>FDS/2020/G/49</t>
      </is>
    </oc>
    <nc r="B20" t="inlineStr">
      <is>
        <t>FDS/2020/G/49
zadanie przeniesione na listę podstawową</t>
      </is>
    </nc>
  </rcc>
  <rcc rId="155" sId="5" numFmtId="4">
    <oc r="K17">
      <v>776450.61</v>
    </oc>
    <nc r="K17">
      <v>0</v>
    </nc>
  </rcc>
  <rcc rId="156" sId="5" numFmtId="4">
    <oc r="K18">
      <v>360510.12</v>
    </oc>
    <nc r="K18">
      <v>0</v>
    </nc>
  </rcc>
  <rcc rId="157" sId="5" numFmtId="4">
    <oc r="K19">
      <v>547253.93999999994</v>
    </oc>
    <nc r="K19">
      <v>0</v>
    </nc>
  </rcc>
  <rcc rId="158" sId="5" numFmtId="4">
    <oc r="K20">
      <v>445537.98</v>
    </oc>
    <nc r="K20">
      <v>0</v>
    </nc>
  </rcc>
  <rcc rId="159" sId="5" numFmtId="4">
    <oc r="I17">
      <v>0.96699999999999997</v>
    </oc>
    <nc r="I17"/>
  </rcc>
  <rcc rId="160" sId="5" numFmtId="4">
    <oc r="I18">
      <v>0.5</v>
    </oc>
    <nc r="I18"/>
  </rcc>
  <rcc rId="161" sId="5" numFmtId="4">
    <oc r="I19">
      <v>1.9530000000000001</v>
    </oc>
    <nc r="I19"/>
  </rcc>
  <rcc rId="162" sId="5" numFmtId="4">
    <oc r="I20">
      <v>0.84099999999999997</v>
    </oc>
    <nc r="I20"/>
  </rcc>
  <rcc rId="163" sId="5">
    <oc r="C17" t="inlineStr">
      <is>
        <t>N</t>
      </is>
    </oc>
    <nc r="C17"/>
  </rcc>
  <rcc rId="164" sId="5">
    <oc r="C18" t="inlineStr">
      <is>
        <t>N</t>
      </is>
    </oc>
    <nc r="C18"/>
  </rcc>
  <rcc rId="165" sId="5">
    <oc r="C19" t="inlineStr">
      <is>
        <t>N</t>
      </is>
    </oc>
    <nc r="C19"/>
  </rcc>
  <rcc rId="166" sId="5">
    <oc r="C20" t="inlineStr">
      <is>
        <t>N</t>
      </is>
    </oc>
    <nc r="C20"/>
  </rcc>
  <rcc rId="167" sId="3" numFmtId="4">
    <nc r="Q72">
      <v>130651.17</v>
    </nc>
  </rcc>
  <rcc rId="168" sId="3" numFmtId="4">
    <nc r="L72">
      <v>130651.17</v>
    </nc>
  </rcc>
  <rcc rId="169" sId="3" numFmtId="4">
    <nc r="O72">
      <v>0</v>
    </nc>
  </rcc>
  <rcc rId="170" sId="3" numFmtId="4">
    <nc r="P72">
      <v>0</v>
    </nc>
  </rcc>
  <rcc rId="171" sId="3" numFmtId="4">
    <nc r="R69">
      <v>0</v>
    </nc>
  </rcc>
  <rcc rId="172" sId="3" numFmtId="4">
    <nc r="S69">
      <v>0</v>
    </nc>
  </rcc>
  <rcc rId="173" sId="3" numFmtId="4">
    <nc r="T69">
      <v>0</v>
    </nc>
  </rcc>
  <rcc rId="174" sId="3" numFmtId="4">
    <nc r="U69">
      <v>0</v>
    </nc>
  </rcc>
  <rcc rId="175" sId="3" numFmtId="4">
    <nc r="V69">
      <v>0</v>
    </nc>
  </rcc>
  <rcc rId="176" sId="3" numFmtId="4">
    <nc r="W69">
      <v>0</v>
    </nc>
  </rcc>
  <rcc rId="177" sId="3" numFmtId="4">
    <nc r="X69">
      <v>0</v>
    </nc>
  </rcc>
  <rcc rId="178" sId="3" numFmtId="4">
    <nc r="R70">
      <v>0</v>
    </nc>
  </rcc>
  <rcc rId="179" sId="3" numFmtId="4">
    <nc r="S70">
      <v>0</v>
    </nc>
  </rcc>
  <rcc rId="180" sId="3" numFmtId="4">
    <nc r="T70">
      <v>0</v>
    </nc>
  </rcc>
  <rcc rId="181" sId="3" numFmtId="4">
    <nc r="U70">
      <v>0</v>
    </nc>
  </rcc>
  <rcc rId="182" sId="3" numFmtId="4">
    <nc r="V70">
      <v>0</v>
    </nc>
  </rcc>
  <rcc rId="183" sId="3" numFmtId="4">
    <nc r="W70">
      <v>0</v>
    </nc>
  </rcc>
  <rcc rId="184" sId="3" numFmtId="4">
    <nc r="X70">
      <v>0</v>
    </nc>
  </rcc>
  <rcc rId="185" sId="3" numFmtId="4">
    <nc r="R71">
      <v>0</v>
    </nc>
  </rcc>
  <rcc rId="186" sId="3" numFmtId="4">
    <nc r="S71">
      <v>0</v>
    </nc>
  </rcc>
  <rcc rId="187" sId="3" numFmtId="4">
    <nc r="T71">
      <v>0</v>
    </nc>
  </rcc>
  <rcc rId="188" sId="3" numFmtId="4">
    <nc r="U71">
      <v>0</v>
    </nc>
  </rcc>
  <rcc rId="189" sId="3" numFmtId="4">
    <nc r="V71">
      <v>0</v>
    </nc>
  </rcc>
  <rcc rId="190" sId="3" numFmtId="4">
    <nc r="W71">
      <v>0</v>
    </nc>
  </rcc>
  <rcc rId="191" sId="3" numFmtId="4">
    <nc r="X71">
      <v>0</v>
    </nc>
  </rcc>
  <rcc rId="192" sId="3" numFmtId="4">
    <nc r="R72">
      <v>0</v>
    </nc>
  </rcc>
  <rcc rId="193" sId="3" numFmtId="4">
    <nc r="S72">
      <v>0</v>
    </nc>
  </rcc>
  <rcc rId="194" sId="3" numFmtId="4">
    <nc r="T72">
      <v>0</v>
    </nc>
  </rcc>
  <rcc rId="195" sId="3" numFmtId="4">
    <nc r="U72">
      <v>0</v>
    </nc>
  </rcc>
  <rcc rId="196" sId="3" numFmtId="4">
    <nc r="V72">
      <v>0</v>
    </nc>
  </rcc>
  <rcc rId="197" sId="3" numFmtId="4">
    <nc r="W72">
      <v>0</v>
    </nc>
  </rcc>
  <rcc rId="198" sId="3" numFmtId="4">
    <nc r="X72">
      <v>0</v>
    </nc>
  </rcc>
  <rcc rId="199" sId="3">
    <nc r="Y69">
      <f>L69=SUM(O69:X69)</f>
    </nc>
  </rcc>
  <rcc rId="200" sId="3">
    <nc r="Y70">
      <f>L70=SUM(O70:X70)</f>
    </nc>
  </rcc>
  <rcc rId="201" sId="3">
    <nc r="Y71">
      <f>L71=SUM(O71:X71)</f>
    </nc>
  </rcc>
  <rcc rId="202" sId="3">
    <nc r="Y72">
      <f>L72=SUM(O72:X72)</f>
    </nc>
  </rcc>
  <rfmt sheetId="3" sqref="I7:O69">
    <dxf>
      <fill>
        <patternFill patternType="none">
          <bgColor auto="1"/>
        </patternFill>
      </fill>
    </dxf>
  </rfmt>
  <rfmt sheetId="3" sqref="A35:X38">
    <dxf>
      <fill>
        <patternFill patternType="none">
          <bgColor auto="1"/>
        </patternFill>
      </fill>
    </dxf>
  </rfmt>
  <rcc rId="203" sId="1">
    <oc r="B16">
      <f>COUNTA('gm podst'!L3:L68)</f>
    </oc>
    <nc r="B16">
      <f>COUNTA('gm podst'!L3:L72)</f>
    </nc>
  </rcc>
  <rcc rId="204" sId="1">
    <oc r="B17">
      <f>COUNTIF('gm podst'!C3:C68,"K")</f>
    </oc>
    <nc r="B17">
      <f>COUNTIF('gm podst'!C3:C72,"K")</f>
    </nc>
  </rcc>
  <rcc rId="205" sId="1">
    <oc r="B18">
      <f>COUNTIF('gm podst'!C3:C68,"N")</f>
    </oc>
    <nc r="B18">
      <f>COUNTIF('gm podst'!C3:C72,"N")</f>
    </nc>
  </rcc>
  <rcc rId="206" sId="1">
    <oc r="B19">
      <f>COUNTIF('gm podst'!C3:C68,"W")</f>
    </oc>
    <nc r="B19">
      <f>COUNTIF('gm podst'!C3:C72,"W")</f>
    </nc>
  </rcc>
  <rcc rId="207" sId="1">
    <oc r="C16">
      <f>SUM('gm podst'!K3:K68)</f>
    </oc>
    <nc r="C16">
      <f>SUM('gm podst'!K3:K72)</f>
    </nc>
  </rcc>
  <rcc rId="208" sId="1">
    <oc r="C17">
      <f>SUMIF('gm podst'!C3:C68,"K",'gm podst'!K3:K68)</f>
    </oc>
    <nc r="C17">
      <f>SUMIF('gm podst'!C3:C72,"K",'gm podst'!K3:K72)</f>
    </nc>
  </rcc>
  <rcc rId="209" sId="1">
    <oc r="C18">
      <f>SUMIF('gm podst'!C3:C68,"N",'gm podst'!K3:K68)</f>
    </oc>
    <nc r="C18">
      <f>SUMIF('gm podst'!C3:C72,"N",'gm podst'!K3:K72)</f>
    </nc>
  </rcc>
  <rcc rId="210" sId="1">
    <oc r="C19">
      <f>SUMIF('gm podst'!C3:C68,"W",'gm podst'!K3:K68)</f>
    </oc>
    <nc r="C19">
      <f>SUMIF('gm podst'!C3:C72,"W",'gm podst'!K3:K72)</f>
    </nc>
  </rcc>
  <rcc rId="211" sId="1">
    <oc r="D16">
      <f>SUM('gm podst'!M3:M68)</f>
    </oc>
    <nc r="D16">
      <f>SUM('gm podst'!M3:M72)</f>
    </nc>
  </rcc>
  <rcc rId="212" sId="1">
    <oc r="D17">
      <f>SUMIF('gm podst'!C3:C68,"K",'gm podst'!M3:M68)</f>
    </oc>
    <nc r="D17">
      <f>SUMIF('gm podst'!C3:C72,"K",'gm podst'!M3:M72)</f>
    </nc>
  </rcc>
  <rcc rId="213" sId="1">
    <oc r="D18">
      <f>SUMIF('gm podst'!C3:C68,"N",'gm podst'!M3:M68)</f>
    </oc>
    <nc r="D18">
      <f>SUMIF('gm podst'!C3:C72,"N",'gm podst'!M3:M72)</f>
    </nc>
  </rcc>
  <rcc rId="214" sId="1">
    <oc r="D19">
      <f>SUMIF('gm podst'!C3:C68,"W",'gm podst'!M3:M68)</f>
    </oc>
    <nc r="D19">
      <f>SUMIF('gm podst'!C3:C72,"W",'gm podst'!M3:M72)</f>
    </nc>
  </rcc>
  <rcc rId="215" sId="1">
    <oc r="E16">
      <f>SUM('gm podst'!L3:L68)</f>
    </oc>
    <nc r="E16">
      <f>SUM('gm podst'!L3:L72)</f>
    </nc>
  </rcc>
  <rcc rId="216" sId="1">
    <oc r="E17">
      <f>SUMIF('gm podst'!C3:C68,"K",'gm podst'!L3:L68)</f>
    </oc>
    <nc r="E17">
      <f>SUMIF('gm podst'!C3:C72,"K",'gm podst'!L3:L72)</f>
    </nc>
  </rcc>
  <rcc rId="217" sId="1">
    <oc r="E18">
      <f>SUMIF('gm podst'!C3:C68,"N",'gm podst'!L3:L68)</f>
    </oc>
    <nc r="E18">
      <f>SUMIF('gm podst'!C3:C72,"N",'gm podst'!L3:L72)</f>
    </nc>
  </rcc>
  <rcc rId="218" sId="1">
    <oc r="E19">
      <f>SUMIF('gm podst'!C3:C68,"W",'gm podst'!L3:L68)</f>
    </oc>
    <nc r="E19">
      <f>SUMIF('gm podst'!C3:C72,"W",'gm podst'!L3:L72)</f>
    </nc>
  </rcc>
  <rcc rId="219" sId="1">
    <oc r="F16">
      <f>SUM('gm podst'!O3:O68)</f>
    </oc>
    <nc r="F16">
      <f>SUM('gm podst'!O3:O72)</f>
    </nc>
  </rcc>
  <rcc rId="220" sId="1">
    <oc r="G16">
      <f>SUM('gm podst'!P3:P68)</f>
    </oc>
    <nc r="G16">
      <f>SUM('gm podst'!P3:P72)</f>
    </nc>
  </rcc>
  <rcc rId="221" sId="1">
    <oc r="H16">
      <f>SUM('gm podst'!Q3:Q68)</f>
    </oc>
    <nc r="H16">
      <f>SUM('gm podst'!Q3:Q72)</f>
    </nc>
  </rcc>
  <rcc rId="222" sId="1">
    <oc r="I16">
      <f>SUM('gm podst'!R3:R68)</f>
    </oc>
    <nc r="I16">
      <f>SUM('gm podst'!R3:R72)</f>
    </nc>
  </rcc>
  <rcc rId="223" sId="1">
    <oc r="J16">
      <f>SUM('gm podst'!S3:S68)</f>
    </oc>
    <nc r="J16">
      <f>SUM('gm podst'!S3:S72)</f>
    </nc>
  </rcc>
  <rcc rId="224" sId="1">
    <oc r="K16">
      <f>SUM('gm podst'!T3:T68)</f>
    </oc>
    <nc r="K16">
      <f>SUM('gm podst'!T3:T72)</f>
    </nc>
  </rcc>
  <rcc rId="225" sId="1">
    <oc r="L16">
      <f>SUM('gm podst'!U3:U68)</f>
    </oc>
    <nc r="L16">
      <f>SUM('gm podst'!U3:U72)</f>
    </nc>
  </rcc>
  <rcc rId="226" sId="1">
    <oc r="M16">
      <f>SUM('gm podst'!V3:V68)</f>
    </oc>
    <nc r="M16">
      <f>SUM('gm podst'!V3:V72)</f>
    </nc>
  </rcc>
  <rcc rId="227" sId="1">
    <oc r="N16">
      <f>SUM('gm podst'!W3:W68)</f>
    </oc>
    <nc r="N16">
      <f>SUM('gm podst'!W3:W72)</f>
    </nc>
  </rcc>
  <rcc rId="228" sId="1">
    <oc r="O16">
      <f>SUM('gm podst'!X3:X68)</f>
    </oc>
    <nc r="O16">
      <f>SUM('gm podst'!X3:X72)</f>
    </nc>
  </rcc>
  <rcc rId="229" sId="1">
    <oc r="F17">
      <f>SUMIF('gm podst'!C3:C68,"K",'gm podst'!O3:O68)</f>
    </oc>
    <nc r="F17">
      <f>SUMIF('gm podst'!C3:C72,"K",'gm podst'!O3:O72)</f>
    </nc>
  </rcc>
  <rcc rId="230" sId="1">
    <oc r="F18">
      <f>SUMIF('gm podst'!$C$3:$C$68,"N",'gm podst'!O3:O68)</f>
    </oc>
    <nc r="F18">
      <f>SUMIF('gm podst'!$C$3:$C$72,"N",'gm podst'!O3:O72)</f>
    </nc>
  </rcc>
  <rcc rId="231" sId="1">
    <oc r="F19">
      <f>SUMIF('gm podst'!$C$3:$C$68,"W",'gm podst'!O3:O68)</f>
    </oc>
    <nc r="F19">
      <f>SUMIF('gm podst'!$C$3:$C$72,"W",'gm podst'!O3:O72)</f>
    </nc>
  </rcc>
  <rcc rId="232" sId="1">
    <oc r="G17">
      <f>SUMIF('gm podst'!C3:C68,"K",'gm podst'!P3:P68)</f>
    </oc>
    <nc r="G17">
      <f>SUMIF('gm podst'!C3:C72,"K",'gm podst'!P3:P72)</f>
    </nc>
  </rcc>
  <rcc rId="233" sId="1">
    <oc r="G18">
      <f>SUMIF('gm podst'!$C$3:$C$68,"N",'gm podst'!P3:P68)</f>
    </oc>
    <nc r="G18">
      <f>SUMIF('gm podst'!$C$3:$C$72,"N",'gm podst'!P3:P72)</f>
    </nc>
  </rcc>
  <rcc rId="234" sId="1">
    <oc r="G19">
      <f>SUMIF('gm podst'!$C$3:$C$68,"W",'gm podst'!P3:P68)</f>
    </oc>
    <nc r="G19">
      <f>SUMIF('gm podst'!$C$3:$C$72,"W",'gm podst'!P3:P72)</f>
    </nc>
  </rcc>
  <rcc rId="235" sId="1">
    <oc r="H18">
      <f>SUMIF('gm podst'!$C$3:$C$68,"N",'gm podst'!Q3:Q68)</f>
    </oc>
    <nc r="H18">
      <f>SUMIF('gm podst'!$C$3:$C$72,"N",'gm podst'!Q3:Q72)</f>
    </nc>
  </rcc>
  <rcc rId="236" sId="1">
    <oc r="H17">
      <f>SUMIF('gm podst'!$C$3:$C$68,"K",'gm podst'!Q3:Q68)</f>
    </oc>
    <nc r="H17">
      <f>SUMIF('gm podst'!$C$3:$C$72,"K",'gm podst'!Q3:Q72)</f>
    </nc>
  </rcc>
  <rcc rId="237" sId="1">
    <oc r="H19">
      <f>SUMIF('gm podst'!$C$3:$C$68,"W",'gm podst'!Q3:Q68)</f>
    </oc>
    <nc r="H19">
      <f>SUMIF('gm podst'!$C$3:$C$72,"W",'gm podst'!Q3:Q72)</f>
    </nc>
  </rcc>
  <rcc rId="238" sId="1">
    <oc r="I17">
      <f>SUMIF('gm podst'!$C$3:$C$68,"K",'gm podst'!R3:R68)</f>
    </oc>
    <nc r="I17">
      <f>SUMIF('gm podst'!$C$3:$C$72,"K",'gm podst'!R3:R72)</f>
    </nc>
  </rcc>
  <rcc rId="239" sId="1">
    <oc r="I18">
      <f>SUMIF('gm podst'!$C$3:$C$68,"N",'gm podst'!R3:R68)</f>
    </oc>
    <nc r="I18">
      <f>SUMIF('gm podst'!$C$3:$C$72,"N",'gm podst'!R3:R72)</f>
    </nc>
  </rcc>
  <rcc rId="240" sId="1">
    <oc r="I19">
      <f>SUMIF('gm podst'!$C$3:$C$68,"W",'gm podst'!R3:R68)</f>
    </oc>
    <nc r="I19">
      <f>SUMIF('gm podst'!$C$3:$C$72,"W",'gm podst'!R3:R72)</f>
    </nc>
  </rcc>
  <rcc rId="241" sId="1">
    <oc r="J17">
      <f>SUMIF('gm podst'!$C$3:$C$68,"K",'gm podst'!S3:S68)</f>
    </oc>
    <nc r="J17">
      <f>SUMIF('gm podst'!$C$3:$C$72,"K",'gm podst'!S3:S72)</f>
    </nc>
  </rcc>
  <rcc rId="242" sId="1">
    <oc r="J18">
      <f>SUMIF('gm podst'!$C$3:$C$68,"N",'gm podst'!S3:S68)</f>
    </oc>
    <nc r="J18">
      <f>SUMIF('gm podst'!$C$3:$C$72,"N",'gm podst'!S3:S72)</f>
    </nc>
  </rcc>
  <rcc rId="243" sId="1">
    <oc r="J19">
      <f>SUMIF('gm podst'!$C$3:$C$68,"W",'gm podst'!S3:S68)</f>
    </oc>
    <nc r="J19">
      <f>SUMIF('gm podst'!$C$3:$C$72,"W",'gm podst'!S3:S72)</f>
    </nc>
  </rcc>
  <rcc rId="244" sId="1">
    <oc r="K17">
      <f>SUMIF('gm podst'!$C$3:$C$68,"K",'gm podst'!T3:T68)</f>
    </oc>
    <nc r="K17">
      <f>SUMIF('gm podst'!$C$3:$C$72,"K",'gm podst'!T3:T72)</f>
    </nc>
  </rcc>
  <rcc rId="245" sId="1">
    <oc r="K18">
      <f>SUMIF('gm podst'!$C$3:$C$68,"N",'gm podst'!T3:T68)</f>
    </oc>
    <nc r="K18">
      <f>SUMIF('gm podst'!$C$3:$C$72,"N",'gm podst'!T3:T72)</f>
    </nc>
  </rcc>
  <rcc rId="246" sId="1">
    <oc r="K19">
      <f>SUMIF('gm podst'!$C$3:$C$68,"W",'gm podst'!T3:T68)</f>
    </oc>
    <nc r="K19">
      <f>SUMIF('gm podst'!$C$3:$C$72,"W",'gm podst'!T3:T72)</f>
    </nc>
  </rcc>
  <rcc rId="247" sId="1">
    <oc r="L17">
      <f>SUMIF('gm podst'!$C$3:$C$68,"K",'gm podst'!U3:U68)</f>
    </oc>
    <nc r="L17">
      <f>SUMIF('gm podst'!$C$3:$C$72,"K",'gm podst'!U3:U72)</f>
    </nc>
  </rcc>
  <rcc rId="248" sId="1">
    <oc r="L18">
      <f>SUMIF('gm podst'!$C$3:$C$68,"N",'gm podst'!U3:U68)</f>
    </oc>
    <nc r="L18">
      <f>SUMIF('gm podst'!$C$3:$C$72,"N",'gm podst'!U3:U72)</f>
    </nc>
  </rcc>
  <rcc rId="249" sId="1">
    <oc r="L19">
      <f>SUMIF('gm podst'!$C$3:$C$68,"W",'gm podst'!U3:U68)</f>
    </oc>
    <nc r="L19">
      <f>SUMIF('gm podst'!$C$3:$C$72,"W",'gm podst'!U3:U72)</f>
    </nc>
  </rcc>
  <rcc rId="250" sId="1">
    <oc r="M17">
      <f>SUMIF('gm podst'!$C$3:$C$68,"K",'gm podst'!V3:V68)</f>
    </oc>
    <nc r="M17">
      <f>SUMIF('gm podst'!$C$3:$C$72,"K",'gm podst'!V3:V72)</f>
    </nc>
  </rcc>
  <rcc rId="251" sId="1">
    <oc r="M18">
      <f>SUMIF('gm podst'!$C$3:$C$68,"N",'gm podst'!V3:V68)</f>
    </oc>
    <nc r="M18">
      <f>SUMIF('gm podst'!$C$3:$C$72,"N",'gm podst'!V3:V72)</f>
    </nc>
  </rcc>
  <rcc rId="252" sId="1">
    <oc r="M19">
      <f>SUMIF('gm podst'!$C$3:$C$68,"W",'gm podst'!V3:V68)</f>
    </oc>
    <nc r="M19">
      <f>SUMIF('gm podst'!$C$3:$C$72,"W",'gm podst'!V3:V72)</f>
    </nc>
  </rcc>
  <rcc rId="253" sId="1">
    <oc r="N17">
      <f>SUMIF('gm podst'!$C$3:$C$68,"K",'gm podst'!W3:W68)</f>
    </oc>
    <nc r="N17">
      <f>SUMIF('gm podst'!$C$3:$C$72,"K",'gm podst'!W3:W72)</f>
    </nc>
  </rcc>
  <rcc rId="254" sId="1">
    <oc r="N18">
      <f>SUMIF('gm podst'!$C$3:$C$68,"N",'gm podst'!W3:W68)</f>
    </oc>
    <nc r="N18">
      <f>SUMIF('gm podst'!$C$3:$C$72,"N",'gm podst'!W3:W72)</f>
    </nc>
  </rcc>
  <rcc rId="255" sId="1">
    <oc r="N19">
      <f>SUMIF('gm podst'!$C$3:$C$68,"W",'gm podst'!W3:W68)</f>
    </oc>
    <nc r="N19">
      <f>SUMIF('gm podst'!$C$3:$C$72,"W",'gm podst'!W3:W72)</f>
    </nc>
  </rcc>
  <rcc rId="256" sId="1">
    <oc r="O17">
      <f>SUMIF('gm podst'!$C$3:$C$68,"K",'gm podst'!X3:X68)</f>
    </oc>
    <nc r="O17">
      <f>SUMIF('gm podst'!$C$3:$C$72,"K",'gm podst'!X3:X72)</f>
    </nc>
  </rcc>
  <rcc rId="257" sId="1">
    <oc r="O18">
      <f>SUMIF('gm podst'!$C$3:$C$68,"N",'gm podst'!X3:X68)</f>
    </oc>
    <nc r="O18">
      <f>SUMIF('gm podst'!$C$3:$C$72,"N",'gm podst'!X3:X72)</f>
    </nc>
  </rcc>
  <rcc rId="258" sId="1">
    <oc r="O19">
      <f>SUMIF('gm podst'!$C$3:$C$68,"W",'gm podst'!X3:X68)</f>
    </oc>
    <nc r="O19">
      <f>SUMIF('gm podst'!$C$3:$C$72,"W",'gm podst'!X3:X72)</f>
    </nc>
  </rcc>
  <rcc rId="259" sId="3">
    <oc r="I73">
      <f>SUM(I3:I68)</f>
    </oc>
    <nc r="I73">
      <f>SUM(I3:I72)</f>
    </nc>
  </rcc>
  <rcc rId="260" sId="3">
    <oc r="I74">
      <f>SUMIF($C$3:$C$68,"K",I3:I68)</f>
    </oc>
    <nc r="I74">
      <f>SUMIF($C$3:$C$72,"K",I3:I72)</f>
    </nc>
  </rcc>
  <rcc rId="261" sId="3">
    <oc r="I75">
      <f>SUMIF($C$3:$C$68,"N",I3:I68)</f>
    </oc>
    <nc r="I75">
      <f>SUMIF($C$3:$C$72,"N",I3:I72)</f>
    </nc>
  </rcc>
  <rcc rId="262" sId="3">
    <oc r="I76">
      <f>SUMIF($C$3:$C$68,"W",I3:I68)</f>
    </oc>
    <nc r="I76">
      <f>SUMIF($C$3:$C$72,"W",I3:I72)</f>
    </nc>
  </rcc>
  <rcc rId="263" sId="3">
    <oc r="K73">
      <f>SUM(K3:K68)</f>
    </oc>
    <nc r="K73">
      <f>SUM(K3:K72)</f>
    </nc>
  </rcc>
  <rcc rId="264" sId="3">
    <oc r="L73">
      <f>SUM(L3:L68)</f>
    </oc>
    <nc r="L73">
      <f>SUM(L3:L72)</f>
    </nc>
  </rcc>
  <rcc rId="265" sId="3">
    <oc r="O73">
      <f>SUM(O3:O68)</f>
    </oc>
    <nc r="O73">
      <f>SUM(O3:O72)</f>
    </nc>
  </rcc>
  <rcc rId="266" sId="3">
    <oc r="P73">
      <f>SUM(P3:P68)</f>
    </oc>
    <nc r="P73">
      <f>SUM(P3:P72)</f>
    </nc>
  </rcc>
  <rcc rId="267" sId="3">
    <oc r="Q73">
      <f>SUM(Q3:Q68)</f>
    </oc>
    <nc r="Q73">
      <f>SUM(Q3:Q72)</f>
    </nc>
  </rcc>
  <rcc rId="268" sId="3">
    <oc r="R73">
      <f>SUM(R3:R68)</f>
    </oc>
    <nc r="R73">
      <f>SUM(R3:R72)</f>
    </nc>
  </rcc>
  <rcc rId="269" sId="3">
    <oc r="S73">
      <f>SUM(S3:S68)</f>
    </oc>
    <nc r="S73">
      <f>SUM(S3:S72)</f>
    </nc>
  </rcc>
  <rcc rId="270" sId="3">
    <oc r="T73">
      <f>SUM(T3:T68)</f>
    </oc>
    <nc r="T73">
      <f>SUM(T3:T72)</f>
    </nc>
  </rcc>
  <rcc rId="271" sId="3">
    <oc r="U73">
      <f>SUM(U3:U68)</f>
    </oc>
    <nc r="U73">
      <f>SUM(U3:U72)</f>
    </nc>
  </rcc>
  <rcc rId="272" sId="3">
    <oc r="V73">
      <f>SUM(V3:V68)</f>
    </oc>
    <nc r="V73">
      <f>SUM(V3:V72)</f>
    </nc>
  </rcc>
  <rcc rId="273" sId="3">
    <oc r="W73">
      <f>SUM(W3:W68)</f>
    </oc>
    <nc r="W73">
      <f>SUM(W3:W72)</f>
    </nc>
  </rcc>
  <rcc rId="274" sId="3">
    <oc r="X73">
      <f>SUM(X3:X68)</f>
    </oc>
    <nc r="X73">
      <f>SUM(X3:X72)</f>
    </nc>
  </rcc>
  <rcc rId="275" sId="3">
    <oc r="K74">
      <f>SUMIF($C$3:$C$68,"K",K3:K68)</f>
    </oc>
    <nc r="K74">
      <f>SUMIF($C$3:$C$72,"K",K3:K72)</f>
    </nc>
  </rcc>
  <rcc rId="276" sId="3">
    <oc r="K75">
      <f>SUMIF($C$3:$C$68,"N",K3:K68)</f>
    </oc>
    <nc r="K75">
      <f>SUMIF($C$3:$C$72,"N",K3:K72)</f>
    </nc>
  </rcc>
  <rcc rId="277" sId="3">
    <oc r="K76">
      <f>SUMIF($C$3:$C$68,"W",K3:K68)</f>
    </oc>
    <nc r="K76">
      <f>SUMIF($C$3:$C$72,"W",K3:K72)</f>
    </nc>
  </rcc>
  <rcc rId="278" sId="3">
    <oc r="L74">
      <f>SUMIF($C$3:$C$68,"K",L3:L68)</f>
    </oc>
    <nc r="L74">
      <f>SUMIF($C$3:$C$72,"K",L3:L72)</f>
    </nc>
  </rcc>
  <rcc rId="279" sId="3">
    <oc r="L75">
      <f>SUMIF($C$3:$C$68,"N",L3:L68)</f>
    </oc>
    <nc r="L75">
      <f>SUMIF($C$3:$C$72,"N",L3:L72)</f>
    </nc>
  </rcc>
  <rcc rId="280" sId="3">
    <oc r="L76">
      <f>SUMIF($C$3:$C$68,"W",L3:L68)</f>
    </oc>
    <nc r="L76">
      <f>SUMIF($C$3:$C$72,"W",L3:L72)</f>
    </nc>
  </rcc>
  <rcc rId="281" sId="3">
    <oc r="M73">
      <f>SUM(M3:M68)</f>
    </oc>
    <nc r="M73">
      <f>SUM(M3:M72)</f>
    </nc>
  </rcc>
  <rcc rId="282" sId="3">
    <oc r="M74">
      <f>SUMIF($C$3:$C$68,"K",M3:M68)</f>
    </oc>
    <nc r="M74">
      <f>SUMIF($C$3:$C$72,"K",M3:M72)</f>
    </nc>
  </rcc>
  <rcc rId="283" sId="3">
    <oc r="M75">
      <f>SUMIF($C$3:$C$68,"N",M3:M68)</f>
    </oc>
    <nc r="M75">
      <f>SUMIF($C$3:$C$72,"N",M3:M72)</f>
    </nc>
  </rcc>
  <rcc rId="284" sId="3">
    <oc r="M76">
      <f>SUMIF($C$3:$C$68,"W",M3:M68)</f>
    </oc>
    <nc r="M76">
      <f>SUMIF($C$3:$C$72,"W",M3:M72)</f>
    </nc>
  </rcc>
  <rcc rId="285" sId="3">
    <oc r="O74">
      <f>SUMIF($C$3:$C$68,"K",O3:O68)</f>
    </oc>
    <nc r="O74">
      <f>SUMIF($C$3:$C$72,"K",O3:O72)</f>
    </nc>
  </rcc>
  <rcc rId="286" sId="3">
    <oc r="O75">
      <f>SUMIF($C$3:$C$68,"N",O3:O68)</f>
    </oc>
    <nc r="O75">
      <f>SUMIF($C$3:$C$72,"N",O3:O72)</f>
    </nc>
  </rcc>
  <rcc rId="287" sId="3">
    <oc r="O76">
      <f>SUMIF($C$3:$C$68,"W",O3:O68)</f>
    </oc>
    <nc r="O76">
      <f>SUMIF($C$3:$C$72,"W",O3:O72)</f>
    </nc>
  </rcc>
  <rcc rId="288" sId="3">
    <oc r="P74">
      <f>SUMIF($C$3:$C$68,"K",P3:P68)</f>
    </oc>
    <nc r="P74">
      <f>SUMIF($C$3:$C$72,"K",P3:P72)</f>
    </nc>
  </rcc>
  <rcc rId="289" sId="3">
    <oc r="P75">
      <f>SUMIF($C$3:$C$68,"N",P3:P68)</f>
    </oc>
    <nc r="P75">
      <f>SUMIF($C$3:$C$72,"N",P3:P72)</f>
    </nc>
  </rcc>
  <rcc rId="290" sId="3">
    <oc r="P76">
      <f>SUMIF($C$3:$C$68,"W",P3:P68)</f>
    </oc>
    <nc r="P76">
      <f>SUMIF($C$3:$C$72,"W",P3:P72)</f>
    </nc>
  </rcc>
  <rcc rId="291" sId="3">
    <oc r="Q74">
      <f>SUMIF($C$3:$C$68,"K",Q3:Q68)</f>
    </oc>
    <nc r="Q74">
      <f>SUMIF($C$3:$C$72,"K",Q3:Q72)</f>
    </nc>
  </rcc>
  <rcc rId="292" sId="3">
    <oc r="Q75">
      <f>SUMIF($C$3:$C$68,"N",Q3:Q68)</f>
    </oc>
    <nc r="Q75">
      <f>SUMIF($C$3:$C$72,"N",Q3:Q72)</f>
    </nc>
  </rcc>
  <rcc rId="293" sId="3">
    <oc r="Q76">
      <f>SUMIF($C$3:$C$68,"W",Q3:Q68)</f>
    </oc>
    <nc r="Q76">
      <f>SUMIF($C$3:$C$72,"W",Q3:Q72)</f>
    </nc>
  </rcc>
  <rcc rId="294" sId="3">
    <oc r="R74">
      <f>SUMIF($C$3:$C$68,"K",R3:R68)</f>
    </oc>
    <nc r="R74">
      <f>SUMIF($C$3:$C$72,"K",R3:R72)</f>
    </nc>
  </rcc>
  <rcc rId="295" sId="3">
    <oc r="R76">
      <f>SUMIF($C$3:$C$68,"W",R3:R68)</f>
    </oc>
    <nc r="R76">
      <f>SUMIF($C$3:$C$72,"W",R3:R72)</f>
    </nc>
  </rcc>
  <rcc rId="296" sId="3">
    <oc r="S75">
      <f>SUMIF($C$3:$C$68,"N",S3:S68)</f>
    </oc>
    <nc r="S75">
      <f>SUMIF($C$3:$C$72,"N",S3:S72)</f>
    </nc>
  </rcc>
  <rcc rId="297" sId="3">
    <oc r="S76">
      <f>SUMIF($C$3:$C$68,"W",S3:S68)</f>
    </oc>
    <nc r="S76">
      <f>SUMIF($C$3:$C$72,"W",S3:S72)</f>
    </nc>
  </rcc>
  <rcc rId="298" sId="3">
    <oc r="T74">
      <f>SUMIF($C$3:$C$68,"K",T3:T68)</f>
    </oc>
    <nc r="T74">
      <f>SUMIF($C$3:$C$672,"K",T3:T72)</f>
    </nc>
  </rcc>
  <rcc rId="299" sId="3">
    <oc r="T75">
      <f>SUMIF($C$3:$C$68,"N",T3:T68)</f>
    </oc>
    <nc r="T75">
      <f>SUMIF($C$3:$C$72,"N",T3:T72)</f>
    </nc>
  </rcc>
  <rcc rId="300" sId="3">
    <oc r="T76">
      <f>SUMIF($C$3:$C$68,"W",T3:T68)</f>
    </oc>
    <nc r="T76">
      <f>SUMIF($C$3:$C$72,"W",T3:T72)</f>
    </nc>
  </rcc>
  <rcc rId="301" sId="3">
    <oc r="U74">
      <f>SUMIF($C$3:$C$68,"K",U3:U68)</f>
    </oc>
    <nc r="U74">
      <f>SUMIF($C$3:$C$72,"K",U3:U72)</f>
    </nc>
  </rcc>
  <rcc rId="302" sId="3">
    <oc r="U75">
      <f>SUMIF($C$3:$C$68,"N",U3:U68)</f>
    </oc>
    <nc r="U75">
      <f>SUMIF($C$3:$C$72,"N",U3:U72)</f>
    </nc>
  </rcc>
  <rcc rId="303" sId="3">
    <oc r="U76">
      <f>SUMIF($C$3:$C$68,"W",U3:U68)</f>
    </oc>
    <nc r="U76">
      <f>SUMIF($C$3:$C$72,"W",U3:U72)</f>
    </nc>
  </rcc>
  <rcc rId="304" sId="3">
    <oc r="V74">
      <f>SUMIF($C$3:$C$68,"K",V3:V68)</f>
    </oc>
    <nc r="V74">
      <f>SUMIF($C$3:$C$72,"K",V3:V72)</f>
    </nc>
  </rcc>
  <rcc rId="305" sId="3">
    <oc r="V75">
      <f>SUMIF($C$3:$C$68,"N",V3:V68)</f>
    </oc>
    <nc r="V75">
      <f>SUMIF($C$3:$C$72,"N",V3:V72)</f>
    </nc>
  </rcc>
  <rcc rId="306" sId="3">
    <oc r="V76">
      <f>SUMIF($C$3:$C$68,"W",V3:V68)</f>
    </oc>
    <nc r="V76">
      <f>SUMIF($C$3:$C$72,"W",V3:V72)</f>
    </nc>
  </rcc>
  <rcc rId="307" sId="3">
    <oc r="W74">
      <f>SUMIF($C$3:$C$68,"K",W3:W68)</f>
    </oc>
    <nc r="W74">
      <f>SUMIF($C$3:$C$72,"K",W3:W72)</f>
    </nc>
  </rcc>
  <rcc rId="308" sId="3">
    <oc r="W75">
      <f>SUMIF($C$3:$C$68,"N",W3:W68)</f>
    </oc>
    <nc r="W75">
      <f>SUMIF($C$3:$C$72,"N",W3:W72)</f>
    </nc>
  </rcc>
  <rcc rId="309" sId="3">
    <oc r="W76">
      <f>SUMIF($C$3:$C$68,"W",W3:W68)</f>
    </oc>
    <nc r="W76">
      <f>SUMIF($C$3:$C$72,"W",W3:W72)</f>
    </nc>
  </rcc>
  <rcc rId="310" sId="3">
    <oc r="X74">
      <f>SUMIF($C$3:$C$68,"K",X3:X68)</f>
    </oc>
    <nc r="X74">
      <f>SUMIF($C$3:$C$72,"K",X3:X72)</f>
    </nc>
  </rcc>
  <rcc rId="311" sId="3">
    <oc r="X75">
      <f>SUMIF($C$3:$C$68,"N",X3:X68)</f>
    </oc>
    <nc r="X75">
      <f>SUMIF($C$3:$C$72,"N",X3:X72)</f>
    </nc>
  </rcc>
  <rcc rId="312" sId="3">
    <oc r="X76">
      <f>SUMIF($C$3:$C$68,"W",X3:X68)</f>
    </oc>
    <nc r="X76">
      <f>SUMIF($C$3:$C$72,"W",X3:X72)</f>
    </nc>
  </rcc>
  <rcc rId="313" sId="3">
    <oc r="R75">
      <f>SUMIF($C$3:$C$68,"N",R3:R68)</f>
    </oc>
    <nc r="R75">
      <f>SUMIF($C$3:$C$72,"N",R3:R72)</f>
    </nc>
  </rcc>
  <rcc rId="314" sId="3">
    <oc r="S74">
      <f>SUMIF($C$3:$C$68,"K",S3:S68)</f>
    </oc>
    <nc r="S74">
      <f>SUMIF($C$3:$C$72,"K",S3:S72)</f>
    </nc>
  </rcc>
  <rcc rId="315" sId="3">
    <oc r="J33" t="inlineStr">
      <is>
        <t>sierpień 2021 - grudzień 2021 2021</t>
      </is>
    </oc>
    <nc r="J33" t="inlineStr">
      <is>
        <t xml:space="preserve">sierpień 2021 - grudzień 2021 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D25E5892-27F5-4B7A-868B-17AB2CDDF9CA}" name="Justyna Sperczyńska" id="-992953050" dateTime="2021-10-14T14:45:59"/>
  <userInfo guid="{18B7AF3B-65E2-4FC6-9CE7-0A467420A955}" name="Justyna Sperczyńska" id="-992991663" dateTime="2021-11-05T11:57:31"/>
</user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2"/>
  <sheetViews>
    <sheetView view="pageBreakPreview" zoomScaleNormal="100" zoomScaleSheetLayoutView="100" workbookViewId="0">
      <selection activeCell="D6" sqref="D6"/>
    </sheetView>
  </sheetViews>
  <sheetFormatPr defaultColWidth="9.140625" defaultRowHeight="15" x14ac:dyDescent="0.25"/>
  <cols>
    <col min="1" max="1" width="32.140625" style="8" customWidth="1"/>
    <col min="2" max="2" width="10.7109375" style="8" customWidth="1"/>
    <col min="3" max="5" width="20.7109375" style="8" customWidth="1"/>
    <col min="6" max="6" width="15.7109375" style="8" customWidth="1"/>
    <col min="7" max="7" width="17.140625" style="8" customWidth="1"/>
    <col min="8" max="15" width="15.7109375" style="8" customWidth="1"/>
    <col min="16" max="16" width="9.140625" style="8"/>
    <col min="17" max="17" width="11.7109375" style="8" bestFit="1" customWidth="1"/>
    <col min="18" max="16384" width="9.140625" style="3"/>
  </cols>
  <sheetData>
    <row r="1" spans="1:24" s="335" customFormat="1" ht="42" customHeight="1" thickBot="1" x14ac:dyDescent="0.35">
      <c r="A1" s="332" t="s">
        <v>301</v>
      </c>
      <c r="B1" s="333"/>
      <c r="C1" s="333"/>
      <c r="D1" s="333"/>
      <c r="E1" s="333"/>
      <c r="F1" s="333"/>
      <c r="G1" s="395" t="s">
        <v>361</v>
      </c>
      <c r="H1" s="395"/>
      <c r="I1" s="333"/>
      <c r="J1" s="333"/>
      <c r="K1" s="333"/>
      <c r="L1" s="333"/>
      <c r="M1" s="333"/>
      <c r="N1" s="333"/>
      <c r="O1" s="333"/>
      <c r="P1" s="333"/>
      <c r="Q1" s="333"/>
      <c r="R1" s="334"/>
      <c r="S1" s="334"/>
      <c r="T1" s="334"/>
      <c r="U1" s="334"/>
      <c r="V1" s="334"/>
      <c r="W1" s="334"/>
      <c r="X1" s="334"/>
    </row>
    <row r="2" spans="1:24" s="338" customFormat="1" x14ac:dyDescent="0.25">
      <c r="A2" s="336"/>
      <c r="B2" s="336"/>
      <c r="C2" s="336"/>
      <c r="D2" s="336"/>
      <c r="E2" s="336"/>
      <c r="F2" s="396" t="s">
        <v>17</v>
      </c>
      <c r="G2" s="397"/>
      <c r="H2" s="397"/>
      <c r="I2" s="397"/>
      <c r="J2" s="397"/>
      <c r="K2" s="397"/>
      <c r="L2" s="397"/>
      <c r="M2" s="397"/>
      <c r="N2" s="398"/>
      <c r="O2" s="336"/>
      <c r="P2" s="336"/>
      <c r="Q2" s="336"/>
      <c r="R2" s="337"/>
      <c r="S2" s="337"/>
      <c r="T2" s="337"/>
      <c r="U2" s="337"/>
      <c r="V2" s="337"/>
      <c r="W2" s="337"/>
      <c r="X2" s="337"/>
    </row>
    <row r="3" spans="1:24" s="338" customFormat="1" x14ac:dyDescent="0.25">
      <c r="A3" s="339"/>
      <c r="B3" s="336"/>
      <c r="C3" s="336"/>
      <c r="D3" s="336"/>
      <c r="E3" s="336"/>
      <c r="F3" s="399"/>
      <c r="G3" s="400"/>
      <c r="H3" s="400"/>
      <c r="I3" s="400"/>
      <c r="J3" s="400"/>
      <c r="K3" s="400"/>
      <c r="L3" s="400"/>
      <c r="M3" s="400"/>
      <c r="N3" s="401"/>
      <c r="O3" s="340"/>
      <c r="P3" s="340"/>
      <c r="Q3" s="340"/>
      <c r="X3" s="337"/>
    </row>
    <row r="4" spans="1:24" s="338" customFormat="1" x14ac:dyDescent="0.25">
      <c r="A4" s="341" t="s">
        <v>303</v>
      </c>
      <c r="B4" s="342"/>
      <c r="C4" s="342"/>
      <c r="D4" s="342"/>
      <c r="E4" s="342"/>
      <c r="F4" s="399"/>
      <c r="G4" s="400"/>
      <c r="H4" s="400"/>
      <c r="I4" s="400"/>
      <c r="J4" s="400"/>
      <c r="K4" s="400"/>
      <c r="L4" s="400"/>
      <c r="M4" s="400"/>
      <c r="N4" s="401"/>
      <c r="O4" s="340"/>
      <c r="P4" s="340"/>
      <c r="Q4" s="340"/>
      <c r="X4" s="343"/>
    </row>
    <row r="5" spans="1:24" s="338" customFormat="1" x14ac:dyDescent="0.25">
      <c r="A5" s="342"/>
      <c r="B5" s="342"/>
      <c r="C5" s="342"/>
      <c r="D5" s="342"/>
      <c r="E5" s="342"/>
      <c r="F5" s="399"/>
      <c r="G5" s="400"/>
      <c r="H5" s="400"/>
      <c r="I5" s="400"/>
      <c r="J5" s="400"/>
      <c r="K5" s="400"/>
      <c r="L5" s="400"/>
      <c r="M5" s="400"/>
      <c r="N5" s="401"/>
      <c r="O5" s="340"/>
      <c r="P5" s="340"/>
      <c r="Q5" s="340"/>
      <c r="X5" s="337"/>
    </row>
    <row r="6" spans="1:24" s="338" customFormat="1" x14ac:dyDescent="0.25">
      <c r="A6" s="341" t="s">
        <v>304</v>
      </c>
      <c r="B6" s="342"/>
      <c r="C6" s="342"/>
      <c r="D6" s="342"/>
      <c r="E6" s="342"/>
      <c r="F6" s="399"/>
      <c r="G6" s="400"/>
      <c r="H6" s="400"/>
      <c r="I6" s="400"/>
      <c r="J6" s="400"/>
      <c r="K6" s="400"/>
      <c r="L6" s="400"/>
      <c r="M6" s="400"/>
      <c r="N6" s="401"/>
      <c r="O6" s="340"/>
      <c r="P6" s="340"/>
      <c r="Q6" s="340"/>
      <c r="X6" s="343"/>
    </row>
    <row r="7" spans="1:24" s="338" customFormat="1" ht="15.75" thickBot="1" x14ac:dyDescent="0.3">
      <c r="A7" s="342"/>
      <c r="B7" s="342"/>
      <c r="C7" s="342"/>
      <c r="D7" s="342"/>
      <c r="E7" s="342"/>
      <c r="F7" s="402" t="s">
        <v>18</v>
      </c>
      <c r="G7" s="403"/>
      <c r="H7" s="403"/>
      <c r="I7" s="403"/>
      <c r="J7" s="403"/>
      <c r="K7" s="403"/>
      <c r="L7" s="403"/>
      <c r="M7" s="403"/>
      <c r="N7" s="404"/>
      <c r="O7" s="340"/>
      <c r="P7" s="340"/>
      <c r="Q7" s="340"/>
      <c r="X7" s="337"/>
    </row>
    <row r="8" spans="1:24" s="338" customFormat="1" x14ac:dyDescent="0.25">
      <c r="A8" s="342"/>
      <c r="B8" s="342"/>
      <c r="C8" s="342"/>
      <c r="D8" s="342"/>
      <c r="E8" s="342"/>
      <c r="F8" s="344"/>
      <c r="G8" s="344"/>
      <c r="H8" s="344"/>
      <c r="I8" s="344"/>
      <c r="J8" s="344"/>
      <c r="K8" s="344"/>
      <c r="L8" s="344"/>
      <c r="M8" s="344"/>
      <c r="N8" s="344"/>
      <c r="O8" s="340"/>
      <c r="P8" s="340"/>
      <c r="Q8" s="340"/>
      <c r="X8" s="337"/>
    </row>
    <row r="9" spans="1:24" s="338" customFormat="1" ht="20.100000000000001" customHeight="1" thickBot="1" x14ac:dyDescent="0.3">
      <c r="A9" s="341" t="s">
        <v>0</v>
      </c>
      <c r="B9" s="342"/>
      <c r="C9" s="342"/>
      <c r="D9" s="342"/>
      <c r="E9" s="342"/>
      <c r="F9" s="344"/>
      <c r="G9" s="344"/>
      <c r="H9" s="344"/>
      <c r="I9" s="344"/>
      <c r="J9" s="344"/>
      <c r="K9" s="344"/>
      <c r="L9" s="344"/>
      <c r="M9" s="344"/>
      <c r="N9" s="344"/>
      <c r="O9" s="340"/>
      <c r="P9" s="340"/>
      <c r="Q9" s="340"/>
      <c r="X9" s="337"/>
    </row>
    <row r="10" spans="1:24" ht="20.100000000000001" customHeight="1" x14ac:dyDescent="0.25">
      <c r="A10" s="405" t="s">
        <v>1</v>
      </c>
      <c r="B10" s="407" t="s">
        <v>34</v>
      </c>
      <c r="C10" s="409" t="s">
        <v>19</v>
      </c>
      <c r="D10" s="411" t="s">
        <v>20</v>
      </c>
      <c r="E10" s="413" t="s">
        <v>21</v>
      </c>
      <c r="F10" s="415" t="s">
        <v>11</v>
      </c>
      <c r="G10" s="416"/>
      <c r="H10" s="416"/>
      <c r="I10" s="416"/>
      <c r="J10" s="416"/>
      <c r="K10" s="416"/>
      <c r="L10" s="416"/>
      <c r="M10" s="416"/>
      <c r="N10" s="416"/>
      <c r="O10" s="417"/>
      <c r="P10" s="22"/>
      <c r="Q10" s="22"/>
      <c r="R10" s="2"/>
      <c r="S10" s="2"/>
      <c r="T10" s="2"/>
      <c r="U10" s="2"/>
      <c r="X10" s="7"/>
    </row>
    <row r="11" spans="1:24" s="1" customFormat="1" ht="20.100000000000001" customHeight="1" thickBot="1" x14ac:dyDescent="0.3">
      <c r="A11" s="406"/>
      <c r="B11" s="408"/>
      <c r="C11" s="410"/>
      <c r="D11" s="412"/>
      <c r="E11" s="414"/>
      <c r="F11" s="55">
        <v>2019</v>
      </c>
      <c r="G11" s="56">
        <v>2020</v>
      </c>
      <c r="H11" s="56">
        <v>2021</v>
      </c>
      <c r="I11" s="56">
        <v>2022</v>
      </c>
      <c r="J11" s="56">
        <v>2023</v>
      </c>
      <c r="K11" s="56">
        <v>2024</v>
      </c>
      <c r="L11" s="56">
        <v>2025</v>
      </c>
      <c r="M11" s="56">
        <v>2026</v>
      </c>
      <c r="N11" s="56">
        <v>2027</v>
      </c>
      <c r="O11" s="57">
        <v>2028</v>
      </c>
      <c r="P11" s="9"/>
      <c r="Q11" s="9"/>
      <c r="R11" s="9"/>
      <c r="S11" s="9"/>
      <c r="T11" s="9"/>
      <c r="U11" s="9"/>
      <c r="V11" s="10"/>
      <c r="W11" s="10"/>
      <c r="X11" s="10"/>
    </row>
    <row r="12" spans="1:24" ht="39.950000000000003" customHeight="1" thickTop="1" x14ac:dyDescent="0.25">
      <c r="A12" s="59" t="s">
        <v>36</v>
      </c>
      <c r="B12" s="60">
        <f>COUNTA('pow podst'!C3:C20)</f>
        <v>16</v>
      </c>
      <c r="C12" s="61">
        <f>SUM('pow podst'!J3:J20)</f>
        <v>36335677.610000007</v>
      </c>
      <c r="D12" s="62">
        <f>SUM('pow podst'!L3:L20)</f>
        <v>18651688.760000002</v>
      </c>
      <c r="E12" s="63">
        <f>SUM('pow podst'!K3:K20)</f>
        <v>17683988.850000001</v>
      </c>
      <c r="F12" s="64">
        <f>SUM('pow podst'!N3:N20)</f>
        <v>0</v>
      </c>
      <c r="G12" s="64">
        <f>SUM('pow podst'!O3:O20)</f>
        <v>1850466.57</v>
      </c>
      <c r="H12" s="64">
        <f>SUM('pow podst'!P3:P20)</f>
        <v>15331103.42</v>
      </c>
      <c r="I12" s="64">
        <f>SUM('pow podst'!Q3:Q20)</f>
        <v>502418.86</v>
      </c>
      <c r="J12" s="64">
        <f>SUM('pow podst'!R3:R20)</f>
        <v>0</v>
      </c>
      <c r="K12" s="64">
        <f>SUM('pow podst'!S3:S20)</f>
        <v>0</v>
      </c>
      <c r="L12" s="64">
        <f>SUM('pow podst'!T3:T20)</f>
        <v>0</v>
      </c>
      <c r="M12" s="64">
        <f>SUM('pow podst'!U3:U20)</f>
        <v>0</v>
      </c>
      <c r="N12" s="64">
        <f>SUM('pow podst'!V3:V20)</f>
        <v>0</v>
      </c>
      <c r="O12" s="64">
        <f>SUM('pow podst'!W3:W20)</f>
        <v>0</v>
      </c>
      <c r="P12" s="11" t="b">
        <f>C12=(D12+E12)</f>
        <v>1</v>
      </c>
      <c r="Q12" s="31" t="b">
        <f>E12=SUM(F12:O12)</f>
        <v>1</v>
      </c>
      <c r="R12" s="12"/>
      <c r="S12" s="12"/>
      <c r="T12" s="13"/>
      <c r="U12" s="13"/>
      <c r="V12" s="14"/>
      <c r="W12" s="7"/>
      <c r="X12" s="7"/>
    </row>
    <row r="13" spans="1:24" ht="39.950000000000003" customHeight="1" x14ac:dyDescent="0.25">
      <c r="A13" s="65" t="s">
        <v>37</v>
      </c>
      <c r="B13" s="100">
        <f>COUNTIF('pow podst'!C3:C20,"K")</f>
        <v>1</v>
      </c>
      <c r="C13" s="101">
        <f>SUMIF('pow podst'!C3:C20,"K",'pow podst'!J3:J20)</f>
        <v>7120893.6500000004</v>
      </c>
      <c r="D13" s="102">
        <f>SUMIF('pow podst'!C3:C20,"K",'pow podst'!L3:L20)</f>
        <v>3560446.8200000003</v>
      </c>
      <c r="E13" s="37">
        <f>SUMIF('pow podst'!C3:C20,"K",'pow podst'!K3:K20)</f>
        <v>3560446.83</v>
      </c>
      <c r="F13" s="109">
        <f>SUMIF('pow podst'!C3:C20,"K",'pow podst'!N3:N20)</f>
        <v>0</v>
      </c>
      <c r="G13" s="101">
        <f>SUMIF('pow podst'!C3:C20,"K",'pow podst'!O3:O20)</f>
        <v>1850466.57</v>
      </c>
      <c r="H13" s="101">
        <f>SUMIF('pow podst'!C3:C20,"K",'pow podst'!P3:P20)</f>
        <v>1709980.26</v>
      </c>
      <c r="I13" s="101">
        <f>SUMIF('pow podst'!C3:C20,"K",'pow podst'!Q3:Q20)</f>
        <v>0</v>
      </c>
      <c r="J13" s="101">
        <f>SUMIF('pow podst'!C3:C20,"K",'pow podst'!R3:R20)</f>
        <v>0</v>
      </c>
      <c r="K13" s="101">
        <f>SUMIF('pow podst'!C3:C20,"K",'pow podst'!S3:S20)</f>
        <v>0</v>
      </c>
      <c r="L13" s="101">
        <f>SUMIF('pow podst'!C3:C20,"K",'pow podst'!T3:T20)</f>
        <v>0</v>
      </c>
      <c r="M13" s="101">
        <f>SUMIF('pow podst'!C3:C20,"K",'pow podst'!U3:U20)</f>
        <v>0</v>
      </c>
      <c r="N13" s="101">
        <f>SUMIF('pow podst'!C3:C20,"K",'pow podst'!V3:V20)</f>
        <v>0</v>
      </c>
      <c r="O13" s="101">
        <f ca="1">SUMIF('pow podst'!C3:I20,"K",'pow podst'!W3:W20)</f>
        <v>0</v>
      </c>
      <c r="P13" s="11" t="b">
        <f t="shared" ref="P13:P22" si="0">C13=(D13+E13)</f>
        <v>1</v>
      </c>
      <c r="Q13" s="31" t="b">
        <f t="shared" ref="Q13:Q17" ca="1" si="1">E13=SUM(F13:O13)</f>
        <v>1</v>
      </c>
      <c r="R13" s="12"/>
      <c r="S13" s="12"/>
      <c r="T13" s="13"/>
      <c r="U13" s="13"/>
      <c r="V13" s="14"/>
      <c r="W13" s="7"/>
      <c r="X13" s="7"/>
    </row>
    <row r="14" spans="1:24" ht="39.950000000000003" customHeight="1" x14ac:dyDescent="0.25">
      <c r="A14" s="66" t="s">
        <v>38</v>
      </c>
      <c r="B14" s="103">
        <f>COUNTIF('pow podst'!C3:C20,"N")</f>
        <v>14</v>
      </c>
      <c r="C14" s="104">
        <f>SUMIF('pow podst'!C3:C20,"N",'pow podst'!J3:J20)</f>
        <v>25879946.25</v>
      </c>
      <c r="D14" s="105">
        <f>SUMIF('pow podst'!C3:C20,"N",'pow podst'!L3:L20)</f>
        <v>13423823.09</v>
      </c>
      <c r="E14" s="36">
        <f>SUMIF('pow podst'!C3:C20,"N",'pow podst'!K3:K20)</f>
        <v>12456123.16</v>
      </c>
      <c r="F14" s="110">
        <f>SUMIF('pow podst'!C3:C20,"N",'pow podst'!N3:N20)</f>
        <v>0</v>
      </c>
      <c r="G14" s="104">
        <f>SUMIF('pow podst'!C3:C20,"N",'pow podst'!O3:O20)</f>
        <v>0</v>
      </c>
      <c r="H14" s="104">
        <f>SUMIF('pow podst'!C3:C20,"N",'pow podst'!P3:P20)</f>
        <v>12456123.16</v>
      </c>
      <c r="I14" s="104">
        <f>SUMIF('pow podst'!C3:C20,"N",'pow podst'!Q3:Q20)</f>
        <v>0</v>
      </c>
      <c r="J14" s="104">
        <f>SUMIF('pow podst'!C3:C20,"N",'pow podst'!R3:R20)</f>
        <v>0</v>
      </c>
      <c r="K14" s="104">
        <f>SUMIF('pow podst'!C3:C20,"N",'pow podst'!S3:S20)</f>
        <v>0</v>
      </c>
      <c r="L14" s="104">
        <f>SUMIF('pow podst'!C3:C20,"N",'pow podst'!T3:T20)</f>
        <v>0</v>
      </c>
      <c r="M14" s="104">
        <f>SUMIF('pow podst'!C3:C20,"N",'pow podst'!U3:U20)</f>
        <v>0</v>
      </c>
      <c r="N14" s="104">
        <f>SUMIF('pow podst'!C3:C20,"N",'pow podst'!V3:V20)</f>
        <v>0</v>
      </c>
      <c r="O14" s="104">
        <f ca="1">SUMIF('pow podst'!C3:I20,"N",'pow podst'!W3:W20)</f>
        <v>0</v>
      </c>
      <c r="P14" s="11" t="b">
        <f t="shared" si="0"/>
        <v>1</v>
      </c>
      <c r="Q14" s="31" t="b">
        <f t="shared" ca="1" si="1"/>
        <v>1</v>
      </c>
      <c r="R14" s="12"/>
      <c r="S14" s="12"/>
      <c r="T14" s="13"/>
      <c r="U14" s="13"/>
      <c r="V14" s="14"/>
      <c r="W14" s="7"/>
      <c r="X14" s="7"/>
    </row>
    <row r="15" spans="1:24" ht="39.950000000000003" customHeight="1" thickBot="1" x14ac:dyDescent="0.3">
      <c r="A15" s="67" t="s">
        <v>39</v>
      </c>
      <c r="B15" s="100">
        <f>COUNTIF('pow podst'!C3:C20,"W")</f>
        <v>1</v>
      </c>
      <c r="C15" s="107">
        <f>SUMIF('pow podst'!C3:C20,"W",'pow podst'!J3:J20)</f>
        <v>3334837.71</v>
      </c>
      <c r="D15" s="108">
        <f>SUMIF('pow podst'!C3:C20,"W",'pow podst'!L3:L20)</f>
        <v>1667418.8499999999</v>
      </c>
      <c r="E15" s="68">
        <f>SUMIF('pow podst'!C3:C20,"W",'pow podst'!K3:K20)</f>
        <v>1667418.86</v>
      </c>
      <c r="F15" s="111">
        <f>SUMIF('pow podst'!C3:C20,"W",'pow podst'!N3:N20)</f>
        <v>0</v>
      </c>
      <c r="G15" s="107">
        <f>SUMIF('pow podst'!C3:C20,"W",'pow podst'!O3:O20)</f>
        <v>0</v>
      </c>
      <c r="H15" s="107">
        <f>SUMIF('pow podst'!C3:C20,"W",'pow podst'!P3:P20)</f>
        <v>1165000</v>
      </c>
      <c r="I15" s="107">
        <f>SUMIF('pow podst'!C3:C20,"W",'pow podst'!Q3:Q20)</f>
        <v>502418.86</v>
      </c>
      <c r="J15" s="107">
        <f>SUMIF('pow podst'!C3:C20,"W",'pow podst'!R3:R20)</f>
        <v>0</v>
      </c>
      <c r="K15" s="107">
        <f>SUMIF('pow podst'!C3:C20,"W",'pow podst'!S3:S20)</f>
        <v>0</v>
      </c>
      <c r="L15" s="107">
        <f>SUMIF('pow podst'!C3:C20,"W",'pow podst'!T3:T20)</f>
        <v>0</v>
      </c>
      <c r="M15" s="107">
        <f>SUMIF('pow podst'!C3:C20,"W",'pow podst'!U3:U20)</f>
        <v>0</v>
      </c>
      <c r="N15" s="107">
        <f>SUMIF('pow podst'!C3:C20,"W",'pow podst'!V3:V20)</f>
        <v>0</v>
      </c>
      <c r="O15" s="107">
        <f ca="1">SUMIF('pow podst'!C3:I20,"W",'pow podst'!W3:W20)</f>
        <v>0</v>
      </c>
      <c r="P15" s="11" t="b">
        <f t="shared" si="0"/>
        <v>1</v>
      </c>
      <c r="Q15" s="31" t="b">
        <f t="shared" ca="1" si="1"/>
        <v>1</v>
      </c>
      <c r="R15" s="12"/>
      <c r="S15" s="12"/>
      <c r="T15" s="13"/>
      <c r="U15" s="13"/>
      <c r="V15" s="14"/>
      <c r="W15" s="7"/>
      <c r="X15" s="7"/>
    </row>
    <row r="16" spans="1:24" ht="39.950000000000003" customHeight="1" thickTop="1" x14ac:dyDescent="0.25">
      <c r="A16" s="59" t="s">
        <v>40</v>
      </c>
      <c r="B16" s="60">
        <f>COUNTA('gm podst'!L3:L72)</f>
        <v>70</v>
      </c>
      <c r="C16" s="61">
        <f>SUM('gm podst'!K3:K72)</f>
        <v>99176092.390000001</v>
      </c>
      <c r="D16" s="61">
        <f>SUM('gm podst'!M3:M72)</f>
        <v>34160176.68999999</v>
      </c>
      <c r="E16" s="63">
        <f>SUM('gm podst'!L3:L72)</f>
        <v>65015915.700000033</v>
      </c>
      <c r="F16" s="112">
        <f>SUM('gm podst'!O3:O72)</f>
        <v>5851981.6699999999</v>
      </c>
      <c r="G16" s="112">
        <f>SUM('gm podst'!P3:P72)</f>
        <v>10956536.139999999</v>
      </c>
      <c r="H16" s="112">
        <f>SUM('gm podst'!Q3:Q72)</f>
        <v>42696025.800000004</v>
      </c>
      <c r="I16" s="112">
        <f>SUM('gm podst'!R3:R72)</f>
        <v>5511372.0899999999</v>
      </c>
      <c r="J16" s="112">
        <f>SUM('gm podst'!S3:S72)</f>
        <v>0</v>
      </c>
      <c r="K16" s="112">
        <f>SUM('gm podst'!T3:T72)</f>
        <v>0</v>
      </c>
      <c r="L16" s="112">
        <f>SUM('gm podst'!U3:U72)</f>
        <v>0</v>
      </c>
      <c r="M16" s="112">
        <f>SUM('gm podst'!V3:V72)</f>
        <v>0</v>
      </c>
      <c r="N16" s="112">
        <f>SUM('gm podst'!W3:W72)</f>
        <v>0</v>
      </c>
      <c r="O16" s="112">
        <f>SUM('gm podst'!X3:X72)</f>
        <v>0</v>
      </c>
      <c r="P16" s="11" t="b">
        <f t="shared" si="0"/>
        <v>1</v>
      </c>
      <c r="Q16" s="31" t="b">
        <f t="shared" si="1"/>
        <v>1</v>
      </c>
      <c r="R16" s="12"/>
      <c r="S16" s="12"/>
      <c r="T16" s="13"/>
      <c r="U16" s="13"/>
      <c r="V16" s="13"/>
      <c r="W16" s="13"/>
      <c r="X16" s="13"/>
    </row>
    <row r="17" spans="1:24" ht="39.950000000000003" customHeight="1" x14ac:dyDescent="0.25">
      <c r="A17" s="65" t="s">
        <v>37</v>
      </c>
      <c r="B17" s="100">
        <f>COUNTIF('gm podst'!C3:C72,"K")</f>
        <v>3</v>
      </c>
      <c r="C17" s="101">
        <f>SUMIF('gm podst'!C3:C72,"K",'gm podst'!K3:K72)</f>
        <v>26567513.729999997</v>
      </c>
      <c r="D17" s="102">
        <f>SUMIF('gm podst'!C3:C72,"K",'gm podst'!M3:M72)</f>
        <v>8654514.540000001</v>
      </c>
      <c r="E17" s="37">
        <f>SUMIF('gm podst'!C3:C72,"K",'gm podst'!L3:L72)</f>
        <v>17912999.190000001</v>
      </c>
      <c r="F17" s="109">
        <f>SUMIF('gm podst'!C3:C72,"K",'gm podst'!O3:O72)</f>
        <v>5851981.6699999999</v>
      </c>
      <c r="G17" s="101">
        <f>SUMIF('gm podst'!C3:C72,"K",'gm podst'!P3:P72)</f>
        <v>10956536.139999999</v>
      </c>
      <c r="H17" s="101">
        <f>SUMIF('gm podst'!$C$3:$C$72,"K",'gm podst'!Q3:Q72)</f>
        <v>1104481.3799999999</v>
      </c>
      <c r="I17" s="101">
        <f>SUMIF('gm podst'!$C$3:$C$72,"K",'gm podst'!R3:R72)</f>
        <v>0</v>
      </c>
      <c r="J17" s="101">
        <f>SUMIF('gm podst'!$C$3:$C$72,"K",'gm podst'!S3:S72)</f>
        <v>0</v>
      </c>
      <c r="K17" s="101">
        <f>SUMIF('gm podst'!$C$3:$C$72,"K",'gm podst'!T3:T72)</f>
        <v>0</v>
      </c>
      <c r="L17" s="101">
        <f>SUMIF('gm podst'!$C$3:$C$72,"K",'gm podst'!U3:U72)</f>
        <v>0</v>
      </c>
      <c r="M17" s="101">
        <f>SUMIF('gm podst'!$C$3:$C$72,"K",'gm podst'!V3:V72)</f>
        <v>0</v>
      </c>
      <c r="N17" s="101">
        <f>SUMIF('gm podst'!$C$3:$C$72,"K",'gm podst'!W3:W72)</f>
        <v>0</v>
      </c>
      <c r="O17" s="101">
        <f>SUMIF('gm podst'!$C$3:$C$72,"K",'gm podst'!X3:X72)</f>
        <v>0</v>
      </c>
      <c r="P17" s="11" t="b">
        <f t="shared" si="0"/>
        <v>1</v>
      </c>
      <c r="Q17" s="31" t="b">
        <f t="shared" si="1"/>
        <v>1</v>
      </c>
      <c r="R17" s="12"/>
      <c r="S17" s="12"/>
      <c r="T17" s="13"/>
      <c r="U17" s="13"/>
      <c r="V17" s="13"/>
      <c r="W17" s="13"/>
      <c r="X17" s="13"/>
    </row>
    <row r="18" spans="1:24" ht="39.950000000000003" customHeight="1" x14ac:dyDescent="0.25">
      <c r="A18" s="66" t="s">
        <v>38</v>
      </c>
      <c r="B18" s="103">
        <f>COUNTIF('gm podst'!C3:C72,"N")</f>
        <v>63</v>
      </c>
      <c r="C18" s="104">
        <f>SUMIF('gm podst'!C3:C72,"N",'gm podst'!K3:K72)</f>
        <v>50164955.850000009</v>
      </c>
      <c r="D18" s="105">
        <f>SUMIF('gm podst'!C3:C72,"N",'gm podst'!M3:M72)</f>
        <v>18042898.66</v>
      </c>
      <c r="E18" s="36">
        <f>SUMIF('gm podst'!C3:C72,"N",'gm podst'!L3:L72)</f>
        <v>32122057.189999994</v>
      </c>
      <c r="F18" s="110">
        <f>SUMIF('gm podst'!$C$3:$C$72,"N",'gm podst'!O3:O72)</f>
        <v>0</v>
      </c>
      <c r="G18" s="110">
        <f>SUMIF('gm podst'!$C$3:$C$72,"N",'gm podst'!P3:P72)</f>
        <v>0</v>
      </c>
      <c r="H18" s="110">
        <f>SUMIF('gm podst'!$C$3:$C$72,"N",'gm podst'!Q3:Q72)</f>
        <v>32122057.189999994</v>
      </c>
      <c r="I18" s="110">
        <f>SUMIF('gm podst'!$C$3:$C$72,"N",'gm podst'!R3:R72)</f>
        <v>0</v>
      </c>
      <c r="J18" s="110">
        <f>SUMIF('gm podst'!$C$3:$C$72,"N",'gm podst'!S3:S72)</f>
        <v>0</v>
      </c>
      <c r="K18" s="110">
        <f>SUMIF('gm podst'!$C$3:$C$72,"N",'gm podst'!T3:T72)</f>
        <v>0</v>
      </c>
      <c r="L18" s="110">
        <f>SUMIF('gm podst'!$C$3:$C$72,"N",'gm podst'!U3:U72)</f>
        <v>0</v>
      </c>
      <c r="M18" s="110">
        <f>SUMIF('gm podst'!$C$3:$C$72,"N",'gm podst'!V3:V72)</f>
        <v>0</v>
      </c>
      <c r="N18" s="110">
        <f>SUMIF('gm podst'!$C$3:$C$72,"N",'gm podst'!W3:W72)</f>
        <v>0</v>
      </c>
      <c r="O18" s="110">
        <f>SUMIF('gm podst'!$C$3:$C$72,"N",'gm podst'!X3:X72)</f>
        <v>0</v>
      </c>
      <c r="P18" s="11" t="b">
        <f t="shared" si="0"/>
        <v>1</v>
      </c>
      <c r="Q18" s="31" t="b">
        <f t="shared" ref="Q18:Q23" si="2">E18=SUM(F18:O18)</f>
        <v>1</v>
      </c>
      <c r="R18" s="12"/>
      <c r="S18" s="12"/>
      <c r="T18" s="13"/>
      <c r="U18" s="13"/>
      <c r="V18" s="13"/>
      <c r="W18" s="13"/>
      <c r="X18" s="13"/>
    </row>
    <row r="19" spans="1:24" ht="39.950000000000003" customHeight="1" thickBot="1" x14ac:dyDescent="0.3">
      <c r="A19" s="67" t="s">
        <v>39</v>
      </c>
      <c r="B19" s="106">
        <f>COUNTIF('gm podst'!C3:C72,"W")</f>
        <v>4</v>
      </c>
      <c r="C19" s="107">
        <f>SUMIF('gm podst'!C3:C72,"W",'gm podst'!K3:K72)</f>
        <v>22443622.810000002</v>
      </c>
      <c r="D19" s="108">
        <f>SUMIF('gm podst'!C3:C72,"W",'gm podst'!M3:M72)</f>
        <v>7462763.4900000002</v>
      </c>
      <c r="E19" s="68">
        <f>SUMIF('gm podst'!C3:C72,"W",'gm podst'!L3:L72)</f>
        <v>14980859.32</v>
      </c>
      <c r="F19" s="111">
        <f>SUMIF('gm podst'!$C$3:$C$72,"W",'gm podst'!O3:O72)</f>
        <v>0</v>
      </c>
      <c r="G19" s="111">
        <f>SUMIF('gm podst'!$C$3:$C$72,"W",'gm podst'!P3:P72)</f>
        <v>0</v>
      </c>
      <c r="H19" s="111">
        <f>SUMIF('gm podst'!$C$3:$C$72,"W",'gm podst'!Q3:Q72)</f>
        <v>9469487.2300000004</v>
      </c>
      <c r="I19" s="111">
        <f>SUMIF('gm podst'!$C$3:$C$72,"W",'gm podst'!R3:R72)</f>
        <v>5511372.0899999999</v>
      </c>
      <c r="J19" s="111">
        <f>SUMIF('gm podst'!$C$3:$C$72,"W",'gm podst'!S3:S72)</f>
        <v>0</v>
      </c>
      <c r="K19" s="111">
        <f>SUMIF('gm podst'!$C$3:$C$72,"W",'gm podst'!T3:T72)</f>
        <v>0</v>
      </c>
      <c r="L19" s="111">
        <f>SUMIF('gm podst'!$C$3:$C$72,"W",'gm podst'!U3:U72)</f>
        <v>0</v>
      </c>
      <c r="M19" s="111">
        <f>SUMIF('gm podst'!$C$3:$C$72,"W",'gm podst'!V3:V72)</f>
        <v>0</v>
      </c>
      <c r="N19" s="111">
        <f>SUMIF('gm podst'!$C$3:$C$72,"W",'gm podst'!W3:W72)</f>
        <v>0</v>
      </c>
      <c r="O19" s="111">
        <f>SUMIF('gm podst'!$C$3:$C$72,"W",'gm podst'!X3:X72)</f>
        <v>0</v>
      </c>
      <c r="P19" s="11" t="b">
        <f t="shared" si="0"/>
        <v>1</v>
      </c>
      <c r="Q19" s="31" t="b">
        <f t="shared" si="2"/>
        <v>1</v>
      </c>
      <c r="R19" s="12"/>
      <c r="S19" s="12"/>
      <c r="T19" s="13"/>
      <c r="U19" s="13"/>
      <c r="V19" s="13"/>
      <c r="W19" s="13"/>
      <c r="X19" s="13"/>
    </row>
    <row r="20" spans="1:24" s="288" customFormat="1" ht="39.950000000000003" customHeight="1" thickTop="1" x14ac:dyDescent="0.25">
      <c r="A20" s="282" t="s">
        <v>41</v>
      </c>
      <c r="B20" s="283">
        <f>B12+B16</f>
        <v>86</v>
      </c>
      <c r="C20" s="284">
        <f>C12+C16</f>
        <v>135511770</v>
      </c>
      <c r="D20" s="285">
        <f t="shared" ref="C20:O22" si="3">D12+D16</f>
        <v>52811865.449999988</v>
      </c>
      <c r="E20" s="63">
        <f t="shared" si="3"/>
        <v>82699904.550000042</v>
      </c>
      <c r="F20" s="286">
        <f t="shared" si="3"/>
        <v>5851981.6699999999</v>
      </c>
      <c r="G20" s="284">
        <f t="shared" si="3"/>
        <v>12807002.709999999</v>
      </c>
      <c r="H20" s="284">
        <f>H12+H16</f>
        <v>58027129.220000006</v>
      </c>
      <c r="I20" s="284">
        <f t="shared" si="3"/>
        <v>6013790.9500000002</v>
      </c>
      <c r="J20" s="284">
        <f t="shared" si="3"/>
        <v>0</v>
      </c>
      <c r="K20" s="284">
        <f t="shared" si="3"/>
        <v>0</v>
      </c>
      <c r="L20" s="284">
        <f t="shared" si="3"/>
        <v>0</v>
      </c>
      <c r="M20" s="284">
        <f t="shared" si="3"/>
        <v>0</v>
      </c>
      <c r="N20" s="284">
        <f t="shared" si="3"/>
        <v>0</v>
      </c>
      <c r="O20" s="284">
        <f t="shared" si="3"/>
        <v>0</v>
      </c>
      <c r="P20" s="287" t="b">
        <f t="shared" si="0"/>
        <v>1</v>
      </c>
      <c r="Q20" s="31" t="b">
        <f t="shared" si="2"/>
        <v>1</v>
      </c>
      <c r="R20" s="15"/>
      <c r="S20" s="15"/>
      <c r="T20" s="16"/>
      <c r="U20" s="16"/>
      <c r="V20" s="16"/>
      <c r="W20" s="16"/>
      <c r="X20" s="16"/>
    </row>
    <row r="21" spans="1:24" s="17" customFormat="1" ht="39.950000000000003" customHeight="1" x14ac:dyDescent="0.25">
      <c r="A21" s="69" t="s">
        <v>37</v>
      </c>
      <c r="B21" s="42">
        <f>B13+B17</f>
        <v>4</v>
      </c>
      <c r="C21" s="38">
        <f t="shared" si="3"/>
        <v>33688407.379999995</v>
      </c>
      <c r="D21" s="47">
        <f t="shared" si="3"/>
        <v>12214961.360000001</v>
      </c>
      <c r="E21" s="37">
        <f t="shared" si="3"/>
        <v>21473446.020000003</v>
      </c>
      <c r="F21" s="50">
        <f t="shared" si="3"/>
        <v>5851981.6699999999</v>
      </c>
      <c r="G21" s="38">
        <f t="shared" si="3"/>
        <v>12807002.709999999</v>
      </c>
      <c r="H21" s="38">
        <f t="shared" si="3"/>
        <v>2814461.6399999997</v>
      </c>
      <c r="I21" s="38">
        <f t="shared" si="3"/>
        <v>0</v>
      </c>
      <c r="J21" s="38">
        <f t="shared" si="3"/>
        <v>0</v>
      </c>
      <c r="K21" s="38">
        <f t="shared" si="3"/>
        <v>0</v>
      </c>
      <c r="L21" s="38">
        <f t="shared" si="3"/>
        <v>0</v>
      </c>
      <c r="M21" s="38">
        <f t="shared" si="3"/>
        <v>0</v>
      </c>
      <c r="N21" s="38">
        <f t="shared" si="3"/>
        <v>0</v>
      </c>
      <c r="O21" s="38">
        <f t="shared" ca="1" si="3"/>
        <v>0</v>
      </c>
      <c r="P21" s="11" t="b">
        <f t="shared" si="0"/>
        <v>1</v>
      </c>
      <c r="Q21" s="31" t="b">
        <f t="shared" ca="1" si="2"/>
        <v>1</v>
      </c>
      <c r="R21" s="15"/>
      <c r="S21" s="15"/>
      <c r="T21" s="16"/>
      <c r="U21" s="16"/>
      <c r="V21" s="16"/>
      <c r="W21" s="16"/>
      <c r="X21" s="16"/>
    </row>
    <row r="22" spans="1:24" s="17" customFormat="1" ht="39.950000000000003" customHeight="1" x14ac:dyDescent="0.25">
      <c r="A22" s="70" t="s">
        <v>38</v>
      </c>
      <c r="B22" s="43">
        <f>B14+B18</f>
        <v>77</v>
      </c>
      <c r="C22" s="40">
        <f t="shared" si="3"/>
        <v>76044902.100000009</v>
      </c>
      <c r="D22" s="48">
        <f t="shared" si="3"/>
        <v>31466721.75</v>
      </c>
      <c r="E22" s="36">
        <f t="shared" si="3"/>
        <v>44578180.349999994</v>
      </c>
      <c r="F22" s="51">
        <f t="shared" si="3"/>
        <v>0</v>
      </c>
      <c r="G22" s="40">
        <f t="shared" si="3"/>
        <v>0</v>
      </c>
      <c r="H22" s="40">
        <f t="shared" si="3"/>
        <v>44578180.349999994</v>
      </c>
      <c r="I22" s="40">
        <f t="shared" si="3"/>
        <v>0</v>
      </c>
      <c r="J22" s="40">
        <f t="shared" si="3"/>
        <v>0</v>
      </c>
      <c r="K22" s="40">
        <f t="shared" si="3"/>
        <v>0</v>
      </c>
      <c r="L22" s="40">
        <f t="shared" si="3"/>
        <v>0</v>
      </c>
      <c r="M22" s="40">
        <f t="shared" si="3"/>
        <v>0</v>
      </c>
      <c r="N22" s="40">
        <f t="shared" si="3"/>
        <v>0</v>
      </c>
      <c r="O22" s="40">
        <f t="shared" ca="1" si="3"/>
        <v>0</v>
      </c>
      <c r="P22" s="11" t="b">
        <f t="shared" si="0"/>
        <v>1</v>
      </c>
      <c r="Q22" s="31" t="b">
        <f t="shared" ca="1" si="2"/>
        <v>1</v>
      </c>
      <c r="R22" s="15"/>
      <c r="S22" s="15"/>
      <c r="T22" s="16"/>
      <c r="U22" s="16"/>
      <c r="V22" s="16"/>
      <c r="W22" s="16"/>
      <c r="X22" s="16"/>
    </row>
    <row r="23" spans="1:24" s="17" customFormat="1" ht="39.950000000000003" customHeight="1" thickBot="1" x14ac:dyDescent="0.3">
      <c r="A23" s="71" t="s">
        <v>39</v>
      </c>
      <c r="B23" s="72">
        <f>B15+B19</f>
        <v>5</v>
      </c>
      <c r="C23" s="73">
        <f t="shared" ref="C23:O23" si="4">C15+C19</f>
        <v>25778460.520000003</v>
      </c>
      <c r="D23" s="74">
        <f t="shared" si="4"/>
        <v>9130182.3399999999</v>
      </c>
      <c r="E23" s="68">
        <f>E15+E19</f>
        <v>16648278.18</v>
      </c>
      <c r="F23" s="75">
        <f t="shared" si="4"/>
        <v>0</v>
      </c>
      <c r="G23" s="73">
        <f>G15+G19</f>
        <v>0</v>
      </c>
      <c r="H23" s="73">
        <f>H15+H19</f>
        <v>10634487.23</v>
      </c>
      <c r="I23" s="73">
        <f t="shared" si="4"/>
        <v>6013790.9500000002</v>
      </c>
      <c r="J23" s="73">
        <f t="shared" si="4"/>
        <v>0</v>
      </c>
      <c r="K23" s="73">
        <f t="shared" si="4"/>
        <v>0</v>
      </c>
      <c r="L23" s="73">
        <f t="shared" si="4"/>
        <v>0</v>
      </c>
      <c r="M23" s="73">
        <f t="shared" si="4"/>
        <v>0</v>
      </c>
      <c r="N23" s="73">
        <f t="shared" si="4"/>
        <v>0</v>
      </c>
      <c r="O23" s="73">
        <f t="shared" ca="1" si="4"/>
        <v>0</v>
      </c>
      <c r="P23" s="11" t="b">
        <f>C23=(D23+E23)</f>
        <v>1</v>
      </c>
      <c r="Q23" s="31" t="b">
        <f t="shared" ca="1" si="2"/>
        <v>1</v>
      </c>
      <c r="R23" s="15"/>
      <c r="S23" s="15"/>
      <c r="T23" s="16"/>
      <c r="U23" s="16"/>
      <c r="V23" s="16"/>
      <c r="W23" s="16"/>
      <c r="X23" s="16"/>
    </row>
    <row r="24" spans="1:24" ht="39.950000000000003" customHeight="1" thickTop="1" x14ac:dyDescent="0.25">
      <c r="A24" s="59" t="s">
        <v>2</v>
      </c>
      <c r="B24" s="60">
        <f>COUNTA('pow rez'!H3:H6)</f>
        <v>0</v>
      </c>
      <c r="C24" s="61">
        <f>SUM('pow rez'!J3:J6)</f>
        <v>0</v>
      </c>
      <c r="D24" s="62">
        <f>SUM('pow rez'!L3:L6)</f>
        <v>0</v>
      </c>
      <c r="E24" s="63">
        <f>SUM('pow rez'!K3:K6)</f>
        <v>0</v>
      </c>
      <c r="F24" s="64">
        <f>SUM('pow rez'!N3:N6)</f>
        <v>0</v>
      </c>
      <c r="G24" s="64">
        <f>SUM('pow rez'!O3:O6)</f>
        <v>0</v>
      </c>
      <c r="H24" s="64">
        <f>SUM('pow rez'!P3:P6)</f>
        <v>0</v>
      </c>
      <c r="I24" s="64">
        <f>SUM('pow rez'!Q3:Q6)</f>
        <v>0</v>
      </c>
      <c r="J24" s="64">
        <f>SUM('pow rez'!R3:R6)</f>
        <v>0</v>
      </c>
      <c r="K24" s="64">
        <f>SUM('pow rez'!S3:S6)</f>
        <v>0</v>
      </c>
      <c r="L24" s="64">
        <f>SUM('pow rez'!T3:T6)</f>
        <v>0</v>
      </c>
      <c r="M24" s="64">
        <f>SUM('pow rez'!U3:U6)</f>
        <v>0</v>
      </c>
      <c r="N24" s="64">
        <f>SUM('pow rez'!V3:V6)</f>
        <v>0</v>
      </c>
      <c r="O24" s="64">
        <f>SUM('pow rez'!W3:W6)</f>
        <v>0</v>
      </c>
      <c r="P24" s="11" t="b">
        <f t="shared" ref="P24:P35" si="5">C24=(D24+E24)</f>
        <v>1</v>
      </c>
      <c r="Q24" s="31" t="b">
        <f t="shared" ref="Q24:Q35" si="6">E24=SUM(F24:O24)</f>
        <v>1</v>
      </c>
      <c r="R24" s="12"/>
      <c r="S24" s="12"/>
      <c r="T24" s="13"/>
      <c r="U24" s="13"/>
      <c r="V24" s="13"/>
      <c r="W24" s="13"/>
      <c r="X24" s="13"/>
    </row>
    <row r="25" spans="1:24" ht="39.950000000000003" customHeight="1" x14ac:dyDescent="0.25">
      <c r="A25" s="66" t="s">
        <v>38</v>
      </c>
      <c r="B25" s="103">
        <f>COUNTIF('pow rez'!C3:C6,"N")</f>
        <v>0</v>
      </c>
      <c r="C25" s="104">
        <f>SUMIF('pow rez'!C3:C6,"N",'pow rez'!J3:J6)</f>
        <v>0</v>
      </c>
      <c r="D25" s="105">
        <f>SUMIF('pow rez'!C3:C6,"N",'pow rez'!L3:L6)</f>
        <v>0</v>
      </c>
      <c r="E25" s="36">
        <f>SUMIF('pow rez'!C3:C6,"N",'pow rez'!K3:K6)</f>
        <v>0</v>
      </c>
      <c r="F25" s="110">
        <f>SUMIF('pow rez'!C3:C5,"N",'pow rez'!N3:N5)</f>
        <v>0</v>
      </c>
      <c r="G25" s="110">
        <f>SUMIF('pow rez'!C3:C5,"N",'pow rez'!O3:O5)</f>
        <v>0</v>
      </c>
      <c r="H25" s="110">
        <f>SUMIF('pow rez'!C3:C6,"N",'pow rez'!P3:P6)</f>
        <v>0</v>
      </c>
      <c r="I25" s="110">
        <f>SUMIF('pow rez'!C3:C6,"N",'pow rez'!Q3:Q6)</f>
        <v>0</v>
      </c>
      <c r="J25" s="110">
        <f>SUMIF('pow rez'!C3:C6,"N",'pow rez'!R3:R6)</f>
        <v>0</v>
      </c>
      <c r="K25" s="110">
        <f>SUMIF('pow rez'!C3:C6,"N",'pow rez'!S3:S6)</f>
        <v>0</v>
      </c>
      <c r="L25" s="110">
        <f>SUMIF('pow rez'!C3:C6,"N",'pow rez'!T3:T6)</f>
        <v>0</v>
      </c>
      <c r="M25" s="110">
        <f>SUMIF('pow rez'!C3:C6,"N",'pow rez'!U3:U6)</f>
        <v>0</v>
      </c>
      <c r="N25" s="110">
        <f>SUMIF('pow rez'!C3:C6,"N",'pow rez'!V3:V6)</f>
        <v>0</v>
      </c>
      <c r="O25" s="110">
        <f>SUMIF('pow rez'!C3:C6,"N",'pow rez'!W3:W6)</f>
        <v>0</v>
      </c>
      <c r="P25" s="11" t="b">
        <f t="shared" si="5"/>
        <v>1</v>
      </c>
      <c r="Q25" s="31" t="b">
        <f t="shared" si="6"/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Bot="1" x14ac:dyDescent="0.3">
      <c r="A26" s="67" t="s">
        <v>39</v>
      </c>
      <c r="B26" s="106">
        <f>COUNTIF('pow rez'!C3:C6,"W")</f>
        <v>0</v>
      </c>
      <c r="C26" s="107">
        <f>SUMIF('pow rez'!C3:C6,"W",'pow rez'!J3:J6)</f>
        <v>0</v>
      </c>
      <c r="D26" s="108">
        <f>SUMIF('pow rez'!C3:C6,"W",'pow rez'!L3:L6)</f>
        <v>0</v>
      </c>
      <c r="E26" s="68">
        <f>SUMIF('pow rez'!C3:C6,"W",'pow rez'!K3:K6)</f>
        <v>0</v>
      </c>
      <c r="F26" s="111">
        <f>SUMIF('pow rez'!C3:C6,"W",'pow rez'!N3:N6)</f>
        <v>0</v>
      </c>
      <c r="G26" s="111">
        <f>SUMIF('pow rez'!C3:C6,"W",'pow rez'!O3:O6)</f>
        <v>0</v>
      </c>
      <c r="H26" s="111">
        <f>SUMIF('pow rez'!C3:C6,"W",'pow rez'!P3:P6)</f>
        <v>0</v>
      </c>
      <c r="I26" s="111">
        <f>SUMIF('pow rez'!C3:C6,"W",'pow rez'!Q3:Q6)</f>
        <v>0</v>
      </c>
      <c r="J26" s="111">
        <f>SUMIF('pow rez'!C3:C6,"W",'pow rez'!R3:R6)</f>
        <v>0</v>
      </c>
      <c r="K26" s="111">
        <f>SUMIF('pow rez'!C3:C6,"W",'pow rez'!S3:S6)</f>
        <v>0</v>
      </c>
      <c r="L26" s="111">
        <f>SUMIF('pow rez'!C3:C6,"W",'pow rez'!T3:T6)</f>
        <v>0</v>
      </c>
      <c r="M26" s="111">
        <f>SUMIF('pow rez'!C3:C6,"W",'pow rez'!U3:U6)</f>
        <v>0</v>
      </c>
      <c r="N26" s="111">
        <f>SUMIF('pow rez'!C3:C6,"W",'pow rez'!V3:V6)</f>
        <v>0</v>
      </c>
      <c r="O26" s="111">
        <f>SUMIF('pow rez'!C3:C6,"W",'pow rez'!W3:W6)</f>
        <v>0</v>
      </c>
      <c r="P26" s="11" t="b">
        <f t="shared" si="5"/>
        <v>1</v>
      </c>
      <c r="Q26" s="31" t="b">
        <f t="shared" si="6"/>
        <v>1</v>
      </c>
      <c r="R26" s="12"/>
      <c r="S26" s="12"/>
      <c r="T26" s="13"/>
      <c r="U26" s="13"/>
      <c r="V26" s="13"/>
      <c r="W26" s="13"/>
      <c r="X26" s="13"/>
    </row>
    <row r="27" spans="1:24" ht="39.950000000000003" customHeight="1" thickTop="1" x14ac:dyDescent="0.25">
      <c r="A27" s="59" t="s">
        <v>3</v>
      </c>
      <c r="B27" s="60">
        <f>COUNTA('gm rez'!I3:I22)</f>
        <v>2</v>
      </c>
      <c r="C27" s="61">
        <f>SUM('gm rez'!K3:K22)</f>
        <v>3418337.63</v>
      </c>
      <c r="D27" s="62">
        <f>SUM('gm rez'!M3:M22)</f>
        <v>1025501.2799999998</v>
      </c>
      <c r="E27" s="63">
        <f>SUM('gm rez'!L3:L22)</f>
        <v>2392836.35</v>
      </c>
      <c r="F27" s="64">
        <f>SUM('gm rez'!O3:O22)</f>
        <v>0</v>
      </c>
      <c r="G27" s="61">
        <f>SUM('gm rez'!P3:P22)</f>
        <v>0</v>
      </c>
      <c r="H27" s="61">
        <f>SUM('gm rez'!Q3:Q22)</f>
        <v>2392836.35</v>
      </c>
      <c r="I27" s="61">
        <f>SUM('gm rez'!R3:R22)</f>
        <v>0</v>
      </c>
      <c r="J27" s="61">
        <f>SUM('gm rez'!S3:S22)</f>
        <v>0</v>
      </c>
      <c r="K27" s="61">
        <f>SUM('gm rez'!T3:T22)</f>
        <v>0</v>
      </c>
      <c r="L27" s="61">
        <f>SUM('gm rez'!U3:U22)</f>
        <v>0</v>
      </c>
      <c r="M27" s="61">
        <f>SUM('gm rez'!V3:V22)</f>
        <v>0</v>
      </c>
      <c r="N27" s="61">
        <f>SUM('gm rez'!W3:W22)</f>
        <v>0</v>
      </c>
      <c r="O27" s="61">
        <f>SUM('gm rez'!X3:X22)</f>
        <v>0</v>
      </c>
      <c r="P27" s="11" t="b">
        <f t="shared" si="5"/>
        <v>1</v>
      </c>
      <c r="Q27" s="31" t="b">
        <f t="shared" si="6"/>
        <v>1</v>
      </c>
      <c r="R27" s="18"/>
      <c r="S27" s="18"/>
      <c r="T27" s="19"/>
      <c r="U27" s="19"/>
      <c r="V27" s="14"/>
      <c r="W27" s="7"/>
      <c r="X27" s="7"/>
    </row>
    <row r="28" spans="1:24" ht="39.950000000000003" customHeight="1" x14ac:dyDescent="0.25">
      <c r="A28" s="66" t="s">
        <v>38</v>
      </c>
      <c r="B28" s="103">
        <f>COUNTIF('gm rez'!C3:C22,"N")</f>
        <v>2</v>
      </c>
      <c r="C28" s="104">
        <f>SUMIF('gm rez'!C3:C22,"N",'gm rez'!K3:K22)</f>
        <v>3418337.63</v>
      </c>
      <c r="D28" s="105">
        <f>SUMIF('gm rez'!C3:C22,"N",'gm rez'!M3:M22)</f>
        <v>1025501.2799999998</v>
      </c>
      <c r="E28" s="36">
        <f>SUMIF('gm rez'!C3:C22,"N",'gm rez'!L3:L22)</f>
        <v>2392836.35</v>
      </c>
      <c r="F28" s="110">
        <f>SUMIF('gm rez'!C3:C22,"N",'gm rez'!O3:O22)</f>
        <v>0</v>
      </c>
      <c r="G28" s="104">
        <f>SUMIF('gm rez'!C3:C22,"N",'gm rez'!P3:P22)</f>
        <v>0</v>
      </c>
      <c r="H28" s="104">
        <f>SUMIF('gm rez'!C3:C22,"N",'gm rez'!Q3:Q22)</f>
        <v>2392836.35</v>
      </c>
      <c r="I28" s="104">
        <f>SUMIF('gm rez'!C3:C22,"N",'gm rez'!R3:R22)</f>
        <v>0</v>
      </c>
      <c r="J28" s="104">
        <f>SUMIF('gm rez'!C3:C22,"N",'gm rez'!S3:S22)</f>
        <v>0</v>
      </c>
      <c r="K28" s="104">
        <f>SUMIF('gm rez'!C3:C22,"N",'gm rez'!T3:T22)</f>
        <v>0</v>
      </c>
      <c r="L28" s="104">
        <f>SUMIF('gm rez'!C3:C22,"N",'gm rez'!U3:U22)</f>
        <v>0</v>
      </c>
      <c r="M28" s="104">
        <f>SUMIF('gm rez'!C3:C22,"N",'gm rez'!V3:V22)</f>
        <v>0</v>
      </c>
      <c r="N28" s="104">
        <f>SUMIF('gm rez'!C3:C22,"N",'gm rez'!W3:W22)</f>
        <v>0</v>
      </c>
      <c r="O28" s="104">
        <f>SUMIF('gm rez'!C3:C22,"N",'gm rez'!X3:X22)</f>
        <v>0</v>
      </c>
      <c r="P28" s="11" t="b">
        <f t="shared" si="5"/>
        <v>1</v>
      </c>
      <c r="Q28" s="31" t="b">
        <f t="shared" si="6"/>
        <v>1</v>
      </c>
      <c r="R28" s="18"/>
      <c r="S28" s="18"/>
      <c r="T28" s="19"/>
      <c r="U28" s="19"/>
      <c r="V28" s="14"/>
      <c r="W28" s="7"/>
      <c r="X28" s="7"/>
    </row>
    <row r="29" spans="1:24" ht="39.950000000000003" customHeight="1" thickBot="1" x14ac:dyDescent="0.3">
      <c r="A29" s="67" t="s">
        <v>39</v>
      </c>
      <c r="B29" s="106">
        <f>COUNTIF('gm rez'!C3:C22,"W")</f>
        <v>0</v>
      </c>
      <c r="C29" s="107">
        <f>SUMIF('gm rez'!C3:C22,"W",'gm rez'!K3:K22)</f>
        <v>0</v>
      </c>
      <c r="D29" s="108">
        <f>SUMIF('gm rez'!C3:C22,"W",'gm rez'!M3:M22)</f>
        <v>0</v>
      </c>
      <c r="E29" s="68">
        <f>SUMIF('gm rez'!C3:C22,"W",'gm rez'!L3:L22)</f>
        <v>0</v>
      </c>
      <c r="F29" s="111">
        <f>SUMIF('gm rez'!C3:C22,"W",'gm rez'!O3:O22)</f>
        <v>0</v>
      </c>
      <c r="G29" s="107">
        <f>SUMIF('gm rez'!C3:C22,"W",'gm rez'!P3:P22)</f>
        <v>0</v>
      </c>
      <c r="H29" s="107">
        <f>SUMIF('gm rez'!C3:C22,"W",'gm rez'!Q3:Q22)</f>
        <v>0</v>
      </c>
      <c r="I29" s="107">
        <f>SUMIF('gm rez'!C3:C22,"W",'gm rez'!R3:R22)</f>
        <v>0</v>
      </c>
      <c r="J29" s="107">
        <f>SUMIF('gm rez'!C3:C22,"W",'gm rez'!S3:S22)</f>
        <v>0</v>
      </c>
      <c r="K29" s="107">
        <f>SUMIF('gm rez'!C3:C22,"W",'gm rez'!T3:T22)</f>
        <v>0</v>
      </c>
      <c r="L29" s="107">
        <f>SUMIF('gm rez'!C3:C22,"W",'gm rez'!U3:U22)</f>
        <v>0</v>
      </c>
      <c r="M29" s="107">
        <f>SUMIF('gm rez'!C3:C22,"W",'gm rez'!V3:V22)</f>
        <v>0</v>
      </c>
      <c r="N29" s="107">
        <f>SUMIF('gm rez'!C3:C22,"W",'gm rez'!W3:W22)</f>
        <v>0</v>
      </c>
      <c r="O29" s="107">
        <f>SUMIF('gm rez'!C3:C22,"W",'gm rez'!X3:X22)</f>
        <v>0</v>
      </c>
      <c r="P29" s="11" t="b">
        <f t="shared" si="5"/>
        <v>1</v>
      </c>
      <c r="Q29" s="31" t="b">
        <f t="shared" si="6"/>
        <v>1</v>
      </c>
      <c r="R29" s="18"/>
      <c r="S29" s="18"/>
      <c r="T29" s="19"/>
      <c r="U29" s="19"/>
      <c r="V29" s="14"/>
      <c r="W29" s="7"/>
      <c r="X29" s="7"/>
    </row>
    <row r="30" spans="1:24" ht="39.950000000000003" customHeight="1" thickTop="1" x14ac:dyDescent="0.25">
      <c r="A30" s="76" t="s">
        <v>22</v>
      </c>
      <c r="B30" s="77">
        <f>B24+B27</f>
        <v>2</v>
      </c>
      <c r="C30" s="78">
        <f>C24+C27</f>
        <v>3418337.63</v>
      </c>
      <c r="D30" s="79">
        <f t="shared" ref="D30:O30" si="7">D24+D27</f>
        <v>1025501.2799999998</v>
      </c>
      <c r="E30" s="58">
        <f t="shared" si="7"/>
        <v>2392836.35</v>
      </c>
      <c r="F30" s="80">
        <f t="shared" si="7"/>
        <v>0</v>
      </c>
      <c r="G30" s="78">
        <f t="shared" si="7"/>
        <v>0</v>
      </c>
      <c r="H30" s="78">
        <f t="shared" si="7"/>
        <v>2392836.35</v>
      </c>
      <c r="I30" s="78">
        <f t="shared" si="7"/>
        <v>0</v>
      </c>
      <c r="J30" s="78">
        <f t="shared" si="7"/>
        <v>0</v>
      </c>
      <c r="K30" s="78">
        <f t="shared" si="7"/>
        <v>0</v>
      </c>
      <c r="L30" s="78">
        <f t="shared" si="7"/>
        <v>0</v>
      </c>
      <c r="M30" s="78">
        <f t="shared" si="7"/>
        <v>0</v>
      </c>
      <c r="N30" s="78">
        <f t="shared" si="7"/>
        <v>0</v>
      </c>
      <c r="O30" s="81">
        <f t="shared" si="7"/>
        <v>0</v>
      </c>
      <c r="P30" s="11" t="b">
        <f t="shared" si="5"/>
        <v>1</v>
      </c>
      <c r="Q30" s="31" t="b">
        <f t="shared" si="6"/>
        <v>1</v>
      </c>
      <c r="R30" s="20"/>
      <c r="S30" s="20"/>
      <c r="T30" s="2"/>
      <c r="U30" s="2"/>
    </row>
    <row r="31" spans="1:24" ht="39.950000000000003" customHeight="1" x14ac:dyDescent="0.25">
      <c r="A31" s="46" t="s">
        <v>38</v>
      </c>
      <c r="B31" s="44">
        <f t="shared" ref="B31:O31" si="8">B25+B28</f>
        <v>2</v>
      </c>
      <c r="C31" s="39">
        <f t="shared" si="8"/>
        <v>3418337.63</v>
      </c>
      <c r="D31" s="49">
        <f t="shared" si="8"/>
        <v>1025501.2799999998</v>
      </c>
      <c r="E31" s="36">
        <f t="shared" si="8"/>
        <v>2392836.35</v>
      </c>
      <c r="F31" s="52">
        <f t="shared" si="8"/>
        <v>0</v>
      </c>
      <c r="G31" s="39">
        <f t="shared" si="8"/>
        <v>0</v>
      </c>
      <c r="H31" s="39">
        <f t="shared" si="8"/>
        <v>2392836.35</v>
      </c>
      <c r="I31" s="39">
        <f t="shared" si="8"/>
        <v>0</v>
      </c>
      <c r="J31" s="39">
        <f t="shared" si="8"/>
        <v>0</v>
      </c>
      <c r="K31" s="39">
        <f t="shared" si="8"/>
        <v>0</v>
      </c>
      <c r="L31" s="39">
        <f t="shared" si="8"/>
        <v>0</v>
      </c>
      <c r="M31" s="39">
        <f t="shared" si="8"/>
        <v>0</v>
      </c>
      <c r="N31" s="39">
        <f t="shared" si="8"/>
        <v>0</v>
      </c>
      <c r="O31" s="41">
        <f t="shared" si="8"/>
        <v>0</v>
      </c>
      <c r="P31" s="11" t="b">
        <f t="shared" si="5"/>
        <v>1</v>
      </c>
      <c r="Q31" s="31" t="b">
        <f t="shared" si="6"/>
        <v>1</v>
      </c>
      <c r="R31" s="20"/>
      <c r="S31" s="20"/>
      <c r="T31" s="2"/>
      <c r="U31" s="2"/>
    </row>
    <row r="32" spans="1:24" ht="39.950000000000003" customHeight="1" thickBot="1" x14ac:dyDescent="0.3">
      <c r="A32" s="82" t="s">
        <v>39</v>
      </c>
      <c r="B32" s="83">
        <f t="shared" ref="B32:O32" si="9">B26+B29</f>
        <v>0</v>
      </c>
      <c r="C32" s="84">
        <f t="shared" si="9"/>
        <v>0</v>
      </c>
      <c r="D32" s="85">
        <f t="shared" si="9"/>
        <v>0</v>
      </c>
      <c r="E32" s="86">
        <f t="shared" si="9"/>
        <v>0</v>
      </c>
      <c r="F32" s="87">
        <f t="shared" si="9"/>
        <v>0</v>
      </c>
      <c r="G32" s="84">
        <f t="shared" si="9"/>
        <v>0</v>
      </c>
      <c r="H32" s="84">
        <f t="shared" si="9"/>
        <v>0</v>
      </c>
      <c r="I32" s="84">
        <f t="shared" si="9"/>
        <v>0</v>
      </c>
      <c r="J32" s="84">
        <f t="shared" si="9"/>
        <v>0</v>
      </c>
      <c r="K32" s="84">
        <f t="shared" si="9"/>
        <v>0</v>
      </c>
      <c r="L32" s="84">
        <f t="shared" si="9"/>
        <v>0</v>
      </c>
      <c r="M32" s="84">
        <f t="shared" si="9"/>
        <v>0</v>
      </c>
      <c r="N32" s="84">
        <f t="shared" si="9"/>
        <v>0</v>
      </c>
      <c r="O32" s="88">
        <f t="shared" si="9"/>
        <v>0</v>
      </c>
      <c r="P32" s="11" t="b">
        <f t="shared" si="5"/>
        <v>1</v>
      </c>
      <c r="Q32" s="31" t="b">
        <f t="shared" si="6"/>
        <v>1</v>
      </c>
      <c r="R32" s="20"/>
      <c r="S32" s="20"/>
      <c r="T32" s="2"/>
      <c r="U32" s="2"/>
    </row>
    <row r="33" spans="1:21" ht="39.950000000000003" customHeight="1" thickTop="1" x14ac:dyDescent="0.25">
      <c r="A33" s="89" t="s">
        <v>33</v>
      </c>
      <c r="B33" s="90">
        <f>B20+B30</f>
        <v>88</v>
      </c>
      <c r="C33" s="91">
        <f>C20+C30</f>
        <v>138930107.63</v>
      </c>
      <c r="D33" s="92">
        <f t="shared" ref="D33:O33" si="10">D20+D30</f>
        <v>53837366.729999989</v>
      </c>
      <c r="E33" s="93">
        <f>E20+E30</f>
        <v>85092740.900000036</v>
      </c>
      <c r="F33" s="94">
        <f>F20+F30</f>
        <v>5851981.6699999999</v>
      </c>
      <c r="G33" s="124">
        <f>G20+G30</f>
        <v>12807002.709999999</v>
      </c>
      <c r="H33" s="124">
        <f>H20+H30</f>
        <v>60419965.570000008</v>
      </c>
      <c r="I33" s="124">
        <f>I20+I30</f>
        <v>6013790.9500000002</v>
      </c>
      <c r="J33" s="91">
        <f t="shared" si="10"/>
        <v>0</v>
      </c>
      <c r="K33" s="91">
        <f t="shared" si="10"/>
        <v>0</v>
      </c>
      <c r="L33" s="91">
        <f t="shared" si="10"/>
        <v>0</v>
      </c>
      <c r="M33" s="91">
        <f t="shared" si="10"/>
        <v>0</v>
      </c>
      <c r="N33" s="91">
        <f t="shared" si="10"/>
        <v>0</v>
      </c>
      <c r="O33" s="95">
        <f t="shared" si="10"/>
        <v>0</v>
      </c>
      <c r="P33" s="11" t="b">
        <f t="shared" si="5"/>
        <v>1</v>
      </c>
      <c r="Q33" s="31" t="b">
        <f t="shared" si="6"/>
        <v>1</v>
      </c>
      <c r="R33" s="20"/>
      <c r="S33" s="20"/>
      <c r="T33" s="2"/>
      <c r="U33" s="2"/>
    </row>
    <row r="34" spans="1:21" ht="39.950000000000003" customHeight="1" x14ac:dyDescent="0.25">
      <c r="A34" s="96" t="s">
        <v>38</v>
      </c>
      <c r="B34" s="45">
        <f t="shared" ref="B34:F35" si="11">B22+B31</f>
        <v>79</v>
      </c>
      <c r="C34" s="123">
        <f t="shared" si="11"/>
        <v>79463239.730000004</v>
      </c>
      <c r="D34" s="123">
        <f t="shared" si="11"/>
        <v>32492223.030000001</v>
      </c>
      <c r="E34" s="54">
        <f t="shared" si="11"/>
        <v>46971016.699999996</v>
      </c>
      <c r="F34" s="53">
        <f t="shared" si="11"/>
        <v>0</v>
      </c>
      <c r="G34" s="123">
        <f t="shared" ref="G34:O34" si="12">G22+G31</f>
        <v>0</v>
      </c>
      <c r="H34" s="123">
        <f t="shared" si="12"/>
        <v>46971016.699999996</v>
      </c>
      <c r="I34" s="123">
        <f t="shared" si="12"/>
        <v>0</v>
      </c>
      <c r="J34" s="123">
        <f t="shared" si="12"/>
        <v>0</v>
      </c>
      <c r="K34" s="123">
        <f t="shared" si="12"/>
        <v>0</v>
      </c>
      <c r="L34" s="123">
        <f t="shared" si="12"/>
        <v>0</v>
      </c>
      <c r="M34" s="123">
        <f t="shared" si="12"/>
        <v>0</v>
      </c>
      <c r="N34" s="123">
        <f t="shared" si="12"/>
        <v>0</v>
      </c>
      <c r="O34" s="123">
        <f t="shared" ca="1" si="12"/>
        <v>0</v>
      </c>
      <c r="P34" s="11" t="b">
        <f t="shared" si="5"/>
        <v>1</v>
      </c>
      <c r="Q34" s="31" t="b">
        <f t="shared" ca="1" si="6"/>
        <v>1</v>
      </c>
      <c r="R34" s="20"/>
      <c r="S34" s="20"/>
      <c r="T34" s="2"/>
      <c r="U34" s="2"/>
    </row>
    <row r="35" spans="1:21" ht="39.950000000000003" customHeight="1" thickBot="1" x14ac:dyDescent="0.3">
      <c r="A35" s="97" t="s">
        <v>39</v>
      </c>
      <c r="B35" s="98">
        <f t="shared" si="11"/>
        <v>5</v>
      </c>
      <c r="C35" s="125">
        <f t="shared" si="11"/>
        <v>25778460.520000003</v>
      </c>
      <c r="D35" s="125">
        <f t="shared" si="11"/>
        <v>9130182.3399999999</v>
      </c>
      <c r="E35" s="68">
        <f t="shared" si="11"/>
        <v>16648278.18</v>
      </c>
      <c r="F35" s="99">
        <f t="shared" si="11"/>
        <v>0</v>
      </c>
      <c r="G35" s="125">
        <f t="shared" ref="G35:O35" si="13">G23+G32</f>
        <v>0</v>
      </c>
      <c r="H35" s="125">
        <f t="shared" si="13"/>
        <v>10634487.23</v>
      </c>
      <c r="I35" s="125">
        <f t="shared" si="13"/>
        <v>6013790.9500000002</v>
      </c>
      <c r="J35" s="125">
        <f t="shared" si="13"/>
        <v>0</v>
      </c>
      <c r="K35" s="125">
        <f t="shared" si="13"/>
        <v>0</v>
      </c>
      <c r="L35" s="125">
        <f t="shared" si="13"/>
        <v>0</v>
      </c>
      <c r="M35" s="125">
        <f t="shared" si="13"/>
        <v>0</v>
      </c>
      <c r="N35" s="125">
        <f t="shared" si="13"/>
        <v>0</v>
      </c>
      <c r="O35" s="125">
        <f t="shared" ca="1" si="13"/>
        <v>0</v>
      </c>
      <c r="P35" s="11" t="b">
        <f t="shared" si="5"/>
        <v>1</v>
      </c>
      <c r="Q35" s="31" t="b">
        <f t="shared" ca="1" si="6"/>
        <v>1</v>
      </c>
      <c r="R35" s="20"/>
      <c r="S35" s="20"/>
      <c r="T35" s="2"/>
      <c r="U35" s="2"/>
    </row>
    <row r="36" spans="1:21" ht="15.75" thickTop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  <c r="S36" s="20"/>
      <c r="T36" s="2"/>
      <c r="U36" s="2"/>
    </row>
    <row r="37" spans="1:2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  <c r="S37" s="20"/>
      <c r="T37" s="2"/>
      <c r="U37" s="2"/>
    </row>
    <row r="38" spans="1:2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  <c r="S38" s="20"/>
      <c r="T38" s="2"/>
      <c r="U38" s="2"/>
    </row>
    <row r="39" spans="1:2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  <c r="S39" s="20"/>
      <c r="T39" s="2"/>
      <c r="U39" s="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"/>
      <c r="S40" s="2"/>
      <c r="T40" s="2"/>
      <c r="U40" s="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"/>
      <c r="S41" s="2"/>
      <c r="T41" s="2"/>
      <c r="U41" s="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"/>
      <c r="S42" s="2"/>
      <c r="T42" s="2"/>
      <c r="U42" s="2"/>
    </row>
  </sheetData>
  <customSheetViews>
    <customSheetView guid="{B2D40DA4-5FA0-499A-A7D1-4F99A3F826AC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5" orientation="landscape" r:id="rId1"/>
      <headerFooter>
        <oddHeader>&amp;LWojewództwo &amp;K000000Opolskie</oddHeader>
      </headerFooter>
    </customSheetView>
    <customSheetView guid="{90AAACFD-C45E-4B79-9ECD-2C756BD997B3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4" orientation="landscape" r:id="rId2"/>
      <headerFooter>
        <oddHeader>&amp;LWojewództwo &amp;K000000Opolskie</oddHeader>
      </headerFooter>
    </customSheetView>
    <customSheetView guid="{7BB0DA2A-E6EC-4283-8DAA-56DD15906E8E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5" orientation="landscape" r:id="rId3"/>
      <headerFooter>
        <oddHeader>&amp;LWojewództwo &amp;K000000Opolskie</oddHeader>
      </headerFooter>
    </customSheetView>
    <customSheetView guid="{A2BCF76A-36CA-47CC-AE0E-554D5E4069A6}" showPageBreaks="1" fitToPage="1" printArea="1" view="pageBreakPreview">
      <selection activeCell="D6" sqref="D6"/>
      <pageMargins left="0.70866141732283472" right="0.70866141732283472" top="0.74803149606299213" bottom="0.74803149606299213" header="0.31496062992125984" footer="0.31496062992125984"/>
      <pageSetup paperSize="8" scale="64" orientation="landscape" r:id="rId4"/>
      <headerFooter>
        <oddHeader>&amp;LWojewództwo &amp;K000000Opolskie</oddHeader>
      </headerFooter>
    </customSheetView>
  </customSheetViews>
  <mergeCells count="9">
    <mergeCell ref="G1:H1"/>
    <mergeCell ref="F2:N6"/>
    <mergeCell ref="F7:N7"/>
    <mergeCell ref="A10:A11"/>
    <mergeCell ref="B10:B11"/>
    <mergeCell ref="C10:C11"/>
    <mergeCell ref="D10:D11"/>
    <mergeCell ref="E10:E11"/>
    <mergeCell ref="F10:O10"/>
  </mergeCells>
  <pageMargins left="0.70866141732283472" right="0.70866141732283472" top="0.74803149606299213" bottom="0.74803149606299213" header="0.31496062992125984" footer="0.31496062992125984"/>
  <pageSetup paperSize="8" scale="65" orientation="landscape" r:id="rId5"/>
  <headerFooter>
    <oddHeader>&amp;LWojewództwo &amp;K000000Opolskie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G38"/>
  <sheetViews>
    <sheetView showGridLines="0" tabSelected="1" view="pageBreakPreview" zoomScale="90" zoomScaleNormal="78" zoomScaleSheetLayoutView="90" workbookViewId="0">
      <selection activeCell="F7" sqref="F7"/>
    </sheetView>
  </sheetViews>
  <sheetFormatPr defaultColWidth="9.140625" defaultRowHeight="15" x14ac:dyDescent="0.25"/>
  <cols>
    <col min="1" max="1" width="9.7109375" style="3" customWidth="1"/>
    <col min="2" max="5" width="15.5703125" style="3" customWidth="1"/>
    <col min="6" max="6" width="54.7109375" style="3" bestFit="1" customWidth="1"/>
    <col min="7" max="7" width="13" style="3" bestFit="1" customWidth="1"/>
    <col min="8" max="8" width="15" style="3" customWidth="1"/>
    <col min="9" max="9" width="20.42578125" style="3" bestFit="1" customWidth="1"/>
    <col min="10" max="10" width="18.140625" style="331" customWidth="1"/>
    <col min="11" max="11" width="15.42578125" style="17" customWidth="1"/>
    <col min="12" max="12" width="18.5703125" style="17" customWidth="1"/>
    <col min="13" max="14" width="15.5703125" style="1" customWidth="1"/>
    <col min="15" max="23" width="15.5703125" style="3" customWidth="1"/>
    <col min="24" max="24" width="15.5703125" style="314" customWidth="1"/>
    <col min="25" max="26" width="15.7109375" style="313" customWidth="1"/>
    <col min="27" max="27" width="15.7109375" style="314" customWidth="1"/>
    <col min="28" max="29" width="9.140625" style="2"/>
    <col min="30" max="30" width="11.7109375" style="2" bestFit="1" customWidth="1"/>
    <col min="31" max="41" width="9.140625" style="2"/>
    <col min="42" max="16384" width="9.140625" style="3"/>
  </cols>
  <sheetData>
    <row r="1" spans="1:163" ht="20.100000000000001" customHeight="1" x14ac:dyDescent="0.25">
      <c r="A1" s="418" t="s">
        <v>4</v>
      </c>
      <c r="B1" s="418" t="s">
        <v>5</v>
      </c>
      <c r="C1" s="427" t="s">
        <v>43</v>
      </c>
      <c r="D1" s="423" t="s">
        <v>6</v>
      </c>
      <c r="E1" s="423" t="s">
        <v>31</v>
      </c>
      <c r="F1" s="423" t="s">
        <v>7</v>
      </c>
      <c r="G1" s="418" t="s">
        <v>26</v>
      </c>
      <c r="H1" s="418" t="s">
        <v>254</v>
      </c>
      <c r="I1" s="418" t="s">
        <v>23</v>
      </c>
      <c r="J1" s="419" t="s">
        <v>8</v>
      </c>
      <c r="K1" s="418" t="s">
        <v>15</v>
      </c>
      <c r="L1" s="423" t="s">
        <v>12</v>
      </c>
      <c r="M1" s="418" t="s">
        <v>10</v>
      </c>
      <c r="N1" s="420" t="s">
        <v>11</v>
      </c>
      <c r="O1" s="421"/>
      <c r="P1" s="421"/>
      <c r="Q1" s="421"/>
      <c r="R1" s="421"/>
      <c r="S1" s="421"/>
      <c r="T1" s="421"/>
      <c r="U1" s="421"/>
      <c r="V1" s="421"/>
      <c r="W1" s="422"/>
      <c r="X1" s="313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pans="1:163" ht="49.5" customHeight="1" x14ac:dyDescent="0.25">
      <c r="A2" s="418"/>
      <c r="B2" s="418"/>
      <c r="C2" s="428"/>
      <c r="D2" s="424"/>
      <c r="E2" s="424"/>
      <c r="F2" s="424"/>
      <c r="G2" s="418"/>
      <c r="H2" s="418"/>
      <c r="I2" s="418"/>
      <c r="J2" s="419"/>
      <c r="K2" s="418"/>
      <c r="L2" s="424"/>
      <c r="M2" s="418"/>
      <c r="N2" s="259">
        <v>2019</v>
      </c>
      <c r="O2" s="259">
        <v>2020</v>
      </c>
      <c r="P2" s="259">
        <v>2021</v>
      </c>
      <c r="Q2" s="259">
        <v>2022</v>
      </c>
      <c r="R2" s="259">
        <v>2023</v>
      </c>
      <c r="S2" s="259">
        <v>2024</v>
      </c>
      <c r="T2" s="259">
        <v>2025</v>
      </c>
      <c r="U2" s="259">
        <v>2026</v>
      </c>
      <c r="V2" s="259">
        <v>2027</v>
      </c>
      <c r="W2" s="276">
        <v>2028</v>
      </c>
      <c r="X2" s="313" t="s">
        <v>27</v>
      </c>
      <c r="Y2" s="313" t="s">
        <v>28</v>
      </c>
      <c r="Z2" s="313" t="s">
        <v>29</v>
      </c>
      <c r="AA2" s="289" t="s">
        <v>30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 s="281" customFormat="1" ht="42.75" customHeight="1" x14ac:dyDescent="0.25">
      <c r="A3" s="128">
        <v>1</v>
      </c>
      <c r="B3" s="277" t="s">
        <v>103</v>
      </c>
      <c r="C3" s="222" t="s">
        <v>47</v>
      </c>
      <c r="D3" s="222" t="s">
        <v>48</v>
      </c>
      <c r="E3" s="222" t="s">
        <v>90</v>
      </c>
      <c r="F3" s="222" t="s">
        <v>61</v>
      </c>
      <c r="G3" s="222" t="s">
        <v>46</v>
      </c>
      <c r="H3" s="222">
        <v>0.498</v>
      </c>
      <c r="I3" s="222" t="s">
        <v>88</v>
      </c>
      <c r="J3" s="323">
        <v>7120893.6500000004</v>
      </c>
      <c r="K3" s="323">
        <f>ROUND(J3*M3,2)</f>
        <v>3560446.83</v>
      </c>
      <c r="L3" s="323">
        <f>J3-K3</f>
        <v>3560446.8200000003</v>
      </c>
      <c r="M3" s="279">
        <v>0.5</v>
      </c>
      <c r="N3" s="278">
        <v>0</v>
      </c>
      <c r="O3" s="278">
        <v>1850466.57</v>
      </c>
      <c r="P3" s="278">
        <v>1709980.26</v>
      </c>
      <c r="Q3" s="280">
        <v>0</v>
      </c>
      <c r="R3" s="280">
        <v>0</v>
      </c>
      <c r="S3" s="280">
        <v>0</v>
      </c>
      <c r="T3" s="280">
        <v>0</v>
      </c>
      <c r="U3" s="280">
        <v>0</v>
      </c>
      <c r="V3" s="280">
        <v>0</v>
      </c>
      <c r="W3" s="309">
        <v>0</v>
      </c>
      <c r="X3" s="313" t="b">
        <f t="shared" ref="X3:X13" si="0">K3=SUM(O3:W3)</f>
        <v>1</v>
      </c>
      <c r="Y3" s="315">
        <f t="shared" ref="Y3:Y16" si="1">ROUND(K3/J3,4)</f>
        <v>0.5</v>
      </c>
      <c r="Z3" s="316" t="b">
        <f t="shared" ref="Z3:Z17" si="2">Y3=M3</f>
        <v>1</v>
      </c>
      <c r="AA3" s="316" t="b">
        <f t="shared" ref="AA3:AA17" si="3">J3=K3+L3</f>
        <v>1</v>
      </c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</row>
    <row r="4" spans="1:163" s="117" customFormat="1" ht="47.25" customHeight="1" x14ac:dyDescent="0.25">
      <c r="A4" s="149">
        <v>2</v>
      </c>
      <c r="B4" s="148" t="s">
        <v>93</v>
      </c>
      <c r="C4" s="149" t="s">
        <v>52</v>
      </c>
      <c r="D4" s="150" t="s">
        <v>56</v>
      </c>
      <c r="E4" s="149">
        <v>1608</v>
      </c>
      <c r="F4" s="252" t="s">
        <v>176</v>
      </c>
      <c r="G4" s="149" t="s">
        <v>46</v>
      </c>
      <c r="H4" s="206">
        <v>0.995</v>
      </c>
      <c r="I4" s="149" t="s">
        <v>323</v>
      </c>
      <c r="J4" s="189">
        <v>439164.77</v>
      </c>
      <c r="K4" s="167">
        <f>ROUND(J4*M4,2)</f>
        <v>219582.39</v>
      </c>
      <c r="L4" s="324">
        <f>J4-K4</f>
        <v>219582.38</v>
      </c>
      <c r="M4" s="131">
        <v>0.5</v>
      </c>
      <c r="N4" s="238">
        <v>0</v>
      </c>
      <c r="O4" s="238">
        <v>0</v>
      </c>
      <c r="P4" s="187">
        <f>K4</f>
        <v>219582.39</v>
      </c>
      <c r="Q4" s="238">
        <v>0</v>
      </c>
      <c r="R4" s="238">
        <v>0</v>
      </c>
      <c r="S4" s="238">
        <v>0</v>
      </c>
      <c r="T4" s="238">
        <v>0</v>
      </c>
      <c r="U4" s="238">
        <v>0</v>
      </c>
      <c r="V4" s="238">
        <v>0</v>
      </c>
      <c r="W4" s="310">
        <v>0</v>
      </c>
      <c r="X4" s="313" t="b">
        <f t="shared" si="0"/>
        <v>1</v>
      </c>
      <c r="Y4" s="315">
        <f t="shared" si="1"/>
        <v>0.5</v>
      </c>
      <c r="Z4" s="316" t="b">
        <f t="shared" si="2"/>
        <v>1</v>
      </c>
      <c r="AA4" s="316" t="b">
        <f t="shared" si="3"/>
        <v>1</v>
      </c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318"/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</row>
    <row r="5" spans="1:163" s="117" customFormat="1" ht="35.1" customHeight="1" x14ac:dyDescent="0.25">
      <c r="A5" s="149">
        <v>3</v>
      </c>
      <c r="B5" s="148" t="s">
        <v>94</v>
      </c>
      <c r="C5" s="153" t="s">
        <v>52</v>
      </c>
      <c r="D5" s="150" t="s">
        <v>83</v>
      </c>
      <c r="E5" s="166" t="s">
        <v>280</v>
      </c>
      <c r="F5" s="252" t="s">
        <v>177</v>
      </c>
      <c r="G5" s="149" t="s">
        <v>46</v>
      </c>
      <c r="H5" s="206">
        <v>3.8559999999999999</v>
      </c>
      <c r="I5" s="154" t="s">
        <v>329</v>
      </c>
      <c r="J5" s="189">
        <v>2676750</v>
      </c>
      <c r="K5" s="167">
        <f t="shared" ref="K5:K13" si="4">ROUND(J5*M5,2)</f>
        <v>1338375</v>
      </c>
      <c r="L5" s="324">
        <f t="shared" ref="L5:L20" si="5">J5-K5</f>
        <v>1338375</v>
      </c>
      <c r="M5" s="131">
        <v>0.5</v>
      </c>
      <c r="N5" s="238">
        <v>0</v>
      </c>
      <c r="O5" s="238">
        <v>0</v>
      </c>
      <c r="P5" s="187">
        <f t="shared" ref="P5:P20" si="6">K5</f>
        <v>1338375</v>
      </c>
      <c r="Q5" s="238">
        <v>0</v>
      </c>
      <c r="R5" s="238">
        <v>0</v>
      </c>
      <c r="S5" s="238">
        <v>0</v>
      </c>
      <c r="T5" s="238">
        <v>0</v>
      </c>
      <c r="U5" s="238">
        <v>0</v>
      </c>
      <c r="V5" s="238">
        <v>0</v>
      </c>
      <c r="W5" s="310">
        <v>0</v>
      </c>
      <c r="X5" s="313" t="b">
        <f t="shared" si="0"/>
        <v>1</v>
      </c>
      <c r="Y5" s="315">
        <f t="shared" si="1"/>
        <v>0.5</v>
      </c>
      <c r="Z5" s="316" t="b">
        <f t="shared" si="2"/>
        <v>1</v>
      </c>
      <c r="AA5" s="316" t="b">
        <f t="shared" si="3"/>
        <v>1</v>
      </c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  <c r="BH5" s="318"/>
      <c r="BI5" s="318"/>
      <c r="BJ5" s="318"/>
      <c r="BK5" s="318"/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8"/>
      <c r="CB5" s="318"/>
      <c r="CC5" s="318"/>
      <c r="CD5" s="318"/>
      <c r="CE5" s="318"/>
      <c r="CF5" s="318"/>
      <c r="CG5" s="318"/>
      <c r="CH5" s="318"/>
      <c r="CI5" s="318"/>
      <c r="CJ5" s="318"/>
      <c r="CK5" s="318"/>
      <c r="CL5" s="318"/>
      <c r="CM5" s="318"/>
      <c r="CN5" s="318"/>
      <c r="CO5" s="318"/>
      <c r="CP5" s="318"/>
      <c r="CQ5" s="318"/>
      <c r="CR5" s="318"/>
      <c r="CS5" s="318"/>
      <c r="CT5" s="318"/>
      <c r="CU5" s="318"/>
      <c r="CV5" s="318"/>
      <c r="CW5" s="318"/>
      <c r="CX5" s="318"/>
      <c r="CY5" s="318"/>
      <c r="CZ5" s="318"/>
      <c r="DA5" s="318"/>
      <c r="DB5" s="318"/>
      <c r="DC5" s="318"/>
      <c r="DD5" s="318"/>
      <c r="DE5" s="318"/>
      <c r="DF5" s="318"/>
      <c r="DG5" s="318"/>
      <c r="DH5" s="318"/>
      <c r="DI5" s="318"/>
      <c r="DJ5" s="318"/>
      <c r="DK5" s="318"/>
      <c r="DL5" s="318"/>
      <c r="DM5" s="318"/>
      <c r="DN5" s="318"/>
      <c r="DO5" s="318"/>
      <c r="DP5" s="318"/>
      <c r="DQ5" s="318"/>
      <c r="DR5" s="318"/>
      <c r="DS5" s="318"/>
      <c r="DT5" s="318"/>
      <c r="DU5" s="318"/>
      <c r="DV5" s="318"/>
      <c r="DW5" s="318"/>
      <c r="DX5" s="318"/>
      <c r="DY5" s="318"/>
      <c r="DZ5" s="318"/>
      <c r="EA5" s="318"/>
      <c r="EB5" s="318"/>
      <c r="EC5" s="318"/>
      <c r="ED5" s="318"/>
      <c r="EE5" s="318"/>
      <c r="EF5" s="318"/>
      <c r="EG5" s="318"/>
      <c r="EH5" s="318"/>
      <c r="EI5" s="318"/>
      <c r="EJ5" s="318"/>
      <c r="EK5" s="318"/>
      <c r="EL5" s="318"/>
      <c r="EM5" s="318"/>
      <c r="EN5" s="318"/>
      <c r="EO5" s="318"/>
      <c r="EP5" s="318"/>
      <c r="EQ5" s="318"/>
      <c r="ER5" s="318"/>
      <c r="ES5" s="318"/>
      <c r="ET5" s="318"/>
      <c r="EU5" s="318"/>
      <c r="EV5" s="318"/>
      <c r="EW5" s="318"/>
      <c r="EX5" s="318"/>
      <c r="EY5" s="318"/>
      <c r="EZ5" s="318"/>
      <c r="FA5" s="318"/>
      <c r="FB5" s="318"/>
      <c r="FC5" s="318"/>
      <c r="FD5" s="318"/>
      <c r="FE5" s="318"/>
      <c r="FF5" s="318"/>
      <c r="FG5" s="318"/>
    </row>
    <row r="6" spans="1:163" s="117" customFormat="1" ht="35.1" customHeight="1" x14ac:dyDescent="0.25">
      <c r="A6" s="149">
        <v>4</v>
      </c>
      <c r="B6" s="148" t="s">
        <v>95</v>
      </c>
      <c r="C6" s="143" t="s">
        <v>52</v>
      </c>
      <c r="D6" s="150" t="s">
        <v>83</v>
      </c>
      <c r="E6" s="166" t="s">
        <v>280</v>
      </c>
      <c r="F6" s="150" t="s">
        <v>309</v>
      </c>
      <c r="G6" s="192" t="s">
        <v>46</v>
      </c>
      <c r="H6" s="207">
        <v>3.71</v>
      </c>
      <c r="I6" s="154" t="s">
        <v>339</v>
      </c>
      <c r="J6" s="189">
        <v>1882940</v>
      </c>
      <c r="K6" s="167">
        <f t="shared" si="4"/>
        <v>941470</v>
      </c>
      <c r="L6" s="324">
        <f t="shared" si="5"/>
        <v>941470</v>
      </c>
      <c r="M6" s="131">
        <v>0.5</v>
      </c>
      <c r="N6" s="238">
        <v>0</v>
      </c>
      <c r="O6" s="238">
        <v>0</v>
      </c>
      <c r="P6" s="187">
        <f t="shared" si="6"/>
        <v>941470</v>
      </c>
      <c r="Q6" s="238">
        <v>0</v>
      </c>
      <c r="R6" s="238">
        <v>0</v>
      </c>
      <c r="S6" s="238">
        <v>0</v>
      </c>
      <c r="T6" s="238">
        <v>0</v>
      </c>
      <c r="U6" s="238">
        <v>0</v>
      </c>
      <c r="V6" s="238">
        <v>0</v>
      </c>
      <c r="W6" s="310">
        <v>0</v>
      </c>
      <c r="X6" s="313" t="b">
        <f t="shared" si="0"/>
        <v>1</v>
      </c>
      <c r="Y6" s="315">
        <f t="shared" si="1"/>
        <v>0.5</v>
      </c>
      <c r="Z6" s="316" t="b">
        <f t="shared" si="2"/>
        <v>1</v>
      </c>
      <c r="AA6" s="316" t="b">
        <f t="shared" si="3"/>
        <v>1</v>
      </c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8"/>
      <c r="CA6" s="318"/>
      <c r="CB6" s="318"/>
      <c r="CC6" s="318"/>
      <c r="CD6" s="318"/>
      <c r="CE6" s="318"/>
      <c r="CF6" s="318"/>
      <c r="CG6" s="318"/>
      <c r="CH6" s="318"/>
      <c r="CI6" s="318"/>
      <c r="CJ6" s="318"/>
      <c r="CK6" s="318"/>
      <c r="CL6" s="318"/>
      <c r="CM6" s="318"/>
      <c r="CN6" s="318"/>
      <c r="CO6" s="318"/>
      <c r="CP6" s="318"/>
      <c r="CQ6" s="318"/>
      <c r="CR6" s="318"/>
      <c r="CS6" s="318"/>
      <c r="CT6" s="318"/>
      <c r="CU6" s="318"/>
      <c r="CV6" s="318"/>
      <c r="CW6" s="318"/>
      <c r="CX6" s="318"/>
      <c r="CY6" s="318"/>
      <c r="CZ6" s="318"/>
      <c r="DA6" s="318"/>
      <c r="DB6" s="318"/>
      <c r="DC6" s="318"/>
      <c r="DD6" s="318"/>
      <c r="DE6" s="318"/>
      <c r="DF6" s="318"/>
      <c r="DG6" s="318"/>
      <c r="DH6" s="318"/>
      <c r="DI6" s="318"/>
      <c r="DJ6" s="318"/>
      <c r="DK6" s="318"/>
      <c r="DL6" s="318"/>
      <c r="DM6" s="318"/>
      <c r="DN6" s="318"/>
      <c r="DO6" s="318"/>
      <c r="DP6" s="318"/>
      <c r="DQ6" s="318"/>
      <c r="DR6" s="318"/>
      <c r="DS6" s="318"/>
      <c r="DT6" s="318"/>
      <c r="DU6" s="318"/>
      <c r="DV6" s="318"/>
      <c r="DW6" s="318"/>
      <c r="DX6" s="318"/>
      <c r="DY6" s="318"/>
      <c r="DZ6" s="318"/>
      <c r="EA6" s="318"/>
      <c r="EB6" s="318"/>
      <c r="EC6" s="318"/>
      <c r="ED6" s="318"/>
      <c r="EE6" s="318"/>
      <c r="EF6" s="318"/>
      <c r="EG6" s="318"/>
      <c r="EH6" s="318"/>
      <c r="EI6" s="318"/>
      <c r="EJ6" s="318"/>
      <c r="EK6" s="318"/>
      <c r="EL6" s="318"/>
      <c r="EM6" s="318"/>
      <c r="EN6" s="318"/>
      <c r="EO6" s="318"/>
      <c r="EP6" s="318"/>
      <c r="EQ6" s="318"/>
      <c r="ER6" s="318"/>
      <c r="ES6" s="318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8"/>
      <c r="FF6" s="318"/>
      <c r="FG6" s="318"/>
    </row>
    <row r="7" spans="1:163" s="119" customFormat="1" ht="35.1" customHeight="1" x14ac:dyDescent="0.25">
      <c r="A7" s="149">
        <v>5</v>
      </c>
      <c r="B7" s="148" t="s">
        <v>96</v>
      </c>
      <c r="C7" s="149" t="s">
        <v>52</v>
      </c>
      <c r="D7" s="150" t="s">
        <v>45</v>
      </c>
      <c r="E7" s="166" t="s">
        <v>281</v>
      </c>
      <c r="F7" s="150" t="s">
        <v>178</v>
      </c>
      <c r="G7" s="149" t="s">
        <v>255</v>
      </c>
      <c r="H7" s="206">
        <v>1.5329999999999999</v>
      </c>
      <c r="I7" s="203" t="s">
        <v>362</v>
      </c>
      <c r="J7" s="189">
        <v>7430719.9299999997</v>
      </c>
      <c r="K7" s="167">
        <v>3235000</v>
      </c>
      <c r="L7" s="324">
        <f t="shared" si="5"/>
        <v>4195719.93</v>
      </c>
      <c r="M7" s="383">
        <f>ROUND(K7/J7,4)</f>
        <v>0.43540000000000001</v>
      </c>
      <c r="N7" s="238">
        <v>0</v>
      </c>
      <c r="O7" s="238">
        <v>0</v>
      </c>
      <c r="P7" s="187">
        <f t="shared" si="6"/>
        <v>3235000</v>
      </c>
      <c r="Q7" s="238">
        <v>0</v>
      </c>
      <c r="R7" s="238">
        <v>0</v>
      </c>
      <c r="S7" s="238">
        <v>0</v>
      </c>
      <c r="T7" s="238">
        <v>0</v>
      </c>
      <c r="U7" s="238">
        <v>0</v>
      </c>
      <c r="V7" s="238">
        <v>0</v>
      </c>
      <c r="W7" s="310">
        <v>0</v>
      </c>
      <c r="X7" s="289" t="b">
        <f t="shared" si="0"/>
        <v>1</v>
      </c>
      <c r="Y7" s="290">
        <f>ROUND(K7/J7,4)</f>
        <v>0.43540000000000001</v>
      </c>
      <c r="Z7" s="291" t="b">
        <f t="shared" si="2"/>
        <v>1</v>
      </c>
      <c r="AA7" s="291" t="b">
        <f t="shared" si="3"/>
        <v>1</v>
      </c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19" customFormat="1" ht="35.1" customHeight="1" x14ac:dyDescent="0.25">
      <c r="A8" s="149">
        <v>6</v>
      </c>
      <c r="B8" s="190" t="s">
        <v>97</v>
      </c>
      <c r="C8" s="192" t="s">
        <v>52</v>
      </c>
      <c r="D8" s="144" t="s">
        <v>60</v>
      </c>
      <c r="E8" s="191" t="s">
        <v>282</v>
      </c>
      <c r="F8" s="253" t="s">
        <v>179</v>
      </c>
      <c r="G8" s="192" t="s">
        <v>46</v>
      </c>
      <c r="H8" s="208">
        <v>0.77500000000000002</v>
      </c>
      <c r="I8" s="184" t="s">
        <v>268</v>
      </c>
      <c r="J8" s="325">
        <v>1373943.42</v>
      </c>
      <c r="K8" s="145">
        <f t="shared" si="4"/>
        <v>686971.71</v>
      </c>
      <c r="L8" s="379">
        <f t="shared" si="5"/>
        <v>686971.71</v>
      </c>
      <c r="M8" s="131">
        <v>0.5</v>
      </c>
      <c r="N8" s="238">
        <v>0</v>
      </c>
      <c r="O8" s="238">
        <v>0</v>
      </c>
      <c r="P8" s="187">
        <f t="shared" si="6"/>
        <v>686971.71</v>
      </c>
      <c r="Q8" s="238">
        <v>0</v>
      </c>
      <c r="R8" s="238">
        <v>0</v>
      </c>
      <c r="S8" s="238">
        <v>0</v>
      </c>
      <c r="T8" s="238">
        <v>0</v>
      </c>
      <c r="U8" s="238">
        <v>0</v>
      </c>
      <c r="V8" s="238">
        <v>0</v>
      </c>
      <c r="W8" s="310">
        <v>0</v>
      </c>
      <c r="X8" s="289" t="b">
        <f t="shared" si="0"/>
        <v>1</v>
      </c>
      <c r="Y8" s="290">
        <f t="shared" si="1"/>
        <v>0.5</v>
      </c>
      <c r="Z8" s="291" t="b">
        <f t="shared" si="2"/>
        <v>1</v>
      </c>
      <c r="AA8" s="291" t="b">
        <f t="shared" si="3"/>
        <v>1</v>
      </c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19" customFormat="1" ht="35.1" customHeight="1" x14ac:dyDescent="0.25">
      <c r="A9" s="149">
        <v>7</v>
      </c>
      <c r="B9" s="148" t="s">
        <v>174</v>
      </c>
      <c r="C9" s="149" t="s">
        <v>52</v>
      </c>
      <c r="D9" s="150" t="s">
        <v>45</v>
      </c>
      <c r="E9" s="166" t="s">
        <v>281</v>
      </c>
      <c r="F9" s="150" t="s">
        <v>180</v>
      </c>
      <c r="G9" s="149" t="s">
        <v>46</v>
      </c>
      <c r="H9" s="206">
        <v>3.254</v>
      </c>
      <c r="I9" s="203" t="s">
        <v>256</v>
      </c>
      <c r="J9" s="325">
        <v>3045000</v>
      </c>
      <c r="K9" s="251">
        <f t="shared" si="4"/>
        <v>1522500</v>
      </c>
      <c r="L9" s="324">
        <f t="shared" si="5"/>
        <v>1522500</v>
      </c>
      <c r="M9" s="131">
        <v>0.5</v>
      </c>
      <c r="N9" s="238">
        <v>0</v>
      </c>
      <c r="O9" s="238">
        <v>0</v>
      </c>
      <c r="P9" s="187">
        <f t="shared" si="6"/>
        <v>1522500</v>
      </c>
      <c r="Q9" s="238">
        <v>0</v>
      </c>
      <c r="R9" s="238">
        <v>0</v>
      </c>
      <c r="S9" s="238">
        <v>0</v>
      </c>
      <c r="T9" s="238">
        <v>0</v>
      </c>
      <c r="U9" s="238">
        <v>0</v>
      </c>
      <c r="V9" s="238">
        <v>0</v>
      </c>
      <c r="W9" s="310">
        <v>0</v>
      </c>
      <c r="X9" s="289" t="b">
        <f t="shared" si="0"/>
        <v>1</v>
      </c>
      <c r="Y9" s="290">
        <f t="shared" si="1"/>
        <v>0.5</v>
      </c>
      <c r="Z9" s="291" t="b">
        <f t="shared" si="2"/>
        <v>1</v>
      </c>
      <c r="AA9" s="291" t="b">
        <f t="shared" si="3"/>
        <v>1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2" customFormat="1" ht="37.5" customHeight="1" x14ac:dyDescent="0.25">
      <c r="A10" s="149">
        <v>8</v>
      </c>
      <c r="B10" s="148" t="s">
        <v>98</v>
      </c>
      <c r="C10" s="149" t="s">
        <v>52</v>
      </c>
      <c r="D10" s="150" t="s">
        <v>57</v>
      </c>
      <c r="E10" s="166" t="s">
        <v>283</v>
      </c>
      <c r="F10" s="150" t="s">
        <v>296</v>
      </c>
      <c r="G10" s="149" t="s">
        <v>46</v>
      </c>
      <c r="H10" s="206">
        <v>6.3E-2</v>
      </c>
      <c r="I10" s="203" t="s">
        <v>339</v>
      </c>
      <c r="J10" s="189">
        <v>1623024.43</v>
      </c>
      <c r="K10" s="251">
        <f t="shared" si="4"/>
        <v>811512.22</v>
      </c>
      <c r="L10" s="324">
        <f t="shared" si="5"/>
        <v>811512.21</v>
      </c>
      <c r="M10" s="131">
        <v>0.5</v>
      </c>
      <c r="N10" s="238">
        <v>0</v>
      </c>
      <c r="O10" s="238">
        <v>0</v>
      </c>
      <c r="P10" s="187">
        <f t="shared" si="6"/>
        <v>811512.22</v>
      </c>
      <c r="Q10" s="238">
        <v>0</v>
      </c>
      <c r="R10" s="238">
        <v>0</v>
      </c>
      <c r="S10" s="238">
        <v>0</v>
      </c>
      <c r="T10" s="238">
        <v>0</v>
      </c>
      <c r="U10" s="238">
        <v>0</v>
      </c>
      <c r="V10" s="238">
        <v>0</v>
      </c>
      <c r="W10" s="310">
        <v>0</v>
      </c>
      <c r="X10" s="289" t="b">
        <f t="shared" si="0"/>
        <v>1</v>
      </c>
      <c r="Y10" s="290">
        <f t="shared" si="1"/>
        <v>0.5</v>
      </c>
      <c r="Z10" s="291" t="b">
        <f t="shared" si="2"/>
        <v>1</v>
      </c>
      <c r="AA10" s="291" t="b">
        <f t="shared" si="3"/>
        <v>1</v>
      </c>
    </row>
    <row r="11" spans="1:163" s="122" customFormat="1" ht="46.5" customHeight="1" x14ac:dyDescent="0.25">
      <c r="A11" s="128">
        <v>9</v>
      </c>
      <c r="B11" s="155" t="s">
        <v>175</v>
      </c>
      <c r="C11" s="128" t="s">
        <v>89</v>
      </c>
      <c r="D11" s="157" t="s">
        <v>45</v>
      </c>
      <c r="E11" s="174" t="s">
        <v>281</v>
      </c>
      <c r="F11" s="157" t="s">
        <v>181</v>
      </c>
      <c r="G11" s="128" t="s">
        <v>46</v>
      </c>
      <c r="H11" s="209">
        <v>1.1180000000000001</v>
      </c>
      <c r="I11" s="222" t="s">
        <v>326</v>
      </c>
      <c r="J11" s="376">
        <v>3334837.71</v>
      </c>
      <c r="K11" s="298">
        <f t="shared" si="4"/>
        <v>1667418.86</v>
      </c>
      <c r="L11" s="377">
        <f t="shared" si="5"/>
        <v>1667418.8499999999</v>
      </c>
      <c r="M11" s="158">
        <v>0.5</v>
      </c>
      <c r="N11" s="246">
        <v>0</v>
      </c>
      <c r="O11" s="246">
        <v>0</v>
      </c>
      <c r="P11" s="204">
        <f>ROUND(M11*2330000,2)</f>
        <v>1165000</v>
      </c>
      <c r="Q11" s="204">
        <f>ROUND(M11*1004837.71,2)</f>
        <v>502418.86</v>
      </c>
      <c r="R11" s="246">
        <v>0</v>
      </c>
      <c r="S11" s="246">
        <v>0</v>
      </c>
      <c r="T11" s="246">
        <v>0</v>
      </c>
      <c r="U11" s="246">
        <v>0</v>
      </c>
      <c r="V11" s="246">
        <v>0</v>
      </c>
      <c r="W11" s="311">
        <v>0</v>
      </c>
      <c r="X11" s="289" t="b">
        <f t="shared" si="0"/>
        <v>1</v>
      </c>
      <c r="Y11" s="290">
        <f t="shared" si="1"/>
        <v>0.5</v>
      </c>
      <c r="Z11" s="291" t="b">
        <f t="shared" si="2"/>
        <v>1</v>
      </c>
      <c r="AA11" s="291" t="b">
        <f t="shared" si="3"/>
        <v>1</v>
      </c>
    </row>
    <row r="12" spans="1:163" s="122" customFormat="1" ht="35.1" customHeight="1" x14ac:dyDescent="0.25">
      <c r="A12" s="149">
        <v>10</v>
      </c>
      <c r="B12" s="148" t="s">
        <v>100</v>
      </c>
      <c r="C12" s="149" t="s">
        <v>52</v>
      </c>
      <c r="D12" s="150" t="s">
        <v>56</v>
      </c>
      <c r="E12" s="221">
        <v>1608</v>
      </c>
      <c r="F12" s="150" t="s">
        <v>183</v>
      </c>
      <c r="G12" s="149" t="s">
        <v>46</v>
      </c>
      <c r="H12" s="206">
        <v>0.995</v>
      </c>
      <c r="I12" s="210" t="s">
        <v>323</v>
      </c>
      <c r="J12" s="188">
        <v>467770.96</v>
      </c>
      <c r="K12" s="251">
        <f t="shared" si="4"/>
        <v>233885.48</v>
      </c>
      <c r="L12" s="324">
        <f t="shared" si="5"/>
        <v>233885.48</v>
      </c>
      <c r="M12" s="131">
        <v>0.5</v>
      </c>
      <c r="N12" s="238">
        <v>0</v>
      </c>
      <c r="O12" s="238">
        <v>0</v>
      </c>
      <c r="P12" s="187">
        <f t="shared" si="6"/>
        <v>233885.48</v>
      </c>
      <c r="Q12" s="238">
        <v>0</v>
      </c>
      <c r="R12" s="238">
        <v>0</v>
      </c>
      <c r="S12" s="238">
        <v>0</v>
      </c>
      <c r="T12" s="238">
        <v>0</v>
      </c>
      <c r="U12" s="238">
        <v>0</v>
      </c>
      <c r="V12" s="238">
        <v>0</v>
      </c>
      <c r="W12" s="310">
        <v>0</v>
      </c>
      <c r="X12" s="289" t="b">
        <f t="shared" si="0"/>
        <v>1</v>
      </c>
      <c r="Y12" s="290">
        <f t="shared" si="1"/>
        <v>0.5</v>
      </c>
      <c r="Z12" s="291" t="b">
        <f t="shared" si="2"/>
        <v>1</v>
      </c>
      <c r="AA12" s="291" t="b">
        <f t="shared" si="3"/>
        <v>1</v>
      </c>
    </row>
    <row r="13" spans="1:163" s="122" customFormat="1" ht="35.1" customHeight="1" x14ac:dyDescent="0.25">
      <c r="A13" s="149">
        <v>11</v>
      </c>
      <c r="B13" s="148" t="s">
        <v>99</v>
      </c>
      <c r="C13" s="149" t="s">
        <v>52</v>
      </c>
      <c r="D13" s="150" t="s">
        <v>60</v>
      </c>
      <c r="E13" s="166" t="s">
        <v>282</v>
      </c>
      <c r="F13" s="150" t="s">
        <v>182</v>
      </c>
      <c r="G13" s="149" t="s">
        <v>46</v>
      </c>
      <c r="H13" s="206">
        <v>0.91700000000000004</v>
      </c>
      <c r="I13" s="184" t="s">
        <v>268</v>
      </c>
      <c r="J13" s="188">
        <v>846881.16</v>
      </c>
      <c r="K13" s="251">
        <f t="shared" si="4"/>
        <v>423440.58</v>
      </c>
      <c r="L13" s="324">
        <f t="shared" si="5"/>
        <v>423440.58</v>
      </c>
      <c r="M13" s="131">
        <v>0.5</v>
      </c>
      <c r="N13" s="238">
        <v>0</v>
      </c>
      <c r="O13" s="238">
        <v>0</v>
      </c>
      <c r="P13" s="187">
        <f t="shared" si="6"/>
        <v>423440.58</v>
      </c>
      <c r="Q13" s="238">
        <v>0</v>
      </c>
      <c r="R13" s="238">
        <v>0</v>
      </c>
      <c r="S13" s="238">
        <v>0</v>
      </c>
      <c r="T13" s="238">
        <v>0</v>
      </c>
      <c r="U13" s="238">
        <v>0</v>
      </c>
      <c r="V13" s="238">
        <v>0</v>
      </c>
      <c r="W13" s="310">
        <v>0</v>
      </c>
      <c r="X13" s="289" t="b">
        <f t="shared" si="0"/>
        <v>1</v>
      </c>
      <c r="Y13" s="290">
        <f t="shared" si="1"/>
        <v>0.5</v>
      </c>
      <c r="Z13" s="291" t="b">
        <f t="shared" si="2"/>
        <v>1</v>
      </c>
      <c r="AA13" s="291" t="b">
        <f t="shared" si="3"/>
        <v>1</v>
      </c>
    </row>
    <row r="14" spans="1:163" s="122" customFormat="1" ht="35.1" customHeight="1" x14ac:dyDescent="0.25">
      <c r="A14" s="153">
        <v>12</v>
      </c>
      <c r="B14" s="148" t="s">
        <v>101</v>
      </c>
      <c r="C14" s="239" t="s">
        <v>52</v>
      </c>
      <c r="D14" s="150" t="s">
        <v>48</v>
      </c>
      <c r="E14" s="166" t="s">
        <v>90</v>
      </c>
      <c r="F14" s="150" t="s">
        <v>184</v>
      </c>
      <c r="G14" s="254" t="s">
        <v>257</v>
      </c>
      <c r="H14" s="206">
        <v>1.93</v>
      </c>
      <c r="I14" s="184" t="s">
        <v>259</v>
      </c>
      <c r="J14" s="188">
        <v>1490914.89</v>
      </c>
      <c r="K14" s="251">
        <f>ROUND(J14*M14,2)</f>
        <v>745457.45</v>
      </c>
      <c r="L14" s="324">
        <f t="shared" si="5"/>
        <v>745457.44</v>
      </c>
      <c r="M14" s="131">
        <v>0.5</v>
      </c>
      <c r="N14" s="238">
        <v>0</v>
      </c>
      <c r="O14" s="238">
        <v>0</v>
      </c>
      <c r="P14" s="187">
        <f t="shared" si="6"/>
        <v>745457.45</v>
      </c>
      <c r="Q14" s="255">
        <v>0</v>
      </c>
      <c r="R14" s="238">
        <v>0</v>
      </c>
      <c r="S14" s="238">
        <v>0</v>
      </c>
      <c r="T14" s="238">
        <v>0</v>
      </c>
      <c r="U14" s="238">
        <v>0</v>
      </c>
      <c r="V14" s="238">
        <v>0</v>
      </c>
      <c r="W14" s="310">
        <v>0</v>
      </c>
      <c r="X14" s="289" t="b">
        <f>K14=SUM(O14:W14)</f>
        <v>1</v>
      </c>
      <c r="Y14" s="290">
        <f t="shared" si="1"/>
        <v>0.5</v>
      </c>
      <c r="Z14" s="291" t="b">
        <f t="shared" si="2"/>
        <v>1</v>
      </c>
      <c r="AA14" s="291" t="b">
        <f t="shared" si="3"/>
        <v>1</v>
      </c>
    </row>
    <row r="15" spans="1:163" s="122" customFormat="1" ht="61.5" customHeight="1" x14ac:dyDescent="0.25">
      <c r="A15" s="153">
        <v>13</v>
      </c>
      <c r="B15" s="148" t="s">
        <v>102</v>
      </c>
      <c r="C15" s="239" t="s">
        <v>52</v>
      </c>
      <c r="D15" s="150" t="s">
        <v>55</v>
      </c>
      <c r="E15" s="203">
        <v>1609</v>
      </c>
      <c r="F15" s="150" t="s">
        <v>185</v>
      </c>
      <c r="G15" s="254" t="s">
        <v>46</v>
      </c>
      <c r="H15" s="207">
        <v>0.503</v>
      </c>
      <c r="I15" s="231" t="s">
        <v>284</v>
      </c>
      <c r="J15" s="188">
        <v>590343.98</v>
      </c>
      <c r="K15" s="251">
        <f>ROUND(J15*M15,2)</f>
        <v>295171.99</v>
      </c>
      <c r="L15" s="324">
        <f t="shared" si="5"/>
        <v>295171.99</v>
      </c>
      <c r="M15" s="242">
        <v>0.5</v>
      </c>
      <c r="N15" s="238">
        <v>0</v>
      </c>
      <c r="O15" s="238">
        <v>0</v>
      </c>
      <c r="P15" s="187">
        <f t="shared" si="6"/>
        <v>295171.99</v>
      </c>
      <c r="Q15" s="255">
        <v>0</v>
      </c>
      <c r="R15" s="238">
        <v>0</v>
      </c>
      <c r="S15" s="238">
        <v>0</v>
      </c>
      <c r="T15" s="238">
        <v>0</v>
      </c>
      <c r="U15" s="238">
        <v>0</v>
      </c>
      <c r="V15" s="238">
        <v>0</v>
      </c>
      <c r="W15" s="310">
        <v>0</v>
      </c>
      <c r="X15" s="289" t="b">
        <f>K15=SUM(O15:W15)</f>
        <v>1</v>
      </c>
      <c r="Y15" s="290">
        <f t="shared" si="1"/>
        <v>0.5</v>
      </c>
      <c r="Z15" s="291" t="b">
        <f t="shared" si="2"/>
        <v>1</v>
      </c>
      <c r="AA15" s="291" t="b">
        <f t="shared" si="3"/>
        <v>1</v>
      </c>
    </row>
    <row r="16" spans="1:163" s="122" customFormat="1" ht="51" customHeight="1" x14ac:dyDescent="0.25">
      <c r="A16" s="153">
        <v>14</v>
      </c>
      <c r="B16" s="148" t="s">
        <v>104</v>
      </c>
      <c r="C16" s="239" t="s">
        <v>52</v>
      </c>
      <c r="D16" s="150" t="s">
        <v>55</v>
      </c>
      <c r="E16" s="166" t="s">
        <v>285</v>
      </c>
      <c r="F16" s="150" t="s">
        <v>186</v>
      </c>
      <c r="G16" s="149" t="s">
        <v>46</v>
      </c>
      <c r="H16" s="207">
        <v>0.34599999999999997</v>
      </c>
      <c r="I16" s="203" t="s">
        <v>288</v>
      </c>
      <c r="J16" s="188">
        <v>531925.84</v>
      </c>
      <c r="K16" s="251">
        <v>262472.90000000002</v>
      </c>
      <c r="L16" s="324">
        <f t="shared" si="5"/>
        <v>269452.93999999994</v>
      </c>
      <c r="M16" s="380">
        <v>0.49340000000000001</v>
      </c>
      <c r="N16" s="268">
        <v>0</v>
      </c>
      <c r="O16" s="268">
        <v>0</v>
      </c>
      <c r="P16" s="187">
        <f t="shared" si="6"/>
        <v>262472.90000000002</v>
      </c>
      <c r="Q16" s="269">
        <v>0</v>
      </c>
      <c r="R16" s="268">
        <v>0</v>
      </c>
      <c r="S16" s="268">
        <v>0</v>
      </c>
      <c r="T16" s="268">
        <v>0</v>
      </c>
      <c r="U16" s="268">
        <v>0</v>
      </c>
      <c r="V16" s="268">
        <v>0</v>
      </c>
      <c r="W16" s="312">
        <v>0</v>
      </c>
      <c r="X16" s="289" t="b">
        <f>K16=SUM(O16:W16)</f>
        <v>1</v>
      </c>
      <c r="Y16" s="290">
        <f t="shared" si="1"/>
        <v>0.49340000000000001</v>
      </c>
      <c r="Z16" s="291" t="b">
        <f t="shared" si="2"/>
        <v>1</v>
      </c>
      <c r="AA16" s="291" t="b">
        <f t="shared" si="3"/>
        <v>1</v>
      </c>
    </row>
    <row r="17" spans="1:27" s="122" customFormat="1" ht="51" customHeight="1" x14ac:dyDescent="0.25">
      <c r="A17" s="153">
        <v>15</v>
      </c>
      <c r="B17" s="148" t="s">
        <v>105</v>
      </c>
      <c r="C17" s="149"/>
      <c r="D17" s="150" t="s">
        <v>49</v>
      </c>
      <c r="E17" s="166" t="s">
        <v>286</v>
      </c>
      <c r="F17" s="150" t="s">
        <v>187</v>
      </c>
      <c r="G17" s="149" t="s">
        <v>46</v>
      </c>
      <c r="H17" s="207">
        <v>0</v>
      </c>
      <c r="I17" s="378" t="s">
        <v>340</v>
      </c>
      <c r="J17" s="188">
        <v>0</v>
      </c>
      <c r="K17" s="251">
        <f>ROUND(J17*M17,2)</f>
        <v>0</v>
      </c>
      <c r="L17" s="324">
        <f t="shared" si="5"/>
        <v>0</v>
      </c>
      <c r="M17" s="242">
        <v>0.5</v>
      </c>
      <c r="N17" s="238">
        <v>0</v>
      </c>
      <c r="O17" s="238">
        <v>0</v>
      </c>
      <c r="P17" s="187">
        <f t="shared" si="6"/>
        <v>0</v>
      </c>
      <c r="Q17" s="255">
        <v>0</v>
      </c>
      <c r="R17" s="238">
        <v>0</v>
      </c>
      <c r="S17" s="238">
        <v>0</v>
      </c>
      <c r="T17" s="238">
        <v>0</v>
      </c>
      <c r="U17" s="238">
        <v>0</v>
      </c>
      <c r="V17" s="238">
        <v>0</v>
      </c>
      <c r="W17" s="310">
        <v>0</v>
      </c>
      <c r="X17" s="289" t="b">
        <f>K17=SUM(O17:W17)</f>
        <v>1</v>
      </c>
      <c r="Y17" s="290" t="e">
        <f>ROUND(K17/J17,4)</f>
        <v>#DIV/0!</v>
      </c>
      <c r="Z17" s="291" t="e">
        <f t="shared" si="2"/>
        <v>#DIV/0!</v>
      </c>
      <c r="AA17" s="291" t="b">
        <f t="shared" si="3"/>
        <v>1</v>
      </c>
    </row>
    <row r="18" spans="1:27" s="122" customFormat="1" ht="51" customHeight="1" x14ac:dyDescent="0.25">
      <c r="A18" s="153">
        <v>16</v>
      </c>
      <c r="B18" s="150" t="s">
        <v>341</v>
      </c>
      <c r="C18" s="149"/>
      <c r="D18" s="150" t="s">
        <v>59</v>
      </c>
      <c r="E18" s="166" t="s">
        <v>287</v>
      </c>
      <c r="F18" s="150" t="s">
        <v>188</v>
      </c>
      <c r="G18" s="149" t="s">
        <v>46</v>
      </c>
      <c r="H18" s="207">
        <v>0</v>
      </c>
      <c r="I18" s="378" t="s">
        <v>340</v>
      </c>
      <c r="J18" s="188">
        <v>0</v>
      </c>
      <c r="K18" s="251">
        <f>ROUND(J18*M18,2)</f>
        <v>0</v>
      </c>
      <c r="L18" s="324">
        <f t="shared" si="5"/>
        <v>0</v>
      </c>
      <c r="M18" s="242">
        <v>0.5</v>
      </c>
      <c r="N18" s="238">
        <v>0</v>
      </c>
      <c r="O18" s="238">
        <v>0</v>
      </c>
      <c r="P18" s="187">
        <f t="shared" si="6"/>
        <v>0</v>
      </c>
      <c r="Q18" s="255">
        <v>0</v>
      </c>
      <c r="R18" s="238">
        <v>0</v>
      </c>
      <c r="S18" s="238">
        <v>0</v>
      </c>
      <c r="T18" s="238">
        <v>0</v>
      </c>
      <c r="U18" s="238">
        <v>0</v>
      </c>
      <c r="V18" s="238">
        <v>0</v>
      </c>
      <c r="W18" s="310">
        <v>0</v>
      </c>
      <c r="X18" s="289" t="b">
        <f t="shared" ref="X18:X19" si="7">K18=SUM(O18:W18)</f>
        <v>1</v>
      </c>
      <c r="Y18" s="290" t="e">
        <f t="shared" ref="Y18:Y19" si="8">ROUND(K18/J18,4)</f>
        <v>#DIV/0!</v>
      </c>
      <c r="Z18" s="291" t="e">
        <f t="shared" ref="Z18:Z19" si="9">Y18=M18</f>
        <v>#DIV/0!</v>
      </c>
      <c r="AA18" s="291" t="b">
        <f t="shared" ref="AA18:AA19" si="10">J18=K18+L18</f>
        <v>1</v>
      </c>
    </row>
    <row r="19" spans="1:27" s="122" customFormat="1" ht="51" customHeight="1" x14ac:dyDescent="0.25">
      <c r="A19" s="153">
        <v>17</v>
      </c>
      <c r="B19" s="150" t="s">
        <v>342</v>
      </c>
      <c r="C19" s="149" t="s">
        <v>52</v>
      </c>
      <c r="D19" s="150" t="s">
        <v>84</v>
      </c>
      <c r="E19" s="166" t="s">
        <v>295</v>
      </c>
      <c r="F19" s="150" t="s">
        <v>289</v>
      </c>
      <c r="G19" s="149" t="s">
        <v>257</v>
      </c>
      <c r="H19" s="207">
        <v>0.48299999999999998</v>
      </c>
      <c r="I19" s="203" t="s">
        <v>261</v>
      </c>
      <c r="J19" s="188">
        <v>2346085.87</v>
      </c>
      <c r="K19" s="251">
        <f>ROUND(J19*M19,2)</f>
        <v>1173042.94</v>
      </c>
      <c r="L19" s="324">
        <f t="shared" si="5"/>
        <v>1173042.9300000002</v>
      </c>
      <c r="M19" s="242">
        <v>0.5</v>
      </c>
      <c r="N19" s="238">
        <v>0</v>
      </c>
      <c r="O19" s="238">
        <v>0</v>
      </c>
      <c r="P19" s="187">
        <f t="shared" si="6"/>
        <v>1173042.94</v>
      </c>
      <c r="Q19" s="255">
        <v>0</v>
      </c>
      <c r="R19" s="238">
        <v>0</v>
      </c>
      <c r="S19" s="238">
        <v>0</v>
      </c>
      <c r="T19" s="238">
        <v>0</v>
      </c>
      <c r="U19" s="238">
        <v>0</v>
      </c>
      <c r="V19" s="238">
        <v>0</v>
      </c>
      <c r="W19" s="310">
        <v>0</v>
      </c>
      <c r="X19" s="289" t="b">
        <f t="shared" si="7"/>
        <v>1</v>
      </c>
      <c r="Y19" s="290">
        <f t="shared" si="8"/>
        <v>0.5</v>
      </c>
      <c r="Z19" s="291" t="b">
        <f t="shared" si="9"/>
        <v>1</v>
      </c>
      <c r="AA19" s="291" t="b">
        <f t="shared" si="10"/>
        <v>1</v>
      </c>
    </row>
    <row r="20" spans="1:27" s="122" customFormat="1" ht="51" customHeight="1" x14ac:dyDescent="0.25">
      <c r="A20" s="153">
        <v>18</v>
      </c>
      <c r="B20" s="150" t="s">
        <v>346</v>
      </c>
      <c r="C20" s="149" t="s">
        <v>52</v>
      </c>
      <c r="D20" s="150" t="s">
        <v>49</v>
      </c>
      <c r="E20" s="166" t="s">
        <v>286</v>
      </c>
      <c r="F20" s="150" t="s">
        <v>290</v>
      </c>
      <c r="G20" s="149" t="s">
        <v>257</v>
      </c>
      <c r="H20" s="207">
        <v>2.8450000000000002</v>
      </c>
      <c r="I20" s="203" t="s">
        <v>294</v>
      </c>
      <c r="J20" s="188">
        <v>1134481</v>
      </c>
      <c r="K20" s="251">
        <f>ROUND(J20*M20,2)</f>
        <v>567240.5</v>
      </c>
      <c r="L20" s="324">
        <f t="shared" si="5"/>
        <v>567240.5</v>
      </c>
      <c r="M20" s="242">
        <v>0.5</v>
      </c>
      <c r="N20" s="238">
        <v>0</v>
      </c>
      <c r="O20" s="238">
        <v>0</v>
      </c>
      <c r="P20" s="187">
        <f t="shared" si="6"/>
        <v>567240.5</v>
      </c>
      <c r="Q20" s="255">
        <v>0</v>
      </c>
      <c r="R20" s="238">
        <v>0</v>
      </c>
      <c r="S20" s="238">
        <v>0</v>
      </c>
      <c r="T20" s="238">
        <v>0</v>
      </c>
      <c r="U20" s="238">
        <v>0</v>
      </c>
      <c r="V20" s="238">
        <v>0</v>
      </c>
      <c r="W20" s="310">
        <v>0</v>
      </c>
      <c r="X20" s="289"/>
      <c r="Y20" s="290"/>
      <c r="Z20" s="291"/>
      <c r="AA20" s="291"/>
    </row>
    <row r="21" spans="1:27" s="122" customFormat="1" x14ac:dyDescent="0.25">
      <c r="A21" s="227"/>
      <c r="B21" s="240"/>
      <c r="C21" s="240"/>
      <c r="D21" s="240"/>
      <c r="E21" s="240"/>
      <c r="F21" s="240"/>
      <c r="G21" s="241"/>
      <c r="H21" s="240"/>
      <c r="I21" s="240"/>
      <c r="J21" s="326"/>
      <c r="K21" s="326"/>
      <c r="L21" s="326"/>
      <c r="M21" s="240"/>
      <c r="N21" s="240"/>
      <c r="O21" s="240"/>
      <c r="P21" s="240"/>
      <c r="Q21" s="241"/>
      <c r="R21" s="211"/>
      <c r="S21" s="211"/>
      <c r="T21" s="211"/>
      <c r="U21" s="211"/>
      <c r="V21" s="211"/>
      <c r="W21" s="211"/>
      <c r="X21" s="289"/>
      <c r="Y21" s="290"/>
      <c r="Z21" s="291"/>
      <c r="AA21" s="291"/>
    </row>
    <row r="22" spans="1:27" ht="20.100000000000001" customHeight="1" x14ac:dyDescent="0.25">
      <c r="A22" s="426" t="s">
        <v>44</v>
      </c>
      <c r="B22" s="426"/>
      <c r="C22" s="426"/>
      <c r="D22" s="426"/>
      <c r="E22" s="426"/>
      <c r="F22" s="426"/>
      <c r="G22" s="426"/>
      <c r="H22" s="249">
        <f>SUM(H3:H20)</f>
        <v>23.821000000000002</v>
      </c>
      <c r="I22" s="160" t="s">
        <v>13</v>
      </c>
      <c r="J22" s="161">
        <f>SUM(J3:J20)</f>
        <v>36335677.610000007</v>
      </c>
      <c r="K22" s="161">
        <f t="shared" ref="K22:L22" si="11">SUM(K3:K20)</f>
        <v>17683988.850000001</v>
      </c>
      <c r="L22" s="161">
        <f t="shared" si="11"/>
        <v>18651688.760000002</v>
      </c>
      <c r="M22" s="163" t="s">
        <v>13</v>
      </c>
      <c r="N22" s="238">
        <v>0</v>
      </c>
      <c r="O22" s="162">
        <f>SUM(O3:O20)</f>
        <v>1850466.57</v>
      </c>
      <c r="P22" s="162">
        <f t="shared" ref="P22:W22" si="12">SUM(P3:P20)</f>
        <v>15331103.42</v>
      </c>
      <c r="Q22" s="162">
        <f t="shared" si="12"/>
        <v>502418.86</v>
      </c>
      <c r="R22" s="162">
        <f t="shared" si="12"/>
        <v>0</v>
      </c>
      <c r="S22" s="162">
        <f t="shared" si="12"/>
        <v>0</v>
      </c>
      <c r="T22" s="162">
        <f t="shared" si="12"/>
        <v>0</v>
      </c>
      <c r="U22" s="162">
        <f t="shared" si="12"/>
        <v>0</v>
      </c>
      <c r="V22" s="162">
        <f t="shared" si="12"/>
        <v>0</v>
      </c>
      <c r="W22" s="162">
        <f t="shared" si="12"/>
        <v>0</v>
      </c>
      <c r="X22" s="313" t="b">
        <f>K22=SUM(O22:W22)</f>
        <v>1</v>
      </c>
      <c r="Y22" s="315">
        <f>ROUND(K22/J22,4)</f>
        <v>0.48670000000000002</v>
      </c>
      <c r="Z22" s="316" t="s">
        <v>13</v>
      </c>
      <c r="AA22" s="316" t="b">
        <f>J22=K22+L22</f>
        <v>1</v>
      </c>
    </row>
    <row r="23" spans="1:27" ht="20.100000000000001" customHeight="1" x14ac:dyDescent="0.25">
      <c r="A23" s="425" t="s">
        <v>37</v>
      </c>
      <c r="B23" s="425"/>
      <c r="C23" s="425"/>
      <c r="D23" s="425"/>
      <c r="E23" s="425"/>
      <c r="F23" s="425"/>
      <c r="G23" s="425"/>
      <c r="H23" s="250">
        <f>SUMIF($C$3:$C$20,"K",H3:H20)</f>
        <v>0.498</v>
      </c>
      <c r="I23" s="260" t="s">
        <v>13</v>
      </c>
      <c r="J23" s="214">
        <f>SUMIF($C$3:$C$20,"K",J3:J20)</f>
        <v>7120893.6500000004</v>
      </c>
      <c r="K23" s="214">
        <f>SUMIF($C$3:$C$20,"K",K3:K20)</f>
        <v>3560446.83</v>
      </c>
      <c r="L23" s="214">
        <f>SUMIF($C$3:$C$20,"K",L3:L20)</f>
        <v>3560446.8200000003</v>
      </c>
      <c r="M23" s="215" t="s">
        <v>13</v>
      </c>
      <c r="N23" s="247">
        <v>0</v>
      </c>
      <c r="O23" s="216">
        <f>SUMIF($C$3:$C$20,"K",O3:O20)</f>
        <v>1850466.57</v>
      </c>
      <c r="P23" s="216">
        <f>SUMIF($C$3:$C$20,"K",P3:P20)</f>
        <v>1709980.26</v>
      </c>
      <c r="Q23" s="217">
        <f>SUMIF($C$3:$C$20,"K",Q3:Q20)</f>
        <v>0</v>
      </c>
      <c r="R23" s="217">
        <f>SUMIF($C$3:$C$20,"K",R3:R20)</f>
        <v>0</v>
      </c>
      <c r="S23" s="217">
        <f>SUMIF($C$3:$C$20,"K",S3:S20)</f>
        <v>0</v>
      </c>
      <c r="T23" s="217">
        <f t="shared" ref="T23:W23" si="13">SUMIF($C$3:$C$20,"K",T3:T20)</f>
        <v>0</v>
      </c>
      <c r="U23" s="217">
        <f t="shared" si="13"/>
        <v>0</v>
      </c>
      <c r="V23" s="217">
        <f t="shared" si="13"/>
        <v>0</v>
      </c>
      <c r="W23" s="217">
        <f t="shared" si="13"/>
        <v>0</v>
      </c>
      <c r="X23" s="313" t="b">
        <f>K23=SUM(O23:W23)</f>
        <v>1</v>
      </c>
      <c r="Y23" s="315">
        <f>ROUND(K23/J23,4)</f>
        <v>0.5</v>
      </c>
      <c r="Z23" s="316" t="s">
        <v>13</v>
      </c>
      <c r="AA23" s="316" t="b">
        <f>J23=K23+L23</f>
        <v>1</v>
      </c>
    </row>
    <row r="24" spans="1:27" ht="20.100000000000001" customHeight="1" x14ac:dyDescent="0.25">
      <c r="A24" s="426" t="s">
        <v>38</v>
      </c>
      <c r="B24" s="426"/>
      <c r="C24" s="426"/>
      <c r="D24" s="426"/>
      <c r="E24" s="426"/>
      <c r="F24" s="426"/>
      <c r="G24" s="426"/>
      <c r="H24" s="249">
        <f>SUMIF($C$3:$C$20,"N",H3:H20)</f>
        <v>22.204999999999998</v>
      </c>
      <c r="I24" s="160" t="s">
        <v>13</v>
      </c>
      <c r="J24" s="161">
        <f>SUMIF($C$3:$C$20,"N",J3:J20)</f>
        <v>25879946.25</v>
      </c>
      <c r="K24" s="161">
        <f>SUMIF($C$3:$C$20,"N",K3:K20)</f>
        <v>12456123.16</v>
      </c>
      <c r="L24" s="161">
        <f>SUMIF($C$3:$C$20,"N",L3:L20)</f>
        <v>13423823.09</v>
      </c>
      <c r="M24" s="163" t="s">
        <v>13</v>
      </c>
      <c r="N24" s="238">
        <v>0</v>
      </c>
      <c r="O24" s="162">
        <f>SUMIF($C$3:$C$20,"N",O3:O20)</f>
        <v>0</v>
      </c>
      <c r="P24" s="162">
        <f>SUMIF($C$3:$C$20,"N",P3:P20)</f>
        <v>12456123.16</v>
      </c>
      <c r="Q24" s="195">
        <f>SUMIF($C$3:$C$20,"N",Q3:Q20)</f>
        <v>0</v>
      </c>
      <c r="R24" s="195">
        <f>SUMIF($C$3:$C$20,"N",R3:R20)</f>
        <v>0</v>
      </c>
      <c r="S24" s="195">
        <f>SUMIF($C$3:$C$20,"N",S3:S20)</f>
        <v>0</v>
      </c>
      <c r="T24" s="195">
        <f t="shared" ref="T24:W24" si="14">SUMIF($C$3:$C$20,"N",T3:T20)</f>
        <v>0</v>
      </c>
      <c r="U24" s="195">
        <f t="shared" si="14"/>
        <v>0</v>
      </c>
      <c r="V24" s="195">
        <f t="shared" si="14"/>
        <v>0</v>
      </c>
      <c r="W24" s="195">
        <f t="shared" si="14"/>
        <v>0</v>
      </c>
      <c r="X24" s="313" t="b">
        <f>K24=SUM(O24:W24)</f>
        <v>1</v>
      </c>
      <c r="Y24" s="315">
        <f>ROUND(K24/J24,4)</f>
        <v>0.48130000000000001</v>
      </c>
      <c r="Z24" s="316" t="s">
        <v>13</v>
      </c>
      <c r="AA24" s="316" t="b">
        <f>J24=K24+L24</f>
        <v>1</v>
      </c>
    </row>
    <row r="25" spans="1:27" ht="20.100000000000001" customHeight="1" x14ac:dyDescent="0.25">
      <c r="A25" s="425" t="s">
        <v>39</v>
      </c>
      <c r="B25" s="425"/>
      <c r="C25" s="425"/>
      <c r="D25" s="425"/>
      <c r="E25" s="425"/>
      <c r="F25" s="425"/>
      <c r="G25" s="425"/>
      <c r="H25" s="250">
        <f>SUMIF($C$3:$C$20,"W",H3:H20)</f>
        <v>1.1180000000000001</v>
      </c>
      <c r="I25" s="260" t="s">
        <v>13</v>
      </c>
      <c r="J25" s="214">
        <f>SUMIF($C$3:$C$20,"W",J3:J20)</f>
        <v>3334837.71</v>
      </c>
      <c r="K25" s="216">
        <f>SUMIF($C$3:$C$20,"W",K3:K20)</f>
        <v>1667418.86</v>
      </c>
      <c r="L25" s="216">
        <f>SUMIF($C$3:$C$20,"W",L3:L20)</f>
        <v>1667418.8499999999</v>
      </c>
      <c r="M25" s="215" t="s">
        <v>13</v>
      </c>
      <c r="N25" s="247">
        <v>0</v>
      </c>
      <c r="O25" s="216">
        <f>SUMIF($C$3:$C$20,"W",O3:O20)</f>
        <v>0</v>
      </c>
      <c r="P25" s="216">
        <f>SUMIF($C$3:$C$20,"W",P3:P20)</f>
        <v>1165000</v>
      </c>
      <c r="Q25" s="217">
        <f>SUMIF($C$3:$C$20,"W",Q3:Q20)</f>
        <v>502418.86</v>
      </c>
      <c r="R25" s="217">
        <f>SUMIF($C$3:$C$20,"W",R3:R20)</f>
        <v>0</v>
      </c>
      <c r="S25" s="217">
        <f t="shared" ref="S25:W25" si="15">SUMIF($C$3:$C$20,"W",S3:S20)</f>
        <v>0</v>
      </c>
      <c r="T25" s="217">
        <f t="shared" si="15"/>
        <v>0</v>
      </c>
      <c r="U25" s="217">
        <f t="shared" si="15"/>
        <v>0</v>
      </c>
      <c r="V25" s="217">
        <f t="shared" si="15"/>
        <v>0</v>
      </c>
      <c r="W25" s="217">
        <f t="shared" si="15"/>
        <v>0</v>
      </c>
      <c r="X25" s="313" t="b">
        <f>K25=SUM(O25:W25)</f>
        <v>1</v>
      </c>
      <c r="Y25" s="315">
        <f>ROUND(K25/J25,4)</f>
        <v>0.5</v>
      </c>
      <c r="Z25" s="316" t="s">
        <v>13</v>
      </c>
      <c r="AA25" s="316" t="b">
        <f>J25=K25+L25</f>
        <v>1</v>
      </c>
    </row>
    <row r="26" spans="1:27" x14ac:dyDescent="0.25">
      <c r="A26" s="25"/>
      <c r="B26" s="25"/>
      <c r="C26" s="25"/>
      <c r="D26" s="25"/>
      <c r="E26" s="25"/>
      <c r="F26" s="25"/>
      <c r="G26" s="25"/>
      <c r="H26" s="212"/>
      <c r="I26" s="212"/>
      <c r="J26" s="327"/>
      <c r="K26" s="328"/>
      <c r="L26" s="328"/>
      <c r="M26" s="159"/>
      <c r="N26" s="159"/>
      <c r="O26" s="212"/>
      <c r="P26" s="218"/>
      <c r="Q26" s="218"/>
      <c r="R26" s="212"/>
      <c r="S26" s="212"/>
      <c r="T26" s="212"/>
      <c r="U26" s="212"/>
      <c r="V26" s="212"/>
      <c r="W26" s="212"/>
    </row>
    <row r="27" spans="1:27" x14ac:dyDescent="0.25">
      <c r="A27" s="23" t="s">
        <v>24</v>
      </c>
      <c r="B27" s="219"/>
      <c r="C27" s="219"/>
      <c r="D27" s="219"/>
      <c r="E27" s="219"/>
      <c r="F27" s="219"/>
      <c r="G27" s="219"/>
      <c r="H27" s="147"/>
      <c r="I27" s="147"/>
      <c r="J27" s="6"/>
      <c r="K27" s="366"/>
      <c r="L27" s="329"/>
      <c r="M27" s="159"/>
      <c r="N27" s="159"/>
      <c r="O27" s="147"/>
      <c r="P27" s="220"/>
      <c r="Q27" s="220"/>
      <c r="R27" s="147"/>
      <c r="S27" s="147"/>
      <c r="T27" s="147"/>
      <c r="U27" s="147"/>
      <c r="V27" s="147"/>
      <c r="W27" s="147"/>
      <c r="X27" s="313"/>
      <c r="AA27" s="316"/>
    </row>
    <row r="28" spans="1:27" x14ac:dyDescent="0.25">
      <c r="A28" s="24" t="s">
        <v>25</v>
      </c>
      <c r="B28" s="24"/>
      <c r="C28" s="24"/>
      <c r="D28" s="24"/>
      <c r="E28" s="24"/>
      <c r="F28" s="24"/>
      <c r="G28" s="24"/>
      <c r="H28" s="8"/>
      <c r="I28" s="8"/>
      <c r="J28" s="368"/>
      <c r="K28" s="367"/>
      <c r="L28" s="320"/>
      <c r="O28" s="27"/>
      <c r="P28" s="27"/>
      <c r="Q28" s="27"/>
      <c r="R28" s="8"/>
      <c r="S28" s="8"/>
      <c r="T28" s="8"/>
      <c r="U28" s="8"/>
      <c r="V28" s="8"/>
      <c r="W28" s="8"/>
      <c r="X28" s="313"/>
    </row>
    <row r="29" spans="1:27" x14ac:dyDescent="0.25">
      <c r="A29" s="23" t="s">
        <v>42</v>
      </c>
      <c r="B29" s="25"/>
      <c r="C29" s="25"/>
      <c r="D29" s="25"/>
      <c r="E29" s="25"/>
      <c r="F29" s="25"/>
      <c r="G29" s="25"/>
      <c r="J29" s="330"/>
      <c r="P29" s="118"/>
    </row>
    <row r="30" spans="1:27" x14ac:dyDescent="0.25">
      <c r="A30" s="26" t="s">
        <v>302</v>
      </c>
      <c r="B30" s="26"/>
      <c r="C30" s="26"/>
      <c r="D30" s="26"/>
      <c r="E30" s="26"/>
      <c r="F30" s="26"/>
      <c r="G30" s="26"/>
      <c r="J30" s="330"/>
    </row>
    <row r="38" spans="13:14" x14ac:dyDescent="0.25">
      <c r="M38" s="35"/>
      <c r="N38" s="35"/>
    </row>
  </sheetData>
  <autoFilter ref="A2:FG20" xr:uid="{00000000-0009-0000-0000-000001000000}"/>
  <customSheetViews>
    <customSheetView guid="{B2D40DA4-5FA0-499A-A7D1-4F99A3F826AC}" scale="90" showPageBreaks="1" showGridLines="0" fitToPage="1" printArea="1" showAutoFilter="1" view="pageBreakPreview" topLeftCell="I7">
      <selection activeCell="M10" sqref="M10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1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  <customSheetView guid="{90AAACFD-C45E-4B79-9ECD-2C756BD997B3}" scale="90" showPageBreaks="1" showGridLines="0" fitToPage="1" printArea="1" showAutoFilter="1" view="pageBreakPreview" topLeftCell="A7">
      <selection activeCell="J10" sqref="J10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2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  <customSheetView guid="{7BB0DA2A-E6EC-4283-8DAA-56DD15906E8E}" scale="90" showPageBreaks="1" showGridLines="0" fitToPage="1" printArea="1" showAutoFilter="1" view="pageBreakPreview" topLeftCell="A7">
      <selection activeCell="J10" sqref="J10"/>
      <pageMargins left="0.23622047244094491" right="0.23622047244094491" top="0.74803149606299213" bottom="0.74803149606299213" header="0.31496062992125984" footer="0.31496062992125984"/>
      <pageSetup paperSize="8" scale="50" fitToHeight="0" orientation="landscape" r:id="rId3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  <customSheetView guid="{A2BCF76A-36CA-47CC-AE0E-554D5E4069A6}" scale="90" showPageBreaks="1" showGridLines="0" fitToPage="1" printArea="1" showAutoFilter="1" view="pageBreakPreview" topLeftCell="I7">
      <selection activeCell="M10" sqref="M10"/>
      <pageMargins left="0.23622047244094491" right="0.23622047244094491" top="0.74803149606299213" bottom="0.74803149606299213" header="0.31496062992125984" footer="0.31496062992125984"/>
      <pageSetup paperSize="8" scale="51" fitToHeight="0" orientation="landscape" r:id="rId4"/>
      <headerFooter>
        <oddHeader>&amp;LWojewództwo &amp;KFF0000Opolskie &amp;K01+000- zadania powiatowe lista podstawowa</oddHeader>
        <oddFooter>Strona &amp;P z &amp;N</oddFooter>
      </headerFooter>
      <autoFilter ref="A2:FG20" xr:uid="{00000000-0000-0000-0000-000000000000}"/>
    </customSheetView>
  </customSheetViews>
  <mergeCells count="18">
    <mergeCell ref="A25:G25"/>
    <mergeCell ref="A24:G24"/>
    <mergeCell ref="E1:E2"/>
    <mergeCell ref="A22:G22"/>
    <mergeCell ref="A1:A2"/>
    <mergeCell ref="B1:B2"/>
    <mergeCell ref="C1:C2"/>
    <mergeCell ref="F1:F2"/>
    <mergeCell ref="G1:G2"/>
    <mergeCell ref="A23:G23"/>
    <mergeCell ref="D1:D2"/>
    <mergeCell ref="H1:H2"/>
    <mergeCell ref="I1:I2"/>
    <mergeCell ref="J1:J2"/>
    <mergeCell ref="K1:K2"/>
    <mergeCell ref="N1:W1"/>
    <mergeCell ref="L1:L2"/>
    <mergeCell ref="M1:M2"/>
  </mergeCells>
  <conditionalFormatting sqref="AA27">
    <cfRule type="cellIs" dxfId="63" priority="30" operator="equal">
      <formula>FALSE</formula>
    </cfRule>
  </conditionalFormatting>
  <conditionalFormatting sqref="AA27">
    <cfRule type="cellIs" dxfId="62" priority="29" operator="equal">
      <formula>FALSE</formula>
    </cfRule>
  </conditionalFormatting>
  <conditionalFormatting sqref="Y25:Z25">
    <cfRule type="cellIs" dxfId="61" priority="12" operator="equal">
      <formula>FALSE</formula>
    </cfRule>
  </conditionalFormatting>
  <conditionalFormatting sqref="X25">
    <cfRule type="cellIs" dxfId="60" priority="11" operator="equal">
      <formula>FALSE</formula>
    </cfRule>
  </conditionalFormatting>
  <conditionalFormatting sqref="AA25">
    <cfRule type="cellIs" dxfId="59" priority="8" operator="equal">
      <formula>FALSE</formula>
    </cfRule>
  </conditionalFormatting>
  <conditionalFormatting sqref="Y24:Z24">
    <cfRule type="cellIs" dxfId="58" priority="7" operator="equal">
      <formula>FALSE</formula>
    </cfRule>
  </conditionalFormatting>
  <conditionalFormatting sqref="X3:AA19 X21:AA23">
    <cfRule type="cellIs" dxfId="57" priority="14" operator="equal">
      <formula>FALSE</formula>
    </cfRule>
  </conditionalFormatting>
  <conditionalFormatting sqref="X3:Z19 X21:Z23">
    <cfRule type="containsText" dxfId="56" priority="13" operator="containsText" text="fałsz">
      <formula>NOT(ISERROR(SEARCH("fałsz",X3)))</formula>
    </cfRule>
  </conditionalFormatting>
  <conditionalFormatting sqref="X25:Z25">
    <cfRule type="containsText" dxfId="55" priority="10" operator="containsText" text="fałsz">
      <formula>NOT(ISERROR(SEARCH("fałsz",X25)))</formula>
    </cfRule>
  </conditionalFormatting>
  <conditionalFormatting sqref="AA25">
    <cfRule type="cellIs" dxfId="54" priority="9" operator="equal">
      <formula>FALSE</formula>
    </cfRule>
  </conditionalFormatting>
  <conditionalFormatting sqref="X24">
    <cfRule type="cellIs" dxfId="53" priority="6" operator="equal">
      <formula>FALSE</formula>
    </cfRule>
  </conditionalFormatting>
  <conditionalFormatting sqref="X24:Z24">
    <cfRule type="containsText" dxfId="52" priority="5" operator="containsText" text="fałsz">
      <formula>NOT(ISERROR(SEARCH("fałsz",X24)))</formula>
    </cfRule>
  </conditionalFormatting>
  <conditionalFormatting sqref="AA24">
    <cfRule type="cellIs" dxfId="51" priority="4" operator="equal">
      <formula>FALSE</formula>
    </cfRule>
  </conditionalFormatting>
  <conditionalFormatting sqref="AA24">
    <cfRule type="cellIs" dxfId="50" priority="3" operator="equal">
      <formula>FALSE</formula>
    </cfRule>
  </conditionalFormatting>
  <conditionalFormatting sqref="X20:AA20">
    <cfRule type="cellIs" dxfId="49" priority="2" operator="equal">
      <formula>FALSE</formula>
    </cfRule>
  </conditionalFormatting>
  <conditionalFormatting sqref="X20:Z20">
    <cfRule type="containsText" dxfId="48" priority="1" operator="containsText" text="fałsz">
      <formula>NOT(ISERROR(SEARCH("fałsz",X20)))</formula>
    </cfRule>
  </conditionalFormatting>
  <dataValidations count="2">
    <dataValidation type="list" allowBlank="1" showInputMessage="1" showErrorMessage="1" sqref="G3:G20" xr:uid="{00000000-0002-0000-0100-000000000000}">
      <formula1>"B,P,R"</formula1>
    </dataValidation>
    <dataValidation type="list" allowBlank="1" showInputMessage="1" showErrorMessage="1" sqref="C3:C11 D15 C13:C20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50" fitToHeight="0" orientation="landscape" r:id="rId5"/>
  <headerFooter>
    <oddHeader>&amp;LWojewództwo &amp;KFF0000Opolskie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O84"/>
  <sheetViews>
    <sheetView showGridLines="0" view="pageBreakPreview" zoomScaleNormal="100" zoomScaleSheetLayoutView="100" workbookViewId="0">
      <pane ySplit="2" topLeftCell="A60" activePane="bottomLeft" state="frozen"/>
      <selection pane="bottomLeft" activeCell="K62" sqref="K62"/>
    </sheetView>
  </sheetViews>
  <sheetFormatPr defaultColWidth="9.140625" defaultRowHeight="15" x14ac:dyDescent="0.25"/>
  <cols>
    <col min="1" max="1" width="4.85546875" style="3" customWidth="1"/>
    <col min="2" max="2" width="17.7109375" style="3" customWidth="1"/>
    <col min="3" max="3" width="6" style="3" customWidth="1"/>
    <col min="4" max="4" width="21.7109375" style="3" customWidth="1"/>
    <col min="5" max="5" width="9.5703125" style="3" bestFit="1" customWidth="1"/>
    <col min="6" max="6" width="17.7109375" style="3" bestFit="1" customWidth="1"/>
    <col min="7" max="7" width="30.85546875" style="3" customWidth="1"/>
    <col min="8" max="8" width="12.42578125" style="3" bestFit="1" customWidth="1"/>
    <col min="9" max="9" width="14.85546875" style="3" customWidth="1"/>
    <col min="10" max="10" width="19.7109375" style="3" bestFit="1" customWidth="1"/>
    <col min="11" max="11" width="20.42578125" style="4" customWidth="1"/>
    <col min="12" max="13" width="17.7109375" style="3" customWidth="1"/>
    <col min="14" max="14" width="15.7109375" style="1" customWidth="1"/>
    <col min="15" max="15" width="17.7109375" style="1" customWidth="1"/>
    <col min="16" max="17" width="17.7109375" style="3" customWidth="1"/>
    <col min="18" max="18" width="12.7109375" style="3" customWidth="1"/>
    <col min="19" max="19" width="13.28515625" style="3" customWidth="1"/>
    <col min="20" max="20" width="11.7109375" style="3" customWidth="1"/>
    <col min="21" max="21" width="9.5703125" style="3" customWidth="1"/>
    <col min="22" max="22" width="10.85546875" style="3" customWidth="1"/>
    <col min="23" max="23" width="11.140625" style="3" customWidth="1"/>
    <col min="24" max="24" width="11.7109375" style="3" customWidth="1"/>
    <col min="25" max="27" width="15.7109375" style="230" customWidth="1"/>
    <col min="28" max="28" width="15.7109375" style="117" customWidth="1"/>
    <col min="29" max="29" width="11.42578125" style="3" bestFit="1" customWidth="1"/>
    <col min="30" max="16384" width="9.140625" style="3"/>
  </cols>
  <sheetData>
    <row r="1" spans="1:249" ht="20.100000000000001" customHeight="1" x14ac:dyDescent="0.25">
      <c r="A1" s="422" t="s">
        <v>4</v>
      </c>
      <c r="B1" s="418" t="s">
        <v>5</v>
      </c>
      <c r="C1" s="427" t="s">
        <v>43</v>
      </c>
      <c r="D1" s="423" t="s">
        <v>6</v>
      </c>
      <c r="E1" s="132"/>
      <c r="F1" s="132"/>
      <c r="G1" s="418" t="s">
        <v>7</v>
      </c>
      <c r="H1" s="423" t="s">
        <v>26</v>
      </c>
      <c r="I1" s="418" t="s">
        <v>254</v>
      </c>
      <c r="J1" s="418" t="s">
        <v>23</v>
      </c>
      <c r="K1" s="429" t="s">
        <v>8</v>
      </c>
      <c r="L1" s="418" t="s">
        <v>16</v>
      </c>
      <c r="M1" s="423" t="s">
        <v>12</v>
      </c>
      <c r="N1" s="418" t="s">
        <v>10</v>
      </c>
      <c r="O1" s="420" t="s">
        <v>11</v>
      </c>
      <c r="P1" s="421"/>
      <c r="Q1" s="421"/>
      <c r="R1" s="421"/>
      <c r="S1" s="421"/>
      <c r="T1" s="421"/>
      <c r="U1" s="421"/>
      <c r="V1" s="421"/>
      <c r="W1" s="421"/>
      <c r="X1" s="422"/>
    </row>
    <row r="2" spans="1:249" ht="39" customHeight="1" x14ac:dyDescent="0.25">
      <c r="A2" s="422"/>
      <c r="B2" s="418"/>
      <c r="C2" s="428"/>
      <c r="D2" s="424"/>
      <c r="E2" s="133" t="s">
        <v>31</v>
      </c>
      <c r="F2" s="133" t="s">
        <v>14</v>
      </c>
      <c r="G2" s="418"/>
      <c r="H2" s="424"/>
      <c r="I2" s="418"/>
      <c r="J2" s="418"/>
      <c r="K2" s="429"/>
      <c r="L2" s="418"/>
      <c r="M2" s="424"/>
      <c r="N2" s="418"/>
      <c r="O2" s="138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248">
        <v>2027</v>
      </c>
      <c r="X2" s="248">
        <v>2028</v>
      </c>
      <c r="Y2" s="292" t="s">
        <v>27</v>
      </c>
      <c r="Z2" s="292" t="s">
        <v>28</v>
      </c>
      <c r="AA2" s="292" t="s">
        <v>29</v>
      </c>
      <c r="AB2" s="289" t="s">
        <v>30</v>
      </c>
    </row>
    <row r="3" spans="1:249" s="281" customFormat="1" ht="71.25" customHeight="1" x14ac:dyDescent="0.25">
      <c r="A3" s="295">
        <v>1</v>
      </c>
      <c r="B3" s="128" t="s">
        <v>299</v>
      </c>
      <c r="C3" s="156" t="s">
        <v>47</v>
      </c>
      <c r="D3" s="174" t="s">
        <v>50</v>
      </c>
      <c r="E3" s="174" t="s">
        <v>297</v>
      </c>
      <c r="F3" s="296" t="s">
        <v>45</v>
      </c>
      <c r="G3" s="128" t="s">
        <v>298</v>
      </c>
      <c r="H3" s="128" t="s">
        <v>255</v>
      </c>
      <c r="I3" s="297">
        <v>2.5659999999999998</v>
      </c>
      <c r="J3" s="199" t="s">
        <v>300</v>
      </c>
      <c r="K3" s="298">
        <v>24554417.66</v>
      </c>
      <c r="L3" s="299">
        <v>16503831.949999999</v>
      </c>
      <c r="M3" s="300">
        <f t="shared" ref="M3:M8" si="0">K3-L3</f>
        <v>8050585.7100000009</v>
      </c>
      <c r="N3" s="301">
        <v>0.7</v>
      </c>
      <c r="O3" s="186">
        <v>5851981.6699999999</v>
      </c>
      <c r="P3" s="186">
        <v>10651850.279999999</v>
      </c>
      <c r="Q3" s="186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6">
        <v>0</v>
      </c>
      <c r="X3" s="186">
        <v>0</v>
      </c>
      <c r="Y3" s="292" t="b">
        <f t="shared" ref="Y3" si="1">L3=SUM(P3:X3)</f>
        <v>0</v>
      </c>
      <c r="Z3" s="293">
        <f t="shared" ref="Z3" si="2">ROUND(L3/K3,4)</f>
        <v>0.67210000000000003</v>
      </c>
      <c r="AA3" s="294" t="b">
        <f t="shared" ref="AA3" si="3">Z3=N3</f>
        <v>0</v>
      </c>
      <c r="AB3" s="294" t="b">
        <f t="shared" ref="AB3" si="4">K3=L3+M3</f>
        <v>1</v>
      </c>
    </row>
    <row r="4" spans="1:249" s="305" customFormat="1" ht="44.25" customHeight="1" x14ac:dyDescent="0.25">
      <c r="A4" s="302">
        <v>2</v>
      </c>
      <c r="B4" s="303" t="s">
        <v>63</v>
      </c>
      <c r="C4" s="156" t="s">
        <v>47</v>
      </c>
      <c r="D4" s="202" t="s">
        <v>65</v>
      </c>
      <c r="E4" s="202">
        <v>1609012</v>
      </c>
      <c r="F4" s="202" t="s">
        <v>55</v>
      </c>
      <c r="G4" s="202" t="s">
        <v>85</v>
      </c>
      <c r="H4" s="128" t="s">
        <v>46</v>
      </c>
      <c r="I4" s="201">
        <v>0.35</v>
      </c>
      <c r="J4" s="304" t="s">
        <v>62</v>
      </c>
      <c r="K4" s="298">
        <v>689582.9</v>
      </c>
      <c r="L4" s="299">
        <f>ROUND(K4*N4,2)</f>
        <v>482708.03</v>
      </c>
      <c r="M4" s="298">
        <f t="shared" si="0"/>
        <v>206874.87</v>
      </c>
      <c r="N4" s="158">
        <v>0.7</v>
      </c>
      <c r="O4" s="186">
        <v>0</v>
      </c>
      <c r="P4" s="225">
        <v>1050</v>
      </c>
      <c r="Q4" s="225">
        <v>481658.03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6">
        <v>0</v>
      </c>
      <c r="X4" s="186">
        <v>0</v>
      </c>
      <c r="Y4" s="292" t="b">
        <f t="shared" ref="Y4:Y54" si="5">L4=SUM(P4:X4)</f>
        <v>1</v>
      </c>
      <c r="Z4" s="293">
        <f t="shared" ref="Z4:Z58" si="6">ROUND(L4/K4,4)</f>
        <v>0.7</v>
      </c>
      <c r="AA4" s="294" t="b">
        <f t="shared" ref="AA4:AA58" si="7">Z4=N4</f>
        <v>1</v>
      </c>
      <c r="AB4" s="294" t="b">
        <f t="shared" ref="AB4:AB58" si="8">K4=L4+M4</f>
        <v>1</v>
      </c>
    </row>
    <row r="5" spans="1:249" s="305" customFormat="1" ht="44.25" customHeight="1" x14ac:dyDescent="0.25">
      <c r="A5" s="295">
        <v>3</v>
      </c>
      <c r="B5" s="306" t="s">
        <v>64</v>
      </c>
      <c r="C5" s="156" t="s">
        <v>47</v>
      </c>
      <c r="D5" s="222" t="s">
        <v>51</v>
      </c>
      <c r="E5" s="128">
        <v>1601033</v>
      </c>
      <c r="F5" s="128" t="s">
        <v>48</v>
      </c>
      <c r="G5" s="128" t="s">
        <v>86</v>
      </c>
      <c r="H5" s="128" t="s">
        <v>46</v>
      </c>
      <c r="I5" s="201">
        <v>0.65500000000000003</v>
      </c>
      <c r="J5" s="222" t="s">
        <v>87</v>
      </c>
      <c r="K5" s="298">
        <v>1323513.17</v>
      </c>
      <c r="L5" s="299">
        <v>926459.21</v>
      </c>
      <c r="M5" s="298">
        <f t="shared" si="0"/>
        <v>397053.95999999996</v>
      </c>
      <c r="N5" s="158">
        <v>0.7</v>
      </c>
      <c r="O5" s="186">
        <v>0</v>
      </c>
      <c r="P5" s="225">
        <v>303635.86</v>
      </c>
      <c r="Q5" s="225">
        <v>622823.35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6">
        <v>0</v>
      </c>
      <c r="X5" s="186">
        <v>0</v>
      </c>
      <c r="Y5" s="292" t="b">
        <f t="shared" si="5"/>
        <v>1</v>
      </c>
      <c r="Z5" s="293">
        <f t="shared" si="6"/>
        <v>0.7</v>
      </c>
      <c r="AA5" s="294" t="b">
        <f t="shared" si="7"/>
        <v>1</v>
      </c>
      <c r="AB5" s="294" t="b">
        <f t="shared" si="8"/>
        <v>1</v>
      </c>
      <c r="AC5" s="307"/>
    </row>
    <row r="6" spans="1:249" s="116" customFormat="1" ht="44.25" customHeight="1" x14ac:dyDescent="0.25">
      <c r="A6" s="177">
        <v>4</v>
      </c>
      <c r="B6" s="155" t="s">
        <v>110</v>
      </c>
      <c r="C6" s="128" t="s">
        <v>89</v>
      </c>
      <c r="D6" s="157" t="s">
        <v>53</v>
      </c>
      <c r="E6" s="128">
        <v>1601011</v>
      </c>
      <c r="F6" s="128" t="s">
        <v>48</v>
      </c>
      <c r="G6" s="157" t="s">
        <v>189</v>
      </c>
      <c r="H6" s="198" t="s">
        <v>46</v>
      </c>
      <c r="I6" s="178">
        <v>0.48</v>
      </c>
      <c r="J6" s="375" t="s">
        <v>310</v>
      </c>
      <c r="K6" s="362">
        <v>3393515.14</v>
      </c>
      <c r="L6" s="186">
        <f>ROUND(K6*N6,2)</f>
        <v>2375460.6</v>
      </c>
      <c r="M6" s="204">
        <f t="shared" si="0"/>
        <v>1018054.54</v>
      </c>
      <c r="N6" s="158">
        <v>0.7</v>
      </c>
      <c r="O6" s="186">
        <v>0</v>
      </c>
      <c r="P6" s="186">
        <v>0</v>
      </c>
      <c r="Q6" s="225">
        <f>ROUND(N6*1501949.12,2)</f>
        <v>1051364.3799999999</v>
      </c>
      <c r="R6" s="225">
        <f>L6-Q6</f>
        <v>1324096.2200000002</v>
      </c>
      <c r="S6" s="186">
        <v>0</v>
      </c>
      <c r="T6" s="186">
        <v>0</v>
      </c>
      <c r="U6" s="186">
        <v>0</v>
      </c>
      <c r="V6" s="186">
        <v>0</v>
      </c>
      <c r="W6" s="204">
        <v>0</v>
      </c>
      <c r="X6" s="204">
        <v>0</v>
      </c>
      <c r="Y6" s="292" t="b">
        <f t="shared" si="5"/>
        <v>1</v>
      </c>
      <c r="Z6" s="293">
        <f t="shared" si="6"/>
        <v>0.7</v>
      </c>
      <c r="AA6" s="294" t="b">
        <f t="shared" si="7"/>
        <v>1</v>
      </c>
      <c r="AB6" s="294" t="b">
        <f t="shared" si="8"/>
        <v>1</v>
      </c>
      <c r="AC6" s="121"/>
    </row>
    <row r="7" spans="1:249" s="116" customFormat="1" ht="44.25" customHeight="1" x14ac:dyDescent="0.25">
      <c r="A7" s="258">
        <v>5</v>
      </c>
      <c r="B7" s="148" t="s">
        <v>111</v>
      </c>
      <c r="C7" s="143" t="s">
        <v>52</v>
      </c>
      <c r="D7" s="150" t="s">
        <v>106</v>
      </c>
      <c r="E7" s="139">
        <v>1609074</v>
      </c>
      <c r="F7" s="139" t="s">
        <v>55</v>
      </c>
      <c r="G7" s="150" t="s">
        <v>190</v>
      </c>
      <c r="H7" s="139" t="s">
        <v>255</v>
      </c>
      <c r="I7" s="182">
        <v>1.139</v>
      </c>
      <c r="J7" s="154" t="s">
        <v>363</v>
      </c>
      <c r="K7" s="188">
        <v>3680875.24</v>
      </c>
      <c r="L7" s="167">
        <f t="shared" ref="L7:L28" si="9">ROUND(K7*N7,2)</f>
        <v>2208525.14</v>
      </c>
      <c r="M7" s="363">
        <f t="shared" si="0"/>
        <v>1472350.1</v>
      </c>
      <c r="N7" s="131">
        <v>0.6</v>
      </c>
      <c r="O7" s="185">
        <v>0</v>
      </c>
      <c r="P7" s="187">
        <v>0</v>
      </c>
      <c r="Q7" s="179">
        <f>L7</f>
        <v>2208525.14</v>
      </c>
      <c r="R7" s="185">
        <v>0</v>
      </c>
      <c r="S7" s="185">
        <v>0</v>
      </c>
      <c r="T7" s="185">
        <v>0</v>
      </c>
      <c r="U7" s="185">
        <v>0</v>
      </c>
      <c r="V7" s="185">
        <v>0</v>
      </c>
      <c r="W7" s="187">
        <v>0</v>
      </c>
      <c r="X7" s="187">
        <v>0</v>
      </c>
      <c r="Y7" s="292" t="b">
        <f t="shared" si="5"/>
        <v>1</v>
      </c>
      <c r="Z7" s="293">
        <f t="shared" si="6"/>
        <v>0.6</v>
      </c>
      <c r="AA7" s="294" t="b">
        <f t="shared" si="7"/>
        <v>1</v>
      </c>
      <c r="AB7" s="294" t="b">
        <f t="shared" si="8"/>
        <v>1</v>
      </c>
      <c r="AC7" s="353"/>
      <c r="AD7" s="354"/>
      <c r="AE7" s="354"/>
      <c r="AF7" s="354"/>
      <c r="AG7" s="354"/>
      <c r="AH7" s="354"/>
      <c r="AI7" s="354"/>
      <c r="AJ7" s="354"/>
      <c r="AK7" s="354"/>
      <c r="AL7" s="354"/>
      <c r="AM7" s="354"/>
      <c r="AN7" s="354"/>
      <c r="AO7" s="354"/>
      <c r="AP7" s="354"/>
      <c r="AQ7" s="354"/>
      <c r="AR7" s="354"/>
      <c r="AS7" s="354"/>
      <c r="AT7" s="354"/>
      <c r="AU7" s="354"/>
      <c r="AV7" s="354"/>
      <c r="AW7" s="354"/>
      <c r="AX7" s="354"/>
      <c r="AY7" s="354"/>
      <c r="AZ7" s="354"/>
      <c r="BA7" s="354"/>
      <c r="BB7" s="354"/>
      <c r="BC7" s="354"/>
      <c r="BD7" s="354"/>
      <c r="BE7" s="354"/>
      <c r="BF7" s="354"/>
      <c r="BG7" s="354"/>
      <c r="BH7" s="354"/>
      <c r="BI7" s="354"/>
      <c r="BJ7" s="354"/>
      <c r="BK7" s="354"/>
      <c r="BL7" s="354"/>
      <c r="BM7" s="354"/>
      <c r="BN7" s="354"/>
      <c r="BO7" s="354"/>
      <c r="BP7" s="354"/>
      <c r="BQ7" s="354"/>
      <c r="BR7" s="354"/>
      <c r="BS7" s="354"/>
      <c r="BT7" s="354"/>
      <c r="BU7" s="354"/>
      <c r="BV7" s="354"/>
      <c r="BW7" s="354"/>
      <c r="BX7" s="354"/>
      <c r="BY7" s="354"/>
      <c r="BZ7" s="354"/>
      <c r="CA7" s="354"/>
      <c r="CB7" s="354"/>
      <c r="CC7" s="354"/>
      <c r="CD7" s="354"/>
      <c r="CE7" s="354"/>
      <c r="CF7" s="354"/>
      <c r="CG7" s="354"/>
      <c r="CH7" s="354"/>
      <c r="CI7" s="354"/>
      <c r="CJ7" s="354"/>
      <c r="CK7" s="354"/>
      <c r="CL7" s="354"/>
      <c r="CM7" s="354"/>
      <c r="CN7" s="354"/>
      <c r="CO7" s="354"/>
      <c r="CP7" s="354"/>
      <c r="CQ7" s="354"/>
      <c r="CR7" s="354"/>
      <c r="CS7" s="354"/>
      <c r="CT7" s="354"/>
      <c r="CU7" s="354"/>
      <c r="CV7" s="354"/>
      <c r="CW7" s="354"/>
      <c r="CX7" s="354"/>
      <c r="CY7" s="354"/>
      <c r="CZ7" s="354"/>
      <c r="DA7" s="354"/>
      <c r="DB7" s="354"/>
      <c r="DC7" s="354"/>
      <c r="DD7" s="354"/>
      <c r="DE7" s="354"/>
      <c r="DF7" s="354"/>
      <c r="DG7" s="354"/>
      <c r="DH7" s="354"/>
      <c r="DI7" s="354"/>
      <c r="DJ7" s="354"/>
      <c r="DK7" s="354"/>
      <c r="DL7" s="354"/>
      <c r="DM7" s="354"/>
      <c r="DN7" s="354"/>
      <c r="DO7" s="354"/>
      <c r="DP7" s="354"/>
      <c r="DQ7" s="354"/>
      <c r="DR7" s="354"/>
      <c r="DS7" s="354"/>
      <c r="DT7" s="354"/>
      <c r="DU7" s="354"/>
      <c r="DV7" s="354"/>
      <c r="DW7" s="354"/>
      <c r="DX7" s="354"/>
      <c r="DY7" s="354"/>
      <c r="DZ7" s="354"/>
      <c r="EA7" s="354"/>
      <c r="EB7" s="354"/>
      <c r="EC7" s="354"/>
      <c r="ED7" s="354"/>
      <c r="EE7" s="354"/>
      <c r="EF7" s="354"/>
      <c r="EG7" s="354"/>
      <c r="EH7" s="354"/>
      <c r="EI7" s="354"/>
      <c r="EJ7" s="354"/>
      <c r="EK7" s="354"/>
      <c r="EL7" s="354"/>
      <c r="EM7" s="354"/>
      <c r="EN7" s="354"/>
      <c r="EO7" s="354"/>
      <c r="EP7" s="354"/>
      <c r="EQ7" s="354"/>
      <c r="ER7" s="354"/>
      <c r="ES7" s="354"/>
      <c r="ET7" s="354"/>
      <c r="EU7" s="354"/>
      <c r="EV7" s="354"/>
      <c r="EW7" s="354"/>
      <c r="EX7" s="354"/>
      <c r="EY7" s="354"/>
      <c r="EZ7" s="354"/>
      <c r="FA7" s="354"/>
      <c r="FB7" s="354"/>
      <c r="FC7" s="354"/>
      <c r="FD7" s="354"/>
      <c r="FE7" s="354"/>
      <c r="FF7" s="354"/>
      <c r="FG7" s="354"/>
      <c r="FH7" s="354"/>
      <c r="FI7" s="354"/>
      <c r="FJ7" s="354"/>
      <c r="FK7" s="354"/>
      <c r="FL7" s="354"/>
      <c r="FM7" s="354"/>
      <c r="FN7" s="354"/>
      <c r="FO7" s="354"/>
      <c r="FP7" s="354"/>
      <c r="FQ7" s="354"/>
      <c r="FR7" s="354"/>
      <c r="FS7" s="354"/>
      <c r="FT7" s="354"/>
      <c r="FU7" s="354"/>
      <c r="FV7" s="354"/>
      <c r="FW7" s="354"/>
      <c r="FX7" s="354"/>
      <c r="FY7" s="354"/>
      <c r="FZ7" s="354"/>
      <c r="GA7" s="354"/>
      <c r="GB7" s="354"/>
      <c r="GC7" s="354"/>
      <c r="GD7" s="354"/>
      <c r="GE7" s="354"/>
      <c r="GF7" s="354"/>
      <c r="GG7" s="354"/>
      <c r="GH7" s="354"/>
      <c r="GI7" s="354"/>
      <c r="GJ7" s="354"/>
      <c r="GK7" s="354"/>
      <c r="GL7" s="354"/>
      <c r="GM7" s="354"/>
      <c r="GN7" s="354"/>
      <c r="GO7" s="354"/>
      <c r="GP7" s="354"/>
      <c r="GQ7" s="354"/>
      <c r="GR7" s="354"/>
      <c r="GS7" s="354"/>
      <c r="GT7" s="354"/>
      <c r="GU7" s="354"/>
      <c r="GV7" s="354"/>
      <c r="GW7" s="354"/>
      <c r="GX7" s="354"/>
      <c r="GY7" s="354"/>
      <c r="GZ7" s="354"/>
      <c r="HA7" s="354"/>
      <c r="HB7" s="354"/>
      <c r="HC7" s="354"/>
      <c r="HD7" s="354"/>
      <c r="HE7" s="354"/>
      <c r="HF7" s="354"/>
      <c r="HG7" s="354"/>
      <c r="HH7" s="354"/>
      <c r="HI7" s="354"/>
      <c r="HJ7" s="354"/>
      <c r="HK7" s="354"/>
      <c r="HL7" s="354"/>
      <c r="HM7" s="354"/>
      <c r="HN7" s="354"/>
      <c r="HO7" s="354"/>
      <c r="HP7" s="354"/>
      <c r="HQ7" s="354"/>
      <c r="HR7" s="354"/>
      <c r="HS7" s="354"/>
      <c r="HT7" s="354"/>
      <c r="HU7" s="354"/>
      <c r="HV7" s="354"/>
      <c r="HW7" s="354"/>
      <c r="HX7" s="354"/>
      <c r="HY7" s="354"/>
      <c r="HZ7" s="354"/>
      <c r="IA7" s="354"/>
      <c r="IB7" s="354"/>
      <c r="IC7" s="354"/>
      <c r="ID7" s="354"/>
      <c r="IE7" s="354"/>
      <c r="IF7" s="354"/>
      <c r="IG7" s="354"/>
      <c r="IH7" s="354"/>
      <c r="II7" s="354"/>
      <c r="IJ7" s="354"/>
      <c r="IK7" s="354"/>
      <c r="IL7" s="354"/>
      <c r="IM7" s="354"/>
      <c r="IN7" s="354"/>
      <c r="IO7" s="354"/>
    </row>
    <row r="8" spans="1:249" s="116" customFormat="1" ht="44.25" customHeight="1" x14ac:dyDescent="0.25">
      <c r="A8" s="177">
        <v>6</v>
      </c>
      <c r="B8" s="148" t="s">
        <v>112</v>
      </c>
      <c r="C8" s="149" t="s">
        <v>52</v>
      </c>
      <c r="D8" s="150" t="s">
        <v>66</v>
      </c>
      <c r="E8" s="181">
        <v>1604043</v>
      </c>
      <c r="F8" s="181" t="s">
        <v>84</v>
      </c>
      <c r="G8" s="150" t="s">
        <v>191</v>
      </c>
      <c r="H8" s="149" t="s">
        <v>46</v>
      </c>
      <c r="I8" s="182">
        <v>0.9</v>
      </c>
      <c r="J8" s="184" t="s">
        <v>264</v>
      </c>
      <c r="K8" s="188">
        <v>965330.72</v>
      </c>
      <c r="L8" s="167">
        <f>ROUND(K8*N8,2)</f>
        <v>579198.43000000005</v>
      </c>
      <c r="M8" s="363">
        <f t="shared" si="0"/>
        <v>386132.28999999992</v>
      </c>
      <c r="N8" s="257">
        <v>0.6</v>
      </c>
      <c r="O8" s="185">
        <v>0</v>
      </c>
      <c r="P8" s="187">
        <v>0</v>
      </c>
      <c r="Q8" s="179">
        <f>L8</f>
        <v>579198.43000000005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7">
        <v>0</v>
      </c>
      <c r="X8" s="187">
        <v>0</v>
      </c>
      <c r="Y8" s="292" t="b">
        <f t="shared" si="5"/>
        <v>1</v>
      </c>
      <c r="Z8" s="293">
        <f t="shared" si="6"/>
        <v>0.6</v>
      </c>
      <c r="AA8" s="294" t="b">
        <f t="shared" si="7"/>
        <v>1</v>
      </c>
      <c r="AB8" s="294" t="b">
        <f t="shared" si="8"/>
        <v>1</v>
      </c>
      <c r="AC8" s="353"/>
      <c r="AD8" s="354"/>
      <c r="AE8" s="354"/>
      <c r="AF8" s="354"/>
      <c r="AG8" s="354"/>
      <c r="AH8" s="354"/>
      <c r="AI8" s="354"/>
      <c r="AJ8" s="354"/>
      <c r="AK8" s="354"/>
      <c r="AL8" s="354"/>
      <c r="AM8" s="354"/>
      <c r="AN8" s="354"/>
      <c r="AO8" s="354"/>
      <c r="AP8" s="354"/>
      <c r="AQ8" s="354"/>
      <c r="AR8" s="354"/>
      <c r="AS8" s="354"/>
      <c r="AT8" s="354"/>
      <c r="AU8" s="354"/>
      <c r="AV8" s="354"/>
      <c r="AW8" s="354"/>
      <c r="AX8" s="354"/>
      <c r="AY8" s="354"/>
      <c r="AZ8" s="354"/>
      <c r="BA8" s="354"/>
      <c r="BB8" s="354"/>
      <c r="BC8" s="354"/>
      <c r="BD8" s="354"/>
      <c r="BE8" s="354"/>
      <c r="BF8" s="354"/>
      <c r="BG8" s="354"/>
      <c r="BH8" s="354"/>
      <c r="BI8" s="354"/>
      <c r="BJ8" s="354"/>
      <c r="BK8" s="354"/>
      <c r="BL8" s="354"/>
      <c r="BM8" s="354"/>
      <c r="BN8" s="354"/>
      <c r="BO8" s="354"/>
      <c r="BP8" s="354"/>
      <c r="BQ8" s="354"/>
      <c r="BR8" s="354"/>
      <c r="BS8" s="354"/>
      <c r="BT8" s="354"/>
      <c r="BU8" s="354"/>
      <c r="BV8" s="354"/>
      <c r="BW8" s="354"/>
      <c r="BX8" s="354"/>
      <c r="BY8" s="354"/>
      <c r="BZ8" s="354"/>
      <c r="CA8" s="354"/>
      <c r="CB8" s="354"/>
      <c r="CC8" s="354"/>
      <c r="CD8" s="354"/>
      <c r="CE8" s="354"/>
      <c r="CF8" s="354"/>
      <c r="CG8" s="354"/>
      <c r="CH8" s="354"/>
      <c r="CI8" s="354"/>
      <c r="CJ8" s="354"/>
      <c r="CK8" s="354"/>
      <c r="CL8" s="354"/>
      <c r="CM8" s="354"/>
      <c r="CN8" s="354"/>
      <c r="CO8" s="354"/>
      <c r="CP8" s="354"/>
      <c r="CQ8" s="354"/>
      <c r="CR8" s="354"/>
      <c r="CS8" s="354"/>
      <c r="CT8" s="354"/>
      <c r="CU8" s="354"/>
      <c r="CV8" s="354"/>
      <c r="CW8" s="354"/>
      <c r="CX8" s="354"/>
      <c r="CY8" s="354"/>
      <c r="CZ8" s="354"/>
      <c r="DA8" s="354"/>
      <c r="DB8" s="354"/>
      <c r="DC8" s="354"/>
      <c r="DD8" s="354"/>
      <c r="DE8" s="354"/>
      <c r="DF8" s="354"/>
      <c r="DG8" s="354"/>
      <c r="DH8" s="354"/>
      <c r="DI8" s="354"/>
      <c r="DJ8" s="354"/>
      <c r="DK8" s="354"/>
      <c r="DL8" s="354"/>
      <c r="DM8" s="354"/>
      <c r="DN8" s="354"/>
      <c r="DO8" s="354"/>
      <c r="DP8" s="354"/>
      <c r="DQ8" s="354"/>
      <c r="DR8" s="354"/>
      <c r="DS8" s="354"/>
      <c r="DT8" s="354"/>
      <c r="DU8" s="354"/>
      <c r="DV8" s="354"/>
      <c r="DW8" s="354"/>
      <c r="DX8" s="354"/>
      <c r="DY8" s="354"/>
      <c r="DZ8" s="354"/>
      <c r="EA8" s="354"/>
      <c r="EB8" s="354"/>
      <c r="EC8" s="354"/>
      <c r="ED8" s="354"/>
      <c r="EE8" s="354"/>
      <c r="EF8" s="354"/>
      <c r="EG8" s="354"/>
      <c r="EH8" s="354"/>
      <c r="EI8" s="354"/>
      <c r="EJ8" s="354"/>
      <c r="EK8" s="354"/>
      <c r="EL8" s="354"/>
      <c r="EM8" s="354"/>
      <c r="EN8" s="354"/>
      <c r="EO8" s="354"/>
      <c r="EP8" s="354"/>
      <c r="EQ8" s="354"/>
      <c r="ER8" s="354"/>
      <c r="ES8" s="354"/>
      <c r="ET8" s="354"/>
      <c r="EU8" s="354"/>
      <c r="EV8" s="354"/>
      <c r="EW8" s="354"/>
      <c r="EX8" s="354"/>
      <c r="EY8" s="354"/>
      <c r="EZ8" s="354"/>
      <c r="FA8" s="354"/>
      <c r="FB8" s="354"/>
      <c r="FC8" s="354"/>
      <c r="FD8" s="354"/>
      <c r="FE8" s="354"/>
      <c r="FF8" s="354"/>
      <c r="FG8" s="354"/>
      <c r="FH8" s="354"/>
      <c r="FI8" s="354"/>
      <c r="FJ8" s="354"/>
      <c r="FK8" s="354"/>
      <c r="FL8" s="354"/>
      <c r="FM8" s="354"/>
      <c r="FN8" s="354"/>
      <c r="FO8" s="354"/>
      <c r="FP8" s="354"/>
      <c r="FQ8" s="354"/>
      <c r="FR8" s="354"/>
      <c r="FS8" s="354"/>
      <c r="FT8" s="354"/>
      <c r="FU8" s="354"/>
      <c r="FV8" s="354"/>
      <c r="FW8" s="354"/>
      <c r="FX8" s="354"/>
      <c r="FY8" s="354"/>
      <c r="FZ8" s="354"/>
      <c r="GA8" s="354"/>
      <c r="GB8" s="354"/>
      <c r="GC8" s="354"/>
      <c r="GD8" s="354"/>
      <c r="GE8" s="354"/>
      <c r="GF8" s="354"/>
      <c r="GG8" s="354"/>
      <c r="GH8" s="354"/>
      <c r="GI8" s="354"/>
      <c r="GJ8" s="354"/>
      <c r="GK8" s="354"/>
      <c r="GL8" s="354"/>
      <c r="GM8" s="354"/>
      <c r="GN8" s="354"/>
      <c r="GO8" s="354"/>
      <c r="GP8" s="354"/>
      <c r="GQ8" s="354"/>
      <c r="GR8" s="354"/>
      <c r="GS8" s="354"/>
      <c r="GT8" s="354"/>
      <c r="GU8" s="354"/>
      <c r="GV8" s="354"/>
      <c r="GW8" s="354"/>
      <c r="GX8" s="354"/>
      <c r="GY8" s="354"/>
      <c r="GZ8" s="354"/>
      <c r="HA8" s="354"/>
      <c r="HB8" s="354"/>
      <c r="HC8" s="354"/>
      <c r="HD8" s="354"/>
      <c r="HE8" s="354"/>
      <c r="HF8" s="354"/>
      <c r="HG8" s="354"/>
      <c r="HH8" s="354"/>
      <c r="HI8" s="354"/>
      <c r="HJ8" s="354"/>
      <c r="HK8" s="354"/>
      <c r="HL8" s="354"/>
      <c r="HM8" s="354"/>
      <c r="HN8" s="354"/>
      <c r="HO8" s="354"/>
      <c r="HP8" s="354"/>
      <c r="HQ8" s="354"/>
      <c r="HR8" s="354"/>
      <c r="HS8" s="354"/>
      <c r="HT8" s="354"/>
      <c r="HU8" s="354"/>
      <c r="HV8" s="354"/>
      <c r="HW8" s="354"/>
      <c r="HX8" s="354"/>
      <c r="HY8" s="354"/>
      <c r="HZ8" s="354"/>
      <c r="IA8" s="354"/>
      <c r="IB8" s="354"/>
      <c r="IC8" s="354"/>
      <c r="ID8" s="354"/>
      <c r="IE8" s="354"/>
      <c r="IF8" s="354"/>
      <c r="IG8" s="354"/>
      <c r="IH8" s="354"/>
      <c r="II8" s="354"/>
      <c r="IJ8" s="354"/>
      <c r="IK8" s="354"/>
      <c r="IL8" s="354"/>
      <c r="IM8" s="354"/>
      <c r="IN8" s="354"/>
      <c r="IO8" s="354"/>
    </row>
    <row r="9" spans="1:249" s="127" customFormat="1" ht="44.25" customHeight="1" x14ac:dyDescent="0.25">
      <c r="A9" s="258">
        <v>7</v>
      </c>
      <c r="B9" s="148" t="s">
        <v>158</v>
      </c>
      <c r="C9" s="196" t="s">
        <v>52</v>
      </c>
      <c r="D9" s="150" t="s">
        <v>67</v>
      </c>
      <c r="E9" s="181">
        <v>1610044</v>
      </c>
      <c r="F9" s="181" t="s">
        <v>49</v>
      </c>
      <c r="G9" s="150" t="s">
        <v>258</v>
      </c>
      <c r="H9" s="200" t="s">
        <v>46</v>
      </c>
      <c r="I9" s="183">
        <v>0.193</v>
      </c>
      <c r="J9" s="149" t="s">
        <v>331</v>
      </c>
      <c r="K9" s="188">
        <v>490000</v>
      </c>
      <c r="L9" s="167">
        <f t="shared" si="9"/>
        <v>392000</v>
      </c>
      <c r="M9" s="363">
        <f t="shared" ref="M9:M28" si="10">K9-L9</f>
        <v>98000</v>
      </c>
      <c r="N9" s="257">
        <v>0.8</v>
      </c>
      <c r="O9" s="185">
        <v>0</v>
      </c>
      <c r="P9" s="187">
        <v>0</v>
      </c>
      <c r="Q9" s="179">
        <f t="shared" ref="Q9:Q44" si="11">L9</f>
        <v>392000</v>
      </c>
      <c r="R9" s="185">
        <v>0</v>
      </c>
      <c r="S9" s="185">
        <v>0</v>
      </c>
      <c r="T9" s="185">
        <v>0</v>
      </c>
      <c r="U9" s="185">
        <v>0</v>
      </c>
      <c r="V9" s="185">
        <v>0</v>
      </c>
      <c r="W9" s="187">
        <v>0</v>
      </c>
      <c r="X9" s="187">
        <v>0</v>
      </c>
      <c r="Y9" s="292" t="b">
        <f t="shared" si="5"/>
        <v>1</v>
      </c>
      <c r="Z9" s="293">
        <f t="shared" si="6"/>
        <v>0.8</v>
      </c>
      <c r="AA9" s="294" t="b">
        <f t="shared" si="7"/>
        <v>1</v>
      </c>
      <c r="AB9" s="294" t="b">
        <f t="shared" si="8"/>
        <v>1</v>
      </c>
      <c r="AC9" s="355"/>
      <c r="AD9" s="356"/>
      <c r="AE9" s="356"/>
      <c r="AF9" s="356"/>
      <c r="AG9" s="356"/>
      <c r="AH9" s="356"/>
      <c r="AI9" s="356"/>
      <c r="AJ9" s="356"/>
      <c r="AK9" s="356"/>
      <c r="AL9" s="356"/>
      <c r="AM9" s="356"/>
      <c r="AN9" s="356"/>
      <c r="AO9" s="356"/>
      <c r="AP9" s="356"/>
      <c r="AQ9" s="356"/>
      <c r="AR9" s="356"/>
      <c r="AS9" s="356"/>
      <c r="AT9" s="356"/>
      <c r="AU9" s="356"/>
      <c r="AV9" s="356"/>
      <c r="AW9" s="356"/>
      <c r="AX9" s="356"/>
      <c r="AY9" s="356"/>
      <c r="AZ9" s="356"/>
      <c r="BA9" s="356"/>
      <c r="BB9" s="356"/>
      <c r="BC9" s="356"/>
      <c r="BD9" s="356"/>
      <c r="BE9" s="356"/>
      <c r="BF9" s="356"/>
      <c r="BG9" s="356"/>
      <c r="BH9" s="356"/>
      <c r="BI9" s="356"/>
      <c r="BJ9" s="356"/>
      <c r="BK9" s="356"/>
      <c r="BL9" s="356"/>
      <c r="BM9" s="356"/>
      <c r="BN9" s="356"/>
      <c r="BO9" s="356"/>
      <c r="BP9" s="356"/>
      <c r="BQ9" s="356"/>
      <c r="BR9" s="356"/>
      <c r="BS9" s="356"/>
      <c r="BT9" s="356"/>
      <c r="BU9" s="356"/>
      <c r="BV9" s="356"/>
      <c r="BW9" s="356"/>
      <c r="BX9" s="356"/>
      <c r="BY9" s="356"/>
      <c r="BZ9" s="356"/>
      <c r="CA9" s="356"/>
      <c r="CB9" s="356"/>
      <c r="CC9" s="356"/>
      <c r="CD9" s="356"/>
      <c r="CE9" s="356"/>
      <c r="CF9" s="356"/>
      <c r="CG9" s="356"/>
      <c r="CH9" s="356"/>
      <c r="CI9" s="356"/>
      <c r="CJ9" s="356"/>
      <c r="CK9" s="356"/>
      <c r="CL9" s="356"/>
      <c r="CM9" s="356"/>
      <c r="CN9" s="356"/>
      <c r="CO9" s="356"/>
      <c r="CP9" s="356"/>
      <c r="CQ9" s="356"/>
      <c r="CR9" s="356"/>
      <c r="CS9" s="356"/>
      <c r="CT9" s="356"/>
      <c r="CU9" s="356"/>
      <c r="CV9" s="356"/>
      <c r="CW9" s="356"/>
      <c r="CX9" s="356"/>
      <c r="CY9" s="356"/>
      <c r="CZ9" s="356"/>
      <c r="DA9" s="356"/>
      <c r="DB9" s="356"/>
      <c r="DC9" s="356"/>
      <c r="DD9" s="356"/>
      <c r="DE9" s="356"/>
      <c r="DF9" s="356"/>
      <c r="DG9" s="356"/>
      <c r="DH9" s="356"/>
      <c r="DI9" s="356"/>
      <c r="DJ9" s="356"/>
      <c r="DK9" s="356"/>
      <c r="DL9" s="356"/>
      <c r="DM9" s="356"/>
      <c r="DN9" s="356"/>
      <c r="DO9" s="356"/>
      <c r="DP9" s="356"/>
      <c r="DQ9" s="356"/>
      <c r="DR9" s="356"/>
      <c r="DS9" s="356"/>
      <c r="DT9" s="356"/>
      <c r="DU9" s="356"/>
      <c r="DV9" s="356"/>
      <c r="DW9" s="356"/>
      <c r="DX9" s="356"/>
      <c r="DY9" s="356"/>
      <c r="DZ9" s="356"/>
      <c r="EA9" s="356"/>
      <c r="EB9" s="356"/>
      <c r="EC9" s="356"/>
      <c r="ED9" s="356"/>
      <c r="EE9" s="356"/>
      <c r="EF9" s="356"/>
      <c r="EG9" s="356"/>
      <c r="EH9" s="356"/>
      <c r="EI9" s="356"/>
      <c r="EJ9" s="356"/>
      <c r="EK9" s="356"/>
      <c r="EL9" s="356"/>
      <c r="EM9" s="356"/>
      <c r="EN9" s="356"/>
      <c r="EO9" s="356"/>
      <c r="EP9" s="356"/>
      <c r="EQ9" s="356"/>
      <c r="ER9" s="356"/>
      <c r="ES9" s="356"/>
      <c r="ET9" s="356"/>
      <c r="EU9" s="356"/>
      <c r="EV9" s="356"/>
      <c r="EW9" s="356"/>
      <c r="EX9" s="356"/>
      <c r="EY9" s="356"/>
      <c r="EZ9" s="356"/>
      <c r="FA9" s="356"/>
      <c r="FB9" s="356"/>
      <c r="FC9" s="356"/>
      <c r="FD9" s="356"/>
      <c r="FE9" s="356"/>
      <c r="FF9" s="356"/>
      <c r="FG9" s="356"/>
      <c r="FH9" s="356"/>
      <c r="FI9" s="356"/>
      <c r="FJ9" s="356"/>
      <c r="FK9" s="356"/>
      <c r="FL9" s="356"/>
      <c r="FM9" s="356"/>
      <c r="FN9" s="356"/>
      <c r="FO9" s="356"/>
      <c r="FP9" s="356"/>
      <c r="FQ9" s="356"/>
      <c r="FR9" s="356"/>
      <c r="FS9" s="356"/>
      <c r="FT9" s="356"/>
      <c r="FU9" s="356"/>
      <c r="FV9" s="356"/>
      <c r="FW9" s="356"/>
      <c r="FX9" s="356"/>
      <c r="FY9" s="356"/>
      <c r="FZ9" s="356"/>
      <c r="GA9" s="356"/>
      <c r="GB9" s="356"/>
      <c r="GC9" s="356"/>
      <c r="GD9" s="356"/>
      <c r="GE9" s="356"/>
      <c r="GF9" s="356"/>
      <c r="GG9" s="356"/>
      <c r="GH9" s="356"/>
      <c r="GI9" s="356"/>
      <c r="GJ9" s="356"/>
      <c r="GK9" s="356"/>
      <c r="GL9" s="356"/>
      <c r="GM9" s="356"/>
      <c r="GN9" s="356"/>
      <c r="GO9" s="356"/>
      <c r="GP9" s="356"/>
      <c r="GQ9" s="356"/>
      <c r="GR9" s="356"/>
      <c r="GS9" s="356"/>
      <c r="GT9" s="356"/>
      <c r="GU9" s="356"/>
      <c r="GV9" s="356"/>
      <c r="GW9" s="356"/>
      <c r="GX9" s="356"/>
      <c r="GY9" s="356"/>
      <c r="GZ9" s="356"/>
      <c r="HA9" s="356"/>
      <c r="HB9" s="356"/>
      <c r="HC9" s="356"/>
      <c r="HD9" s="356"/>
      <c r="HE9" s="356"/>
      <c r="HF9" s="356"/>
      <c r="HG9" s="356"/>
      <c r="HH9" s="356"/>
      <c r="HI9" s="356"/>
      <c r="HJ9" s="356"/>
      <c r="HK9" s="356"/>
      <c r="HL9" s="356"/>
      <c r="HM9" s="356"/>
      <c r="HN9" s="356"/>
      <c r="HO9" s="356"/>
      <c r="HP9" s="356"/>
      <c r="HQ9" s="356"/>
      <c r="HR9" s="356"/>
      <c r="HS9" s="356"/>
      <c r="HT9" s="356"/>
      <c r="HU9" s="356"/>
      <c r="HV9" s="356"/>
      <c r="HW9" s="356"/>
      <c r="HX9" s="356"/>
      <c r="HY9" s="356"/>
      <c r="HZ9" s="356"/>
      <c r="IA9" s="356"/>
      <c r="IB9" s="356"/>
      <c r="IC9" s="356"/>
      <c r="ID9" s="356"/>
      <c r="IE9" s="356"/>
      <c r="IF9" s="356"/>
      <c r="IG9" s="356"/>
      <c r="IH9" s="356"/>
      <c r="II9" s="356"/>
      <c r="IJ9" s="356"/>
      <c r="IK9" s="356"/>
      <c r="IL9" s="356"/>
      <c r="IM9" s="356"/>
      <c r="IN9" s="356"/>
      <c r="IO9" s="356"/>
    </row>
    <row r="10" spans="1:249" s="32" customFormat="1" ht="35.25" customHeight="1" x14ac:dyDescent="0.25">
      <c r="A10" s="177">
        <v>8</v>
      </c>
      <c r="B10" s="148" t="s">
        <v>115</v>
      </c>
      <c r="C10" s="153" t="s">
        <v>52</v>
      </c>
      <c r="D10" s="150" t="s">
        <v>107</v>
      </c>
      <c r="E10" s="149">
        <v>1609022</v>
      </c>
      <c r="F10" s="149" t="s">
        <v>55</v>
      </c>
      <c r="G10" s="150" t="s">
        <v>192</v>
      </c>
      <c r="H10" s="149" t="s">
        <v>46</v>
      </c>
      <c r="I10" s="182">
        <v>0.52</v>
      </c>
      <c r="J10" s="184" t="s">
        <v>266</v>
      </c>
      <c r="K10" s="189">
        <v>884159.66</v>
      </c>
      <c r="L10" s="167">
        <f t="shared" si="9"/>
        <v>530495.80000000005</v>
      </c>
      <c r="M10" s="167">
        <f t="shared" si="10"/>
        <v>353663.86</v>
      </c>
      <c r="N10" s="131">
        <v>0.6</v>
      </c>
      <c r="O10" s="185">
        <v>0</v>
      </c>
      <c r="P10" s="187">
        <v>0</v>
      </c>
      <c r="Q10" s="185">
        <f>L10</f>
        <v>530495.80000000005</v>
      </c>
      <c r="R10" s="185">
        <v>0</v>
      </c>
      <c r="S10" s="185">
        <v>0</v>
      </c>
      <c r="T10" s="185">
        <v>0</v>
      </c>
      <c r="U10" s="185">
        <v>0</v>
      </c>
      <c r="V10" s="185">
        <v>0</v>
      </c>
      <c r="W10" s="187">
        <v>0</v>
      </c>
      <c r="X10" s="187">
        <v>0</v>
      </c>
      <c r="Y10" s="292" t="b">
        <f t="shared" si="5"/>
        <v>1</v>
      </c>
      <c r="Z10" s="293">
        <f t="shared" si="6"/>
        <v>0.6</v>
      </c>
      <c r="AA10" s="294" t="b">
        <f t="shared" si="7"/>
        <v>1</v>
      </c>
      <c r="AB10" s="294" t="b">
        <f t="shared" si="8"/>
        <v>1</v>
      </c>
    </row>
    <row r="11" spans="1:249" s="115" customFormat="1" ht="35.25" customHeight="1" x14ac:dyDescent="0.25">
      <c r="A11" s="258">
        <v>9</v>
      </c>
      <c r="B11" s="148" t="s">
        <v>113</v>
      </c>
      <c r="C11" s="153" t="s">
        <v>52</v>
      </c>
      <c r="D11" s="150" t="s">
        <v>51</v>
      </c>
      <c r="E11" s="149">
        <v>1601033</v>
      </c>
      <c r="F11" s="149" t="s">
        <v>48</v>
      </c>
      <c r="G11" s="150" t="s">
        <v>193</v>
      </c>
      <c r="H11" s="149" t="s">
        <v>255</v>
      </c>
      <c r="I11" s="182">
        <v>0.49099999999999999</v>
      </c>
      <c r="J11" s="184" t="s">
        <v>265</v>
      </c>
      <c r="K11" s="188">
        <v>799005.31</v>
      </c>
      <c r="L11" s="167">
        <f t="shared" si="9"/>
        <v>479403.19</v>
      </c>
      <c r="M11" s="363">
        <f t="shared" si="10"/>
        <v>319602.12000000005</v>
      </c>
      <c r="N11" s="131">
        <v>0.6</v>
      </c>
      <c r="O11" s="185">
        <v>0</v>
      </c>
      <c r="P11" s="187">
        <v>0</v>
      </c>
      <c r="Q11" s="179">
        <f t="shared" si="11"/>
        <v>479403.19</v>
      </c>
      <c r="R11" s="185">
        <v>0</v>
      </c>
      <c r="S11" s="185">
        <v>0</v>
      </c>
      <c r="T11" s="185">
        <v>0</v>
      </c>
      <c r="U11" s="185">
        <v>0</v>
      </c>
      <c r="V11" s="185">
        <v>0</v>
      </c>
      <c r="W11" s="187">
        <v>0</v>
      </c>
      <c r="X11" s="187">
        <v>0</v>
      </c>
      <c r="Y11" s="292" t="b">
        <f t="shared" si="5"/>
        <v>1</v>
      </c>
      <c r="Z11" s="293">
        <f t="shared" si="6"/>
        <v>0.6</v>
      </c>
      <c r="AA11" s="294" t="b">
        <f t="shared" si="7"/>
        <v>1</v>
      </c>
      <c r="AB11" s="294" t="b">
        <f t="shared" si="8"/>
        <v>1</v>
      </c>
    </row>
    <row r="12" spans="1:249" s="32" customFormat="1" ht="35.25" customHeight="1" x14ac:dyDescent="0.25">
      <c r="A12" s="302">
        <v>10</v>
      </c>
      <c r="B12" s="155" t="s">
        <v>114</v>
      </c>
      <c r="C12" s="156" t="s">
        <v>89</v>
      </c>
      <c r="D12" s="157" t="s">
        <v>50</v>
      </c>
      <c r="E12" s="128">
        <v>1607053</v>
      </c>
      <c r="F12" s="128" t="s">
        <v>45</v>
      </c>
      <c r="G12" s="157" t="s">
        <v>194</v>
      </c>
      <c r="H12" s="128" t="s">
        <v>46</v>
      </c>
      <c r="I12" s="201">
        <v>0.25700000000000001</v>
      </c>
      <c r="J12" s="222" t="s">
        <v>327</v>
      </c>
      <c r="K12" s="362">
        <v>4184092.92</v>
      </c>
      <c r="L12" s="186">
        <f t="shared" si="9"/>
        <v>3347274.34</v>
      </c>
      <c r="M12" s="374">
        <f t="shared" si="10"/>
        <v>836818.58000000007</v>
      </c>
      <c r="N12" s="158">
        <v>0.8</v>
      </c>
      <c r="O12" s="186">
        <v>0</v>
      </c>
      <c r="P12" s="204">
        <v>0</v>
      </c>
      <c r="Q12" s="180">
        <f>2269759.24</f>
        <v>2269759.2400000002</v>
      </c>
      <c r="R12" s="180">
        <f>L12-Q12</f>
        <v>1077515.0999999996</v>
      </c>
      <c r="S12" s="186">
        <v>0</v>
      </c>
      <c r="T12" s="186">
        <v>0</v>
      </c>
      <c r="U12" s="186">
        <v>0</v>
      </c>
      <c r="V12" s="186">
        <v>0</v>
      </c>
      <c r="W12" s="204">
        <v>0</v>
      </c>
      <c r="X12" s="204">
        <v>0</v>
      </c>
      <c r="Y12" s="292" t="b">
        <f t="shared" si="5"/>
        <v>1</v>
      </c>
      <c r="Z12" s="293">
        <f t="shared" si="6"/>
        <v>0.8</v>
      </c>
      <c r="AA12" s="294" t="b">
        <f t="shared" si="7"/>
        <v>1</v>
      </c>
      <c r="AB12" s="294" t="b">
        <f t="shared" si="8"/>
        <v>1</v>
      </c>
    </row>
    <row r="13" spans="1:249" s="32" customFormat="1" ht="35.25" customHeight="1" x14ac:dyDescent="0.25">
      <c r="A13" s="258">
        <v>11</v>
      </c>
      <c r="B13" s="148" t="s">
        <v>116</v>
      </c>
      <c r="C13" s="153" t="s">
        <v>52</v>
      </c>
      <c r="D13" s="150" t="s">
        <v>71</v>
      </c>
      <c r="E13" s="149">
        <v>1605013</v>
      </c>
      <c r="F13" s="149" t="s">
        <v>59</v>
      </c>
      <c r="G13" s="150" t="s">
        <v>195</v>
      </c>
      <c r="H13" s="149" t="s">
        <v>46</v>
      </c>
      <c r="I13" s="182">
        <v>0.96699999999999997</v>
      </c>
      <c r="J13" s="184" t="s">
        <v>308</v>
      </c>
      <c r="K13" s="188">
        <v>1792950.9</v>
      </c>
      <c r="L13" s="167">
        <f t="shared" si="9"/>
        <v>896475.45</v>
      </c>
      <c r="M13" s="363">
        <f t="shared" si="10"/>
        <v>896475.45</v>
      </c>
      <c r="N13" s="131">
        <v>0.5</v>
      </c>
      <c r="O13" s="185">
        <v>0</v>
      </c>
      <c r="P13" s="187">
        <v>0</v>
      </c>
      <c r="Q13" s="179">
        <f t="shared" si="11"/>
        <v>896475.45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7">
        <v>0</v>
      </c>
      <c r="X13" s="187">
        <v>0</v>
      </c>
      <c r="Y13" s="292" t="b">
        <f t="shared" si="5"/>
        <v>1</v>
      </c>
      <c r="Z13" s="293">
        <f t="shared" si="6"/>
        <v>0.5</v>
      </c>
      <c r="AA13" s="294" t="b">
        <f t="shared" si="7"/>
        <v>1</v>
      </c>
      <c r="AB13" s="294" t="b">
        <f t="shared" si="8"/>
        <v>1</v>
      </c>
    </row>
    <row r="14" spans="1:249" s="32" customFormat="1" ht="54.75" customHeight="1" x14ac:dyDescent="0.25">
      <c r="A14" s="177">
        <v>12</v>
      </c>
      <c r="B14" s="148" t="s">
        <v>117</v>
      </c>
      <c r="C14" s="153" t="s">
        <v>52</v>
      </c>
      <c r="D14" s="150" t="s">
        <v>108</v>
      </c>
      <c r="E14" s="149">
        <v>1609123</v>
      </c>
      <c r="F14" s="149" t="s">
        <v>55</v>
      </c>
      <c r="G14" s="150" t="s">
        <v>197</v>
      </c>
      <c r="H14" s="149" t="s">
        <v>46</v>
      </c>
      <c r="I14" s="182">
        <v>0.14599999999999999</v>
      </c>
      <c r="J14" s="184" t="s">
        <v>272</v>
      </c>
      <c r="K14" s="188">
        <v>609539.56000000006</v>
      </c>
      <c r="L14" s="167">
        <f>ROUND(K14*N14,2)</f>
        <v>426677.69</v>
      </c>
      <c r="M14" s="363">
        <f>K14-L14</f>
        <v>182861.87000000005</v>
      </c>
      <c r="N14" s="131">
        <v>0.7</v>
      </c>
      <c r="O14" s="185">
        <v>0</v>
      </c>
      <c r="P14" s="187">
        <v>0</v>
      </c>
      <c r="Q14" s="179">
        <f>L14</f>
        <v>426677.69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7">
        <v>0</v>
      </c>
      <c r="X14" s="187">
        <v>0</v>
      </c>
      <c r="Y14" s="292" t="b">
        <f t="shared" si="5"/>
        <v>1</v>
      </c>
      <c r="Z14" s="293">
        <f t="shared" si="6"/>
        <v>0.7</v>
      </c>
      <c r="AA14" s="294" t="b">
        <f t="shared" si="7"/>
        <v>1</v>
      </c>
      <c r="AB14" s="294" t="b">
        <f t="shared" si="8"/>
        <v>1</v>
      </c>
    </row>
    <row r="15" spans="1:249" s="32" customFormat="1" ht="39.75" customHeight="1" x14ac:dyDescent="0.25">
      <c r="A15" s="295">
        <v>13</v>
      </c>
      <c r="B15" s="155" t="s">
        <v>118</v>
      </c>
      <c r="C15" s="156" t="s">
        <v>89</v>
      </c>
      <c r="D15" s="157" t="s">
        <v>76</v>
      </c>
      <c r="E15" s="128">
        <v>1605023</v>
      </c>
      <c r="F15" s="128" t="s">
        <v>269</v>
      </c>
      <c r="G15" s="157" t="s">
        <v>196</v>
      </c>
      <c r="H15" s="128" t="s">
        <v>255</v>
      </c>
      <c r="I15" s="201">
        <v>3.5409999999999999</v>
      </c>
      <c r="J15" s="222" t="s">
        <v>345</v>
      </c>
      <c r="K15" s="362">
        <v>11292507</v>
      </c>
      <c r="L15" s="186">
        <f t="shared" si="9"/>
        <v>6775504.2000000002</v>
      </c>
      <c r="M15" s="186">
        <f t="shared" si="10"/>
        <v>4517002.8</v>
      </c>
      <c r="N15" s="158">
        <v>0.6</v>
      </c>
      <c r="O15" s="186">
        <v>0</v>
      </c>
      <c r="P15" s="204">
        <v>0</v>
      </c>
      <c r="Q15" s="186">
        <f>ROUND(N15*6874101.38,2)</f>
        <v>4124460.83</v>
      </c>
      <c r="R15" s="186">
        <f>L15-Q15</f>
        <v>2651043.37</v>
      </c>
      <c r="S15" s="186">
        <v>0</v>
      </c>
      <c r="T15" s="186">
        <v>0</v>
      </c>
      <c r="U15" s="186">
        <v>0</v>
      </c>
      <c r="V15" s="186">
        <v>0</v>
      </c>
      <c r="W15" s="204">
        <v>0</v>
      </c>
      <c r="X15" s="204">
        <v>0</v>
      </c>
      <c r="Y15" s="292" t="b">
        <f t="shared" si="5"/>
        <v>1</v>
      </c>
      <c r="Z15" s="293">
        <f t="shared" si="6"/>
        <v>0.6</v>
      </c>
      <c r="AA15" s="294" t="b">
        <f t="shared" si="7"/>
        <v>1</v>
      </c>
      <c r="AB15" s="294" t="b">
        <f t="shared" si="8"/>
        <v>1</v>
      </c>
    </row>
    <row r="16" spans="1:249" s="32" customFormat="1" ht="36.75" customHeight="1" x14ac:dyDescent="0.25">
      <c r="A16" s="177">
        <v>14</v>
      </c>
      <c r="B16" s="148" t="s">
        <v>123</v>
      </c>
      <c r="C16" s="153" t="s">
        <v>52</v>
      </c>
      <c r="D16" s="150" t="s">
        <v>109</v>
      </c>
      <c r="E16" s="149">
        <v>1610023</v>
      </c>
      <c r="F16" s="149" t="s">
        <v>270</v>
      </c>
      <c r="G16" s="150" t="s">
        <v>198</v>
      </c>
      <c r="H16" s="149" t="s">
        <v>46</v>
      </c>
      <c r="I16" s="182">
        <v>0.186</v>
      </c>
      <c r="J16" s="184" t="s">
        <v>265</v>
      </c>
      <c r="K16" s="188">
        <v>900000</v>
      </c>
      <c r="L16" s="167">
        <f t="shared" si="9"/>
        <v>630000</v>
      </c>
      <c r="M16" s="363">
        <f t="shared" si="10"/>
        <v>270000</v>
      </c>
      <c r="N16" s="131">
        <v>0.7</v>
      </c>
      <c r="O16" s="185">
        <v>0</v>
      </c>
      <c r="P16" s="187">
        <v>0</v>
      </c>
      <c r="Q16" s="179">
        <f t="shared" si="11"/>
        <v>630000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7">
        <v>0</v>
      </c>
      <c r="X16" s="187">
        <v>0</v>
      </c>
      <c r="Y16" s="292" t="b">
        <f t="shared" si="5"/>
        <v>1</v>
      </c>
      <c r="Z16" s="293">
        <f t="shared" si="6"/>
        <v>0.7</v>
      </c>
      <c r="AA16" s="294" t="b">
        <f t="shared" si="7"/>
        <v>1</v>
      </c>
      <c r="AB16" s="294" t="b">
        <f t="shared" si="8"/>
        <v>1</v>
      </c>
    </row>
    <row r="17" spans="1:28" s="32" customFormat="1" ht="36.75" customHeight="1" x14ac:dyDescent="0.25">
      <c r="A17" s="258">
        <v>15</v>
      </c>
      <c r="B17" s="148" t="s">
        <v>119</v>
      </c>
      <c r="C17" s="153" t="s">
        <v>52</v>
      </c>
      <c r="D17" s="150" t="s">
        <v>66</v>
      </c>
      <c r="E17" s="149">
        <v>1604043</v>
      </c>
      <c r="F17" s="181" t="s">
        <v>84</v>
      </c>
      <c r="G17" s="252" t="s">
        <v>199</v>
      </c>
      <c r="H17" s="149" t="s">
        <v>46</v>
      </c>
      <c r="I17" s="182">
        <v>0.998</v>
      </c>
      <c r="J17" s="184" t="s">
        <v>264</v>
      </c>
      <c r="K17" s="188">
        <v>907072.77</v>
      </c>
      <c r="L17" s="167">
        <f t="shared" si="9"/>
        <v>544243.66</v>
      </c>
      <c r="M17" s="363">
        <f t="shared" si="10"/>
        <v>362829.11</v>
      </c>
      <c r="N17" s="131">
        <v>0.6</v>
      </c>
      <c r="O17" s="185">
        <v>0</v>
      </c>
      <c r="P17" s="187">
        <v>0</v>
      </c>
      <c r="Q17" s="179">
        <f t="shared" si="11"/>
        <v>544243.66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7">
        <v>0</v>
      </c>
      <c r="X17" s="187">
        <v>0</v>
      </c>
      <c r="Y17" s="292" t="b">
        <f t="shared" si="5"/>
        <v>1</v>
      </c>
      <c r="Z17" s="293">
        <f t="shared" si="6"/>
        <v>0.6</v>
      </c>
      <c r="AA17" s="294" t="b">
        <f t="shared" si="7"/>
        <v>1</v>
      </c>
      <c r="AB17" s="294" t="b">
        <f t="shared" si="8"/>
        <v>1</v>
      </c>
    </row>
    <row r="18" spans="1:28" s="32" customFormat="1" ht="36.75" customHeight="1" x14ac:dyDescent="0.25">
      <c r="A18" s="177">
        <v>16</v>
      </c>
      <c r="B18" s="148" t="s">
        <v>159</v>
      </c>
      <c r="C18" s="153" t="s">
        <v>52</v>
      </c>
      <c r="D18" s="150" t="s">
        <v>120</v>
      </c>
      <c r="E18" s="149">
        <v>1608033</v>
      </c>
      <c r="F18" s="149" t="s">
        <v>56</v>
      </c>
      <c r="G18" s="150" t="s">
        <v>201</v>
      </c>
      <c r="H18" s="149" t="s">
        <v>255</v>
      </c>
      <c r="I18" s="182">
        <v>0.18</v>
      </c>
      <c r="J18" s="203" t="s">
        <v>262</v>
      </c>
      <c r="K18" s="188">
        <v>465056.92</v>
      </c>
      <c r="L18" s="167">
        <f>ROUND(K18*N18,2)</f>
        <v>325539.84000000003</v>
      </c>
      <c r="M18" s="363">
        <f>K18-L18</f>
        <v>139517.07999999996</v>
      </c>
      <c r="N18" s="131">
        <v>0.7</v>
      </c>
      <c r="O18" s="185">
        <v>0</v>
      </c>
      <c r="P18" s="187">
        <v>0</v>
      </c>
      <c r="Q18" s="179">
        <f>L18</f>
        <v>325539.84000000003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7">
        <v>0</v>
      </c>
      <c r="X18" s="187">
        <v>0</v>
      </c>
      <c r="Y18" s="292" t="b">
        <f t="shared" si="5"/>
        <v>1</v>
      </c>
      <c r="Z18" s="293">
        <f t="shared" si="6"/>
        <v>0.7</v>
      </c>
      <c r="AA18" s="294" t="b">
        <f t="shared" si="7"/>
        <v>1</v>
      </c>
      <c r="AB18" s="294" t="b">
        <f t="shared" si="8"/>
        <v>1</v>
      </c>
    </row>
    <row r="19" spans="1:28" s="32" customFormat="1" ht="36.75" customHeight="1" x14ac:dyDescent="0.25">
      <c r="A19" s="258">
        <v>17</v>
      </c>
      <c r="B19" s="148" t="s">
        <v>124</v>
      </c>
      <c r="C19" s="153" t="s">
        <v>52</v>
      </c>
      <c r="D19" s="150" t="s">
        <v>65</v>
      </c>
      <c r="E19" s="149">
        <v>1609012</v>
      </c>
      <c r="F19" s="149" t="s">
        <v>55</v>
      </c>
      <c r="G19" s="150" t="s">
        <v>200</v>
      </c>
      <c r="H19" s="149" t="s">
        <v>46</v>
      </c>
      <c r="I19" s="182">
        <v>0.245</v>
      </c>
      <c r="J19" s="184" t="s">
        <v>266</v>
      </c>
      <c r="K19" s="188">
        <v>320266.5</v>
      </c>
      <c r="L19" s="167">
        <f t="shared" si="9"/>
        <v>160133.25</v>
      </c>
      <c r="M19" s="363">
        <f t="shared" si="10"/>
        <v>160133.25</v>
      </c>
      <c r="N19" s="131">
        <v>0.5</v>
      </c>
      <c r="O19" s="185">
        <v>0</v>
      </c>
      <c r="P19" s="187">
        <v>0</v>
      </c>
      <c r="Q19" s="179">
        <f t="shared" si="11"/>
        <v>160133.25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7">
        <v>0</v>
      </c>
      <c r="X19" s="187">
        <v>0</v>
      </c>
      <c r="Y19" s="292" t="b">
        <f t="shared" si="5"/>
        <v>1</v>
      </c>
      <c r="Z19" s="293">
        <f t="shared" si="6"/>
        <v>0.5</v>
      </c>
      <c r="AA19" s="294" t="b">
        <f t="shared" si="7"/>
        <v>1</v>
      </c>
      <c r="AB19" s="294" t="b">
        <f t="shared" si="8"/>
        <v>1</v>
      </c>
    </row>
    <row r="20" spans="1:28" s="115" customFormat="1" ht="36.75" customHeight="1" x14ac:dyDescent="0.25">
      <c r="A20" s="177">
        <v>18</v>
      </c>
      <c r="B20" s="148" t="s">
        <v>125</v>
      </c>
      <c r="C20" s="153" t="s">
        <v>52</v>
      </c>
      <c r="D20" s="150" t="s">
        <v>66</v>
      </c>
      <c r="E20" s="149">
        <v>1604043</v>
      </c>
      <c r="F20" s="181" t="s">
        <v>84</v>
      </c>
      <c r="G20" s="150" t="s">
        <v>202</v>
      </c>
      <c r="H20" s="149" t="s">
        <v>257</v>
      </c>
      <c r="I20" s="182">
        <v>0.52200000000000002</v>
      </c>
      <c r="J20" s="184" t="s">
        <v>339</v>
      </c>
      <c r="K20" s="188">
        <v>755611.88</v>
      </c>
      <c r="L20" s="167">
        <f t="shared" si="9"/>
        <v>453367.13</v>
      </c>
      <c r="M20" s="363">
        <f t="shared" si="10"/>
        <v>302244.75</v>
      </c>
      <c r="N20" s="131">
        <v>0.6</v>
      </c>
      <c r="O20" s="185">
        <v>0</v>
      </c>
      <c r="P20" s="187">
        <v>0</v>
      </c>
      <c r="Q20" s="179">
        <f t="shared" si="11"/>
        <v>453367.13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7">
        <v>0</v>
      </c>
      <c r="X20" s="187">
        <v>0</v>
      </c>
      <c r="Y20" s="292" t="b">
        <f t="shared" si="5"/>
        <v>1</v>
      </c>
      <c r="Z20" s="293">
        <f t="shared" si="6"/>
        <v>0.6</v>
      </c>
      <c r="AA20" s="294" t="b">
        <f t="shared" si="7"/>
        <v>1</v>
      </c>
      <c r="AB20" s="294" t="b">
        <f t="shared" si="8"/>
        <v>1</v>
      </c>
    </row>
    <row r="21" spans="1:28" s="115" customFormat="1" ht="36.75" customHeight="1" x14ac:dyDescent="0.25">
      <c r="A21" s="258">
        <v>19</v>
      </c>
      <c r="B21" s="148" t="s">
        <v>126</v>
      </c>
      <c r="C21" s="153" t="s">
        <v>52</v>
      </c>
      <c r="D21" s="150" t="s">
        <v>72</v>
      </c>
      <c r="E21" s="149">
        <v>1603062</v>
      </c>
      <c r="F21" s="149" t="s">
        <v>60</v>
      </c>
      <c r="G21" s="150" t="s">
        <v>203</v>
      </c>
      <c r="H21" s="149" t="s">
        <v>257</v>
      </c>
      <c r="I21" s="182">
        <v>3.52</v>
      </c>
      <c r="J21" s="184" t="s">
        <v>268</v>
      </c>
      <c r="K21" s="188">
        <v>1061750.44</v>
      </c>
      <c r="L21" s="167">
        <f t="shared" si="9"/>
        <v>743225.31</v>
      </c>
      <c r="M21" s="363">
        <f t="shared" si="10"/>
        <v>318525.12999999989</v>
      </c>
      <c r="N21" s="131">
        <v>0.7</v>
      </c>
      <c r="O21" s="185">
        <v>0</v>
      </c>
      <c r="P21" s="187">
        <v>0</v>
      </c>
      <c r="Q21" s="179">
        <f t="shared" si="11"/>
        <v>743225.31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7">
        <v>0</v>
      </c>
      <c r="X21" s="187">
        <v>0</v>
      </c>
      <c r="Y21" s="292" t="b">
        <f t="shared" si="5"/>
        <v>1</v>
      </c>
      <c r="Z21" s="293">
        <f t="shared" si="6"/>
        <v>0.7</v>
      </c>
      <c r="AA21" s="294" t="b">
        <f t="shared" si="7"/>
        <v>1</v>
      </c>
      <c r="AB21" s="294" t="b">
        <f t="shared" si="8"/>
        <v>1</v>
      </c>
    </row>
    <row r="22" spans="1:28" s="115" customFormat="1" ht="36.75" customHeight="1" x14ac:dyDescent="0.25">
      <c r="A22" s="177">
        <v>20</v>
      </c>
      <c r="B22" s="148" t="s">
        <v>128</v>
      </c>
      <c r="C22" s="153" t="s">
        <v>52</v>
      </c>
      <c r="D22" s="150" t="s">
        <v>120</v>
      </c>
      <c r="E22" s="149">
        <v>1608033</v>
      </c>
      <c r="F22" s="149" t="s">
        <v>56</v>
      </c>
      <c r="G22" s="150" t="s">
        <v>205</v>
      </c>
      <c r="H22" s="149" t="s">
        <v>46</v>
      </c>
      <c r="I22" s="182">
        <v>0.39400000000000002</v>
      </c>
      <c r="J22" s="184" t="s">
        <v>262</v>
      </c>
      <c r="K22" s="188">
        <v>597788.36</v>
      </c>
      <c r="L22" s="167">
        <f>ROUND(K22*N22,2)</f>
        <v>418451.85</v>
      </c>
      <c r="M22" s="363">
        <f>K22-L22</f>
        <v>179336.51</v>
      </c>
      <c r="N22" s="131">
        <v>0.7</v>
      </c>
      <c r="O22" s="185">
        <v>0</v>
      </c>
      <c r="P22" s="187">
        <v>0</v>
      </c>
      <c r="Q22" s="179">
        <f>L22</f>
        <v>418451.85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7">
        <v>0</v>
      </c>
      <c r="X22" s="187">
        <v>0</v>
      </c>
      <c r="Y22" s="292" t="b">
        <f t="shared" si="5"/>
        <v>1</v>
      </c>
      <c r="Z22" s="293">
        <f t="shared" si="6"/>
        <v>0.7</v>
      </c>
      <c r="AA22" s="294" t="b">
        <f t="shared" si="7"/>
        <v>1</v>
      </c>
      <c r="AB22" s="294" t="b">
        <f t="shared" si="8"/>
        <v>1</v>
      </c>
    </row>
    <row r="23" spans="1:28" s="115" customFormat="1" ht="36.75" customHeight="1" x14ac:dyDescent="0.25">
      <c r="A23" s="258">
        <v>21</v>
      </c>
      <c r="B23" s="148" t="s">
        <v>127</v>
      </c>
      <c r="C23" s="153" t="s">
        <v>52</v>
      </c>
      <c r="D23" s="150" t="s">
        <v>72</v>
      </c>
      <c r="E23" s="149">
        <v>1603062</v>
      </c>
      <c r="F23" s="149" t="s">
        <v>60</v>
      </c>
      <c r="G23" s="150" t="s">
        <v>206</v>
      </c>
      <c r="H23" s="149" t="s">
        <v>257</v>
      </c>
      <c r="I23" s="182">
        <v>0.747</v>
      </c>
      <c r="J23" s="184" t="s">
        <v>330</v>
      </c>
      <c r="K23" s="188">
        <v>210279.14</v>
      </c>
      <c r="L23" s="167">
        <f>ROUND(K23*N23,2)</f>
        <v>147195.4</v>
      </c>
      <c r="M23" s="363">
        <f>K23-L23</f>
        <v>63083.74000000002</v>
      </c>
      <c r="N23" s="131">
        <v>0.7</v>
      </c>
      <c r="O23" s="185">
        <v>0</v>
      </c>
      <c r="P23" s="187">
        <v>0</v>
      </c>
      <c r="Q23" s="179">
        <f>L23</f>
        <v>147195.4</v>
      </c>
      <c r="R23" s="185">
        <v>0</v>
      </c>
      <c r="S23" s="185">
        <v>0</v>
      </c>
      <c r="T23" s="185">
        <v>0</v>
      </c>
      <c r="U23" s="185">
        <v>0</v>
      </c>
      <c r="V23" s="185">
        <v>0</v>
      </c>
      <c r="W23" s="187">
        <v>0</v>
      </c>
      <c r="X23" s="187">
        <v>0</v>
      </c>
      <c r="Y23" s="292" t="b">
        <f t="shared" si="5"/>
        <v>1</v>
      </c>
      <c r="Z23" s="293">
        <f t="shared" si="6"/>
        <v>0.7</v>
      </c>
      <c r="AA23" s="294" t="b">
        <f t="shared" si="7"/>
        <v>1</v>
      </c>
      <c r="AB23" s="294" t="b">
        <f t="shared" si="8"/>
        <v>1</v>
      </c>
    </row>
    <row r="24" spans="1:28" s="115" customFormat="1" ht="30.75" customHeight="1" x14ac:dyDescent="0.25">
      <c r="A24" s="177">
        <v>22</v>
      </c>
      <c r="B24" s="148" t="s">
        <v>129</v>
      </c>
      <c r="C24" s="153" t="s">
        <v>52</v>
      </c>
      <c r="D24" s="150" t="s">
        <v>92</v>
      </c>
      <c r="E24" s="149">
        <v>1604013</v>
      </c>
      <c r="F24" s="181" t="s">
        <v>84</v>
      </c>
      <c r="G24" s="150" t="s">
        <v>204</v>
      </c>
      <c r="H24" s="149" t="s">
        <v>257</v>
      </c>
      <c r="I24" s="182">
        <v>0.58799999999999997</v>
      </c>
      <c r="J24" s="184" t="s">
        <v>265</v>
      </c>
      <c r="K24" s="188">
        <v>1103368.78</v>
      </c>
      <c r="L24" s="167">
        <f t="shared" si="9"/>
        <v>662021.27</v>
      </c>
      <c r="M24" s="363">
        <f t="shared" si="10"/>
        <v>441347.51</v>
      </c>
      <c r="N24" s="131">
        <v>0.6</v>
      </c>
      <c r="O24" s="185">
        <v>0</v>
      </c>
      <c r="P24" s="187">
        <v>0</v>
      </c>
      <c r="Q24" s="179">
        <f t="shared" si="11"/>
        <v>662021.27</v>
      </c>
      <c r="R24" s="185">
        <v>0</v>
      </c>
      <c r="S24" s="185">
        <v>0</v>
      </c>
      <c r="T24" s="185">
        <v>0</v>
      </c>
      <c r="U24" s="185">
        <v>0</v>
      </c>
      <c r="V24" s="185">
        <v>0</v>
      </c>
      <c r="W24" s="187">
        <v>0</v>
      </c>
      <c r="X24" s="187">
        <v>0</v>
      </c>
      <c r="Y24" s="292" t="b">
        <f t="shared" si="5"/>
        <v>1</v>
      </c>
      <c r="Z24" s="293">
        <f t="shared" si="6"/>
        <v>0.6</v>
      </c>
      <c r="AA24" s="294" t="b">
        <f t="shared" si="7"/>
        <v>1</v>
      </c>
      <c r="AB24" s="294" t="b">
        <f t="shared" si="8"/>
        <v>1</v>
      </c>
    </row>
    <row r="25" spans="1:28" s="115" customFormat="1" ht="30.75" customHeight="1" x14ac:dyDescent="0.25">
      <c r="A25" s="258">
        <v>23</v>
      </c>
      <c r="B25" s="148" t="s">
        <v>130</v>
      </c>
      <c r="C25" s="153" t="s">
        <v>52</v>
      </c>
      <c r="D25" s="150" t="s">
        <v>121</v>
      </c>
      <c r="E25" s="149">
        <v>1607073</v>
      </c>
      <c r="F25" s="149" t="s">
        <v>45</v>
      </c>
      <c r="G25" s="150" t="s">
        <v>207</v>
      </c>
      <c r="H25" s="149" t="s">
        <v>257</v>
      </c>
      <c r="I25" s="182">
        <v>0.57299999999999995</v>
      </c>
      <c r="J25" s="184" t="s">
        <v>264</v>
      </c>
      <c r="K25" s="188">
        <v>155154.81</v>
      </c>
      <c r="L25" s="167">
        <f t="shared" si="9"/>
        <v>124123.85</v>
      </c>
      <c r="M25" s="363">
        <f t="shared" si="10"/>
        <v>31030.959999999992</v>
      </c>
      <c r="N25" s="131">
        <v>0.8</v>
      </c>
      <c r="O25" s="185">
        <v>0</v>
      </c>
      <c r="P25" s="187">
        <v>0</v>
      </c>
      <c r="Q25" s="179">
        <f t="shared" si="11"/>
        <v>124123.85</v>
      </c>
      <c r="R25" s="185">
        <v>0</v>
      </c>
      <c r="S25" s="185">
        <v>0</v>
      </c>
      <c r="T25" s="185">
        <v>0</v>
      </c>
      <c r="U25" s="185">
        <v>0</v>
      </c>
      <c r="V25" s="185">
        <v>0</v>
      </c>
      <c r="W25" s="187">
        <v>0</v>
      </c>
      <c r="X25" s="187">
        <v>0</v>
      </c>
      <c r="Y25" s="292" t="b">
        <f t="shared" si="5"/>
        <v>1</v>
      </c>
      <c r="Z25" s="293">
        <f t="shared" si="6"/>
        <v>0.8</v>
      </c>
      <c r="AA25" s="294" t="b">
        <f t="shared" si="7"/>
        <v>1</v>
      </c>
      <c r="AB25" s="294" t="b">
        <f t="shared" si="8"/>
        <v>1</v>
      </c>
    </row>
    <row r="26" spans="1:28" s="115" customFormat="1" ht="30.75" customHeight="1" x14ac:dyDescent="0.25">
      <c r="A26" s="177">
        <v>24</v>
      </c>
      <c r="B26" s="148" t="s">
        <v>163</v>
      </c>
      <c r="C26" s="153" t="s">
        <v>52</v>
      </c>
      <c r="D26" s="150" t="s">
        <v>145</v>
      </c>
      <c r="E26" s="149">
        <v>1602013</v>
      </c>
      <c r="F26" s="149" t="s">
        <v>83</v>
      </c>
      <c r="G26" s="150" t="s">
        <v>208</v>
      </c>
      <c r="H26" s="149" t="s">
        <v>46</v>
      </c>
      <c r="I26" s="182">
        <v>0.251</v>
      </c>
      <c r="J26" s="184" t="s">
        <v>331</v>
      </c>
      <c r="K26" s="188">
        <v>541367.23</v>
      </c>
      <c r="L26" s="251">
        <f t="shared" si="9"/>
        <v>433093.78</v>
      </c>
      <c r="M26" s="363">
        <f t="shared" si="10"/>
        <v>108273.44999999995</v>
      </c>
      <c r="N26" s="131">
        <v>0.8</v>
      </c>
      <c r="O26" s="185">
        <v>0</v>
      </c>
      <c r="P26" s="187">
        <v>0</v>
      </c>
      <c r="Q26" s="179">
        <f t="shared" si="11"/>
        <v>433093.78</v>
      </c>
      <c r="R26" s="185">
        <v>0</v>
      </c>
      <c r="S26" s="185">
        <v>0</v>
      </c>
      <c r="T26" s="185">
        <v>0</v>
      </c>
      <c r="U26" s="185">
        <v>0</v>
      </c>
      <c r="V26" s="185">
        <v>0</v>
      </c>
      <c r="W26" s="187">
        <v>0</v>
      </c>
      <c r="X26" s="187">
        <v>0</v>
      </c>
      <c r="Y26" s="292" t="b">
        <f t="shared" si="5"/>
        <v>1</v>
      </c>
      <c r="Z26" s="293">
        <f t="shared" si="6"/>
        <v>0.8</v>
      </c>
      <c r="AA26" s="294" t="b">
        <f t="shared" si="7"/>
        <v>1</v>
      </c>
      <c r="AB26" s="294" t="b">
        <f t="shared" si="8"/>
        <v>1</v>
      </c>
    </row>
    <row r="27" spans="1:28" s="115" customFormat="1" ht="30.75" customHeight="1" x14ac:dyDescent="0.25">
      <c r="A27" s="258">
        <v>25</v>
      </c>
      <c r="B27" s="148" t="s">
        <v>131</v>
      </c>
      <c r="C27" s="153" t="s">
        <v>52</v>
      </c>
      <c r="D27" s="150" t="s">
        <v>74</v>
      </c>
      <c r="E27" s="149">
        <v>1607033</v>
      </c>
      <c r="F27" s="149" t="s">
        <v>45</v>
      </c>
      <c r="G27" s="150" t="s">
        <v>209</v>
      </c>
      <c r="H27" s="149" t="s">
        <v>46</v>
      </c>
      <c r="I27" s="182">
        <v>0.34499999999999997</v>
      </c>
      <c r="J27" s="184" t="s">
        <v>339</v>
      </c>
      <c r="K27" s="188">
        <v>545064.82999999996</v>
      </c>
      <c r="L27" s="167">
        <f t="shared" si="9"/>
        <v>381545.38</v>
      </c>
      <c r="M27" s="363">
        <f t="shared" si="10"/>
        <v>163519.44999999995</v>
      </c>
      <c r="N27" s="131">
        <v>0.7</v>
      </c>
      <c r="O27" s="185">
        <v>0</v>
      </c>
      <c r="P27" s="187">
        <v>0</v>
      </c>
      <c r="Q27" s="179">
        <f t="shared" si="11"/>
        <v>381545.38</v>
      </c>
      <c r="R27" s="185">
        <v>0</v>
      </c>
      <c r="S27" s="185">
        <v>0</v>
      </c>
      <c r="T27" s="185">
        <v>0</v>
      </c>
      <c r="U27" s="185">
        <v>0</v>
      </c>
      <c r="V27" s="185">
        <v>0</v>
      </c>
      <c r="W27" s="187">
        <v>0</v>
      </c>
      <c r="X27" s="187">
        <v>0</v>
      </c>
      <c r="Y27" s="292" t="b">
        <f t="shared" si="5"/>
        <v>1</v>
      </c>
      <c r="Z27" s="293">
        <f t="shared" si="6"/>
        <v>0.7</v>
      </c>
      <c r="AA27" s="294" t="b">
        <f t="shared" si="7"/>
        <v>1</v>
      </c>
      <c r="AB27" s="294" t="b">
        <f t="shared" si="8"/>
        <v>1</v>
      </c>
    </row>
    <row r="28" spans="1:28" s="120" customFormat="1" ht="30.75" customHeight="1" x14ac:dyDescent="0.25">
      <c r="A28" s="177">
        <v>26</v>
      </c>
      <c r="B28" s="148" t="s">
        <v>132</v>
      </c>
      <c r="C28" s="197" t="s">
        <v>52</v>
      </c>
      <c r="D28" s="150" t="s">
        <v>122</v>
      </c>
      <c r="E28" s="141">
        <v>1610013</v>
      </c>
      <c r="F28" s="141" t="s">
        <v>49</v>
      </c>
      <c r="G28" s="252" t="s">
        <v>210</v>
      </c>
      <c r="H28" s="141" t="s">
        <v>46</v>
      </c>
      <c r="I28" s="182">
        <v>0.98899999999999999</v>
      </c>
      <c r="J28" s="149" t="s">
        <v>266</v>
      </c>
      <c r="K28" s="188">
        <v>1971410.78</v>
      </c>
      <c r="L28" s="167">
        <f t="shared" si="9"/>
        <v>1379987.55</v>
      </c>
      <c r="M28" s="363">
        <f t="shared" si="10"/>
        <v>591423.23</v>
      </c>
      <c r="N28" s="131">
        <v>0.7</v>
      </c>
      <c r="O28" s="185">
        <v>0</v>
      </c>
      <c r="P28" s="187">
        <v>0</v>
      </c>
      <c r="Q28" s="179">
        <f t="shared" si="11"/>
        <v>1379987.55</v>
      </c>
      <c r="R28" s="185">
        <v>0</v>
      </c>
      <c r="S28" s="185">
        <v>0</v>
      </c>
      <c r="T28" s="185">
        <v>0</v>
      </c>
      <c r="U28" s="185">
        <v>0</v>
      </c>
      <c r="V28" s="185">
        <v>0</v>
      </c>
      <c r="W28" s="187">
        <v>0</v>
      </c>
      <c r="X28" s="187">
        <v>0</v>
      </c>
      <c r="Y28" s="292" t="b">
        <f t="shared" si="5"/>
        <v>1</v>
      </c>
      <c r="Z28" s="293">
        <f t="shared" si="6"/>
        <v>0.7</v>
      </c>
      <c r="AA28" s="294" t="b">
        <f t="shared" si="7"/>
        <v>1</v>
      </c>
      <c r="AB28" s="294" t="b">
        <f t="shared" si="8"/>
        <v>1</v>
      </c>
    </row>
    <row r="29" spans="1:28" s="120" customFormat="1" ht="30.75" customHeight="1" x14ac:dyDescent="0.25">
      <c r="A29" s="258">
        <v>27</v>
      </c>
      <c r="B29" s="148" t="s">
        <v>133</v>
      </c>
      <c r="C29" s="153" t="s">
        <v>52</v>
      </c>
      <c r="D29" s="150" t="s">
        <v>70</v>
      </c>
      <c r="E29" s="149">
        <v>1609032</v>
      </c>
      <c r="F29" s="149" t="s">
        <v>55</v>
      </c>
      <c r="G29" s="252" t="s">
        <v>211</v>
      </c>
      <c r="H29" s="149" t="s">
        <v>255</v>
      </c>
      <c r="I29" s="182">
        <v>0.249</v>
      </c>
      <c r="J29" s="149" t="s">
        <v>261</v>
      </c>
      <c r="K29" s="188">
        <v>215957.56</v>
      </c>
      <c r="L29" s="167">
        <f t="shared" ref="L29:L34" si="12">ROUND(K29*N29,2)</f>
        <v>129574.54</v>
      </c>
      <c r="M29" s="363">
        <f t="shared" ref="M29:M34" si="13">K29-L29</f>
        <v>86383.02</v>
      </c>
      <c r="N29" s="131">
        <v>0.6</v>
      </c>
      <c r="O29" s="185">
        <v>0</v>
      </c>
      <c r="P29" s="187">
        <v>0</v>
      </c>
      <c r="Q29" s="179">
        <f t="shared" ref="Q29:Q34" si="14">L29</f>
        <v>129574.54</v>
      </c>
      <c r="R29" s="185">
        <v>0</v>
      </c>
      <c r="S29" s="185">
        <v>0</v>
      </c>
      <c r="T29" s="185">
        <v>0</v>
      </c>
      <c r="U29" s="185">
        <v>0</v>
      </c>
      <c r="V29" s="185">
        <v>0</v>
      </c>
      <c r="W29" s="187">
        <v>0</v>
      </c>
      <c r="X29" s="187">
        <v>0</v>
      </c>
      <c r="Y29" s="292" t="b">
        <f t="shared" si="5"/>
        <v>1</v>
      </c>
      <c r="Z29" s="293">
        <f t="shared" si="6"/>
        <v>0.6</v>
      </c>
      <c r="AA29" s="294" t="b">
        <f t="shared" si="7"/>
        <v>1</v>
      </c>
      <c r="AB29" s="294" t="b">
        <f t="shared" si="8"/>
        <v>1</v>
      </c>
    </row>
    <row r="30" spans="1:28" s="120" customFormat="1" ht="30.75" customHeight="1" x14ac:dyDescent="0.25">
      <c r="A30" s="177">
        <v>28</v>
      </c>
      <c r="B30" s="148" t="s">
        <v>134</v>
      </c>
      <c r="C30" s="153" t="s">
        <v>52</v>
      </c>
      <c r="D30" s="150" t="s">
        <v>68</v>
      </c>
      <c r="E30" s="149">
        <v>1609092</v>
      </c>
      <c r="F30" s="149" t="s">
        <v>55</v>
      </c>
      <c r="G30" s="150" t="s">
        <v>213</v>
      </c>
      <c r="H30" s="149" t="s">
        <v>46</v>
      </c>
      <c r="I30" s="182">
        <v>0.86</v>
      </c>
      <c r="J30" s="184" t="s">
        <v>256</v>
      </c>
      <c r="K30" s="189">
        <v>846241.23</v>
      </c>
      <c r="L30" s="167">
        <f t="shared" si="12"/>
        <v>592368.86</v>
      </c>
      <c r="M30" s="363">
        <f t="shared" si="13"/>
        <v>253872.37</v>
      </c>
      <c r="N30" s="131">
        <v>0.7</v>
      </c>
      <c r="O30" s="185">
        <v>0</v>
      </c>
      <c r="P30" s="187">
        <v>0</v>
      </c>
      <c r="Q30" s="179">
        <f t="shared" si="14"/>
        <v>592368.86</v>
      </c>
      <c r="R30" s="185">
        <v>0</v>
      </c>
      <c r="S30" s="185">
        <v>0</v>
      </c>
      <c r="T30" s="185">
        <v>0</v>
      </c>
      <c r="U30" s="185">
        <v>0</v>
      </c>
      <c r="V30" s="185">
        <v>0</v>
      </c>
      <c r="W30" s="187">
        <v>0</v>
      </c>
      <c r="X30" s="187">
        <v>0</v>
      </c>
      <c r="Y30" s="292" t="b">
        <f t="shared" si="5"/>
        <v>1</v>
      </c>
      <c r="Z30" s="293">
        <f t="shared" si="6"/>
        <v>0.7</v>
      </c>
      <c r="AA30" s="294" t="b">
        <f t="shared" si="7"/>
        <v>1</v>
      </c>
      <c r="AB30" s="294" t="b">
        <f t="shared" si="8"/>
        <v>1</v>
      </c>
    </row>
    <row r="31" spans="1:28" s="120" customFormat="1" ht="34.5" customHeight="1" x14ac:dyDescent="0.25">
      <c r="A31" s="258">
        <v>29</v>
      </c>
      <c r="B31" s="148" t="s">
        <v>135</v>
      </c>
      <c r="C31" s="153" t="s">
        <v>52</v>
      </c>
      <c r="D31" s="150" t="s">
        <v>121</v>
      </c>
      <c r="E31" s="149">
        <v>1607073</v>
      </c>
      <c r="F31" s="149" t="s">
        <v>45</v>
      </c>
      <c r="G31" s="252" t="s">
        <v>212</v>
      </c>
      <c r="H31" s="149" t="s">
        <v>257</v>
      </c>
      <c r="I31" s="182">
        <v>0.69199999999999995</v>
      </c>
      <c r="J31" s="184" t="s">
        <v>264</v>
      </c>
      <c r="K31" s="188">
        <v>162054.32</v>
      </c>
      <c r="L31" s="167">
        <f t="shared" si="12"/>
        <v>129643.46</v>
      </c>
      <c r="M31" s="363">
        <f t="shared" si="13"/>
        <v>32410.86</v>
      </c>
      <c r="N31" s="131">
        <v>0.8</v>
      </c>
      <c r="O31" s="185">
        <v>0</v>
      </c>
      <c r="P31" s="187">
        <v>0</v>
      </c>
      <c r="Q31" s="179">
        <f t="shared" si="14"/>
        <v>129643.46</v>
      </c>
      <c r="R31" s="185">
        <v>0</v>
      </c>
      <c r="S31" s="185">
        <v>0</v>
      </c>
      <c r="T31" s="185">
        <v>0</v>
      </c>
      <c r="U31" s="185">
        <v>0</v>
      </c>
      <c r="V31" s="185">
        <v>0</v>
      </c>
      <c r="W31" s="187">
        <v>0</v>
      </c>
      <c r="X31" s="187">
        <v>0</v>
      </c>
      <c r="Y31" s="292" t="b">
        <f t="shared" si="5"/>
        <v>1</v>
      </c>
      <c r="Z31" s="293">
        <f t="shared" si="6"/>
        <v>0.8</v>
      </c>
      <c r="AA31" s="294" t="b">
        <f t="shared" si="7"/>
        <v>1</v>
      </c>
      <c r="AB31" s="294" t="b">
        <f t="shared" si="8"/>
        <v>1</v>
      </c>
    </row>
    <row r="32" spans="1:28" s="115" customFormat="1" ht="34.5" customHeight="1" x14ac:dyDescent="0.25">
      <c r="A32" s="177">
        <v>30</v>
      </c>
      <c r="B32" s="148" t="s">
        <v>137</v>
      </c>
      <c r="C32" s="149" t="s">
        <v>52</v>
      </c>
      <c r="D32" s="150" t="s">
        <v>144</v>
      </c>
      <c r="E32" s="149">
        <v>1609132</v>
      </c>
      <c r="F32" s="149" t="s">
        <v>55</v>
      </c>
      <c r="G32" s="150" t="s">
        <v>217</v>
      </c>
      <c r="H32" s="149" t="s">
        <v>46</v>
      </c>
      <c r="I32" s="182">
        <v>0.96899999999999997</v>
      </c>
      <c r="J32" s="184" t="s">
        <v>265</v>
      </c>
      <c r="K32" s="188">
        <v>795000</v>
      </c>
      <c r="L32" s="167">
        <f t="shared" si="12"/>
        <v>477000</v>
      </c>
      <c r="M32" s="363">
        <f t="shared" si="13"/>
        <v>318000</v>
      </c>
      <c r="N32" s="131">
        <v>0.6</v>
      </c>
      <c r="O32" s="185">
        <v>0</v>
      </c>
      <c r="P32" s="187">
        <v>0</v>
      </c>
      <c r="Q32" s="179">
        <f t="shared" si="14"/>
        <v>477000</v>
      </c>
      <c r="R32" s="185">
        <v>0</v>
      </c>
      <c r="S32" s="185">
        <v>0</v>
      </c>
      <c r="T32" s="185">
        <v>0</v>
      </c>
      <c r="U32" s="185">
        <v>0</v>
      </c>
      <c r="V32" s="185">
        <v>0</v>
      </c>
      <c r="W32" s="187">
        <v>0</v>
      </c>
      <c r="X32" s="187">
        <v>0</v>
      </c>
      <c r="Y32" s="292" t="b">
        <f t="shared" si="5"/>
        <v>1</v>
      </c>
      <c r="Z32" s="293">
        <f t="shared" si="6"/>
        <v>0.6</v>
      </c>
      <c r="AA32" s="294" t="b">
        <f t="shared" si="7"/>
        <v>1</v>
      </c>
      <c r="AB32" s="294" t="b">
        <f t="shared" si="8"/>
        <v>1</v>
      </c>
    </row>
    <row r="33" spans="1:28" s="115" customFormat="1" ht="34.5" customHeight="1" x14ac:dyDescent="0.25">
      <c r="A33" s="258">
        <v>31</v>
      </c>
      <c r="B33" s="148" t="s">
        <v>139</v>
      </c>
      <c r="C33" s="149" t="s">
        <v>52</v>
      </c>
      <c r="D33" s="150" t="s">
        <v>74</v>
      </c>
      <c r="E33" s="149">
        <v>1607033</v>
      </c>
      <c r="F33" s="149" t="s">
        <v>45</v>
      </c>
      <c r="G33" s="150" t="s">
        <v>215</v>
      </c>
      <c r="H33" s="149" t="s">
        <v>46</v>
      </c>
      <c r="I33" s="182">
        <v>0.65200000000000002</v>
      </c>
      <c r="J33" s="184" t="s">
        <v>373</v>
      </c>
      <c r="K33" s="188">
        <v>715024.23</v>
      </c>
      <c r="L33" s="167">
        <f t="shared" si="12"/>
        <v>500516.96</v>
      </c>
      <c r="M33" s="363">
        <f t="shared" si="13"/>
        <v>214507.26999999996</v>
      </c>
      <c r="N33" s="131">
        <v>0.7</v>
      </c>
      <c r="O33" s="185">
        <v>0</v>
      </c>
      <c r="P33" s="187">
        <v>0</v>
      </c>
      <c r="Q33" s="179">
        <f t="shared" si="14"/>
        <v>500516.96</v>
      </c>
      <c r="R33" s="185">
        <v>0</v>
      </c>
      <c r="S33" s="185">
        <v>0</v>
      </c>
      <c r="T33" s="185">
        <v>0</v>
      </c>
      <c r="U33" s="185">
        <v>0</v>
      </c>
      <c r="V33" s="185">
        <v>0</v>
      </c>
      <c r="W33" s="187">
        <v>0</v>
      </c>
      <c r="X33" s="187">
        <v>0</v>
      </c>
      <c r="Y33" s="292" t="b">
        <f t="shared" si="5"/>
        <v>1</v>
      </c>
      <c r="Z33" s="293">
        <f t="shared" si="6"/>
        <v>0.7</v>
      </c>
      <c r="AA33" s="294" t="b">
        <f t="shared" si="7"/>
        <v>1</v>
      </c>
      <c r="AB33" s="294" t="b">
        <f t="shared" si="8"/>
        <v>1</v>
      </c>
    </row>
    <row r="34" spans="1:28" s="115" customFormat="1" ht="34.5" customHeight="1" x14ac:dyDescent="0.25">
      <c r="A34" s="177">
        <v>32</v>
      </c>
      <c r="B34" s="148" t="s">
        <v>138</v>
      </c>
      <c r="C34" s="149" t="s">
        <v>52</v>
      </c>
      <c r="D34" s="150" t="s">
        <v>78</v>
      </c>
      <c r="E34" s="149">
        <v>1606023</v>
      </c>
      <c r="F34" s="149" t="s">
        <v>58</v>
      </c>
      <c r="G34" s="150" t="s">
        <v>216</v>
      </c>
      <c r="H34" s="149" t="s">
        <v>255</v>
      </c>
      <c r="I34" s="182">
        <v>0.33700000000000002</v>
      </c>
      <c r="J34" s="184" t="s">
        <v>339</v>
      </c>
      <c r="K34" s="188">
        <v>484766.91</v>
      </c>
      <c r="L34" s="167">
        <f t="shared" si="12"/>
        <v>290860.15000000002</v>
      </c>
      <c r="M34" s="363">
        <f t="shared" si="13"/>
        <v>193906.75999999995</v>
      </c>
      <c r="N34" s="131">
        <v>0.6</v>
      </c>
      <c r="O34" s="185">
        <v>0</v>
      </c>
      <c r="P34" s="187">
        <v>0</v>
      </c>
      <c r="Q34" s="179">
        <f t="shared" si="14"/>
        <v>290860.15000000002</v>
      </c>
      <c r="R34" s="185">
        <v>0</v>
      </c>
      <c r="S34" s="185">
        <v>0</v>
      </c>
      <c r="T34" s="185">
        <v>0</v>
      </c>
      <c r="U34" s="185">
        <v>0</v>
      </c>
      <c r="V34" s="185">
        <v>0</v>
      </c>
      <c r="W34" s="187">
        <v>0</v>
      </c>
      <c r="X34" s="187">
        <v>0</v>
      </c>
      <c r="Y34" s="292" t="b">
        <f t="shared" si="5"/>
        <v>1</v>
      </c>
      <c r="Z34" s="293">
        <f t="shared" si="6"/>
        <v>0.6</v>
      </c>
      <c r="AA34" s="294" t="b">
        <f t="shared" si="7"/>
        <v>1</v>
      </c>
      <c r="AB34" s="294" t="b">
        <f t="shared" si="8"/>
        <v>1</v>
      </c>
    </row>
    <row r="35" spans="1:28" s="387" customFormat="1" ht="34.5" customHeight="1" x14ac:dyDescent="0.25">
      <c r="A35" s="393">
        <v>33</v>
      </c>
      <c r="B35" s="148" t="s">
        <v>136</v>
      </c>
      <c r="C35" s="149" t="s">
        <v>52</v>
      </c>
      <c r="D35" s="150" t="s">
        <v>122</v>
      </c>
      <c r="E35" s="149">
        <v>1610013</v>
      </c>
      <c r="F35" s="141" t="s">
        <v>49</v>
      </c>
      <c r="G35" s="150" t="s">
        <v>214</v>
      </c>
      <c r="H35" s="149" t="s">
        <v>46</v>
      </c>
      <c r="I35" s="182">
        <v>1.083</v>
      </c>
      <c r="J35" s="184" t="s">
        <v>261</v>
      </c>
      <c r="K35" s="188">
        <v>1716613.72</v>
      </c>
      <c r="L35" s="167">
        <v>1201413.07</v>
      </c>
      <c r="M35" s="363">
        <f t="shared" ref="M35:M44" si="15">K35-L35</f>
        <v>515200.64999999991</v>
      </c>
      <c r="N35" s="383">
        <f>L35/K35</f>
        <v>0.69987385979881378</v>
      </c>
      <c r="O35" s="185">
        <v>0</v>
      </c>
      <c r="P35" s="187">
        <v>0</v>
      </c>
      <c r="Q35" s="394">
        <f t="shared" si="11"/>
        <v>1201413.07</v>
      </c>
      <c r="R35" s="185">
        <v>0</v>
      </c>
      <c r="S35" s="185">
        <v>0</v>
      </c>
      <c r="T35" s="185">
        <v>0</v>
      </c>
      <c r="U35" s="185">
        <v>0</v>
      </c>
      <c r="V35" s="185">
        <v>0</v>
      </c>
      <c r="W35" s="187">
        <v>0</v>
      </c>
      <c r="X35" s="187">
        <v>0</v>
      </c>
      <c r="Y35" s="384" t="b">
        <f t="shared" si="5"/>
        <v>1</v>
      </c>
      <c r="Z35" s="385">
        <f t="shared" si="6"/>
        <v>0.69989999999999997</v>
      </c>
      <c r="AA35" s="386" t="b">
        <f t="shared" si="7"/>
        <v>0</v>
      </c>
      <c r="AB35" s="386" t="b">
        <f t="shared" si="8"/>
        <v>1</v>
      </c>
    </row>
    <row r="36" spans="1:28" s="32" customFormat="1" ht="34.5" customHeight="1" x14ac:dyDescent="0.25">
      <c r="A36" s="177">
        <v>34</v>
      </c>
      <c r="B36" s="148" t="s">
        <v>141</v>
      </c>
      <c r="C36" s="149" t="s">
        <v>52</v>
      </c>
      <c r="D36" s="150" t="s">
        <v>144</v>
      </c>
      <c r="E36" s="149">
        <v>1609132</v>
      </c>
      <c r="F36" s="149" t="s">
        <v>55</v>
      </c>
      <c r="G36" s="150" t="s">
        <v>219</v>
      </c>
      <c r="H36" s="149" t="s">
        <v>46</v>
      </c>
      <c r="I36" s="182">
        <v>0.52800000000000002</v>
      </c>
      <c r="J36" s="184" t="s">
        <v>328</v>
      </c>
      <c r="K36" s="188">
        <v>341517.41</v>
      </c>
      <c r="L36" s="167">
        <f t="shared" ref="L36:L44" si="16">ROUND(K36*N36,2)</f>
        <v>204910.45</v>
      </c>
      <c r="M36" s="363">
        <f t="shared" si="15"/>
        <v>136606.95999999996</v>
      </c>
      <c r="N36" s="131">
        <v>0.6</v>
      </c>
      <c r="O36" s="185">
        <v>0</v>
      </c>
      <c r="P36" s="187">
        <v>0</v>
      </c>
      <c r="Q36" s="394">
        <f>L36</f>
        <v>204910.45</v>
      </c>
      <c r="R36" s="185">
        <v>0</v>
      </c>
      <c r="S36" s="185">
        <v>0</v>
      </c>
      <c r="T36" s="185">
        <v>0</v>
      </c>
      <c r="U36" s="185">
        <v>0</v>
      </c>
      <c r="V36" s="185">
        <v>0</v>
      </c>
      <c r="W36" s="187">
        <v>0</v>
      </c>
      <c r="X36" s="187">
        <v>0</v>
      </c>
      <c r="Y36" s="292" t="b">
        <f t="shared" si="5"/>
        <v>1</v>
      </c>
      <c r="Z36" s="293">
        <f t="shared" si="6"/>
        <v>0.6</v>
      </c>
      <c r="AA36" s="294" t="b">
        <f t="shared" si="7"/>
        <v>1</v>
      </c>
      <c r="AB36" s="294" t="b">
        <f t="shared" si="8"/>
        <v>1</v>
      </c>
    </row>
    <row r="37" spans="1:28" s="32" customFormat="1" ht="34.5" customHeight="1" x14ac:dyDescent="0.25">
      <c r="A37" s="393">
        <v>35</v>
      </c>
      <c r="B37" s="148" t="s">
        <v>140</v>
      </c>
      <c r="C37" s="149" t="s">
        <v>52</v>
      </c>
      <c r="D37" s="150" t="s">
        <v>121</v>
      </c>
      <c r="E37" s="149">
        <v>1607073</v>
      </c>
      <c r="F37" s="149" t="s">
        <v>45</v>
      </c>
      <c r="G37" s="150" t="s">
        <v>218</v>
      </c>
      <c r="H37" s="149" t="s">
        <v>257</v>
      </c>
      <c r="I37" s="182">
        <v>0.36499999999999999</v>
      </c>
      <c r="J37" s="184" t="s">
        <v>264</v>
      </c>
      <c r="K37" s="188">
        <v>104305.67</v>
      </c>
      <c r="L37" s="167">
        <f t="shared" si="16"/>
        <v>83444.539999999994</v>
      </c>
      <c r="M37" s="363">
        <f t="shared" si="15"/>
        <v>20861.130000000005</v>
      </c>
      <c r="N37" s="131">
        <v>0.8</v>
      </c>
      <c r="O37" s="185">
        <v>0</v>
      </c>
      <c r="P37" s="187">
        <v>0</v>
      </c>
      <c r="Q37" s="394">
        <f t="shared" si="11"/>
        <v>83444.539999999994</v>
      </c>
      <c r="R37" s="185">
        <v>0</v>
      </c>
      <c r="S37" s="185">
        <v>0</v>
      </c>
      <c r="T37" s="185">
        <v>0</v>
      </c>
      <c r="U37" s="185">
        <v>0</v>
      </c>
      <c r="V37" s="185">
        <v>0</v>
      </c>
      <c r="W37" s="187">
        <v>0</v>
      </c>
      <c r="X37" s="187">
        <v>0</v>
      </c>
      <c r="Y37" s="292" t="b">
        <f t="shared" si="5"/>
        <v>1</v>
      </c>
      <c r="Z37" s="293">
        <f t="shared" si="6"/>
        <v>0.8</v>
      </c>
      <c r="AA37" s="294" t="b">
        <f t="shared" si="7"/>
        <v>1</v>
      </c>
      <c r="AB37" s="294" t="b">
        <f t="shared" si="8"/>
        <v>1</v>
      </c>
    </row>
    <row r="38" spans="1:28" s="32" customFormat="1" ht="95.25" customHeight="1" x14ac:dyDescent="0.25">
      <c r="A38" s="177">
        <v>36</v>
      </c>
      <c r="B38" s="148" t="s">
        <v>165</v>
      </c>
      <c r="C38" s="153" t="s">
        <v>52</v>
      </c>
      <c r="D38" s="150" t="s">
        <v>168</v>
      </c>
      <c r="E38" s="149">
        <v>1609083</v>
      </c>
      <c r="F38" s="149" t="s">
        <v>55</v>
      </c>
      <c r="G38" s="150" t="s">
        <v>224</v>
      </c>
      <c r="H38" s="149" t="s">
        <v>255</v>
      </c>
      <c r="I38" s="182">
        <v>0.86499999999999999</v>
      </c>
      <c r="J38" s="154" t="s">
        <v>331</v>
      </c>
      <c r="K38" s="188">
        <v>1922256.63</v>
      </c>
      <c r="L38" s="167">
        <f t="shared" si="16"/>
        <v>1345579.64</v>
      </c>
      <c r="M38" s="363">
        <f t="shared" si="15"/>
        <v>576676.99</v>
      </c>
      <c r="N38" s="131">
        <v>0.7</v>
      </c>
      <c r="O38" s="185">
        <v>0</v>
      </c>
      <c r="P38" s="187">
        <v>0</v>
      </c>
      <c r="Q38" s="394">
        <f>L38</f>
        <v>1345579.64</v>
      </c>
      <c r="R38" s="185">
        <v>0</v>
      </c>
      <c r="S38" s="185">
        <v>0</v>
      </c>
      <c r="T38" s="185">
        <v>0</v>
      </c>
      <c r="U38" s="185">
        <v>0</v>
      </c>
      <c r="V38" s="185">
        <v>0</v>
      </c>
      <c r="W38" s="187">
        <v>0</v>
      </c>
      <c r="X38" s="187">
        <v>0</v>
      </c>
      <c r="Y38" s="292" t="b">
        <f t="shared" si="5"/>
        <v>1</v>
      </c>
      <c r="Z38" s="293">
        <f t="shared" si="6"/>
        <v>0.7</v>
      </c>
      <c r="AA38" s="294" t="b">
        <f t="shared" si="7"/>
        <v>1</v>
      </c>
      <c r="AB38" s="294" t="b">
        <f t="shared" si="8"/>
        <v>1</v>
      </c>
    </row>
    <row r="39" spans="1:28" s="32" customFormat="1" ht="35.25" customHeight="1" x14ac:dyDescent="0.25">
      <c r="A39" s="258">
        <v>37</v>
      </c>
      <c r="B39" s="148" t="s">
        <v>142</v>
      </c>
      <c r="C39" s="153" t="s">
        <v>52</v>
      </c>
      <c r="D39" s="150" t="s">
        <v>72</v>
      </c>
      <c r="E39" s="149">
        <v>1603062</v>
      </c>
      <c r="F39" s="149" t="s">
        <v>60</v>
      </c>
      <c r="G39" s="150" t="s">
        <v>225</v>
      </c>
      <c r="H39" s="149" t="s">
        <v>255</v>
      </c>
      <c r="I39" s="182">
        <v>0.40100000000000002</v>
      </c>
      <c r="J39" s="154" t="s">
        <v>264</v>
      </c>
      <c r="K39" s="188">
        <v>219186</v>
      </c>
      <c r="L39" s="167">
        <f t="shared" si="16"/>
        <v>153430.20000000001</v>
      </c>
      <c r="M39" s="363">
        <f t="shared" si="15"/>
        <v>65755.799999999988</v>
      </c>
      <c r="N39" s="131">
        <v>0.7</v>
      </c>
      <c r="O39" s="185">
        <v>0</v>
      </c>
      <c r="P39" s="187">
        <v>0</v>
      </c>
      <c r="Q39" s="179">
        <f>L39</f>
        <v>153430.20000000001</v>
      </c>
      <c r="R39" s="185">
        <v>0</v>
      </c>
      <c r="S39" s="185">
        <v>0</v>
      </c>
      <c r="T39" s="185">
        <v>0</v>
      </c>
      <c r="U39" s="185">
        <v>0</v>
      </c>
      <c r="V39" s="185">
        <v>0</v>
      </c>
      <c r="W39" s="187">
        <v>0</v>
      </c>
      <c r="X39" s="187">
        <v>0</v>
      </c>
      <c r="Y39" s="292" t="b">
        <f t="shared" si="5"/>
        <v>1</v>
      </c>
      <c r="Z39" s="293">
        <f t="shared" si="6"/>
        <v>0.7</v>
      </c>
      <c r="AA39" s="294" t="b">
        <f t="shared" si="7"/>
        <v>1</v>
      </c>
      <c r="AB39" s="294" t="b">
        <f t="shared" si="8"/>
        <v>1</v>
      </c>
    </row>
    <row r="40" spans="1:28" s="32" customFormat="1" ht="35.25" customHeight="1" x14ac:dyDescent="0.25">
      <c r="A40" s="177">
        <v>38</v>
      </c>
      <c r="B40" s="148" t="s">
        <v>143</v>
      </c>
      <c r="C40" s="149" t="s">
        <v>52</v>
      </c>
      <c r="D40" s="150" t="s">
        <v>76</v>
      </c>
      <c r="E40" s="149">
        <v>1605023</v>
      </c>
      <c r="F40" s="149" t="s">
        <v>59</v>
      </c>
      <c r="G40" s="150" t="s">
        <v>223</v>
      </c>
      <c r="H40" s="149" t="s">
        <v>46</v>
      </c>
      <c r="I40" s="182">
        <v>0.216</v>
      </c>
      <c r="J40" s="154" t="s">
        <v>339</v>
      </c>
      <c r="K40" s="188">
        <v>508247.25</v>
      </c>
      <c r="L40" s="167">
        <f t="shared" si="16"/>
        <v>304948.34999999998</v>
      </c>
      <c r="M40" s="363">
        <f t="shared" si="15"/>
        <v>203298.90000000002</v>
      </c>
      <c r="N40" s="131">
        <v>0.6</v>
      </c>
      <c r="O40" s="185">
        <v>0</v>
      </c>
      <c r="P40" s="187">
        <v>0</v>
      </c>
      <c r="Q40" s="179">
        <f>L40</f>
        <v>304948.34999999998</v>
      </c>
      <c r="R40" s="185">
        <v>0</v>
      </c>
      <c r="S40" s="185">
        <v>0</v>
      </c>
      <c r="T40" s="185">
        <v>0</v>
      </c>
      <c r="U40" s="185">
        <v>0</v>
      </c>
      <c r="V40" s="185">
        <v>0</v>
      </c>
      <c r="W40" s="187">
        <v>0</v>
      </c>
      <c r="X40" s="187">
        <v>0</v>
      </c>
      <c r="Y40" s="292" t="b">
        <f t="shared" si="5"/>
        <v>1</v>
      </c>
      <c r="Z40" s="293">
        <f t="shared" si="6"/>
        <v>0.6</v>
      </c>
      <c r="AA40" s="294" t="b">
        <f t="shared" si="7"/>
        <v>1</v>
      </c>
      <c r="AB40" s="294" t="b">
        <f t="shared" si="8"/>
        <v>1</v>
      </c>
    </row>
    <row r="41" spans="1:28" s="115" customFormat="1" ht="35.25" customHeight="1" x14ac:dyDescent="0.25">
      <c r="A41" s="258">
        <v>39</v>
      </c>
      <c r="B41" s="148" t="s">
        <v>147</v>
      </c>
      <c r="C41" s="149" t="s">
        <v>52</v>
      </c>
      <c r="D41" s="150" t="s">
        <v>145</v>
      </c>
      <c r="E41" s="149">
        <v>1602013</v>
      </c>
      <c r="F41" s="149" t="s">
        <v>83</v>
      </c>
      <c r="G41" s="150" t="s">
        <v>220</v>
      </c>
      <c r="H41" s="149" t="s">
        <v>46</v>
      </c>
      <c r="I41" s="182">
        <v>0.13700000000000001</v>
      </c>
      <c r="J41" s="184" t="s">
        <v>339</v>
      </c>
      <c r="K41" s="188">
        <v>198864.05</v>
      </c>
      <c r="L41" s="167">
        <f>ROUND(K41*N41,2)</f>
        <v>159091.24</v>
      </c>
      <c r="M41" s="363">
        <f t="shared" si="15"/>
        <v>39772.81</v>
      </c>
      <c r="N41" s="131">
        <v>0.8</v>
      </c>
      <c r="O41" s="185">
        <v>0</v>
      </c>
      <c r="P41" s="187">
        <v>0</v>
      </c>
      <c r="Q41" s="179">
        <f t="shared" si="11"/>
        <v>159091.24</v>
      </c>
      <c r="R41" s="185">
        <v>0</v>
      </c>
      <c r="S41" s="185">
        <v>0</v>
      </c>
      <c r="T41" s="185">
        <v>0</v>
      </c>
      <c r="U41" s="185">
        <v>0</v>
      </c>
      <c r="V41" s="185">
        <v>0</v>
      </c>
      <c r="W41" s="187">
        <v>0</v>
      </c>
      <c r="X41" s="187">
        <v>0</v>
      </c>
      <c r="Y41" s="292" t="b">
        <f t="shared" si="5"/>
        <v>1</v>
      </c>
      <c r="Z41" s="293">
        <f t="shared" si="6"/>
        <v>0.8</v>
      </c>
      <c r="AA41" s="294" t="b">
        <f t="shared" si="7"/>
        <v>1</v>
      </c>
      <c r="AB41" s="294" t="b">
        <f t="shared" si="8"/>
        <v>1</v>
      </c>
    </row>
    <row r="42" spans="1:28" s="32" customFormat="1" ht="30" customHeight="1" x14ac:dyDescent="0.25">
      <c r="A42" s="177">
        <v>40</v>
      </c>
      <c r="B42" s="148" t="s">
        <v>164</v>
      </c>
      <c r="C42" s="149" t="s">
        <v>52</v>
      </c>
      <c r="D42" s="150" t="s">
        <v>107</v>
      </c>
      <c r="E42" s="149">
        <v>1609022</v>
      </c>
      <c r="F42" s="149" t="s">
        <v>55</v>
      </c>
      <c r="G42" s="150" t="s">
        <v>221</v>
      </c>
      <c r="H42" s="149" t="s">
        <v>46</v>
      </c>
      <c r="I42" s="182">
        <v>0.52500000000000002</v>
      </c>
      <c r="J42" s="154" t="s">
        <v>267</v>
      </c>
      <c r="K42" s="189">
        <v>1340605.72</v>
      </c>
      <c r="L42" s="167">
        <f t="shared" si="16"/>
        <v>804363.43</v>
      </c>
      <c r="M42" s="363">
        <f t="shared" si="15"/>
        <v>536242.28999999992</v>
      </c>
      <c r="N42" s="131">
        <v>0.6</v>
      </c>
      <c r="O42" s="185">
        <v>0</v>
      </c>
      <c r="P42" s="187">
        <v>0</v>
      </c>
      <c r="Q42" s="179">
        <f t="shared" si="11"/>
        <v>804363.43</v>
      </c>
      <c r="R42" s="185">
        <v>0</v>
      </c>
      <c r="S42" s="185">
        <v>0</v>
      </c>
      <c r="T42" s="185">
        <v>0</v>
      </c>
      <c r="U42" s="185">
        <v>0</v>
      </c>
      <c r="V42" s="185">
        <v>0</v>
      </c>
      <c r="W42" s="187">
        <v>0</v>
      </c>
      <c r="X42" s="187">
        <v>0</v>
      </c>
      <c r="Y42" s="292" t="b">
        <f t="shared" si="5"/>
        <v>1</v>
      </c>
      <c r="Z42" s="293">
        <f t="shared" si="6"/>
        <v>0.6</v>
      </c>
      <c r="AA42" s="294" t="b">
        <f t="shared" si="7"/>
        <v>1</v>
      </c>
      <c r="AB42" s="294" t="b">
        <f t="shared" si="8"/>
        <v>1</v>
      </c>
    </row>
    <row r="43" spans="1:28" s="32" customFormat="1" ht="35.25" customHeight="1" x14ac:dyDescent="0.25">
      <c r="A43" s="258">
        <v>41</v>
      </c>
      <c r="B43" s="190" t="s">
        <v>146</v>
      </c>
      <c r="C43" s="143" t="s">
        <v>52</v>
      </c>
      <c r="D43" s="144" t="s">
        <v>72</v>
      </c>
      <c r="E43" s="192">
        <v>1603062</v>
      </c>
      <c r="F43" s="149" t="s">
        <v>60</v>
      </c>
      <c r="G43" s="144" t="s">
        <v>226</v>
      </c>
      <c r="H43" s="192" t="s">
        <v>46</v>
      </c>
      <c r="I43" s="193">
        <v>0.32700000000000001</v>
      </c>
      <c r="J43" s="372" t="s">
        <v>264</v>
      </c>
      <c r="K43" s="373">
        <v>332186.46000000002</v>
      </c>
      <c r="L43" s="145">
        <f t="shared" si="16"/>
        <v>215324.3</v>
      </c>
      <c r="M43" s="363">
        <f t="shared" si="15"/>
        <v>116862.16000000003</v>
      </c>
      <c r="N43" s="388">
        <v>0.64820312599999996</v>
      </c>
      <c r="O43" s="185">
        <v>0</v>
      </c>
      <c r="P43" s="187">
        <v>0</v>
      </c>
      <c r="Q43" s="146">
        <f>L43</f>
        <v>215324.3</v>
      </c>
      <c r="R43" s="185">
        <v>0</v>
      </c>
      <c r="S43" s="185">
        <v>0</v>
      </c>
      <c r="T43" s="185">
        <v>0</v>
      </c>
      <c r="U43" s="185">
        <v>0</v>
      </c>
      <c r="V43" s="185">
        <v>0</v>
      </c>
      <c r="W43" s="187">
        <v>0</v>
      </c>
      <c r="X43" s="187">
        <v>0</v>
      </c>
      <c r="Y43" s="292" t="b">
        <f t="shared" si="5"/>
        <v>1</v>
      </c>
      <c r="Z43" s="293">
        <f t="shared" si="6"/>
        <v>0.6482</v>
      </c>
      <c r="AA43" s="294" t="b">
        <f t="shared" si="7"/>
        <v>0</v>
      </c>
      <c r="AB43" s="294" t="b">
        <f t="shared" si="8"/>
        <v>1</v>
      </c>
    </row>
    <row r="44" spans="1:28" s="32" customFormat="1" ht="35.25" customHeight="1" x14ac:dyDescent="0.25">
      <c r="A44" s="177">
        <v>42</v>
      </c>
      <c r="B44" s="148" t="s">
        <v>162</v>
      </c>
      <c r="C44" s="149" t="s">
        <v>52</v>
      </c>
      <c r="D44" s="150" t="s">
        <v>70</v>
      </c>
      <c r="E44" s="149">
        <v>1609032</v>
      </c>
      <c r="F44" s="149" t="s">
        <v>55</v>
      </c>
      <c r="G44" s="150" t="s">
        <v>222</v>
      </c>
      <c r="H44" s="149" t="s">
        <v>255</v>
      </c>
      <c r="I44" s="182">
        <v>0.40699999999999997</v>
      </c>
      <c r="J44" s="154" t="s">
        <v>318</v>
      </c>
      <c r="K44" s="188">
        <v>602442.81999999995</v>
      </c>
      <c r="L44" s="167">
        <f t="shared" si="16"/>
        <v>361465.69</v>
      </c>
      <c r="M44" s="363">
        <f t="shared" si="15"/>
        <v>240977.12999999995</v>
      </c>
      <c r="N44" s="131">
        <v>0.6</v>
      </c>
      <c r="O44" s="185">
        <v>0</v>
      </c>
      <c r="P44" s="187">
        <v>0</v>
      </c>
      <c r="Q44" s="179">
        <f t="shared" si="11"/>
        <v>361465.69</v>
      </c>
      <c r="R44" s="185">
        <v>0</v>
      </c>
      <c r="S44" s="185">
        <v>0</v>
      </c>
      <c r="T44" s="185">
        <v>0</v>
      </c>
      <c r="U44" s="185">
        <v>0</v>
      </c>
      <c r="V44" s="185">
        <v>0</v>
      </c>
      <c r="W44" s="187">
        <v>0</v>
      </c>
      <c r="X44" s="187">
        <v>0</v>
      </c>
      <c r="Y44" s="292" t="b">
        <f t="shared" si="5"/>
        <v>1</v>
      </c>
      <c r="Z44" s="293">
        <f t="shared" si="6"/>
        <v>0.6</v>
      </c>
      <c r="AA44" s="294" t="b">
        <f t="shared" si="7"/>
        <v>1</v>
      </c>
      <c r="AB44" s="294" t="b">
        <f t="shared" si="8"/>
        <v>1</v>
      </c>
    </row>
    <row r="45" spans="1:28" s="32" customFormat="1" ht="35.25" customHeight="1" x14ac:dyDescent="0.25">
      <c r="A45" s="258">
        <v>43</v>
      </c>
      <c r="B45" s="148" t="s">
        <v>149</v>
      </c>
      <c r="C45" s="149" t="s">
        <v>52</v>
      </c>
      <c r="D45" s="150" t="s">
        <v>54</v>
      </c>
      <c r="E45" s="149">
        <v>1609052</v>
      </c>
      <c r="F45" s="149" t="s">
        <v>55</v>
      </c>
      <c r="G45" s="150" t="s">
        <v>228</v>
      </c>
      <c r="H45" s="149" t="s">
        <v>46</v>
      </c>
      <c r="I45" s="182">
        <v>0.30399999999999999</v>
      </c>
      <c r="J45" s="364" t="s">
        <v>311</v>
      </c>
      <c r="K45" s="167">
        <v>727212.48</v>
      </c>
      <c r="L45" s="167">
        <f t="shared" ref="L45:L54" si="17">ROUND(K45*N45,2)</f>
        <v>436327.49</v>
      </c>
      <c r="M45" s="167">
        <f t="shared" ref="M45:M54" si="18">K45-L45</f>
        <v>290884.99</v>
      </c>
      <c r="N45" s="131">
        <v>0.6</v>
      </c>
      <c r="O45" s="185">
        <v>0</v>
      </c>
      <c r="P45" s="187">
        <v>0</v>
      </c>
      <c r="Q45" s="179">
        <f t="shared" ref="Q45:Q54" si="19">L45</f>
        <v>436327.49</v>
      </c>
      <c r="R45" s="185">
        <v>0</v>
      </c>
      <c r="S45" s="185">
        <v>0</v>
      </c>
      <c r="T45" s="185">
        <v>0</v>
      </c>
      <c r="U45" s="185">
        <v>0</v>
      </c>
      <c r="V45" s="185">
        <v>0</v>
      </c>
      <c r="W45" s="187">
        <v>0</v>
      </c>
      <c r="X45" s="187">
        <v>0</v>
      </c>
      <c r="Y45" s="292" t="b">
        <f t="shared" si="5"/>
        <v>1</v>
      </c>
      <c r="Z45" s="293">
        <f t="shared" si="6"/>
        <v>0.6</v>
      </c>
      <c r="AA45" s="294" t="b">
        <f t="shared" si="7"/>
        <v>1</v>
      </c>
      <c r="AB45" s="294" t="b">
        <f t="shared" si="8"/>
        <v>1</v>
      </c>
    </row>
    <row r="46" spans="1:28" s="32" customFormat="1" ht="27.75" customHeight="1" x14ac:dyDescent="0.25">
      <c r="A46" s="177">
        <v>44</v>
      </c>
      <c r="B46" s="142" t="s">
        <v>148</v>
      </c>
      <c r="C46" s="143" t="s">
        <v>52</v>
      </c>
      <c r="D46" s="144" t="s">
        <v>53</v>
      </c>
      <c r="E46" s="168">
        <v>1601011</v>
      </c>
      <c r="F46" s="168" t="s">
        <v>48</v>
      </c>
      <c r="G46" s="252" t="s">
        <v>227</v>
      </c>
      <c r="H46" s="169" t="s">
        <v>257</v>
      </c>
      <c r="I46" s="389">
        <v>0.26100000000000001</v>
      </c>
      <c r="J46" s="210" t="s">
        <v>267</v>
      </c>
      <c r="K46" s="373">
        <v>788639.28</v>
      </c>
      <c r="L46" s="167">
        <f t="shared" si="17"/>
        <v>552047.5</v>
      </c>
      <c r="M46" s="167">
        <f t="shared" si="18"/>
        <v>236591.78000000003</v>
      </c>
      <c r="N46" s="131">
        <v>0.7</v>
      </c>
      <c r="O46" s="185">
        <v>0</v>
      </c>
      <c r="P46" s="187">
        <v>0</v>
      </c>
      <c r="Q46" s="179">
        <f t="shared" si="19"/>
        <v>552047.5</v>
      </c>
      <c r="R46" s="185">
        <v>0</v>
      </c>
      <c r="S46" s="185">
        <v>0</v>
      </c>
      <c r="T46" s="185">
        <v>0</v>
      </c>
      <c r="U46" s="185">
        <v>0</v>
      </c>
      <c r="V46" s="185">
        <v>0</v>
      </c>
      <c r="W46" s="187">
        <v>0</v>
      </c>
      <c r="X46" s="187">
        <v>0</v>
      </c>
      <c r="Y46" s="292" t="b">
        <f t="shared" si="5"/>
        <v>1</v>
      </c>
      <c r="Z46" s="293">
        <f t="shared" si="6"/>
        <v>0.7</v>
      </c>
      <c r="AA46" s="294" t="b">
        <f t="shared" si="7"/>
        <v>1</v>
      </c>
      <c r="AB46" s="294" t="b">
        <f t="shared" si="8"/>
        <v>1</v>
      </c>
    </row>
    <row r="47" spans="1:28" s="32" customFormat="1" ht="35.25" customHeight="1" x14ac:dyDescent="0.25">
      <c r="A47" s="258">
        <v>45</v>
      </c>
      <c r="B47" s="148" t="s">
        <v>150</v>
      </c>
      <c r="C47" s="149" t="s">
        <v>52</v>
      </c>
      <c r="D47" s="150" t="s">
        <v>69</v>
      </c>
      <c r="E47" s="149">
        <v>1606042</v>
      </c>
      <c r="F47" s="149" t="s">
        <v>58</v>
      </c>
      <c r="G47" s="150" t="s">
        <v>230</v>
      </c>
      <c r="H47" s="149" t="s">
        <v>46</v>
      </c>
      <c r="I47" s="221">
        <v>0.22800000000000001</v>
      </c>
      <c r="J47" s="210" t="s">
        <v>264</v>
      </c>
      <c r="K47" s="167">
        <v>203752.63</v>
      </c>
      <c r="L47" s="167">
        <f t="shared" si="17"/>
        <v>142626.84</v>
      </c>
      <c r="M47" s="167">
        <f t="shared" si="18"/>
        <v>61125.790000000008</v>
      </c>
      <c r="N47" s="131">
        <v>0.7</v>
      </c>
      <c r="O47" s="185">
        <v>0</v>
      </c>
      <c r="P47" s="187">
        <v>0</v>
      </c>
      <c r="Q47" s="179">
        <f t="shared" si="19"/>
        <v>142626.84</v>
      </c>
      <c r="R47" s="185">
        <v>0</v>
      </c>
      <c r="S47" s="185">
        <v>0</v>
      </c>
      <c r="T47" s="185">
        <v>0</v>
      </c>
      <c r="U47" s="185">
        <v>0</v>
      </c>
      <c r="V47" s="185">
        <v>0</v>
      </c>
      <c r="W47" s="187">
        <v>0</v>
      </c>
      <c r="X47" s="187">
        <v>0</v>
      </c>
      <c r="Y47" s="292" t="b">
        <f t="shared" si="5"/>
        <v>1</v>
      </c>
      <c r="Z47" s="293">
        <f t="shared" si="6"/>
        <v>0.7</v>
      </c>
      <c r="AA47" s="294" t="b">
        <f t="shared" si="7"/>
        <v>1</v>
      </c>
      <c r="AB47" s="294" t="b">
        <f t="shared" si="8"/>
        <v>1</v>
      </c>
    </row>
    <row r="48" spans="1:28" s="32" customFormat="1" ht="35.25" customHeight="1" x14ac:dyDescent="0.25">
      <c r="A48" s="177">
        <v>46</v>
      </c>
      <c r="B48" s="148" t="s">
        <v>151</v>
      </c>
      <c r="C48" s="149" t="s">
        <v>52</v>
      </c>
      <c r="D48" s="150" t="s">
        <v>75</v>
      </c>
      <c r="E48" s="149">
        <v>1608043</v>
      </c>
      <c r="F48" s="149" t="s">
        <v>56</v>
      </c>
      <c r="G48" s="151" t="s">
        <v>229</v>
      </c>
      <c r="H48" s="149" t="s">
        <v>46</v>
      </c>
      <c r="I48" s="221">
        <v>0.16500000000000001</v>
      </c>
      <c r="J48" s="210" t="s">
        <v>256</v>
      </c>
      <c r="K48" s="167">
        <v>435843.54</v>
      </c>
      <c r="L48" s="167">
        <f t="shared" si="17"/>
        <v>348674.83</v>
      </c>
      <c r="M48" s="167">
        <f t="shared" si="18"/>
        <v>87168.709999999963</v>
      </c>
      <c r="N48" s="131">
        <v>0.8</v>
      </c>
      <c r="O48" s="185">
        <v>0</v>
      </c>
      <c r="P48" s="187">
        <v>0</v>
      </c>
      <c r="Q48" s="179">
        <f t="shared" si="19"/>
        <v>348674.83</v>
      </c>
      <c r="R48" s="185">
        <v>0</v>
      </c>
      <c r="S48" s="185">
        <v>0</v>
      </c>
      <c r="T48" s="185">
        <v>0</v>
      </c>
      <c r="U48" s="185">
        <v>0</v>
      </c>
      <c r="V48" s="185">
        <v>0</v>
      </c>
      <c r="W48" s="187">
        <v>0</v>
      </c>
      <c r="X48" s="187">
        <v>0</v>
      </c>
      <c r="Y48" s="292" t="b">
        <f t="shared" si="5"/>
        <v>1</v>
      </c>
      <c r="Z48" s="293">
        <f t="shared" si="6"/>
        <v>0.8</v>
      </c>
      <c r="AA48" s="294" t="b">
        <f t="shared" si="7"/>
        <v>1</v>
      </c>
      <c r="AB48" s="294" t="b">
        <f t="shared" si="8"/>
        <v>1</v>
      </c>
    </row>
    <row r="49" spans="1:28" s="32" customFormat="1" ht="44.25" customHeight="1" x14ac:dyDescent="0.25">
      <c r="A49" s="258">
        <v>47</v>
      </c>
      <c r="B49" s="148" t="s">
        <v>152</v>
      </c>
      <c r="C49" s="149" t="s">
        <v>52</v>
      </c>
      <c r="D49" s="150" t="s">
        <v>68</v>
      </c>
      <c r="E49" s="149">
        <v>1609092</v>
      </c>
      <c r="F49" s="149" t="s">
        <v>55</v>
      </c>
      <c r="G49" s="150" t="s">
        <v>231</v>
      </c>
      <c r="H49" s="149" t="s">
        <v>46</v>
      </c>
      <c r="I49" s="221">
        <v>0.20499999999999999</v>
      </c>
      <c r="J49" s="210" t="s">
        <v>268</v>
      </c>
      <c r="K49" s="167">
        <v>214336.11</v>
      </c>
      <c r="L49" s="167">
        <f t="shared" si="17"/>
        <v>150035.28</v>
      </c>
      <c r="M49" s="167">
        <f t="shared" si="18"/>
        <v>64300.829999999987</v>
      </c>
      <c r="N49" s="131">
        <v>0.7</v>
      </c>
      <c r="O49" s="185">
        <v>0</v>
      </c>
      <c r="P49" s="187">
        <v>0</v>
      </c>
      <c r="Q49" s="179">
        <f t="shared" si="19"/>
        <v>150035.28</v>
      </c>
      <c r="R49" s="185">
        <v>0</v>
      </c>
      <c r="S49" s="185">
        <v>0</v>
      </c>
      <c r="T49" s="185">
        <v>0</v>
      </c>
      <c r="U49" s="185">
        <v>0</v>
      </c>
      <c r="V49" s="185">
        <v>0</v>
      </c>
      <c r="W49" s="187">
        <v>0</v>
      </c>
      <c r="X49" s="187">
        <v>0</v>
      </c>
      <c r="Y49" s="292" t="b">
        <f t="shared" si="5"/>
        <v>1</v>
      </c>
      <c r="Z49" s="293">
        <f t="shared" si="6"/>
        <v>0.7</v>
      </c>
      <c r="AA49" s="294" t="b">
        <f t="shared" si="7"/>
        <v>1</v>
      </c>
      <c r="AB49" s="294" t="b">
        <f t="shared" si="8"/>
        <v>1</v>
      </c>
    </row>
    <row r="50" spans="1:28" s="32" customFormat="1" ht="44.25" customHeight="1" x14ac:dyDescent="0.25">
      <c r="A50" s="177">
        <v>48</v>
      </c>
      <c r="B50" s="148" t="s">
        <v>153</v>
      </c>
      <c r="C50" s="153" t="s">
        <v>52</v>
      </c>
      <c r="D50" s="150" t="s">
        <v>72</v>
      </c>
      <c r="E50" s="149">
        <v>1603062</v>
      </c>
      <c r="F50" s="149" t="s">
        <v>60</v>
      </c>
      <c r="G50" s="151" t="s">
        <v>252</v>
      </c>
      <c r="H50" s="149" t="s">
        <v>257</v>
      </c>
      <c r="I50" s="221">
        <v>1.698</v>
      </c>
      <c r="J50" s="210" t="s">
        <v>268</v>
      </c>
      <c r="K50" s="167">
        <v>648400</v>
      </c>
      <c r="L50" s="167">
        <f t="shared" si="17"/>
        <v>453880</v>
      </c>
      <c r="M50" s="167">
        <f t="shared" si="18"/>
        <v>194520</v>
      </c>
      <c r="N50" s="131">
        <v>0.7</v>
      </c>
      <c r="O50" s="185">
        <v>0</v>
      </c>
      <c r="P50" s="187">
        <v>0</v>
      </c>
      <c r="Q50" s="179">
        <f t="shared" si="19"/>
        <v>453880</v>
      </c>
      <c r="R50" s="185">
        <v>0</v>
      </c>
      <c r="S50" s="185">
        <v>0</v>
      </c>
      <c r="T50" s="185">
        <v>0</v>
      </c>
      <c r="U50" s="185">
        <v>0</v>
      </c>
      <c r="V50" s="185">
        <v>0</v>
      </c>
      <c r="W50" s="187">
        <v>0</v>
      </c>
      <c r="X50" s="187">
        <v>0</v>
      </c>
      <c r="Y50" s="292" t="b">
        <f t="shared" si="5"/>
        <v>1</v>
      </c>
      <c r="Z50" s="293">
        <f t="shared" si="6"/>
        <v>0.7</v>
      </c>
      <c r="AA50" s="294" t="b">
        <f t="shared" si="7"/>
        <v>1</v>
      </c>
      <c r="AB50" s="294" t="b">
        <f t="shared" si="8"/>
        <v>1</v>
      </c>
    </row>
    <row r="51" spans="1:28" s="351" customFormat="1" ht="44.25" customHeight="1" x14ac:dyDescent="0.25">
      <c r="A51" s="345">
        <v>49</v>
      </c>
      <c r="B51" s="346" t="s">
        <v>312</v>
      </c>
      <c r="C51" s="347" t="s">
        <v>52</v>
      </c>
      <c r="D51" s="150" t="s">
        <v>305</v>
      </c>
      <c r="E51" s="139">
        <v>1602022</v>
      </c>
      <c r="F51" s="139" t="s">
        <v>83</v>
      </c>
      <c r="G51" s="152" t="s">
        <v>306</v>
      </c>
      <c r="H51" s="139" t="s">
        <v>46</v>
      </c>
      <c r="I51" s="390">
        <v>0.31940000000000002</v>
      </c>
      <c r="J51" s="365" t="s">
        <v>331</v>
      </c>
      <c r="K51" s="167">
        <v>197330.28</v>
      </c>
      <c r="L51" s="167">
        <f>ROUND(K51*N51,2)</f>
        <v>98665.14</v>
      </c>
      <c r="M51" s="167">
        <f>K51-L51</f>
        <v>98665.14</v>
      </c>
      <c r="N51" s="131">
        <v>0.5</v>
      </c>
      <c r="O51" s="185">
        <v>0</v>
      </c>
      <c r="P51" s="349">
        <v>0</v>
      </c>
      <c r="Q51" s="350">
        <f>L51</f>
        <v>98665.14</v>
      </c>
      <c r="R51" s="348">
        <v>0</v>
      </c>
      <c r="S51" s="348">
        <v>0</v>
      </c>
      <c r="T51" s="348">
        <v>0</v>
      </c>
      <c r="U51" s="348">
        <v>0</v>
      </c>
      <c r="V51" s="348">
        <v>0</v>
      </c>
      <c r="W51" s="349">
        <v>0</v>
      </c>
      <c r="X51" s="349">
        <v>0</v>
      </c>
      <c r="Y51" s="292" t="b">
        <f t="shared" si="5"/>
        <v>1</v>
      </c>
      <c r="Z51" s="293">
        <f t="shared" si="6"/>
        <v>0.5</v>
      </c>
      <c r="AA51" s="294" t="b">
        <f t="shared" si="7"/>
        <v>1</v>
      </c>
      <c r="AB51" s="294" t="b">
        <f t="shared" si="8"/>
        <v>1</v>
      </c>
    </row>
    <row r="52" spans="1:28" s="351" customFormat="1" ht="44.25" customHeight="1" x14ac:dyDescent="0.25">
      <c r="A52" s="345">
        <v>50</v>
      </c>
      <c r="B52" s="346" t="s">
        <v>313</v>
      </c>
      <c r="C52" s="347" t="s">
        <v>52</v>
      </c>
      <c r="D52" s="150" t="s">
        <v>305</v>
      </c>
      <c r="E52" s="139">
        <v>1602022</v>
      </c>
      <c r="F52" s="139" t="s">
        <v>83</v>
      </c>
      <c r="G52" s="152" t="s">
        <v>307</v>
      </c>
      <c r="H52" s="139" t="s">
        <v>46</v>
      </c>
      <c r="I52" s="390">
        <v>0.16139999999999999</v>
      </c>
      <c r="J52" s="365" t="s">
        <v>331</v>
      </c>
      <c r="K52" s="167">
        <v>250064.55</v>
      </c>
      <c r="L52" s="167">
        <f>ROUND(K52*N52,2)</f>
        <v>125032.28</v>
      </c>
      <c r="M52" s="167">
        <f>K52-L52</f>
        <v>125032.26999999999</v>
      </c>
      <c r="N52" s="131">
        <v>0.5</v>
      </c>
      <c r="O52" s="185">
        <v>0</v>
      </c>
      <c r="P52" s="348">
        <v>0</v>
      </c>
      <c r="Q52" s="350">
        <f>L52</f>
        <v>125032.28</v>
      </c>
      <c r="R52" s="348">
        <v>0</v>
      </c>
      <c r="S52" s="348">
        <v>0</v>
      </c>
      <c r="T52" s="348">
        <v>0</v>
      </c>
      <c r="U52" s="348">
        <v>0</v>
      </c>
      <c r="V52" s="348">
        <v>0</v>
      </c>
      <c r="W52" s="349">
        <v>0</v>
      </c>
      <c r="X52" s="349">
        <v>0</v>
      </c>
      <c r="Y52" s="292" t="b">
        <f t="shared" si="5"/>
        <v>1</v>
      </c>
      <c r="Z52" s="293">
        <f t="shared" si="6"/>
        <v>0.5</v>
      </c>
      <c r="AA52" s="294" t="b">
        <f t="shared" si="7"/>
        <v>1</v>
      </c>
      <c r="AB52" s="294" t="b">
        <f t="shared" si="8"/>
        <v>1</v>
      </c>
    </row>
    <row r="53" spans="1:28" s="351" customFormat="1" ht="44.25" customHeight="1" x14ac:dyDescent="0.25">
      <c r="A53" s="345">
        <v>51</v>
      </c>
      <c r="B53" s="346" t="s">
        <v>171</v>
      </c>
      <c r="C53" s="347" t="s">
        <v>52</v>
      </c>
      <c r="D53" s="150" t="s">
        <v>173</v>
      </c>
      <c r="E53" s="139">
        <v>1610032</v>
      </c>
      <c r="F53" s="139" t="s">
        <v>49</v>
      </c>
      <c r="G53" s="152" t="s">
        <v>238</v>
      </c>
      <c r="H53" s="139" t="s">
        <v>257</v>
      </c>
      <c r="I53" s="390">
        <v>0.75800000000000001</v>
      </c>
      <c r="J53" s="365" t="s">
        <v>331</v>
      </c>
      <c r="K53" s="251">
        <v>301220.73</v>
      </c>
      <c r="L53" s="167">
        <f t="shared" si="17"/>
        <v>210854.51</v>
      </c>
      <c r="M53" s="167">
        <f t="shared" si="18"/>
        <v>90366.219999999972</v>
      </c>
      <c r="N53" s="131">
        <v>0.7</v>
      </c>
      <c r="O53" s="185">
        <v>0</v>
      </c>
      <c r="P53" s="348">
        <v>0</v>
      </c>
      <c r="Q53" s="352">
        <f t="shared" si="19"/>
        <v>210854.51</v>
      </c>
      <c r="R53" s="348">
        <v>0</v>
      </c>
      <c r="S53" s="348">
        <v>0</v>
      </c>
      <c r="T53" s="348">
        <v>0</v>
      </c>
      <c r="U53" s="348">
        <v>0</v>
      </c>
      <c r="V53" s="348">
        <v>0</v>
      </c>
      <c r="W53" s="349">
        <v>0</v>
      </c>
      <c r="X53" s="349">
        <v>0</v>
      </c>
      <c r="Y53" s="292" t="b">
        <f t="shared" si="5"/>
        <v>1</v>
      </c>
      <c r="Z53" s="293">
        <f t="shared" si="6"/>
        <v>0.7</v>
      </c>
      <c r="AA53" s="294" t="b">
        <f t="shared" si="7"/>
        <v>1</v>
      </c>
      <c r="AB53" s="294" t="b">
        <f t="shared" si="8"/>
        <v>1</v>
      </c>
    </row>
    <row r="54" spans="1:28" s="32" customFormat="1" ht="44.25" customHeight="1" x14ac:dyDescent="0.25">
      <c r="A54" s="361">
        <v>52</v>
      </c>
      <c r="B54" s="148" t="s">
        <v>154</v>
      </c>
      <c r="C54" s="149" t="s">
        <v>52</v>
      </c>
      <c r="D54" s="150" t="s">
        <v>155</v>
      </c>
      <c r="E54" s="149">
        <v>1601043</v>
      </c>
      <c r="F54" s="149" t="s">
        <v>48</v>
      </c>
      <c r="G54" s="150" t="s">
        <v>232</v>
      </c>
      <c r="H54" s="149" t="s">
        <v>46</v>
      </c>
      <c r="I54" s="221">
        <v>0.97799999999999998</v>
      </c>
      <c r="J54" s="210" t="s">
        <v>324</v>
      </c>
      <c r="K54" s="251">
        <v>712202.88</v>
      </c>
      <c r="L54" s="167">
        <f t="shared" si="17"/>
        <v>498542.02</v>
      </c>
      <c r="M54" s="167">
        <f t="shared" si="18"/>
        <v>213660.86</v>
      </c>
      <c r="N54" s="131">
        <v>0.7</v>
      </c>
      <c r="O54" s="185">
        <v>0</v>
      </c>
      <c r="P54" s="187">
        <v>0</v>
      </c>
      <c r="Q54" s="352">
        <f t="shared" si="19"/>
        <v>498542.02</v>
      </c>
      <c r="R54" s="187">
        <v>0</v>
      </c>
      <c r="S54" s="185">
        <v>0</v>
      </c>
      <c r="T54" s="185">
        <v>0</v>
      </c>
      <c r="U54" s="185">
        <v>0</v>
      </c>
      <c r="V54" s="185">
        <v>0</v>
      </c>
      <c r="W54" s="187">
        <v>0</v>
      </c>
      <c r="X54" s="187">
        <v>0</v>
      </c>
      <c r="Y54" s="292" t="b">
        <f t="shared" si="5"/>
        <v>1</v>
      </c>
      <c r="Z54" s="293">
        <f t="shared" si="6"/>
        <v>0.7</v>
      </c>
      <c r="AA54" s="294" t="b">
        <f t="shared" si="7"/>
        <v>1</v>
      </c>
      <c r="AB54" s="294" t="b">
        <f t="shared" si="8"/>
        <v>1</v>
      </c>
    </row>
    <row r="55" spans="1:28" s="8" customFormat="1" ht="39.950000000000003" customHeight="1" x14ac:dyDescent="0.25">
      <c r="A55" s="141">
        <v>53</v>
      </c>
      <c r="B55" s="150" t="s">
        <v>319</v>
      </c>
      <c r="C55" s="153" t="s">
        <v>52</v>
      </c>
      <c r="D55" s="150" t="s">
        <v>157</v>
      </c>
      <c r="E55" s="149">
        <v>1608052</v>
      </c>
      <c r="F55" s="149" t="s">
        <v>56</v>
      </c>
      <c r="G55" s="252" t="s">
        <v>234</v>
      </c>
      <c r="H55" s="149" t="s">
        <v>46</v>
      </c>
      <c r="I55" s="390">
        <v>0.94</v>
      </c>
      <c r="J55" s="365" t="s">
        <v>268</v>
      </c>
      <c r="K55" s="251">
        <v>561365.55000000005</v>
      </c>
      <c r="L55" s="167">
        <f>ROUND(K55*N55,2)</f>
        <v>392955.89</v>
      </c>
      <c r="M55" s="167">
        <f>K55-L55</f>
        <v>168409.66000000003</v>
      </c>
      <c r="N55" s="131">
        <v>0.7</v>
      </c>
      <c r="O55" s="185">
        <v>0</v>
      </c>
      <c r="P55" s="185">
        <v>0</v>
      </c>
      <c r="Q55" s="235">
        <f t="shared" ref="Q55:Q61" si="20">L55</f>
        <v>392955.89</v>
      </c>
      <c r="R55" s="185">
        <v>0</v>
      </c>
      <c r="S55" s="185">
        <v>0</v>
      </c>
      <c r="T55" s="185">
        <v>0</v>
      </c>
      <c r="U55" s="185">
        <v>0</v>
      </c>
      <c r="V55" s="185">
        <v>0</v>
      </c>
      <c r="W55" s="187">
        <v>0</v>
      </c>
      <c r="X55" s="187">
        <v>0</v>
      </c>
      <c r="Y55" s="292" t="b">
        <f t="shared" ref="Y55" si="21">L55=SUM(O55:X55)</f>
        <v>1</v>
      </c>
      <c r="Z55" s="293">
        <f t="shared" si="6"/>
        <v>0.7</v>
      </c>
      <c r="AA55" s="294" t="b">
        <f t="shared" si="7"/>
        <v>1</v>
      </c>
      <c r="AB55" s="294" t="b">
        <f t="shared" si="8"/>
        <v>1</v>
      </c>
    </row>
    <row r="56" spans="1:28" s="8" customFormat="1" ht="39.950000000000003" customHeight="1" x14ac:dyDescent="0.25">
      <c r="A56" s="141">
        <v>54</v>
      </c>
      <c r="B56" s="150" t="s">
        <v>320</v>
      </c>
      <c r="C56" s="149" t="s">
        <v>52</v>
      </c>
      <c r="D56" s="150" t="s">
        <v>160</v>
      </c>
      <c r="E56" s="149">
        <v>1611033</v>
      </c>
      <c r="F56" s="149" t="s">
        <v>57</v>
      </c>
      <c r="G56" s="150" t="s">
        <v>233</v>
      </c>
      <c r="H56" s="149" t="s">
        <v>46</v>
      </c>
      <c r="I56" s="390">
        <v>0.62</v>
      </c>
      <c r="J56" s="365" t="s">
        <v>331</v>
      </c>
      <c r="K56" s="167">
        <v>1134035.5900000001</v>
      </c>
      <c r="L56" s="167">
        <f t="shared" ref="L56:L58" si="22">ROUND(K56*N56,2)</f>
        <v>793824.91</v>
      </c>
      <c r="M56" s="167">
        <f t="shared" ref="M56:M72" si="23">K56-L56</f>
        <v>340210.68000000005</v>
      </c>
      <c r="N56" s="131">
        <v>0.7</v>
      </c>
      <c r="O56" s="185">
        <v>0</v>
      </c>
      <c r="P56" s="185">
        <v>0</v>
      </c>
      <c r="Q56" s="235">
        <f t="shared" si="20"/>
        <v>793824.91</v>
      </c>
      <c r="R56" s="185">
        <v>0</v>
      </c>
      <c r="S56" s="185">
        <v>0</v>
      </c>
      <c r="T56" s="185">
        <v>0</v>
      </c>
      <c r="U56" s="185">
        <v>0</v>
      </c>
      <c r="V56" s="185">
        <v>0</v>
      </c>
      <c r="W56" s="187">
        <v>0</v>
      </c>
      <c r="X56" s="187">
        <v>0</v>
      </c>
      <c r="Y56" s="292" t="b">
        <f t="shared" ref="Y56:Y58" si="24">L56=SUM(O56:X56)</f>
        <v>1</v>
      </c>
      <c r="Z56" s="293">
        <f t="shared" si="6"/>
        <v>0.7</v>
      </c>
      <c r="AA56" s="294" t="b">
        <f t="shared" si="7"/>
        <v>1</v>
      </c>
      <c r="AB56" s="294" t="b">
        <f t="shared" si="8"/>
        <v>1</v>
      </c>
    </row>
    <row r="57" spans="1:28" s="8" customFormat="1" ht="39.950000000000003" customHeight="1" x14ac:dyDescent="0.25">
      <c r="A57" s="141">
        <v>55</v>
      </c>
      <c r="B57" s="150" t="s">
        <v>321</v>
      </c>
      <c r="C57" s="153" t="s">
        <v>52</v>
      </c>
      <c r="D57" s="150" t="s">
        <v>156</v>
      </c>
      <c r="E57" s="149">
        <v>1611053</v>
      </c>
      <c r="F57" s="149" t="s">
        <v>57</v>
      </c>
      <c r="G57" s="150" t="s">
        <v>293</v>
      </c>
      <c r="H57" s="149" t="s">
        <v>255</v>
      </c>
      <c r="I57" s="390">
        <v>0.32700000000000001</v>
      </c>
      <c r="J57" s="365" t="s">
        <v>324</v>
      </c>
      <c r="K57" s="251">
        <v>1392192.63</v>
      </c>
      <c r="L57" s="167">
        <f t="shared" si="22"/>
        <v>835315.58</v>
      </c>
      <c r="M57" s="167">
        <f t="shared" si="23"/>
        <v>556877.04999999993</v>
      </c>
      <c r="N57" s="131">
        <v>0.6</v>
      </c>
      <c r="O57" s="185">
        <v>0</v>
      </c>
      <c r="P57" s="185">
        <v>0</v>
      </c>
      <c r="Q57" s="235">
        <f t="shared" si="20"/>
        <v>835315.58</v>
      </c>
      <c r="R57" s="185">
        <v>0</v>
      </c>
      <c r="S57" s="185">
        <v>0</v>
      </c>
      <c r="T57" s="185">
        <v>0</v>
      </c>
      <c r="U57" s="185">
        <v>0</v>
      </c>
      <c r="V57" s="185">
        <v>0</v>
      </c>
      <c r="W57" s="187">
        <v>0</v>
      </c>
      <c r="X57" s="187">
        <v>0</v>
      </c>
      <c r="Y57" s="292" t="b">
        <f t="shared" si="24"/>
        <v>1</v>
      </c>
      <c r="Z57" s="293">
        <f t="shared" si="6"/>
        <v>0.6</v>
      </c>
      <c r="AA57" s="294" t="b">
        <f t="shared" si="7"/>
        <v>1</v>
      </c>
      <c r="AB57" s="294" t="b">
        <f t="shared" si="8"/>
        <v>1</v>
      </c>
    </row>
    <row r="58" spans="1:28" s="8" customFormat="1" ht="39.950000000000003" customHeight="1" x14ac:dyDescent="0.25">
      <c r="A58" s="141">
        <v>56</v>
      </c>
      <c r="B58" s="150" t="s">
        <v>322</v>
      </c>
      <c r="C58" s="153" t="s">
        <v>52</v>
      </c>
      <c r="D58" s="150" t="s">
        <v>77</v>
      </c>
      <c r="E58" s="149">
        <v>1607092</v>
      </c>
      <c r="F58" s="149" t="s">
        <v>45</v>
      </c>
      <c r="G58" s="150" t="s">
        <v>235</v>
      </c>
      <c r="H58" s="149" t="s">
        <v>46</v>
      </c>
      <c r="I58" s="390">
        <v>0.54200000000000004</v>
      </c>
      <c r="J58" s="365" t="s">
        <v>272</v>
      </c>
      <c r="K58" s="251">
        <v>3598753.91</v>
      </c>
      <c r="L58" s="167">
        <f t="shared" si="22"/>
        <v>2519127.7400000002</v>
      </c>
      <c r="M58" s="167">
        <f t="shared" si="23"/>
        <v>1079626.17</v>
      </c>
      <c r="N58" s="131">
        <v>0.7</v>
      </c>
      <c r="O58" s="185">
        <v>0</v>
      </c>
      <c r="P58" s="185">
        <v>0</v>
      </c>
      <c r="Q58" s="235">
        <f t="shared" si="20"/>
        <v>2519127.7400000002</v>
      </c>
      <c r="R58" s="185">
        <v>0</v>
      </c>
      <c r="S58" s="185">
        <v>0</v>
      </c>
      <c r="T58" s="185">
        <v>0</v>
      </c>
      <c r="U58" s="185">
        <v>0</v>
      </c>
      <c r="V58" s="185">
        <v>0</v>
      </c>
      <c r="W58" s="187">
        <v>0</v>
      </c>
      <c r="X58" s="187">
        <v>0</v>
      </c>
      <c r="Y58" s="292" t="b">
        <f t="shared" si="24"/>
        <v>1</v>
      </c>
      <c r="Z58" s="293">
        <f t="shared" si="6"/>
        <v>0.7</v>
      </c>
      <c r="AA58" s="294" t="b">
        <f t="shared" si="7"/>
        <v>1</v>
      </c>
      <c r="AB58" s="294" t="b">
        <f t="shared" si="8"/>
        <v>1</v>
      </c>
    </row>
    <row r="59" spans="1:28" s="8" customFormat="1" ht="39.950000000000003" customHeight="1" x14ac:dyDescent="0.25">
      <c r="A59" s="141">
        <v>57</v>
      </c>
      <c r="B59" s="150" t="s">
        <v>325</v>
      </c>
      <c r="C59" s="153" t="s">
        <v>52</v>
      </c>
      <c r="D59" s="150" t="s">
        <v>91</v>
      </c>
      <c r="E59" s="149">
        <v>1602033</v>
      </c>
      <c r="F59" s="149" t="s">
        <v>83</v>
      </c>
      <c r="G59" s="150" t="s">
        <v>236</v>
      </c>
      <c r="H59" s="149" t="s">
        <v>46</v>
      </c>
      <c r="I59" s="390">
        <v>0.68899999999999995</v>
      </c>
      <c r="J59" s="365" t="s">
        <v>311</v>
      </c>
      <c r="K59" s="251">
        <v>2218043.1800000002</v>
      </c>
      <c r="L59" s="167">
        <f>ROUND(K59*N59,2)</f>
        <v>1552630.23</v>
      </c>
      <c r="M59" s="167">
        <f t="shared" si="23"/>
        <v>665412.95000000019</v>
      </c>
      <c r="N59" s="131">
        <v>0.7</v>
      </c>
      <c r="O59" s="185">
        <v>0</v>
      </c>
      <c r="P59" s="185">
        <v>0</v>
      </c>
      <c r="Q59" s="235">
        <f t="shared" si="20"/>
        <v>1552630.23</v>
      </c>
      <c r="R59" s="185">
        <v>0</v>
      </c>
      <c r="S59" s="185">
        <v>0</v>
      </c>
      <c r="T59" s="185">
        <v>0</v>
      </c>
      <c r="U59" s="185">
        <v>0</v>
      </c>
      <c r="V59" s="185">
        <v>0</v>
      </c>
      <c r="W59" s="187">
        <v>0</v>
      </c>
      <c r="X59" s="187">
        <v>0</v>
      </c>
      <c r="Y59" s="292" t="b">
        <f t="shared" ref="Y59" si="25">L59=SUM(O59:X59)</f>
        <v>1</v>
      </c>
      <c r="Z59" s="293">
        <f t="shared" ref="Z59" si="26">ROUND(L59/K59,4)</f>
        <v>0.7</v>
      </c>
      <c r="AA59" s="294" t="b">
        <f t="shared" ref="AA59" si="27">Z59=N59</f>
        <v>1</v>
      </c>
      <c r="AB59" s="294" t="b">
        <f t="shared" ref="AB59" si="28">K59=L59+M59</f>
        <v>1</v>
      </c>
    </row>
    <row r="60" spans="1:28" s="8" customFormat="1" ht="39.950000000000003" customHeight="1" x14ac:dyDescent="0.25">
      <c r="A60" s="141">
        <v>58</v>
      </c>
      <c r="B60" s="150" t="s">
        <v>332</v>
      </c>
      <c r="C60" s="153" t="s">
        <v>52</v>
      </c>
      <c r="D60" s="150" t="s">
        <v>81</v>
      </c>
      <c r="E60" s="149">
        <v>1602043</v>
      </c>
      <c r="F60" s="149" t="s">
        <v>83</v>
      </c>
      <c r="G60" s="150" t="s">
        <v>237</v>
      </c>
      <c r="H60" s="149" t="s">
        <v>257</v>
      </c>
      <c r="I60" s="390">
        <v>0.16</v>
      </c>
      <c r="J60" s="365" t="s">
        <v>274</v>
      </c>
      <c r="K60" s="251">
        <v>330019.34000000003</v>
      </c>
      <c r="L60" s="167">
        <f>ROUND(K60*N60,2)</f>
        <v>231013.54</v>
      </c>
      <c r="M60" s="167">
        <f t="shared" si="23"/>
        <v>99005.800000000017</v>
      </c>
      <c r="N60" s="131">
        <v>0.7</v>
      </c>
      <c r="O60" s="185">
        <v>0</v>
      </c>
      <c r="P60" s="185">
        <v>0</v>
      </c>
      <c r="Q60" s="235">
        <f t="shared" si="20"/>
        <v>231013.54</v>
      </c>
      <c r="R60" s="185">
        <v>0</v>
      </c>
      <c r="S60" s="185">
        <v>0</v>
      </c>
      <c r="T60" s="185">
        <v>0</v>
      </c>
      <c r="U60" s="185">
        <v>0</v>
      </c>
      <c r="V60" s="185">
        <v>0</v>
      </c>
      <c r="W60" s="187">
        <v>0</v>
      </c>
      <c r="X60" s="187">
        <v>0</v>
      </c>
      <c r="Y60" s="292" t="b">
        <f t="shared" ref="Y60" si="29">L60=SUM(O60:X60)</f>
        <v>1</v>
      </c>
      <c r="Z60" s="293">
        <f t="shared" ref="Z60" si="30">ROUND(L60/K60,4)</f>
        <v>0.7</v>
      </c>
      <c r="AA60" s="294" t="b">
        <f t="shared" ref="AA60" si="31">Z60=N60</f>
        <v>1</v>
      </c>
      <c r="AB60" s="294" t="b">
        <f t="shared" ref="AB60" si="32">K60=L60+M60</f>
        <v>1</v>
      </c>
    </row>
    <row r="61" spans="1:28" s="8" customFormat="1" ht="39.950000000000003" customHeight="1" x14ac:dyDescent="0.25">
      <c r="A61" s="141">
        <v>59</v>
      </c>
      <c r="B61" s="150" t="s">
        <v>333</v>
      </c>
      <c r="C61" s="153" t="s">
        <v>52</v>
      </c>
      <c r="D61" s="150" t="s">
        <v>68</v>
      </c>
      <c r="E61" s="149">
        <v>1609092</v>
      </c>
      <c r="F61" s="149" t="s">
        <v>55</v>
      </c>
      <c r="G61" s="150" t="s">
        <v>239</v>
      </c>
      <c r="H61" s="149" t="s">
        <v>46</v>
      </c>
      <c r="I61" s="390">
        <v>0.56299999999999994</v>
      </c>
      <c r="J61" s="365" t="s">
        <v>260</v>
      </c>
      <c r="K61" s="251">
        <v>755409.49</v>
      </c>
      <c r="L61" s="167">
        <f>ROUND(K61*N61,2)</f>
        <v>528786.64</v>
      </c>
      <c r="M61" s="167">
        <f t="shared" si="23"/>
        <v>226622.84999999998</v>
      </c>
      <c r="N61" s="131">
        <v>0.7</v>
      </c>
      <c r="O61" s="185">
        <v>0</v>
      </c>
      <c r="P61" s="185">
        <v>0</v>
      </c>
      <c r="Q61" s="235">
        <f t="shared" si="20"/>
        <v>528786.64</v>
      </c>
      <c r="R61" s="185">
        <v>0</v>
      </c>
      <c r="S61" s="185">
        <v>0</v>
      </c>
      <c r="T61" s="185">
        <v>0</v>
      </c>
      <c r="U61" s="185">
        <v>0</v>
      </c>
      <c r="V61" s="185">
        <v>0</v>
      </c>
      <c r="W61" s="187">
        <v>0</v>
      </c>
      <c r="X61" s="187">
        <v>0</v>
      </c>
      <c r="Y61" s="292" t="b">
        <f t="shared" ref="Y61" si="33">L61=SUM(O61:X61)</f>
        <v>1</v>
      </c>
      <c r="Z61" s="293">
        <f t="shared" ref="Z61" si="34">ROUND(L61/K61,4)</f>
        <v>0.7</v>
      </c>
      <c r="AA61" s="294" t="b">
        <f t="shared" ref="AA61" si="35">Z61=N61</f>
        <v>1</v>
      </c>
      <c r="AB61" s="294" t="b">
        <f t="shared" ref="AB61" si="36">K61=L61+M61</f>
        <v>1</v>
      </c>
    </row>
    <row r="62" spans="1:28" s="8" customFormat="1" ht="81" customHeight="1" x14ac:dyDescent="0.25">
      <c r="A62" s="360">
        <v>60</v>
      </c>
      <c r="B62" s="157" t="s">
        <v>334</v>
      </c>
      <c r="C62" s="156" t="s">
        <v>89</v>
      </c>
      <c r="D62" s="157" t="s">
        <v>82</v>
      </c>
      <c r="E62" s="128">
        <v>1604023</v>
      </c>
      <c r="F62" s="128" t="s">
        <v>84</v>
      </c>
      <c r="G62" s="157" t="s">
        <v>240</v>
      </c>
      <c r="H62" s="128" t="s">
        <v>255</v>
      </c>
      <c r="I62" s="391">
        <v>0.77</v>
      </c>
      <c r="J62" s="392" t="s">
        <v>275</v>
      </c>
      <c r="K62" s="298">
        <v>3573507.75</v>
      </c>
      <c r="L62" s="299">
        <v>2482620.1800000002</v>
      </c>
      <c r="M62" s="299">
        <f t="shared" si="23"/>
        <v>1090887.5699999998</v>
      </c>
      <c r="N62" s="158">
        <f>ROUND(L62/K62,4)</f>
        <v>0.69469999999999998</v>
      </c>
      <c r="O62" s="186">
        <v>0</v>
      </c>
      <c r="P62" s="186">
        <v>0</v>
      </c>
      <c r="Q62" s="205">
        <v>2023902.78</v>
      </c>
      <c r="R62" s="205">
        <f>458717.4</f>
        <v>458717.4</v>
      </c>
      <c r="S62" s="186">
        <v>0</v>
      </c>
      <c r="T62" s="186">
        <v>0</v>
      </c>
      <c r="U62" s="186">
        <v>0</v>
      </c>
      <c r="V62" s="186">
        <v>0</v>
      </c>
      <c r="W62" s="204">
        <v>0</v>
      </c>
      <c r="X62" s="204">
        <v>0</v>
      </c>
      <c r="Y62" s="292" t="b">
        <f>L62=SUM(O62:X62)</f>
        <v>1</v>
      </c>
      <c r="Z62" s="293">
        <f>ROUND(L62/K62,4)</f>
        <v>0.69469999999999998</v>
      </c>
      <c r="AA62" s="294" t="b">
        <f>Z62=N62</f>
        <v>1</v>
      </c>
      <c r="AB62" s="294" t="b">
        <f t="shared" ref="AB62" si="37">K62=L62+M62</f>
        <v>1</v>
      </c>
    </row>
    <row r="63" spans="1:28" s="8" customFormat="1" ht="39.950000000000003" customHeight="1" x14ac:dyDescent="0.25">
      <c r="A63" s="141">
        <v>61</v>
      </c>
      <c r="B63" s="150" t="s">
        <v>347</v>
      </c>
      <c r="C63" s="153" t="s">
        <v>52</v>
      </c>
      <c r="D63" s="150" t="s">
        <v>161</v>
      </c>
      <c r="E63" s="149">
        <v>1603052</v>
      </c>
      <c r="F63" s="149" t="s">
        <v>60</v>
      </c>
      <c r="G63" s="150" t="s">
        <v>241</v>
      </c>
      <c r="H63" s="149" t="s">
        <v>46</v>
      </c>
      <c r="I63" s="390">
        <v>0.96899999999999997</v>
      </c>
      <c r="J63" s="365" t="s">
        <v>260</v>
      </c>
      <c r="K63" s="251">
        <v>1103098.03</v>
      </c>
      <c r="L63" s="167">
        <f>ROUND(K63*N63,2)</f>
        <v>551549.02</v>
      </c>
      <c r="M63" s="167">
        <f t="shared" si="23"/>
        <v>551549.01</v>
      </c>
      <c r="N63" s="131">
        <v>0.5</v>
      </c>
      <c r="O63" s="185">
        <v>0</v>
      </c>
      <c r="P63" s="185">
        <v>0</v>
      </c>
      <c r="Q63" s="235">
        <f>L63</f>
        <v>551549.02</v>
      </c>
      <c r="R63" s="185">
        <v>0</v>
      </c>
      <c r="S63" s="185">
        <v>0</v>
      </c>
      <c r="T63" s="185">
        <v>0</v>
      </c>
      <c r="U63" s="185">
        <v>0</v>
      </c>
      <c r="V63" s="185">
        <v>0</v>
      </c>
      <c r="W63" s="187">
        <v>0</v>
      </c>
      <c r="X63" s="187">
        <v>0</v>
      </c>
      <c r="Y63" s="292" t="b">
        <f t="shared" ref="Y63:Y66" si="38">L63=SUM(O63:X63)</f>
        <v>1</v>
      </c>
      <c r="Z63" s="293">
        <f t="shared" ref="Z63:Z66" si="39">ROUND(L63/K63,4)</f>
        <v>0.5</v>
      </c>
      <c r="AA63" s="294" t="b">
        <f t="shared" ref="AA63:AA66" si="40">Z63=N63</f>
        <v>1</v>
      </c>
      <c r="AB63" s="294" t="b">
        <f t="shared" ref="AB63:AB66" si="41">K63=L63+M63</f>
        <v>1</v>
      </c>
    </row>
    <row r="64" spans="1:28" s="8" customFormat="1" ht="39.950000000000003" customHeight="1" x14ac:dyDescent="0.25">
      <c r="A64" s="141">
        <v>62</v>
      </c>
      <c r="B64" s="150" t="s">
        <v>348</v>
      </c>
      <c r="C64" s="153" t="s">
        <v>52</v>
      </c>
      <c r="D64" s="150" t="s">
        <v>166</v>
      </c>
      <c r="E64" s="149">
        <v>1605053</v>
      </c>
      <c r="F64" s="149" t="s">
        <v>59</v>
      </c>
      <c r="G64" s="150" t="s">
        <v>242</v>
      </c>
      <c r="H64" s="149" t="s">
        <v>46</v>
      </c>
      <c r="I64" s="390">
        <v>0.92500000000000004</v>
      </c>
      <c r="J64" s="365" t="s">
        <v>256</v>
      </c>
      <c r="K64" s="251">
        <v>2158206.39</v>
      </c>
      <c r="L64" s="167">
        <f t="shared" ref="L64:L71" si="42">ROUND(K64*N64,2)</f>
        <v>1079103.2</v>
      </c>
      <c r="M64" s="167">
        <f t="shared" si="23"/>
        <v>1079103.1900000002</v>
      </c>
      <c r="N64" s="131">
        <v>0.5</v>
      </c>
      <c r="O64" s="185">
        <v>0</v>
      </c>
      <c r="P64" s="185">
        <v>0</v>
      </c>
      <c r="Q64" s="235">
        <f t="shared" ref="Q64:Q71" si="43">L64</f>
        <v>1079103.2</v>
      </c>
      <c r="R64" s="185">
        <v>0</v>
      </c>
      <c r="S64" s="185">
        <v>0</v>
      </c>
      <c r="T64" s="185">
        <v>0</v>
      </c>
      <c r="U64" s="185">
        <v>0</v>
      </c>
      <c r="V64" s="185">
        <v>0</v>
      </c>
      <c r="W64" s="187">
        <v>0</v>
      </c>
      <c r="X64" s="187">
        <v>0</v>
      </c>
      <c r="Y64" s="292" t="b">
        <f t="shared" si="38"/>
        <v>1</v>
      </c>
      <c r="Z64" s="293">
        <f t="shared" si="39"/>
        <v>0.5</v>
      </c>
      <c r="AA64" s="294" t="b">
        <f t="shared" si="40"/>
        <v>1</v>
      </c>
      <c r="AB64" s="294" t="b">
        <f t="shared" si="41"/>
        <v>1</v>
      </c>
    </row>
    <row r="65" spans="1:28" s="8" customFormat="1" ht="39.950000000000003" customHeight="1" x14ac:dyDescent="0.25">
      <c r="A65" s="141">
        <v>63</v>
      </c>
      <c r="B65" s="150" t="s">
        <v>349</v>
      </c>
      <c r="C65" s="153" t="s">
        <v>52</v>
      </c>
      <c r="D65" s="150" t="s">
        <v>160</v>
      </c>
      <c r="E65" s="149">
        <v>1611033</v>
      </c>
      <c r="F65" s="149" t="s">
        <v>57</v>
      </c>
      <c r="G65" s="150" t="s">
        <v>243</v>
      </c>
      <c r="H65" s="149" t="s">
        <v>46</v>
      </c>
      <c r="I65" s="390">
        <v>0.12</v>
      </c>
      <c r="J65" s="365" t="s">
        <v>276</v>
      </c>
      <c r="K65" s="251">
        <v>166176.15</v>
      </c>
      <c r="L65" s="167">
        <f t="shared" si="42"/>
        <v>116323.31</v>
      </c>
      <c r="M65" s="167">
        <f t="shared" si="23"/>
        <v>49852.84</v>
      </c>
      <c r="N65" s="131">
        <v>0.7</v>
      </c>
      <c r="O65" s="185">
        <v>0</v>
      </c>
      <c r="P65" s="185">
        <v>0</v>
      </c>
      <c r="Q65" s="235">
        <f t="shared" si="43"/>
        <v>116323.31</v>
      </c>
      <c r="R65" s="185">
        <v>0</v>
      </c>
      <c r="S65" s="185">
        <v>0</v>
      </c>
      <c r="T65" s="185">
        <v>0</v>
      </c>
      <c r="U65" s="185">
        <v>0</v>
      </c>
      <c r="V65" s="185">
        <v>0</v>
      </c>
      <c r="W65" s="187">
        <v>0</v>
      </c>
      <c r="X65" s="187">
        <v>0</v>
      </c>
      <c r="Y65" s="292" t="b">
        <f t="shared" si="38"/>
        <v>1</v>
      </c>
      <c r="Z65" s="293">
        <f t="shared" si="39"/>
        <v>0.7</v>
      </c>
      <c r="AA65" s="294" t="b">
        <f t="shared" si="40"/>
        <v>1</v>
      </c>
      <c r="AB65" s="294" t="b">
        <f t="shared" si="41"/>
        <v>1</v>
      </c>
    </row>
    <row r="66" spans="1:28" s="8" customFormat="1" ht="39.950000000000003" customHeight="1" x14ac:dyDescent="0.25">
      <c r="A66" s="141">
        <v>64</v>
      </c>
      <c r="B66" s="150" t="s">
        <v>350</v>
      </c>
      <c r="C66" s="153" t="s">
        <v>52</v>
      </c>
      <c r="D66" s="150" t="s">
        <v>167</v>
      </c>
      <c r="E66" s="149">
        <v>1603042</v>
      </c>
      <c r="F66" s="149" t="s">
        <v>60</v>
      </c>
      <c r="G66" s="150" t="s">
        <v>248</v>
      </c>
      <c r="H66" s="149" t="s">
        <v>257</v>
      </c>
      <c r="I66" s="390">
        <v>0.185</v>
      </c>
      <c r="J66" s="365" t="s">
        <v>268</v>
      </c>
      <c r="K66" s="251">
        <v>251520.81</v>
      </c>
      <c r="L66" s="167">
        <f t="shared" si="42"/>
        <v>176064.57</v>
      </c>
      <c r="M66" s="167">
        <f t="shared" si="23"/>
        <v>75456.239999999991</v>
      </c>
      <c r="N66" s="131">
        <v>0.7</v>
      </c>
      <c r="O66" s="185">
        <v>0</v>
      </c>
      <c r="P66" s="185">
        <v>0</v>
      </c>
      <c r="Q66" s="235">
        <f t="shared" si="43"/>
        <v>176064.57</v>
      </c>
      <c r="R66" s="185">
        <v>0</v>
      </c>
      <c r="S66" s="185">
        <v>0</v>
      </c>
      <c r="T66" s="185">
        <v>0</v>
      </c>
      <c r="U66" s="185">
        <v>0</v>
      </c>
      <c r="V66" s="185">
        <v>0</v>
      </c>
      <c r="W66" s="187">
        <v>0</v>
      </c>
      <c r="X66" s="187">
        <v>0</v>
      </c>
      <c r="Y66" s="292" t="b">
        <f t="shared" si="38"/>
        <v>1</v>
      </c>
      <c r="Z66" s="293">
        <f t="shared" si="39"/>
        <v>0.7</v>
      </c>
      <c r="AA66" s="294" t="b">
        <f t="shared" si="40"/>
        <v>1</v>
      </c>
      <c r="AB66" s="294" t="b">
        <f t="shared" si="41"/>
        <v>1</v>
      </c>
    </row>
    <row r="67" spans="1:28" s="8" customFormat="1" ht="39.950000000000003" customHeight="1" x14ac:dyDescent="0.25">
      <c r="A67" s="141">
        <v>65</v>
      </c>
      <c r="B67" s="150" t="s">
        <v>357</v>
      </c>
      <c r="C67" s="153" t="s">
        <v>52</v>
      </c>
      <c r="D67" s="150" t="s">
        <v>160</v>
      </c>
      <c r="E67" s="149">
        <v>1611033</v>
      </c>
      <c r="F67" s="149" t="s">
        <v>57</v>
      </c>
      <c r="G67" s="150" t="s">
        <v>246</v>
      </c>
      <c r="H67" s="149" t="s">
        <v>46</v>
      </c>
      <c r="I67" s="390">
        <v>0.17599999999999999</v>
      </c>
      <c r="J67" s="365" t="s">
        <v>259</v>
      </c>
      <c r="K67" s="251">
        <v>232119.87</v>
      </c>
      <c r="L67" s="167">
        <f t="shared" si="42"/>
        <v>162483.91</v>
      </c>
      <c r="M67" s="167">
        <f t="shared" si="23"/>
        <v>69635.959999999992</v>
      </c>
      <c r="N67" s="131">
        <v>0.7</v>
      </c>
      <c r="O67" s="185">
        <v>0</v>
      </c>
      <c r="P67" s="185">
        <v>0</v>
      </c>
      <c r="Q67" s="235">
        <f t="shared" si="43"/>
        <v>162483.91</v>
      </c>
      <c r="R67" s="185">
        <v>0</v>
      </c>
      <c r="S67" s="185">
        <v>0</v>
      </c>
      <c r="T67" s="185">
        <v>0</v>
      </c>
      <c r="U67" s="185">
        <v>0</v>
      </c>
      <c r="V67" s="185">
        <v>0</v>
      </c>
      <c r="W67" s="187">
        <v>0</v>
      </c>
      <c r="X67" s="187">
        <v>0</v>
      </c>
      <c r="Y67" s="292" t="b">
        <f t="shared" ref="Y67:Y72" si="44">L67=SUM(O67:X67)</f>
        <v>1</v>
      </c>
      <c r="Z67" s="293">
        <f t="shared" ref="Z67:Z72" si="45">ROUND(L67/K67,4)</f>
        <v>0.7</v>
      </c>
      <c r="AA67" s="294" t="b">
        <f t="shared" ref="AA67:AA72" si="46">Z67=N67</f>
        <v>1</v>
      </c>
      <c r="AB67" s="294" t="b">
        <f t="shared" ref="AB67:AB72" si="47">K67=L67+M67</f>
        <v>1</v>
      </c>
    </row>
    <row r="68" spans="1:28" s="8" customFormat="1" ht="39.950000000000003" customHeight="1" x14ac:dyDescent="0.25">
      <c r="A68" s="141">
        <v>66</v>
      </c>
      <c r="B68" s="150" t="s">
        <v>358</v>
      </c>
      <c r="C68" s="153" t="s">
        <v>52</v>
      </c>
      <c r="D68" s="150" t="s">
        <v>79</v>
      </c>
      <c r="E68" s="149">
        <v>1603022</v>
      </c>
      <c r="F68" s="149" t="s">
        <v>60</v>
      </c>
      <c r="G68" s="150" t="s">
        <v>245</v>
      </c>
      <c r="H68" s="149" t="s">
        <v>46</v>
      </c>
      <c r="I68" s="390">
        <v>0.15</v>
      </c>
      <c r="J68" s="365" t="s">
        <v>277</v>
      </c>
      <c r="K68" s="251">
        <v>393935.97</v>
      </c>
      <c r="L68" s="167">
        <f t="shared" si="42"/>
        <v>196967.99</v>
      </c>
      <c r="M68" s="167">
        <f t="shared" si="23"/>
        <v>196967.97999999998</v>
      </c>
      <c r="N68" s="131">
        <v>0.5</v>
      </c>
      <c r="O68" s="185">
        <v>0</v>
      </c>
      <c r="P68" s="185">
        <v>0</v>
      </c>
      <c r="Q68" s="235">
        <f t="shared" si="43"/>
        <v>196967.99</v>
      </c>
      <c r="R68" s="185">
        <v>0</v>
      </c>
      <c r="S68" s="185">
        <v>0</v>
      </c>
      <c r="T68" s="185">
        <v>0</v>
      </c>
      <c r="U68" s="185">
        <v>0</v>
      </c>
      <c r="V68" s="185">
        <v>0</v>
      </c>
      <c r="W68" s="187">
        <v>0</v>
      </c>
      <c r="X68" s="187">
        <v>0</v>
      </c>
      <c r="Y68" s="292" t="b">
        <f t="shared" si="44"/>
        <v>1</v>
      </c>
      <c r="Z68" s="293">
        <f t="shared" si="45"/>
        <v>0.5</v>
      </c>
      <c r="AA68" s="294" t="b">
        <f t="shared" si="46"/>
        <v>1</v>
      </c>
      <c r="AB68" s="294" t="b">
        <f t="shared" si="47"/>
        <v>1</v>
      </c>
    </row>
    <row r="69" spans="1:28" s="8" customFormat="1" ht="39.950000000000003" customHeight="1" x14ac:dyDescent="0.25">
      <c r="A69" s="141">
        <v>67</v>
      </c>
      <c r="B69" s="150" t="s">
        <v>364</v>
      </c>
      <c r="C69" s="153" t="s">
        <v>52</v>
      </c>
      <c r="D69" s="150" t="s">
        <v>79</v>
      </c>
      <c r="E69" s="149">
        <v>1603022</v>
      </c>
      <c r="F69" s="149" t="s">
        <v>60</v>
      </c>
      <c r="G69" s="150" t="s">
        <v>244</v>
      </c>
      <c r="H69" s="149" t="s">
        <v>257</v>
      </c>
      <c r="I69" s="390">
        <v>0.96699999999999997</v>
      </c>
      <c r="J69" s="365" t="s">
        <v>277</v>
      </c>
      <c r="K69" s="251">
        <v>776450.61</v>
      </c>
      <c r="L69" s="167">
        <f t="shared" si="42"/>
        <v>388225.31</v>
      </c>
      <c r="M69" s="167">
        <f t="shared" si="23"/>
        <v>388225.3</v>
      </c>
      <c r="N69" s="131">
        <v>0.5</v>
      </c>
      <c r="O69" s="185">
        <v>0</v>
      </c>
      <c r="P69" s="185">
        <v>0</v>
      </c>
      <c r="Q69" s="235">
        <f t="shared" si="43"/>
        <v>388225.31</v>
      </c>
      <c r="R69" s="185">
        <v>0</v>
      </c>
      <c r="S69" s="185">
        <v>0</v>
      </c>
      <c r="T69" s="185">
        <v>0</v>
      </c>
      <c r="U69" s="185">
        <v>0</v>
      </c>
      <c r="V69" s="185">
        <v>0</v>
      </c>
      <c r="W69" s="187">
        <v>0</v>
      </c>
      <c r="X69" s="187">
        <v>0</v>
      </c>
      <c r="Y69" s="292" t="b">
        <f t="shared" si="44"/>
        <v>1</v>
      </c>
      <c r="Z69" s="293">
        <f t="shared" si="45"/>
        <v>0.5</v>
      </c>
      <c r="AA69" s="294" t="b">
        <f t="shared" si="46"/>
        <v>1</v>
      </c>
      <c r="AB69" s="294" t="b">
        <f t="shared" si="47"/>
        <v>1</v>
      </c>
    </row>
    <row r="70" spans="1:28" s="8" customFormat="1" ht="39.950000000000003" customHeight="1" x14ac:dyDescent="0.25">
      <c r="A70" s="141">
        <v>68</v>
      </c>
      <c r="B70" s="150" t="s">
        <v>365</v>
      </c>
      <c r="C70" s="153" t="s">
        <v>52</v>
      </c>
      <c r="D70" s="150" t="s">
        <v>81</v>
      </c>
      <c r="E70" s="149">
        <v>1602043</v>
      </c>
      <c r="F70" s="149" t="s">
        <v>83</v>
      </c>
      <c r="G70" s="150" t="s">
        <v>247</v>
      </c>
      <c r="H70" s="149" t="s">
        <v>257</v>
      </c>
      <c r="I70" s="171">
        <v>0.5</v>
      </c>
      <c r="J70" s="170" t="s">
        <v>272</v>
      </c>
      <c r="K70" s="251">
        <v>360510.12</v>
      </c>
      <c r="L70" s="167">
        <f t="shared" si="42"/>
        <v>252357.08</v>
      </c>
      <c r="M70" s="167">
        <f t="shared" si="23"/>
        <v>108153.04000000001</v>
      </c>
      <c r="N70" s="131">
        <v>0.7</v>
      </c>
      <c r="O70" s="185">
        <v>0</v>
      </c>
      <c r="P70" s="185">
        <v>0</v>
      </c>
      <c r="Q70" s="235">
        <f t="shared" si="43"/>
        <v>252357.08</v>
      </c>
      <c r="R70" s="185">
        <v>0</v>
      </c>
      <c r="S70" s="185">
        <v>0</v>
      </c>
      <c r="T70" s="185">
        <v>0</v>
      </c>
      <c r="U70" s="185">
        <v>0</v>
      </c>
      <c r="V70" s="185">
        <v>0</v>
      </c>
      <c r="W70" s="187">
        <v>0</v>
      </c>
      <c r="X70" s="187">
        <v>0</v>
      </c>
      <c r="Y70" s="292" t="b">
        <f t="shared" si="44"/>
        <v>1</v>
      </c>
      <c r="Z70" s="293">
        <f t="shared" si="45"/>
        <v>0.7</v>
      </c>
      <c r="AA70" s="294" t="b">
        <f t="shared" si="46"/>
        <v>1</v>
      </c>
      <c r="AB70" s="294" t="b">
        <f t="shared" si="47"/>
        <v>1</v>
      </c>
    </row>
    <row r="71" spans="1:28" s="8" customFormat="1" ht="39.950000000000003" customHeight="1" x14ac:dyDescent="0.25">
      <c r="A71" s="141">
        <v>69</v>
      </c>
      <c r="B71" s="150" t="s">
        <v>368</v>
      </c>
      <c r="C71" s="153" t="s">
        <v>52</v>
      </c>
      <c r="D71" s="150" t="s">
        <v>73</v>
      </c>
      <c r="E71" s="149">
        <v>1606032</v>
      </c>
      <c r="F71" s="149" t="s">
        <v>58</v>
      </c>
      <c r="G71" s="150" t="s">
        <v>249</v>
      </c>
      <c r="H71" s="149" t="s">
        <v>257</v>
      </c>
      <c r="I71" s="171">
        <v>1.9530000000000001</v>
      </c>
      <c r="J71" s="170" t="s">
        <v>278</v>
      </c>
      <c r="K71" s="251">
        <v>547253.93999999994</v>
      </c>
      <c r="L71" s="167">
        <f t="shared" si="42"/>
        <v>328352.36</v>
      </c>
      <c r="M71" s="167">
        <f t="shared" si="23"/>
        <v>218901.57999999996</v>
      </c>
      <c r="N71" s="131">
        <v>0.6</v>
      </c>
      <c r="O71" s="185">
        <v>0</v>
      </c>
      <c r="P71" s="185">
        <v>0</v>
      </c>
      <c r="Q71" s="235">
        <f t="shared" si="43"/>
        <v>328352.36</v>
      </c>
      <c r="R71" s="185">
        <v>0</v>
      </c>
      <c r="S71" s="185">
        <v>0</v>
      </c>
      <c r="T71" s="185">
        <v>0</v>
      </c>
      <c r="U71" s="185">
        <v>0</v>
      </c>
      <c r="V71" s="185">
        <v>0</v>
      </c>
      <c r="W71" s="187">
        <v>0</v>
      </c>
      <c r="X71" s="187">
        <v>0</v>
      </c>
      <c r="Y71" s="292" t="b">
        <f t="shared" si="44"/>
        <v>1</v>
      </c>
      <c r="Z71" s="293">
        <f t="shared" si="45"/>
        <v>0.6</v>
      </c>
      <c r="AA71" s="294" t="b">
        <f t="shared" si="46"/>
        <v>1</v>
      </c>
      <c r="AB71" s="294" t="b">
        <f t="shared" si="47"/>
        <v>1</v>
      </c>
    </row>
    <row r="72" spans="1:28" s="8" customFormat="1" ht="39.950000000000003" customHeight="1" x14ac:dyDescent="0.25">
      <c r="A72" s="382" t="s">
        <v>370</v>
      </c>
      <c r="B72" s="150" t="s">
        <v>371</v>
      </c>
      <c r="C72" s="153" t="s">
        <v>52</v>
      </c>
      <c r="D72" s="150" t="s">
        <v>172</v>
      </c>
      <c r="E72" s="149">
        <v>1611022</v>
      </c>
      <c r="F72" s="149" t="s">
        <v>57</v>
      </c>
      <c r="G72" s="150" t="s">
        <v>250</v>
      </c>
      <c r="H72" s="149" t="s">
        <v>257</v>
      </c>
      <c r="I72" s="171">
        <v>0.84099999999999997</v>
      </c>
      <c r="J72" s="170" t="s">
        <v>279</v>
      </c>
      <c r="K72" s="251">
        <v>445537.98</v>
      </c>
      <c r="L72" s="167">
        <v>130651.17</v>
      </c>
      <c r="M72" s="167">
        <f t="shared" si="23"/>
        <v>314886.81</v>
      </c>
      <c r="N72" s="131">
        <v>0.7</v>
      </c>
      <c r="O72" s="185">
        <v>0</v>
      </c>
      <c r="P72" s="185">
        <v>0</v>
      </c>
      <c r="Q72" s="235">
        <v>130651.17</v>
      </c>
      <c r="R72" s="185">
        <v>0</v>
      </c>
      <c r="S72" s="185">
        <v>0</v>
      </c>
      <c r="T72" s="185">
        <v>0</v>
      </c>
      <c r="U72" s="185">
        <v>0</v>
      </c>
      <c r="V72" s="185">
        <v>0</v>
      </c>
      <c r="W72" s="187">
        <v>0</v>
      </c>
      <c r="X72" s="187">
        <v>0</v>
      </c>
      <c r="Y72" s="292" t="b">
        <f t="shared" si="44"/>
        <v>1</v>
      </c>
      <c r="Z72" s="293">
        <f t="shared" si="45"/>
        <v>0.29320000000000002</v>
      </c>
      <c r="AA72" s="294" t="b">
        <f t="shared" si="46"/>
        <v>0</v>
      </c>
      <c r="AB72" s="294" t="b">
        <f t="shared" si="47"/>
        <v>1</v>
      </c>
    </row>
    <row r="73" spans="1:28" ht="19.5" customHeight="1" x14ac:dyDescent="0.25">
      <c r="A73" s="420" t="s">
        <v>44</v>
      </c>
      <c r="B73" s="421"/>
      <c r="C73" s="421"/>
      <c r="D73" s="421"/>
      <c r="E73" s="421"/>
      <c r="F73" s="421"/>
      <c r="G73" s="421"/>
      <c r="H73" s="137"/>
      <c r="I73" s="194">
        <f>SUM(I3:I72)</f>
        <v>46.830799999999996</v>
      </c>
      <c r="J73" s="160" t="s">
        <v>13</v>
      </c>
      <c r="K73" s="161">
        <f>SUM(K3:K72)</f>
        <v>99176092.390000001</v>
      </c>
      <c r="L73" s="161">
        <f t="shared" ref="L73" si="48">SUM(L3:L72)</f>
        <v>65015915.700000033</v>
      </c>
      <c r="M73" s="161">
        <f>SUM(M3:M72)</f>
        <v>34160176.68999999</v>
      </c>
      <c r="N73" s="163" t="s">
        <v>13</v>
      </c>
      <c r="O73" s="162">
        <f>SUM(O3:O72)</f>
        <v>5851981.6699999999</v>
      </c>
      <c r="P73" s="162">
        <f t="shared" ref="P73:X73" si="49">SUM(P3:P72)</f>
        <v>10956536.139999999</v>
      </c>
      <c r="Q73" s="162">
        <f t="shared" si="49"/>
        <v>42696025.800000004</v>
      </c>
      <c r="R73" s="162">
        <f t="shared" si="49"/>
        <v>5511372.0899999999</v>
      </c>
      <c r="S73" s="162">
        <f t="shared" si="49"/>
        <v>0</v>
      </c>
      <c r="T73" s="162">
        <f t="shared" si="49"/>
        <v>0</v>
      </c>
      <c r="U73" s="162">
        <f t="shared" si="49"/>
        <v>0</v>
      </c>
      <c r="V73" s="162">
        <f t="shared" si="49"/>
        <v>0</v>
      </c>
      <c r="W73" s="162">
        <f t="shared" si="49"/>
        <v>0</v>
      </c>
      <c r="X73" s="162">
        <f t="shared" si="49"/>
        <v>0</v>
      </c>
      <c r="Y73" s="292" t="b">
        <f>L73=SUM(O73:X73)</f>
        <v>1</v>
      </c>
      <c r="Z73" s="293">
        <f>ROUND(L73/K73,4)</f>
        <v>0.65559999999999996</v>
      </c>
      <c r="AA73" s="294" t="s">
        <v>13</v>
      </c>
      <c r="AB73" s="294" t="b">
        <f>K73=L73+M73</f>
        <v>1</v>
      </c>
    </row>
    <row r="74" spans="1:28" ht="19.5" customHeight="1" x14ac:dyDescent="0.25">
      <c r="A74" s="420" t="s">
        <v>37</v>
      </c>
      <c r="B74" s="421"/>
      <c r="C74" s="421"/>
      <c r="D74" s="421"/>
      <c r="E74" s="421"/>
      <c r="F74" s="421"/>
      <c r="G74" s="421"/>
      <c r="H74" s="137"/>
      <c r="I74" s="194">
        <f>SUMIF($C$3:$C$72,"K",I3:I72)</f>
        <v>3.5709999999999997</v>
      </c>
      <c r="J74" s="160" t="s">
        <v>13</v>
      </c>
      <c r="K74" s="161">
        <f>SUMIF($C$3:$C$72,"K",K3:K72)</f>
        <v>26567513.729999997</v>
      </c>
      <c r="L74" s="161">
        <f>SUMIF($C$3:$C$72,"K",L3:L72)</f>
        <v>17912999.190000001</v>
      </c>
      <c r="M74" s="161">
        <f>SUMIF($C$3:$C$72,"K",M3:M72)</f>
        <v>8654514.540000001</v>
      </c>
      <c r="N74" s="163" t="s">
        <v>13</v>
      </c>
      <c r="O74" s="162">
        <f>SUMIF($C$3:$C$72,"K",O3:O72)</f>
        <v>5851981.6699999999</v>
      </c>
      <c r="P74" s="162">
        <f>SUMIF($C$3:$C$72,"K",P3:P72)</f>
        <v>10956536.139999999</v>
      </c>
      <c r="Q74" s="162">
        <f>SUMIF($C$3:$C$72,"K",Q3:Q72)</f>
        <v>1104481.3799999999</v>
      </c>
      <c r="R74" s="162">
        <f>SUMIF($C$3:$C$72,"K",R3:R72)</f>
        <v>0</v>
      </c>
      <c r="S74" s="162">
        <f>SUMIF($C$3:$C$72,"K",S3:S72)</f>
        <v>0</v>
      </c>
      <c r="T74" s="162">
        <f ca="1">SUMIF($C$3:$C$672,"K",T3:T72)</f>
        <v>0</v>
      </c>
      <c r="U74" s="162">
        <f>SUMIF($C$3:$C$72,"K",U3:U72)</f>
        <v>0</v>
      </c>
      <c r="V74" s="162">
        <f>SUMIF($C$3:$C$72,"K",V3:V72)</f>
        <v>0</v>
      </c>
      <c r="W74" s="162">
        <f>SUMIF($C$3:$C$72,"K",W3:W72)</f>
        <v>0</v>
      </c>
      <c r="X74" s="162">
        <f>SUMIF($C$3:$C$72,"K",X3:X72)</f>
        <v>0</v>
      </c>
      <c r="Y74" s="292" t="b">
        <f ca="1">L74=SUM(O74:X74)</f>
        <v>1</v>
      </c>
      <c r="Z74" s="293">
        <f>ROUND(L74/K74,4)</f>
        <v>0.67420000000000002</v>
      </c>
      <c r="AA74" s="294" t="s">
        <v>13</v>
      </c>
      <c r="AB74" s="294" t="b">
        <f>K74=L74+M74</f>
        <v>1</v>
      </c>
    </row>
    <row r="75" spans="1:28" ht="19.5" customHeight="1" x14ac:dyDescent="0.25">
      <c r="A75" s="420" t="s">
        <v>38</v>
      </c>
      <c r="B75" s="421"/>
      <c r="C75" s="421"/>
      <c r="D75" s="421"/>
      <c r="E75" s="421"/>
      <c r="F75" s="421"/>
      <c r="G75" s="421"/>
      <c r="H75" s="137"/>
      <c r="I75" s="194">
        <f>SUMIF($C$3:$C$72,"N",I3:I72)</f>
        <v>38.211800000000004</v>
      </c>
      <c r="J75" s="160" t="s">
        <v>13</v>
      </c>
      <c r="K75" s="161">
        <f>SUMIF($C$3:$C$72,"N",K3:K72)</f>
        <v>50164955.850000009</v>
      </c>
      <c r="L75" s="161">
        <f>SUMIF($C$3:$C$72,"N",L3:L72)</f>
        <v>32122057.189999994</v>
      </c>
      <c r="M75" s="161">
        <f>SUMIF($C$3:$C$72,"N",M3:M72)</f>
        <v>18042898.66</v>
      </c>
      <c r="N75" s="163" t="s">
        <v>13</v>
      </c>
      <c r="O75" s="162">
        <f t="shared" ref="O75:X75" si="50">SUMIF($C$3:$C$72,"N",O3:O72)</f>
        <v>0</v>
      </c>
      <c r="P75" s="162">
        <f t="shared" si="50"/>
        <v>0</v>
      </c>
      <c r="Q75" s="162">
        <f t="shared" si="50"/>
        <v>32122057.189999994</v>
      </c>
      <c r="R75" s="162">
        <f t="shared" si="50"/>
        <v>0</v>
      </c>
      <c r="S75" s="162">
        <f t="shared" si="50"/>
        <v>0</v>
      </c>
      <c r="T75" s="162">
        <f t="shared" si="50"/>
        <v>0</v>
      </c>
      <c r="U75" s="162">
        <f t="shared" si="50"/>
        <v>0</v>
      </c>
      <c r="V75" s="162">
        <f t="shared" si="50"/>
        <v>0</v>
      </c>
      <c r="W75" s="162">
        <f t="shared" si="50"/>
        <v>0</v>
      </c>
      <c r="X75" s="162">
        <f t="shared" si="50"/>
        <v>0</v>
      </c>
      <c r="Y75" s="292" t="b">
        <f>L75=SUM(O75:X75)</f>
        <v>1</v>
      </c>
      <c r="Z75" s="293">
        <f>ROUND(L75/K75,4)</f>
        <v>0.64029999999999998</v>
      </c>
      <c r="AA75" s="294" t="s">
        <v>13</v>
      </c>
      <c r="AB75" s="294" t="b">
        <f>K75=L75+M75</f>
        <v>1</v>
      </c>
    </row>
    <row r="76" spans="1:28" ht="19.5" customHeight="1" x14ac:dyDescent="0.25">
      <c r="A76" s="430" t="s">
        <v>39</v>
      </c>
      <c r="B76" s="431"/>
      <c r="C76" s="431"/>
      <c r="D76" s="431"/>
      <c r="E76" s="431"/>
      <c r="F76" s="431"/>
      <c r="G76" s="431"/>
      <c r="H76" s="223"/>
      <c r="I76" s="213">
        <f>SUMIF($C$3:$C$72,"W",I3:I72)</f>
        <v>5.048</v>
      </c>
      <c r="J76" s="264" t="s">
        <v>13</v>
      </c>
      <c r="K76" s="214">
        <f>SUMIF($C$3:$C$72,"W",K3:K72)</f>
        <v>22443622.810000002</v>
      </c>
      <c r="L76" s="214">
        <f>SUMIF($C$3:$C$72,"W",L3:L72)</f>
        <v>14980859.32</v>
      </c>
      <c r="M76" s="214">
        <f>SUMIF($C$3:$C$72,"W",M3:M72)</f>
        <v>7462763.4900000002</v>
      </c>
      <c r="N76" s="215" t="s">
        <v>13</v>
      </c>
      <c r="O76" s="216">
        <f t="shared" ref="O76:X76" si="51">SUMIF($C$3:$C$72,"W",O3:O72)</f>
        <v>0</v>
      </c>
      <c r="P76" s="216">
        <f t="shared" si="51"/>
        <v>0</v>
      </c>
      <c r="Q76" s="216">
        <f t="shared" si="51"/>
        <v>9469487.2300000004</v>
      </c>
      <c r="R76" s="216">
        <f t="shared" si="51"/>
        <v>5511372.0899999999</v>
      </c>
      <c r="S76" s="216">
        <f t="shared" si="51"/>
        <v>0</v>
      </c>
      <c r="T76" s="216">
        <f t="shared" si="51"/>
        <v>0</v>
      </c>
      <c r="U76" s="216">
        <f t="shared" si="51"/>
        <v>0</v>
      </c>
      <c r="V76" s="216">
        <f t="shared" si="51"/>
        <v>0</v>
      </c>
      <c r="W76" s="216">
        <f t="shared" si="51"/>
        <v>0</v>
      </c>
      <c r="X76" s="216">
        <f t="shared" si="51"/>
        <v>0</v>
      </c>
      <c r="Y76" s="292" t="b">
        <f>L76=SUM(O76:X76)</f>
        <v>1</v>
      </c>
      <c r="Z76" s="293">
        <f>ROUND(L76/K76,4)</f>
        <v>0.66749999999999998</v>
      </c>
      <c r="AA76" s="294" t="s">
        <v>13</v>
      </c>
      <c r="AB76" s="294" t="b">
        <f>K76=L76+M76</f>
        <v>1</v>
      </c>
    </row>
    <row r="77" spans="1:28" x14ac:dyDescent="0.25">
      <c r="I77" s="2"/>
      <c r="J77" s="371"/>
      <c r="K77" s="5"/>
      <c r="Q77" s="118"/>
    </row>
    <row r="78" spans="1:28" x14ac:dyDescent="0.25">
      <c r="A78" s="3" t="s">
        <v>24</v>
      </c>
      <c r="J78" s="370"/>
      <c r="L78" s="118"/>
      <c r="M78" s="118"/>
      <c r="Q78" s="118"/>
    </row>
    <row r="79" spans="1:28" x14ac:dyDescent="0.25">
      <c r="A79" s="24" t="s">
        <v>25</v>
      </c>
      <c r="M79" s="118"/>
      <c r="Q79" s="118"/>
    </row>
    <row r="80" spans="1:28" x14ac:dyDescent="0.25">
      <c r="A80" s="23" t="s">
        <v>42</v>
      </c>
      <c r="K80" s="369"/>
      <c r="Q80" s="118"/>
    </row>
    <row r="81" spans="1:17" x14ac:dyDescent="0.25">
      <c r="A81" s="26" t="s">
        <v>302</v>
      </c>
      <c r="Q81" s="118"/>
    </row>
    <row r="82" spans="1:17" x14ac:dyDescent="0.25">
      <c r="Q82" s="118"/>
    </row>
    <row r="84" spans="1:17" x14ac:dyDescent="0.25">
      <c r="Q84" s="118"/>
    </row>
  </sheetData>
  <autoFilter ref="A1:X81" xr:uid="{00000000-0009-0000-0000-000002000000}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customSheetViews>
    <customSheetView guid="{B2D40DA4-5FA0-499A-A7D1-4F99A3F826AC}" scale="120" showPageBreaks="1" showGridLines="0" fitToPage="1" printArea="1" filter="1" showAutoFilter="1" view="pageBreakPreview" topLeftCell="H1">
      <pane ySplit="1" topLeftCell="A28" activePane="bottomLeft" state="frozen"/>
      <selection pane="bottomLeft" activeCell="M35" sqref="M35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1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3">
          <filters>
            <filter val="Gmina Biała"/>
          </filters>
        </filterColumn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90AAACFD-C45E-4B79-9ECD-2C756BD997B3}" showPageBreaks="1" showGridLines="0" fitToPage="1" printArea="1" filter="1" showAutoFilter="1" view="pageBreakPreview">
      <pane ySplit="1" topLeftCell="A3" activePane="bottomLeft" state="frozen"/>
      <selection pane="bottomLeft" activeCell="K52" sqref="K52:M52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2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3">
          <filters>
            <filter val="Gmina Branice"/>
          </filters>
        </filterColumn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7BB0DA2A-E6EC-4283-8DAA-56DD15906E8E}" showPageBreaks="1" showGridLines="0" fitToPage="1" printArea="1" showAutoFilter="1" view="pageBreakPreview">
      <pane ySplit="2" topLeftCell="A60" activePane="bottomLeft" state="frozen"/>
      <selection pane="bottomLeft" activeCell="K62" sqref="K62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3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  <customSheetView guid="{A2BCF76A-36CA-47CC-AE0E-554D5E4069A6}" scale="120" showPageBreaks="1" showGridLines="0" fitToPage="1" printArea="1" showAutoFilter="1" view="pageBreakPreview" topLeftCell="B1">
      <pane ySplit="2" topLeftCell="A40" activePane="bottomLeft" state="frozen"/>
      <selection pane="bottomLeft" activeCell="N41" sqref="N41"/>
      <rowBreaks count="1" manualBreakCount="1">
        <brk id="34" max="23" man="1"/>
      </rowBreaks>
      <pageMargins left="0.23622047244094491" right="0.23622047244094491" top="0.74803149606299213" bottom="0.74803149606299213" header="0.31496062992125984" footer="0.31496062992125984"/>
      <pageSetup paperSize="8" scale="56" fitToHeight="0" orientation="landscape" r:id="rId4"/>
      <headerFooter>
        <oddHeader>&amp;LWojewództwo &amp;K000000Opolskie&amp;K01+000 - zadania gminne lista podstawowa</oddHeader>
        <oddFooter>Strona &amp;P z &amp;N</oddFooter>
      </headerFooter>
      <autoFilter ref="A1:X77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</autoFilter>
    </customSheetView>
  </customSheetViews>
  <mergeCells count="17">
    <mergeCell ref="H1:H2"/>
    <mergeCell ref="A76:G76"/>
    <mergeCell ref="A75:G75"/>
    <mergeCell ref="A74:G74"/>
    <mergeCell ref="A73:G73"/>
    <mergeCell ref="A1:A2"/>
    <mergeCell ref="B1:B2"/>
    <mergeCell ref="C1:C2"/>
    <mergeCell ref="G1:G2"/>
    <mergeCell ref="D1:D2"/>
    <mergeCell ref="O1:X1"/>
    <mergeCell ref="N1:N2"/>
    <mergeCell ref="L1:L2"/>
    <mergeCell ref="M1:M2"/>
    <mergeCell ref="I1:I2"/>
    <mergeCell ref="K1:K2"/>
    <mergeCell ref="J1:J2"/>
  </mergeCells>
  <conditionalFormatting sqref="Y3:AB54 Y73:AB74">
    <cfRule type="cellIs" dxfId="47" priority="29" operator="equal">
      <formula>FALSE</formula>
    </cfRule>
  </conditionalFormatting>
  <conditionalFormatting sqref="Y3:AA54 Y73:AA74">
    <cfRule type="containsText" dxfId="46" priority="27" operator="containsText" text="fałsz">
      <formula>NOT(ISERROR(SEARCH("fałsz",Y3)))</formula>
    </cfRule>
  </conditionalFormatting>
  <conditionalFormatting sqref="Z76:AA76">
    <cfRule type="cellIs" dxfId="45" priority="24" operator="equal">
      <formula>FALSE</formula>
    </cfRule>
  </conditionalFormatting>
  <conditionalFormatting sqref="Y76:AA76">
    <cfRule type="containsText" dxfId="44" priority="22" operator="containsText" text="fałsz">
      <formula>NOT(ISERROR(SEARCH("fałsz",Y76)))</formula>
    </cfRule>
  </conditionalFormatting>
  <conditionalFormatting sqref="Y76">
    <cfRule type="cellIs" dxfId="43" priority="23" operator="equal">
      <formula>FALSE</formula>
    </cfRule>
  </conditionalFormatting>
  <conditionalFormatting sqref="AB76">
    <cfRule type="cellIs" dxfId="42" priority="21" operator="equal">
      <formula>FALSE</formula>
    </cfRule>
  </conditionalFormatting>
  <conditionalFormatting sqref="AB76">
    <cfRule type="cellIs" dxfId="41" priority="20" operator="equal">
      <formula>FALSE</formula>
    </cfRule>
  </conditionalFormatting>
  <conditionalFormatting sqref="Z75:AA75">
    <cfRule type="cellIs" dxfId="40" priority="19" operator="equal">
      <formula>FALSE</formula>
    </cfRule>
  </conditionalFormatting>
  <conditionalFormatting sqref="Y75">
    <cfRule type="cellIs" dxfId="39" priority="18" operator="equal">
      <formula>FALSE</formula>
    </cfRule>
  </conditionalFormatting>
  <conditionalFormatting sqref="Y75:AA75">
    <cfRule type="containsText" dxfId="38" priority="17" operator="containsText" text="fałsz">
      <formula>NOT(ISERROR(SEARCH("fałsz",Y75)))</formula>
    </cfRule>
  </conditionalFormatting>
  <conditionalFormatting sqref="AB75">
    <cfRule type="cellIs" dxfId="37" priority="16" operator="equal">
      <formula>FALSE</formula>
    </cfRule>
  </conditionalFormatting>
  <conditionalFormatting sqref="AB75">
    <cfRule type="cellIs" dxfId="36" priority="15" operator="equal">
      <formula>FALSE</formula>
    </cfRule>
  </conditionalFormatting>
  <conditionalFormatting sqref="Y55:AB55">
    <cfRule type="cellIs" dxfId="35" priority="12" operator="equal">
      <formula>FALSE</formula>
    </cfRule>
  </conditionalFormatting>
  <conditionalFormatting sqref="Y56:AB72">
    <cfRule type="cellIs" dxfId="34" priority="10" operator="equal">
      <formula>FALSE</formula>
    </cfRule>
  </conditionalFormatting>
  <dataValidations count="3">
    <dataValidation type="list" allowBlank="1" showInputMessage="1" showErrorMessage="1" sqref="C3:C8 C10:C27 C29:C35 C45 C47:C48" xr:uid="{00000000-0002-0000-0200-000000000000}">
      <formula1>"N,K,W"</formula1>
    </dataValidation>
    <dataValidation type="list" allowBlank="1" showInputMessage="1" showErrorMessage="1" sqref="C36:C38 C43:D43 C39:D39 C40:C42 C44 C49:C72" xr:uid="{00000000-0002-0000-0200-000001000000}">
      <formula1>"N,W"</formula1>
    </dataValidation>
    <dataValidation type="list" allowBlank="1" showInputMessage="1" showErrorMessage="1" sqref="H10:H27 H3:H8 H29:H45 H47:H72" xr:uid="{00000000-0002-0000-02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5"/>
  <headerFooter>
    <oddHeader>&amp;LWojewództwo &amp;K000000Opolskie&amp;K01+000 - zadania gminne lista podstawowa</oddHeader>
    <oddFooter>Strona &amp;P z &amp;N</oddFooter>
  </headerFooter>
  <rowBreaks count="1" manualBreakCount="1">
    <brk id="34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text="fałsz" id="{76211D70-B51B-4E3B-95E3-1956632C69ED}">
            <xm:f>NOT(ISERROR(SEARCH("fałsz",'gm rez'!Y55)))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Y55:AA69</xm:sqref>
        </x14:conditionalFormatting>
        <x14:conditionalFormatting xmlns:xm="http://schemas.microsoft.com/office/excel/2006/main">
          <x14:cfRule type="containsText" priority="34" operator="containsText" text="fałsz" id="{76211D70-B51B-4E3B-95E3-1956632C69ED}">
            <xm:f>NOT(ISERROR(SEARCH("fałsz",'gm rez'!Y69)))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Y71:AA72</xm:sqref>
        </x14:conditionalFormatting>
        <x14:conditionalFormatting xmlns:xm="http://schemas.microsoft.com/office/excel/2006/main">
          <x14:cfRule type="containsText" priority="36" operator="containsText" text="fałsz" id="{76211D70-B51B-4E3B-95E3-1956632C69ED}">
            <xm:f>NOT(ISERROR(SEARCH("fałsz",'gm rez'!Y69)))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Y70:AA70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Q15"/>
  <sheetViews>
    <sheetView showGridLines="0" view="pageBreakPreview" zoomScaleNormal="78" zoomScaleSheetLayoutView="100" workbookViewId="0">
      <selection activeCell="H19" sqref="H18:H19"/>
    </sheetView>
  </sheetViews>
  <sheetFormatPr defaultColWidth="9.140625" defaultRowHeight="15" x14ac:dyDescent="0.25"/>
  <cols>
    <col min="1" max="1" width="7.85546875" style="8" customWidth="1"/>
    <col min="2" max="2" width="17.42578125" style="8" customWidth="1"/>
    <col min="3" max="3" width="9.85546875" style="8" customWidth="1"/>
    <col min="4" max="4" width="18" style="140" customWidth="1"/>
    <col min="5" max="5" width="11.42578125" style="230" customWidth="1"/>
    <col min="6" max="6" width="43" style="8" customWidth="1"/>
    <col min="7" max="7" width="8.7109375" style="230" customWidth="1"/>
    <col min="8" max="8" width="13.28515625" style="8" customWidth="1"/>
    <col min="9" max="9" width="15.7109375" style="226" customWidth="1"/>
    <col min="10" max="10" width="15.7109375" style="319" customWidth="1"/>
    <col min="11" max="11" width="18.28515625" style="320" customWidth="1"/>
    <col min="12" max="12" width="15.7109375" style="320" customWidth="1"/>
    <col min="13" max="13" width="15.28515625" style="1" customWidth="1"/>
    <col min="14" max="14" width="9.42578125" style="1" customWidth="1"/>
    <col min="15" max="15" width="8.42578125" style="8" customWidth="1"/>
    <col min="16" max="16" width="15.7109375" style="8" customWidth="1"/>
    <col min="17" max="17" width="10" style="8" customWidth="1"/>
    <col min="18" max="18" width="8.85546875" style="8" customWidth="1"/>
    <col min="19" max="19" width="11.140625" style="8" customWidth="1"/>
    <col min="20" max="20" width="9.5703125" style="8" customWidth="1"/>
    <col min="21" max="21" width="10" style="8" customWidth="1"/>
    <col min="22" max="22" width="8.140625" style="8" customWidth="1"/>
    <col min="23" max="23" width="10.42578125" style="8" customWidth="1"/>
    <col min="24" max="27" width="15.7109375" style="8" customWidth="1"/>
    <col min="28" max="173" width="9.140625" style="22"/>
    <col min="174" max="16384" width="9.140625" style="8"/>
  </cols>
  <sheetData>
    <row r="1" spans="1:173" ht="20.100000000000001" customHeight="1" x14ac:dyDescent="0.25">
      <c r="A1" s="418" t="s">
        <v>4</v>
      </c>
      <c r="B1" s="418" t="s">
        <v>5</v>
      </c>
      <c r="C1" s="427" t="s">
        <v>32</v>
      </c>
      <c r="D1" s="423" t="s">
        <v>6</v>
      </c>
      <c r="E1" s="434" t="s">
        <v>31</v>
      </c>
      <c r="F1" s="423" t="s">
        <v>7</v>
      </c>
      <c r="G1" s="433" t="s">
        <v>26</v>
      </c>
      <c r="H1" s="418" t="s">
        <v>254</v>
      </c>
      <c r="I1" s="433" t="s">
        <v>23</v>
      </c>
      <c r="J1" s="419" t="s">
        <v>8</v>
      </c>
      <c r="K1" s="418" t="s">
        <v>9</v>
      </c>
      <c r="L1" s="423" t="s">
        <v>12</v>
      </c>
      <c r="M1" s="418" t="s">
        <v>10</v>
      </c>
      <c r="N1" s="420" t="s">
        <v>11</v>
      </c>
      <c r="O1" s="421"/>
      <c r="P1" s="421"/>
      <c r="Q1" s="421"/>
      <c r="R1" s="228"/>
      <c r="S1" s="228"/>
      <c r="T1" s="228"/>
      <c r="U1" s="228"/>
      <c r="V1" s="228"/>
      <c r="W1" s="229"/>
    </row>
    <row r="2" spans="1:173" ht="26.25" customHeight="1" x14ac:dyDescent="0.25">
      <c r="A2" s="418"/>
      <c r="B2" s="418"/>
      <c r="C2" s="428"/>
      <c r="D2" s="424"/>
      <c r="E2" s="435"/>
      <c r="F2" s="424"/>
      <c r="G2" s="433"/>
      <c r="H2" s="418"/>
      <c r="I2" s="433"/>
      <c r="J2" s="419"/>
      <c r="K2" s="418"/>
      <c r="L2" s="424"/>
      <c r="M2" s="418"/>
      <c r="N2" s="224">
        <v>2019</v>
      </c>
      <c r="O2" s="28">
        <v>2020</v>
      </c>
      <c r="P2" s="28">
        <v>2021</v>
      </c>
      <c r="Q2" s="126">
        <v>2022</v>
      </c>
      <c r="R2" s="28">
        <v>2023</v>
      </c>
      <c r="S2" s="28">
        <v>2024</v>
      </c>
      <c r="T2" s="28">
        <v>2025</v>
      </c>
      <c r="U2" s="28">
        <v>2026</v>
      </c>
      <c r="V2" s="28">
        <v>2027</v>
      </c>
      <c r="W2" s="28">
        <v>2028</v>
      </c>
      <c r="X2" s="1" t="s">
        <v>27</v>
      </c>
      <c r="Y2" s="1" t="s">
        <v>28</v>
      </c>
      <c r="Z2" s="1" t="s">
        <v>29</v>
      </c>
      <c r="AA2" s="33" t="s">
        <v>30</v>
      </c>
    </row>
    <row r="3" spans="1:173" s="267" customFormat="1" ht="42.75" customHeight="1" thickBot="1" x14ac:dyDescent="0.3">
      <c r="A3" s="265">
        <v>1</v>
      </c>
      <c r="B3" s="150" t="s">
        <v>343</v>
      </c>
      <c r="C3" s="149"/>
      <c r="D3" s="150" t="s">
        <v>59</v>
      </c>
      <c r="E3" s="166" t="s">
        <v>287</v>
      </c>
      <c r="F3" s="150" t="s">
        <v>188</v>
      </c>
      <c r="G3" s="149" t="s">
        <v>46</v>
      </c>
      <c r="H3" s="207"/>
      <c r="I3" s="203" t="s">
        <v>288</v>
      </c>
      <c r="J3" s="188">
        <v>0</v>
      </c>
      <c r="K3" s="321">
        <f>ROUND(J3*M3,2)</f>
        <v>0</v>
      </c>
      <c r="L3" s="321">
        <f>J3-K3</f>
        <v>0</v>
      </c>
      <c r="M3" s="234">
        <v>0.5</v>
      </c>
      <c r="N3" s="187">
        <v>0</v>
      </c>
      <c r="O3" s="187">
        <v>0</v>
      </c>
      <c r="P3" s="187">
        <f>K3</f>
        <v>0</v>
      </c>
      <c r="Q3" s="187">
        <v>0</v>
      </c>
      <c r="R3" s="185">
        <v>0</v>
      </c>
      <c r="S3" s="185">
        <v>0</v>
      </c>
      <c r="T3" s="185">
        <v>0</v>
      </c>
      <c r="U3" s="185">
        <v>0</v>
      </c>
      <c r="V3" s="185">
        <v>0</v>
      </c>
      <c r="W3" s="187">
        <v>0</v>
      </c>
      <c r="X3" s="266" t="b">
        <f t="shared" ref="X3:X10" si="0">K3=SUM(O3:W3)</f>
        <v>1</v>
      </c>
      <c r="Y3" s="113" t="e">
        <f t="shared" ref="Y3:Y10" si="1">ROUND(K3/J3,4)</f>
        <v>#DIV/0!</v>
      </c>
      <c r="Z3" s="114" t="s">
        <v>13</v>
      </c>
      <c r="AA3" s="114" t="b">
        <f t="shared" ref="AA3:AA10" si="2">J3=K3+L3</f>
        <v>1</v>
      </c>
      <c r="AB3" s="357"/>
      <c r="AC3" s="358"/>
      <c r="AD3" s="358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</row>
    <row r="4" spans="1:173" s="130" customFormat="1" ht="42.75" customHeight="1" thickBot="1" x14ac:dyDescent="0.3">
      <c r="A4" s="233">
        <v>2</v>
      </c>
      <c r="B4" s="150" t="s">
        <v>344</v>
      </c>
      <c r="C4" s="149"/>
      <c r="D4" s="150" t="s">
        <v>84</v>
      </c>
      <c r="E4" s="166" t="s">
        <v>295</v>
      </c>
      <c r="F4" s="150" t="s">
        <v>289</v>
      </c>
      <c r="G4" s="149" t="s">
        <v>257</v>
      </c>
      <c r="H4" s="207"/>
      <c r="I4" s="203" t="s">
        <v>261</v>
      </c>
      <c r="J4" s="188">
        <v>0</v>
      </c>
      <c r="K4" s="322">
        <f>ROUND(J4*M4,2)</f>
        <v>0</v>
      </c>
      <c r="L4" s="322">
        <f>J4-K4</f>
        <v>0</v>
      </c>
      <c r="M4" s="234">
        <v>0.5</v>
      </c>
      <c r="N4" s="187">
        <v>0</v>
      </c>
      <c r="O4" s="187">
        <v>0</v>
      </c>
      <c r="P4" s="187">
        <f>K4</f>
        <v>0</v>
      </c>
      <c r="Q4" s="187">
        <v>0</v>
      </c>
      <c r="R4" s="185">
        <v>0</v>
      </c>
      <c r="S4" s="185">
        <v>0</v>
      </c>
      <c r="T4" s="185">
        <v>0</v>
      </c>
      <c r="U4" s="185">
        <v>0</v>
      </c>
      <c r="V4" s="185">
        <v>0</v>
      </c>
      <c r="W4" s="187">
        <v>0</v>
      </c>
      <c r="X4" s="266" t="b">
        <f t="shared" ref="X4:X6" si="3">K4=SUM(O4:W4)</f>
        <v>1</v>
      </c>
      <c r="Y4" s="113" t="e">
        <f t="shared" ref="Y4:Y6" si="4">ROUND(K4/J4,4)</f>
        <v>#DIV/0!</v>
      </c>
      <c r="Z4" s="114" t="s">
        <v>13</v>
      </c>
      <c r="AA4" s="114" t="b">
        <f t="shared" ref="AA4:AA6" si="5">J4=K4+L4</f>
        <v>1</v>
      </c>
      <c r="AB4" s="261"/>
      <c r="AC4" s="262"/>
      <c r="AD4" s="262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263"/>
      <c r="DC4" s="263"/>
      <c r="DD4" s="263"/>
      <c r="DE4" s="263"/>
      <c r="DF4" s="263"/>
      <c r="DG4" s="263"/>
      <c r="DH4" s="263"/>
      <c r="DI4" s="263"/>
      <c r="DJ4" s="263"/>
      <c r="DK4" s="263"/>
      <c r="DL4" s="263"/>
      <c r="DM4" s="263"/>
      <c r="DN4" s="263"/>
      <c r="DO4" s="263"/>
      <c r="DP4" s="263"/>
      <c r="DQ4" s="263"/>
      <c r="DR4" s="263"/>
      <c r="DS4" s="263"/>
      <c r="DT4" s="263"/>
      <c r="DU4" s="263"/>
      <c r="DV4" s="263"/>
      <c r="DW4" s="263"/>
      <c r="DX4" s="263"/>
      <c r="DY4" s="263"/>
      <c r="DZ4" s="263"/>
      <c r="EA4" s="263"/>
      <c r="EB4" s="263"/>
      <c r="EC4" s="263"/>
      <c r="ED4" s="263"/>
      <c r="EE4" s="263"/>
      <c r="EF4" s="263"/>
      <c r="EG4" s="263"/>
      <c r="EH4" s="263"/>
      <c r="EI4" s="263"/>
      <c r="EJ4" s="263"/>
      <c r="EK4" s="263"/>
      <c r="EL4" s="263"/>
      <c r="EM4" s="263"/>
      <c r="EN4" s="263"/>
      <c r="EO4" s="263"/>
      <c r="EP4" s="263"/>
      <c r="EQ4" s="263"/>
      <c r="ER4" s="263"/>
      <c r="ES4" s="263"/>
      <c r="ET4" s="263"/>
      <c r="EU4" s="263"/>
      <c r="EV4" s="263"/>
      <c r="EW4" s="263"/>
      <c r="EX4" s="263"/>
      <c r="EY4" s="263"/>
      <c r="EZ4" s="263"/>
      <c r="FA4" s="263"/>
      <c r="FB4" s="263"/>
      <c r="FC4" s="263"/>
      <c r="FD4" s="263"/>
      <c r="FE4" s="263"/>
      <c r="FF4" s="263"/>
      <c r="FG4" s="263"/>
      <c r="FH4" s="263"/>
      <c r="FI4" s="263"/>
      <c r="FJ4" s="263"/>
      <c r="FK4" s="263"/>
      <c r="FL4" s="263"/>
      <c r="FM4" s="263"/>
      <c r="FN4" s="263"/>
      <c r="FO4" s="263"/>
      <c r="FP4" s="263"/>
      <c r="FQ4" s="263"/>
    </row>
    <row r="5" spans="1:173" s="130" customFormat="1" ht="37.5" customHeight="1" thickBot="1" x14ac:dyDescent="0.3">
      <c r="A5" s="265">
        <v>3</v>
      </c>
      <c r="B5" s="150" t="s">
        <v>355</v>
      </c>
      <c r="C5" s="149"/>
      <c r="D5" s="150" t="s">
        <v>49</v>
      </c>
      <c r="E5" s="166" t="s">
        <v>286</v>
      </c>
      <c r="F5" s="150" t="s">
        <v>290</v>
      </c>
      <c r="G5" s="149" t="s">
        <v>257</v>
      </c>
      <c r="H5" s="207"/>
      <c r="I5" s="203" t="s">
        <v>294</v>
      </c>
      <c r="J5" s="188">
        <v>0</v>
      </c>
      <c r="K5" s="322">
        <f>ROUND(J5*M5,2)</f>
        <v>0</v>
      </c>
      <c r="L5" s="322">
        <f>J5-K5</f>
        <v>0</v>
      </c>
      <c r="M5" s="234">
        <v>0.5</v>
      </c>
      <c r="N5" s="187">
        <v>0</v>
      </c>
      <c r="O5" s="187">
        <v>0</v>
      </c>
      <c r="P5" s="187">
        <f>K5</f>
        <v>0</v>
      </c>
      <c r="Q5" s="187">
        <v>0</v>
      </c>
      <c r="R5" s="243">
        <v>0</v>
      </c>
      <c r="S5" s="185">
        <v>0</v>
      </c>
      <c r="T5" s="185">
        <v>0</v>
      </c>
      <c r="U5" s="185">
        <v>0</v>
      </c>
      <c r="V5" s="185">
        <v>0</v>
      </c>
      <c r="W5" s="187">
        <v>0</v>
      </c>
      <c r="X5" s="266" t="b">
        <f t="shared" si="3"/>
        <v>1</v>
      </c>
      <c r="Y5" s="113" t="e">
        <f t="shared" si="4"/>
        <v>#DIV/0!</v>
      </c>
      <c r="Z5" s="114" t="s">
        <v>13</v>
      </c>
      <c r="AA5" s="114" t="b">
        <f t="shared" si="5"/>
        <v>1</v>
      </c>
      <c r="AB5" s="261"/>
      <c r="AC5" s="262"/>
      <c r="AD5" s="262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3"/>
      <c r="EM5" s="263"/>
      <c r="EN5" s="263"/>
      <c r="EO5" s="263"/>
      <c r="EP5" s="263"/>
      <c r="EQ5" s="263"/>
      <c r="ER5" s="263"/>
      <c r="ES5" s="263"/>
      <c r="ET5" s="263"/>
      <c r="EU5" s="263"/>
      <c r="EV5" s="263"/>
      <c r="EW5" s="263"/>
      <c r="EX5" s="263"/>
      <c r="EY5" s="263"/>
      <c r="EZ5" s="263"/>
      <c r="FA5" s="263"/>
      <c r="FB5" s="263"/>
      <c r="FC5" s="263"/>
      <c r="FD5" s="263"/>
      <c r="FE5" s="263"/>
      <c r="FF5" s="263"/>
      <c r="FG5" s="263"/>
      <c r="FH5" s="263"/>
      <c r="FI5" s="263"/>
      <c r="FJ5" s="263"/>
      <c r="FK5" s="263"/>
      <c r="FL5" s="263"/>
      <c r="FM5" s="263"/>
      <c r="FN5" s="263"/>
      <c r="FO5" s="263"/>
      <c r="FP5" s="263"/>
      <c r="FQ5" s="263"/>
    </row>
    <row r="6" spans="1:173" s="263" customFormat="1" ht="37.5" customHeight="1" x14ac:dyDescent="0.25">
      <c r="A6" s="265">
        <v>4</v>
      </c>
      <c r="B6" s="148" t="s">
        <v>292</v>
      </c>
      <c r="C6" s="149"/>
      <c r="D6" s="150" t="s">
        <v>49</v>
      </c>
      <c r="E6" s="166" t="s">
        <v>286</v>
      </c>
      <c r="F6" s="150" t="s">
        <v>291</v>
      </c>
      <c r="G6" s="149" t="s">
        <v>257</v>
      </c>
      <c r="H6" s="207"/>
      <c r="I6" s="381" t="s">
        <v>356</v>
      </c>
      <c r="J6" s="188">
        <v>0</v>
      </c>
      <c r="K6" s="321">
        <f>ROUND(J6*M6,2)</f>
        <v>0</v>
      </c>
      <c r="L6" s="322">
        <f>J6-K6</f>
        <v>0</v>
      </c>
      <c r="M6" s="234">
        <v>0.5</v>
      </c>
      <c r="N6" s="187">
        <v>0</v>
      </c>
      <c r="O6" s="187">
        <v>0</v>
      </c>
      <c r="P6" s="187">
        <f>K6</f>
        <v>0</v>
      </c>
      <c r="Q6" s="187">
        <v>0</v>
      </c>
      <c r="R6" s="243">
        <v>0</v>
      </c>
      <c r="S6" s="185">
        <v>0</v>
      </c>
      <c r="T6" s="185">
        <v>0</v>
      </c>
      <c r="U6" s="185">
        <v>0</v>
      </c>
      <c r="V6" s="185">
        <v>0</v>
      </c>
      <c r="W6" s="187">
        <v>0</v>
      </c>
      <c r="X6" s="266" t="b">
        <f t="shared" si="3"/>
        <v>1</v>
      </c>
      <c r="Y6" s="113" t="e">
        <f t="shared" si="4"/>
        <v>#DIV/0!</v>
      </c>
      <c r="Z6" s="114" t="s">
        <v>13</v>
      </c>
      <c r="AA6" s="114" t="b">
        <f t="shared" si="5"/>
        <v>1</v>
      </c>
      <c r="AB6" s="261"/>
      <c r="AC6" s="262"/>
      <c r="AD6" s="262"/>
    </row>
    <row r="7" spans="1:173" s="115" customFormat="1" ht="21.75" customHeight="1" x14ac:dyDescent="0.25">
      <c r="A7" s="418" t="s">
        <v>44</v>
      </c>
      <c r="B7" s="418"/>
      <c r="C7" s="418"/>
      <c r="D7" s="418"/>
      <c r="E7" s="418"/>
      <c r="F7" s="418"/>
      <c r="G7" s="418"/>
      <c r="H7" s="271">
        <f>SUM(H3:H6)</f>
        <v>0</v>
      </c>
      <c r="I7" s="272" t="s">
        <v>13</v>
      </c>
      <c r="J7" s="273">
        <f>SUM(J3:J6)</f>
        <v>0</v>
      </c>
      <c r="K7" s="162">
        <f>SUM(K3:K6)</f>
        <v>0</v>
      </c>
      <c r="L7" s="162">
        <f>SUM(L3:L6)</f>
        <v>0</v>
      </c>
      <c r="M7" s="274" t="s">
        <v>13</v>
      </c>
      <c r="N7" s="275">
        <f>SUM(N3:N6)</f>
        <v>0</v>
      </c>
      <c r="O7" s="275">
        <f>SUM(O3:O6)</f>
        <v>0</v>
      </c>
      <c r="P7" s="275">
        <f>SUM(P3:P6)</f>
        <v>0</v>
      </c>
      <c r="Q7" s="275">
        <f t="shared" ref="Q7:W7" si="6">SUM(Q3:Q6)</f>
        <v>0</v>
      </c>
      <c r="R7" s="275">
        <f>SUM(R3:R6)</f>
        <v>0</v>
      </c>
      <c r="S7" s="275">
        <f t="shared" si="6"/>
        <v>0</v>
      </c>
      <c r="T7" s="275">
        <f t="shared" si="6"/>
        <v>0</v>
      </c>
      <c r="U7" s="275">
        <f t="shared" si="6"/>
        <v>0</v>
      </c>
      <c r="V7" s="275">
        <f t="shared" si="6"/>
        <v>0</v>
      </c>
      <c r="W7" s="275">
        <f t="shared" si="6"/>
        <v>0</v>
      </c>
      <c r="X7" s="1" t="b">
        <f t="shared" si="0"/>
        <v>1</v>
      </c>
      <c r="Y7" s="34" t="e">
        <f t="shared" si="1"/>
        <v>#DIV/0!</v>
      </c>
      <c r="Z7" s="35" t="s">
        <v>13</v>
      </c>
      <c r="AA7" s="35" t="b">
        <f t="shared" si="2"/>
        <v>1</v>
      </c>
      <c r="AB7" s="357"/>
      <c r="AC7" s="358"/>
      <c r="AD7" s="358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</row>
    <row r="8" spans="1:173" ht="20.100000000000001" customHeight="1" x14ac:dyDescent="0.25">
      <c r="A8" s="418" t="s">
        <v>38</v>
      </c>
      <c r="B8" s="418"/>
      <c r="C8" s="418"/>
      <c r="D8" s="418"/>
      <c r="E8" s="418"/>
      <c r="F8" s="418"/>
      <c r="G8" s="418"/>
      <c r="H8" s="194">
        <f>SUMIF($C$3:$C$6,"N",H3:H6)</f>
        <v>0</v>
      </c>
      <c r="I8" s="232" t="s">
        <v>13</v>
      </c>
      <c r="J8" s="161">
        <f>SUMIF($C$3:$C$6,"N",J3:J6)</f>
        <v>0</v>
      </c>
      <c r="K8" s="161">
        <f>SUMIF($C$3:$C$6,"N",K3:K6)</f>
        <v>0</v>
      </c>
      <c r="L8" s="161">
        <f>SUMIF($C$3:$C$6,"N",L3:L6)</f>
        <v>0</v>
      </c>
      <c r="M8" s="161" t="s">
        <v>13</v>
      </c>
      <c r="N8" s="161">
        <f>SUMIF($C$3:$C$6,"N",N3:N6)</f>
        <v>0</v>
      </c>
      <c r="O8" s="161">
        <f>SUMIF($C$3:$C$6,"N",O3:O6)</f>
        <v>0</v>
      </c>
      <c r="P8" s="161">
        <f>SUMIF($C$3:$C$6,"N",P3:P6)</f>
        <v>0</v>
      </c>
      <c r="Q8" s="161">
        <f t="shared" ref="Q8:W8" si="7">SUMIF($C$3:$C$6,"N",Q3:Q6)</f>
        <v>0</v>
      </c>
      <c r="R8" s="161">
        <f t="shared" si="7"/>
        <v>0</v>
      </c>
      <c r="S8" s="161">
        <f t="shared" si="7"/>
        <v>0</v>
      </c>
      <c r="T8" s="161">
        <f t="shared" si="7"/>
        <v>0</v>
      </c>
      <c r="U8" s="161">
        <f t="shared" si="7"/>
        <v>0</v>
      </c>
      <c r="V8" s="161">
        <f t="shared" si="7"/>
        <v>0</v>
      </c>
      <c r="W8" s="161">
        <f t="shared" si="7"/>
        <v>0</v>
      </c>
      <c r="X8" s="1" t="b">
        <f t="shared" si="0"/>
        <v>1</v>
      </c>
      <c r="Y8" s="34" t="e">
        <f t="shared" si="1"/>
        <v>#DIV/0!</v>
      </c>
      <c r="Z8" s="35" t="s">
        <v>13</v>
      </c>
      <c r="AA8" s="35" t="b">
        <f t="shared" si="2"/>
        <v>1</v>
      </c>
      <c r="AB8" s="359"/>
    </row>
    <row r="9" spans="1:173" ht="20.100000000000001" customHeight="1" x14ac:dyDescent="0.25">
      <c r="A9" s="418" t="s">
        <v>39</v>
      </c>
      <c r="B9" s="418"/>
      <c r="C9" s="418"/>
      <c r="D9" s="418"/>
      <c r="E9" s="418"/>
      <c r="F9" s="418"/>
      <c r="G9" s="418"/>
      <c r="H9" s="194">
        <f>SUMIF($C$3:$C$6,"W",H3:H6)</f>
        <v>0</v>
      </c>
      <c r="I9" s="232" t="s">
        <v>13</v>
      </c>
      <c r="J9" s="161">
        <f>SUMIF($C$3:$C$6,"W",J3:J6)</f>
        <v>0</v>
      </c>
      <c r="K9" s="161">
        <f>SUMIF($C$3:$C$6,"W",K3:K6)</f>
        <v>0</v>
      </c>
      <c r="L9" s="161">
        <f>SUMIF($C$3:$C$6,"W",L3:L6)</f>
        <v>0</v>
      </c>
      <c r="M9" s="161" t="s">
        <v>13</v>
      </c>
      <c r="N9" s="161">
        <f>SUMIF($C$3:$C$6,"W",N3:N6)</f>
        <v>0</v>
      </c>
      <c r="O9" s="161">
        <f>SUMIF($C$3:$C$6,"W",O3:O6)</f>
        <v>0</v>
      </c>
      <c r="P9" s="161">
        <f>SUMIF($C$3:$C$6,"W",P3:P6)</f>
        <v>0</v>
      </c>
      <c r="Q9" s="161">
        <f t="shared" ref="Q9:W9" si="8">SUMIF($C$3:$C$6,"W",Q3:Q6)</f>
        <v>0</v>
      </c>
      <c r="R9" s="161">
        <f t="shared" si="8"/>
        <v>0</v>
      </c>
      <c r="S9" s="161">
        <f t="shared" si="8"/>
        <v>0</v>
      </c>
      <c r="T9" s="161">
        <f t="shared" si="8"/>
        <v>0</v>
      </c>
      <c r="U9" s="161">
        <f t="shared" si="8"/>
        <v>0</v>
      </c>
      <c r="V9" s="161">
        <f t="shared" si="8"/>
        <v>0</v>
      </c>
      <c r="W9" s="161">
        <f t="shared" si="8"/>
        <v>0</v>
      </c>
      <c r="X9" s="1" t="b">
        <f t="shared" si="0"/>
        <v>1</v>
      </c>
      <c r="Y9" s="34" t="e">
        <f t="shared" si="1"/>
        <v>#DIV/0!</v>
      </c>
      <c r="Z9" s="35" t="s">
        <v>13</v>
      </c>
      <c r="AA9" s="35" t="b">
        <f t="shared" si="2"/>
        <v>1</v>
      </c>
      <c r="AB9" s="359"/>
    </row>
    <row r="10" spans="1:173" ht="20.100000000000001" customHeight="1" x14ac:dyDescent="0.25">
      <c r="A10" s="432" t="s">
        <v>39</v>
      </c>
      <c r="B10" s="432"/>
      <c r="C10" s="432"/>
      <c r="D10" s="432"/>
      <c r="E10" s="432"/>
      <c r="F10" s="432"/>
      <c r="G10" s="432"/>
      <c r="H10" s="213">
        <f>SUMIF($C$3:$C$6,"W",H3:H6)</f>
        <v>0</v>
      </c>
      <c r="I10" s="232" t="s">
        <v>13</v>
      </c>
      <c r="J10" s="214">
        <f>SUMIF($C$3:$C$6,"W",J3:J6)</f>
        <v>0</v>
      </c>
      <c r="K10" s="214">
        <f>SUMIF($C$3:$C$6,"W",K3:K6)</f>
        <v>0</v>
      </c>
      <c r="L10" s="214">
        <f>SUMIF($C$3:$C$6,"W",L3:L6)</f>
        <v>0</v>
      </c>
      <c r="M10" s="214" t="s">
        <v>13</v>
      </c>
      <c r="N10" s="214">
        <f>SUMIF($C$3:$C$6,"W",N3:N6)</f>
        <v>0</v>
      </c>
      <c r="O10" s="214">
        <f>SUMIF($C$3:$C$6,"W",O3:O6)</f>
        <v>0</v>
      </c>
      <c r="P10" s="214">
        <f>SUMIF($C$3:$C$6,"W",P3:P6)</f>
        <v>0</v>
      </c>
      <c r="Q10" s="214">
        <f t="shared" ref="Q10:W10" si="9">SUMIF($C$3:$C$6,"W",Q3:Q6)</f>
        <v>0</v>
      </c>
      <c r="R10" s="214">
        <f t="shared" si="9"/>
        <v>0</v>
      </c>
      <c r="S10" s="214">
        <f t="shared" si="9"/>
        <v>0</v>
      </c>
      <c r="T10" s="214">
        <f t="shared" si="9"/>
        <v>0</v>
      </c>
      <c r="U10" s="214">
        <f t="shared" si="9"/>
        <v>0</v>
      </c>
      <c r="V10" s="214">
        <f t="shared" si="9"/>
        <v>0</v>
      </c>
      <c r="W10" s="214">
        <f t="shared" si="9"/>
        <v>0</v>
      </c>
      <c r="X10" s="1" t="b">
        <f t="shared" si="0"/>
        <v>1</v>
      </c>
      <c r="Y10" s="34" t="e">
        <f t="shared" si="1"/>
        <v>#DIV/0!</v>
      </c>
      <c r="Z10" s="35" t="s">
        <v>13</v>
      </c>
      <c r="AA10" s="35" t="b">
        <f t="shared" si="2"/>
        <v>1</v>
      </c>
      <c r="AB10" s="359"/>
    </row>
    <row r="11" spans="1:173" x14ac:dyDescent="0.25">
      <c r="A11" s="29"/>
      <c r="P11" s="118"/>
    </row>
    <row r="12" spans="1:173" x14ac:dyDescent="0.25">
      <c r="A12" s="23" t="s">
        <v>24</v>
      </c>
      <c r="O12" s="129"/>
      <c r="P12" s="27"/>
    </row>
    <row r="13" spans="1:173" x14ac:dyDescent="0.25">
      <c r="A13" s="24" t="s">
        <v>25</v>
      </c>
      <c r="P13" s="27"/>
    </row>
    <row r="14" spans="1:173" x14ac:dyDescent="0.25">
      <c r="A14" s="23" t="s">
        <v>35</v>
      </c>
    </row>
    <row r="15" spans="1:173" x14ac:dyDescent="0.25">
      <c r="A15" s="30"/>
    </row>
  </sheetData>
  <customSheetViews>
    <customSheetView guid="{B2D40DA4-5FA0-499A-A7D1-4F99A3F826AC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1"/>
      <headerFooter>
        <oddHeader>&amp;LWojewództwo&amp;K000000 Opolskie&amp;K01+000 - zadania powiatowe lista rezerwowa</oddHeader>
        <oddFooter>Strona &amp;P z &amp;N</oddFooter>
      </headerFooter>
    </customSheetView>
    <customSheetView guid="{90AAACFD-C45E-4B79-9ECD-2C756BD997B3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2"/>
      <headerFooter>
        <oddHeader>&amp;LWojewództwo&amp;K000000 Opolskie&amp;K01+000 - zadania powiatowe lista rezerwowa</oddHeader>
        <oddFooter>Strona &amp;P z &amp;N</oddFooter>
      </headerFooter>
    </customSheetView>
    <customSheetView guid="{7BB0DA2A-E6EC-4283-8DAA-56DD15906E8E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4" fitToHeight="0" orientation="landscape" r:id="rId3"/>
      <headerFooter>
        <oddHeader>&amp;LWojewództwo&amp;K000000 Opolskie&amp;K01+000 - zadania powiatowe lista rezerwowa</oddHeader>
        <oddFooter>Strona &amp;P z &amp;N</oddFooter>
      </headerFooter>
    </customSheetView>
    <customSheetView guid="{A2BCF76A-36CA-47CC-AE0E-554D5E4069A6}" showPageBreaks="1" showGridLines="0" fitToPage="1" printArea="1" view="pageBreakPreview">
      <selection activeCell="H19" sqref="H18:H1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4"/>
      <headerFooter>
        <oddHeader>&amp;LWojewództwo&amp;K000000 Opolskie&amp;K01+000 - zadania powiatowe lista rezerwowa</oddHeader>
        <oddFooter>Strona &amp;P z &amp;N</oddFooter>
      </headerFooter>
    </customSheetView>
  </customSheetViews>
  <mergeCells count="18">
    <mergeCell ref="A10:G10"/>
    <mergeCell ref="I1:I2"/>
    <mergeCell ref="A1:A2"/>
    <mergeCell ref="B1:B2"/>
    <mergeCell ref="C1:C2"/>
    <mergeCell ref="F1:F2"/>
    <mergeCell ref="G1:G2"/>
    <mergeCell ref="H1:H2"/>
    <mergeCell ref="D1:D2"/>
    <mergeCell ref="A8:G8"/>
    <mergeCell ref="E1:E2"/>
    <mergeCell ref="A9:G9"/>
    <mergeCell ref="A7:G7"/>
    <mergeCell ref="N1:Q1"/>
    <mergeCell ref="J1:J2"/>
    <mergeCell ref="K1:K2"/>
    <mergeCell ref="L1:L2"/>
    <mergeCell ref="M1:M2"/>
  </mergeCells>
  <conditionalFormatting sqref="AA10 X3:AD7">
    <cfRule type="cellIs" dxfId="30" priority="27" operator="equal">
      <formula>FALSE</formula>
    </cfRule>
  </conditionalFormatting>
  <conditionalFormatting sqref="AB10">
    <cfRule type="cellIs" dxfId="29" priority="32" operator="equal">
      <formula>FALSE</formula>
    </cfRule>
  </conditionalFormatting>
  <conditionalFormatting sqref="AB10">
    <cfRule type="cellIs" dxfId="28" priority="31" operator="equal">
      <formula>FALSE</formula>
    </cfRule>
  </conditionalFormatting>
  <conditionalFormatting sqref="Y10:Z10">
    <cfRule type="cellIs" dxfId="27" priority="30" operator="equal">
      <formula>FALSE</formula>
    </cfRule>
  </conditionalFormatting>
  <conditionalFormatting sqref="X10">
    <cfRule type="cellIs" dxfId="26" priority="29" operator="equal">
      <formula>FALSE</formula>
    </cfRule>
  </conditionalFormatting>
  <conditionalFormatting sqref="X10:Z10 AB3:AC7 X3:Z7">
    <cfRule type="containsText" dxfId="25" priority="28" operator="containsText" text="fałsz">
      <formula>NOT(ISERROR(SEARCH("fałsz",X3)))</formula>
    </cfRule>
  </conditionalFormatting>
  <conditionalFormatting sqref="AA10">
    <cfRule type="cellIs" dxfId="24" priority="26" operator="equal">
      <formula>FALSE</formula>
    </cfRule>
  </conditionalFormatting>
  <conditionalFormatting sqref="AB8:AB9">
    <cfRule type="cellIs" dxfId="23" priority="25" operator="equal">
      <formula>FALSE</formula>
    </cfRule>
  </conditionalFormatting>
  <conditionalFormatting sqref="AB8:AB9">
    <cfRule type="cellIs" dxfId="22" priority="24" operator="equal">
      <formula>FALSE</formula>
    </cfRule>
  </conditionalFormatting>
  <conditionalFormatting sqref="Y8:Z8">
    <cfRule type="cellIs" dxfId="21" priority="23" operator="equal">
      <formula>FALSE</formula>
    </cfRule>
  </conditionalFormatting>
  <conditionalFormatting sqref="X8">
    <cfRule type="cellIs" dxfId="20" priority="22" operator="equal">
      <formula>FALSE</formula>
    </cfRule>
  </conditionalFormatting>
  <conditionalFormatting sqref="X8:Z8">
    <cfRule type="containsText" dxfId="19" priority="21" operator="containsText" text="fałsz">
      <formula>NOT(ISERROR(SEARCH("fałsz",X8)))</formula>
    </cfRule>
  </conditionalFormatting>
  <conditionalFormatting sqref="AA8">
    <cfRule type="cellIs" dxfId="18" priority="20" operator="equal">
      <formula>FALSE</formula>
    </cfRule>
  </conditionalFormatting>
  <conditionalFormatting sqref="AA8">
    <cfRule type="cellIs" dxfId="17" priority="19" operator="equal">
      <formula>FALSE</formula>
    </cfRule>
  </conditionalFormatting>
  <conditionalFormatting sqref="Y9:Z9">
    <cfRule type="cellIs" dxfId="16" priority="18" operator="equal">
      <formula>FALSE</formula>
    </cfRule>
  </conditionalFormatting>
  <conditionalFormatting sqref="X9">
    <cfRule type="cellIs" dxfId="15" priority="17" operator="equal">
      <formula>FALSE</formula>
    </cfRule>
  </conditionalFormatting>
  <conditionalFormatting sqref="X9:Z9">
    <cfRule type="containsText" dxfId="14" priority="16" operator="containsText" text="fałsz">
      <formula>NOT(ISERROR(SEARCH("fałsz",X9)))</formula>
    </cfRule>
  </conditionalFormatting>
  <conditionalFormatting sqref="AA9">
    <cfRule type="cellIs" dxfId="13" priority="15" operator="equal">
      <formula>FALSE</formula>
    </cfRule>
  </conditionalFormatting>
  <conditionalFormatting sqref="AA9">
    <cfRule type="cellIs" dxfId="12" priority="14" operator="equal">
      <formula>FALSE</formula>
    </cfRule>
  </conditionalFormatting>
  <dataValidations count="2">
    <dataValidation type="list" allowBlank="1" showInputMessage="1" showErrorMessage="1" sqref="G3:G6" xr:uid="{00000000-0002-0000-0300-000000000000}">
      <formula1>"B,P,R"</formula1>
    </dataValidation>
    <dataValidation type="list" allowBlank="1" showInputMessage="1" showErrorMessage="1" sqref="C3:C6" xr:uid="{00000000-0002-0000-03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5"/>
  <headerFooter>
    <oddHeader>&amp;LWojewództwo&amp;K000000 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5"/>
  <sheetViews>
    <sheetView showGridLines="0" view="pageBreakPreview" zoomScaleNormal="78" zoomScaleSheetLayoutView="100" workbookViewId="0">
      <selection activeCell="H21" sqref="H21"/>
    </sheetView>
  </sheetViews>
  <sheetFormatPr defaultColWidth="9.140625" defaultRowHeight="15" x14ac:dyDescent="0.25"/>
  <cols>
    <col min="1" max="1" width="9.28515625" style="8" customWidth="1"/>
    <col min="2" max="2" width="14.28515625" style="8" customWidth="1"/>
    <col min="3" max="3" width="8" style="8" customWidth="1"/>
    <col min="4" max="4" width="21" style="8" customWidth="1"/>
    <col min="5" max="5" width="7" style="8" bestFit="1" customWidth="1"/>
    <col min="6" max="6" width="13.5703125" style="8" customWidth="1"/>
    <col min="7" max="7" width="37.5703125" style="8" customWidth="1"/>
    <col min="8" max="8" width="17" style="8" customWidth="1"/>
    <col min="9" max="9" width="9.42578125" style="8" customWidth="1"/>
    <col min="10" max="10" width="14.42578125" style="140" customWidth="1"/>
    <col min="11" max="11" width="15.7109375" style="319" customWidth="1"/>
    <col min="12" max="13" width="15.7109375" style="320" customWidth="1"/>
    <col min="14" max="14" width="15.140625" style="1" customWidth="1"/>
    <col min="15" max="15" width="10.140625" style="8" customWidth="1"/>
    <col min="16" max="16" width="10.7109375" style="8" customWidth="1"/>
    <col min="17" max="17" width="14.42578125" style="8" customWidth="1"/>
    <col min="18" max="18" width="13.140625" style="8" customWidth="1"/>
    <col min="19" max="19" width="11.28515625" style="8" customWidth="1"/>
    <col min="20" max="20" width="9.85546875" style="8" customWidth="1"/>
    <col min="21" max="21" width="10.7109375" style="8" customWidth="1"/>
    <col min="22" max="22" width="8.5703125" style="8" customWidth="1"/>
    <col min="23" max="23" width="10" style="8" customWidth="1"/>
    <col min="24" max="24" width="9" style="8" customWidth="1"/>
    <col min="25" max="28" width="15.7109375" style="230" customWidth="1"/>
    <col min="29" max="16384" width="9.140625" style="8"/>
  </cols>
  <sheetData>
    <row r="1" spans="1:28" ht="20.100000000000001" customHeight="1" x14ac:dyDescent="0.25">
      <c r="A1" s="418" t="s">
        <v>4</v>
      </c>
      <c r="B1" s="418" t="s">
        <v>5</v>
      </c>
      <c r="C1" s="427" t="s">
        <v>32</v>
      </c>
      <c r="D1" s="423" t="s">
        <v>6</v>
      </c>
      <c r="E1" s="132"/>
      <c r="F1" s="132"/>
      <c r="G1" s="165"/>
      <c r="H1" s="439" t="s">
        <v>26</v>
      </c>
      <c r="I1" s="438" t="s">
        <v>254</v>
      </c>
      <c r="J1" s="423" t="s">
        <v>271</v>
      </c>
      <c r="K1" s="419" t="s">
        <v>8</v>
      </c>
      <c r="L1" s="418" t="s">
        <v>9</v>
      </c>
      <c r="M1" s="423" t="s">
        <v>12</v>
      </c>
      <c r="N1" s="418" t="s">
        <v>10</v>
      </c>
      <c r="O1" s="420" t="s">
        <v>11</v>
      </c>
      <c r="P1" s="421"/>
      <c r="Q1" s="421"/>
      <c r="R1" s="421"/>
      <c r="S1" s="228"/>
      <c r="T1" s="228"/>
      <c r="U1" s="228"/>
      <c r="V1" s="228"/>
      <c r="W1" s="228"/>
      <c r="X1" s="229"/>
    </row>
    <row r="2" spans="1:28" ht="33" customHeight="1" x14ac:dyDescent="0.25">
      <c r="A2" s="418"/>
      <c r="B2" s="418"/>
      <c r="C2" s="428"/>
      <c r="D2" s="424"/>
      <c r="E2" s="133" t="s">
        <v>31</v>
      </c>
      <c r="F2" s="133" t="s">
        <v>14</v>
      </c>
      <c r="G2" s="133" t="s">
        <v>7</v>
      </c>
      <c r="H2" s="440"/>
      <c r="I2" s="424"/>
      <c r="J2" s="424"/>
      <c r="K2" s="419"/>
      <c r="L2" s="418"/>
      <c r="M2" s="424"/>
      <c r="N2" s="418"/>
      <c r="O2" s="134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134">
        <v>2027</v>
      </c>
      <c r="X2" s="134">
        <v>2028</v>
      </c>
      <c r="Y2" s="292" t="s">
        <v>27</v>
      </c>
      <c r="Z2" s="292" t="s">
        <v>28</v>
      </c>
      <c r="AA2" s="292" t="s">
        <v>29</v>
      </c>
      <c r="AB2" s="289" t="s">
        <v>30</v>
      </c>
    </row>
    <row r="3" spans="1:28" ht="52.5" customHeight="1" x14ac:dyDescent="0.25">
      <c r="A3" s="141">
        <v>1</v>
      </c>
      <c r="B3" s="150" t="s">
        <v>314</v>
      </c>
      <c r="C3" s="153"/>
      <c r="D3" s="150" t="s">
        <v>157</v>
      </c>
      <c r="E3" s="149">
        <v>1608052</v>
      </c>
      <c r="F3" s="149" t="s">
        <v>56</v>
      </c>
      <c r="G3" s="252" t="s">
        <v>234</v>
      </c>
      <c r="H3" s="149" t="s">
        <v>46</v>
      </c>
      <c r="I3" s="171"/>
      <c r="J3" s="170" t="s">
        <v>273</v>
      </c>
      <c r="K3" s="167">
        <v>0</v>
      </c>
      <c r="L3" s="167">
        <v>0</v>
      </c>
      <c r="M3" s="167">
        <v>0</v>
      </c>
      <c r="N3" s="131">
        <v>0.7</v>
      </c>
      <c r="O3" s="185">
        <v>0</v>
      </c>
      <c r="P3" s="185">
        <v>0</v>
      </c>
      <c r="Q3" s="235">
        <f t="shared" ref="Q3:Q9" si="0">L3</f>
        <v>0</v>
      </c>
      <c r="R3" s="185">
        <v>0</v>
      </c>
      <c r="S3" s="185">
        <v>0</v>
      </c>
      <c r="T3" s="185">
        <v>0</v>
      </c>
      <c r="U3" s="185">
        <v>0</v>
      </c>
      <c r="V3" s="185">
        <v>0</v>
      </c>
      <c r="W3" s="187">
        <v>0</v>
      </c>
      <c r="X3" s="187">
        <v>0</v>
      </c>
      <c r="Y3" s="292" t="b">
        <f t="shared" ref="Y3" si="1">L3=SUM(O3:X3)</f>
        <v>1</v>
      </c>
      <c r="Z3" s="293" t="e">
        <f t="shared" ref="Z3" si="2">ROUND(L3/K3,4)</f>
        <v>#DIV/0!</v>
      </c>
      <c r="AA3" s="294" t="e">
        <f t="shared" ref="AA3" si="3">Z3=N3</f>
        <v>#DIV/0!</v>
      </c>
      <c r="AB3" s="294" t="b">
        <f t="shared" ref="AB3" si="4">K3=L3+M3</f>
        <v>1</v>
      </c>
    </row>
    <row r="4" spans="1:28" ht="49.5" customHeight="1" x14ac:dyDescent="0.25">
      <c r="A4" s="141">
        <v>2</v>
      </c>
      <c r="B4" s="150" t="s">
        <v>315</v>
      </c>
      <c r="C4" s="149"/>
      <c r="D4" s="150" t="s">
        <v>160</v>
      </c>
      <c r="E4" s="149">
        <v>1611033</v>
      </c>
      <c r="F4" s="149" t="s">
        <v>57</v>
      </c>
      <c r="G4" s="150" t="s">
        <v>233</v>
      </c>
      <c r="H4" s="149" t="s">
        <v>46</v>
      </c>
      <c r="I4" s="171"/>
      <c r="J4" s="170" t="s">
        <v>259</v>
      </c>
      <c r="K4" s="167">
        <v>0</v>
      </c>
      <c r="L4" s="167">
        <v>0</v>
      </c>
      <c r="M4" s="167">
        <v>0</v>
      </c>
      <c r="N4" s="131">
        <v>0.7</v>
      </c>
      <c r="O4" s="185">
        <v>0</v>
      </c>
      <c r="P4" s="185">
        <v>0</v>
      </c>
      <c r="Q4" s="235">
        <f t="shared" si="0"/>
        <v>0</v>
      </c>
      <c r="R4" s="185">
        <v>0</v>
      </c>
      <c r="S4" s="185">
        <v>0</v>
      </c>
      <c r="T4" s="185">
        <v>0</v>
      </c>
      <c r="U4" s="185">
        <v>0</v>
      </c>
      <c r="V4" s="185">
        <v>0</v>
      </c>
      <c r="W4" s="187">
        <v>0</v>
      </c>
      <c r="X4" s="187">
        <v>0</v>
      </c>
      <c r="Y4" s="292" t="b">
        <f t="shared" ref="Y4:Y22" si="5">L4=SUM(O4:X4)</f>
        <v>1</v>
      </c>
      <c r="Z4" s="293" t="e">
        <f t="shared" ref="Z4:Z22" si="6">ROUND(L4/K4,4)</f>
        <v>#DIV/0!</v>
      </c>
      <c r="AA4" s="294" t="e">
        <f t="shared" ref="AA4:AA22" si="7">Z4=N4</f>
        <v>#DIV/0!</v>
      </c>
      <c r="AB4" s="294" t="b">
        <f t="shared" ref="AB4:AB22" si="8">K4=L4+M4</f>
        <v>1</v>
      </c>
    </row>
    <row r="5" spans="1:28" ht="51.75" customHeight="1" x14ac:dyDescent="0.25">
      <c r="A5" s="141">
        <v>3</v>
      </c>
      <c r="B5" s="150" t="s">
        <v>316</v>
      </c>
      <c r="C5" s="153"/>
      <c r="D5" s="150" t="s">
        <v>156</v>
      </c>
      <c r="E5" s="149">
        <v>1611053</v>
      </c>
      <c r="F5" s="149" t="s">
        <v>57</v>
      </c>
      <c r="G5" s="150" t="s">
        <v>293</v>
      </c>
      <c r="H5" s="149" t="s">
        <v>255</v>
      </c>
      <c r="I5" s="171"/>
      <c r="J5" s="170" t="s">
        <v>272</v>
      </c>
      <c r="K5" s="167">
        <v>0</v>
      </c>
      <c r="L5" s="167">
        <v>0</v>
      </c>
      <c r="M5" s="167">
        <v>0</v>
      </c>
      <c r="N5" s="131">
        <v>0.6</v>
      </c>
      <c r="O5" s="185">
        <v>0</v>
      </c>
      <c r="P5" s="185">
        <v>0</v>
      </c>
      <c r="Q5" s="235">
        <f t="shared" si="0"/>
        <v>0</v>
      </c>
      <c r="R5" s="185">
        <v>0</v>
      </c>
      <c r="S5" s="185">
        <v>0</v>
      </c>
      <c r="T5" s="185">
        <v>0</v>
      </c>
      <c r="U5" s="185">
        <v>0</v>
      </c>
      <c r="V5" s="185">
        <v>0</v>
      </c>
      <c r="W5" s="187">
        <v>0</v>
      </c>
      <c r="X5" s="187">
        <v>0</v>
      </c>
      <c r="Y5" s="292" t="b">
        <f t="shared" si="5"/>
        <v>1</v>
      </c>
      <c r="Z5" s="293" t="e">
        <f t="shared" si="6"/>
        <v>#DIV/0!</v>
      </c>
      <c r="AA5" s="294" t="e">
        <f t="shared" si="7"/>
        <v>#DIV/0!</v>
      </c>
      <c r="AB5" s="294" t="b">
        <f t="shared" si="8"/>
        <v>1</v>
      </c>
    </row>
    <row r="6" spans="1:28" ht="52.5" customHeight="1" x14ac:dyDescent="0.25">
      <c r="A6" s="141">
        <v>4</v>
      </c>
      <c r="B6" s="150" t="s">
        <v>317</v>
      </c>
      <c r="C6" s="153"/>
      <c r="D6" s="150" t="s">
        <v>77</v>
      </c>
      <c r="E6" s="149">
        <v>1607092</v>
      </c>
      <c r="F6" s="149" t="s">
        <v>45</v>
      </c>
      <c r="G6" s="150" t="s">
        <v>235</v>
      </c>
      <c r="H6" s="149" t="s">
        <v>46</v>
      </c>
      <c r="I6" s="171"/>
      <c r="J6" s="170" t="s">
        <v>272</v>
      </c>
      <c r="K6" s="167">
        <v>0</v>
      </c>
      <c r="L6" s="167">
        <v>0</v>
      </c>
      <c r="M6" s="167">
        <v>0</v>
      </c>
      <c r="N6" s="131">
        <v>0.7</v>
      </c>
      <c r="O6" s="185">
        <v>0</v>
      </c>
      <c r="P6" s="185">
        <v>0</v>
      </c>
      <c r="Q6" s="235">
        <f t="shared" si="0"/>
        <v>0</v>
      </c>
      <c r="R6" s="185">
        <v>0</v>
      </c>
      <c r="S6" s="185">
        <v>0</v>
      </c>
      <c r="T6" s="185">
        <v>0</v>
      </c>
      <c r="U6" s="185">
        <v>0</v>
      </c>
      <c r="V6" s="185">
        <v>0</v>
      </c>
      <c r="W6" s="187">
        <v>0</v>
      </c>
      <c r="X6" s="187">
        <v>0</v>
      </c>
      <c r="Y6" s="292" t="b">
        <f t="shared" si="5"/>
        <v>1</v>
      </c>
      <c r="Z6" s="293" t="e">
        <f t="shared" si="6"/>
        <v>#DIV/0!</v>
      </c>
      <c r="AA6" s="294" t="e">
        <f t="shared" si="7"/>
        <v>#DIV/0!</v>
      </c>
      <c r="AB6" s="294" t="b">
        <f t="shared" si="8"/>
        <v>1</v>
      </c>
    </row>
    <row r="7" spans="1:28" ht="48" customHeight="1" x14ac:dyDescent="0.25">
      <c r="A7" s="141">
        <v>5</v>
      </c>
      <c r="B7" s="150" t="s">
        <v>335</v>
      </c>
      <c r="C7" s="153"/>
      <c r="D7" s="150" t="s">
        <v>91</v>
      </c>
      <c r="E7" s="149">
        <v>1602033</v>
      </c>
      <c r="F7" s="149" t="s">
        <v>83</v>
      </c>
      <c r="G7" s="150" t="s">
        <v>236</v>
      </c>
      <c r="H7" s="149" t="s">
        <v>46</v>
      </c>
      <c r="I7" s="171"/>
      <c r="J7" s="170" t="s">
        <v>260</v>
      </c>
      <c r="K7" s="251">
        <v>0</v>
      </c>
      <c r="L7" s="167">
        <v>0</v>
      </c>
      <c r="M7" s="167">
        <v>0</v>
      </c>
      <c r="N7" s="131">
        <v>0.7</v>
      </c>
      <c r="O7" s="185">
        <v>0</v>
      </c>
      <c r="P7" s="185">
        <v>0</v>
      </c>
      <c r="Q7" s="235">
        <f t="shared" si="0"/>
        <v>0</v>
      </c>
      <c r="R7" s="185">
        <v>0</v>
      </c>
      <c r="S7" s="185">
        <v>0</v>
      </c>
      <c r="T7" s="185">
        <v>0</v>
      </c>
      <c r="U7" s="185">
        <v>0</v>
      </c>
      <c r="V7" s="185">
        <v>0</v>
      </c>
      <c r="W7" s="187">
        <v>0</v>
      </c>
      <c r="X7" s="187">
        <v>0</v>
      </c>
      <c r="Y7" s="292" t="b">
        <f t="shared" si="5"/>
        <v>1</v>
      </c>
      <c r="Z7" s="293" t="e">
        <f t="shared" si="6"/>
        <v>#DIV/0!</v>
      </c>
      <c r="AA7" s="294" t="e">
        <f t="shared" si="7"/>
        <v>#DIV/0!</v>
      </c>
      <c r="AB7" s="294" t="b">
        <f t="shared" si="8"/>
        <v>1</v>
      </c>
    </row>
    <row r="8" spans="1:28" ht="47.25" customHeight="1" x14ac:dyDescent="0.25">
      <c r="A8" s="141">
        <v>6</v>
      </c>
      <c r="B8" s="150" t="s">
        <v>336</v>
      </c>
      <c r="C8" s="153"/>
      <c r="D8" s="150" t="s">
        <v>81</v>
      </c>
      <c r="E8" s="149">
        <v>1602043</v>
      </c>
      <c r="F8" s="149" t="s">
        <v>83</v>
      </c>
      <c r="G8" s="150" t="s">
        <v>237</v>
      </c>
      <c r="H8" s="149" t="s">
        <v>257</v>
      </c>
      <c r="I8" s="171"/>
      <c r="J8" s="170" t="s">
        <v>274</v>
      </c>
      <c r="K8" s="251">
        <v>0</v>
      </c>
      <c r="L8" s="167">
        <f t="shared" ref="L8:L22" si="9">ROUND(K8*N8,2)</f>
        <v>0</v>
      </c>
      <c r="M8" s="167">
        <f t="shared" ref="M8:M21" si="10">K8-L8</f>
        <v>0</v>
      </c>
      <c r="N8" s="131">
        <v>0.7</v>
      </c>
      <c r="O8" s="185">
        <v>0</v>
      </c>
      <c r="P8" s="185">
        <v>0</v>
      </c>
      <c r="Q8" s="235">
        <f t="shared" si="0"/>
        <v>0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7">
        <v>0</v>
      </c>
      <c r="X8" s="187">
        <v>0</v>
      </c>
      <c r="Y8" s="292" t="b">
        <f t="shared" si="5"/>
        <v>1</v>
      </c>
      <c r="Z8" s="293" t="e">
        <f t="shared" si="6"/>
        <v>#DIV/0!</v>
      </c>
      <c r="AA8" s="294" t="e">
        <f t="shared" si="7"/>
        <v>#DIV/0!</v>
      </c>
      <c r="AB8" s="294" t="b">
        <f t="shared" si="8"/>
        <v>1</v>
      </c>
    </row>
    <row r="9" spans="1:28" ht="45.75" customHeight="1" x14ac:dyDescent="0.25">
      <c r="A9" s="141">
        <v>7</v>
      </c>
      <c r="B9" s="150" t="s">
        <v>337</v>
      </c>
      <c r="C9" s="153"/>
      <c r="D9" s="150" t="s">
        <v>68</v>
      </c>
      <c r="E9" s="149">
        <v>1609092</v>
      </c>
      <c r="F9" s="149" t="s">
        <v>55</v>
      </c>
      <c r="G9" s="150" t="s">
        <v>239</v>
      </c>
      <c r="H9" s="149" t="s">
        <v>46</v>
      </c>
      <c r="I9" s="171"/>
      <c r="J9" s="170" t="s">
        <v>260</v>
      </c>
      <c r="K9" s="251">
        <v>0</v>
      </c>
      <c r="L9" s="167">
        <f t="shared" si="9"/>
        <v>0</v>
      </c>
      <c r="M9" s="167">
        <f t="shared" si="10"/>
        <v>0</v>
      </c>
      <c r="N9" s="131">
        <v>0.7</v>
      </c>
      <c r="O9" s="185">
        <v>0</v>
      </c>
      <c r="P9" s="185">
        <v>0</v>
      </c>
      <c r="Q9" s="235">
        <f t="shared" si="0"/>
        <v>0</v>
      </c>
      <c r="R9" s="185">
        <v>0</v>
      </c>
      <c r="S9" s="185">
        <v>0</v>
      </c>
      <c r="T9" s="185">
        <v>0</v>
      </c>
      <c r="U9" s="185">
        <v>0</v>
      </c>
      <c r="V9" s="185">
        <v>0</v>
      </c>
      <c r="W9" s="187">
        <v>0</v>
      </c>
      <c r="X9" s="187">
        <v>0</v>
      </c>
      <c r="Y9" s="292" t="b">
        <f t="shared" si="5"/>
        <v>1</v>
      </c>
      <c r="Z9" s="293" t="e">
        <f t="shared" si="6"/>
        <v>#DIV/0!</v>
      </c>
      <c r="AA9" s="294" t="e">
        <f t="shared" si="7"/>
        <v>#DIV/0!</v>
      </c>
      <c r="AB9" s="294" t="b">
        <f t="shared" si="8"/>
        <v>1</v>
      </c>
    </row>
    <row r="10" spans="1:28" ht="65.25" customHeight="1" x14ac:dyDescent="0.25">
      <c r="A10" s="360">
        <v>8</v>
      </c>
      <c r="B10" s="157" t="s">
        <v>338</v>
      </c>
      <c r="C10" s="156"/>
      <c r="D10" s="157" t="s">
        <v>82</v>
      </c>
      <c r="E10" s="128">
        <v>1604023</v>
      </c>
      <c r="F10" s="128" t="s">
        <v>84</v>
      </c>
      <c r="G10" s="157" t="s">
        <v>240</v>
      </c>
      <c r="H10" s="128" t="s">
        <v>255</v>
      </c>
      <c r="I10" s="175"/>
      <c r="J10" s="176" t="s">
        <v>275</v>
      </c>
      <c r="K10" s="298">
        <v>0</v>
      </c>
      <c r="L10" s="299">
        <f t="shared" si="9"/>
        <v>0</v>
      </c>
      <c r="M10" s="299">
        <f t="shared" si="10"/>
        <v>0</v>
      </c>
      <c r="N10" s="158">
        <v>0.7</v>
      </c>
      <c r="O10" s="186">
        <v>0</v>
      </c>
      <c r="P10" s="186">
        <v>0</v>
      </c>
      <c r="Q10" s="205">
        <v>0</v>
      </c>
      <c r="R10" s="205">
        <v>0</v>
      </c>
      <c r="S10" s="185">
        <v>0</v>
      </c>
      <c r="T10" s="185">
        <v>0</v>
      </c>
      <c r="U10" s="185">
        <v>0</v>
      </c>
      <c r="V10" s="185">
        <v>0</v>
      </c>
      <c r="W10" s="187">
        <v>0</v>
      </c>
      <c r="X10" s="187">
        <v>0</v>
      </c>
      <c r="Y10" s="292" t="b">
        <f t="shared" si="5"/>
        <v>1</v>
      </c>
      <c r="Z10" s="293" t="e">
        <f t="shared" si="6"/>
        <v>#DIV/0!</v>
      </c>
      <c r="AA10" s="294" t="e">
        <f t="shared" si="7"/>
        <v>#DIV/0!</v>
      </c>
      <c r="AB10" s="294" t="b">
        <f t="shared" si="8"/>
        <v>1</v>
      </c>
    </row>
    <row r="11" spans="1:28" ht="48.75" customHeight="1" x14ac:dyDescent="0.25">
      <c r="A11" s="141">
        <v>9</v>
      </c>
      <c r="B11" s="150" t="s">
        <v>351</v>
      </c>
      <c r="C11" s="153"/>
      <c r="D11" s="150" t="s">
        <v>161</v>
      </c>
      <c r="E11" s="149">
        <v>1603052</v>
      </c>
      <c r="F11" s="149" t="s">
        <v>60</v>
      </c>
      <c r="G11" s="150" t="s">
        <v>241</v>
      </c>
      <c r="H11" s="149" t="s">
        <v>46</v>
      </c>
      <c r="I11" s="171"/>
      <c r="J11" s="170" t="s">
        <v>260</v>
      </c>
      <c r="K11" s="251">
        <v>0</v>
      </c>
      <c r="L11" s="167">
        <f t="shared" si="9"/>
        <v>0</v>
      </c>
      <c r="M11" s="167">
        <f t="shared" si="10"/>
        <v>0</v>
      </c>
      <c r="N11" s="131">
        <v>0.5</v>
      </c>
      <c r="O11" s="185">
        <v>0</v>
      </c>
      <c r="P11" s="185">
        <v>0</v>
      </c>
      <c r="Q11" s="235">
        <f t="shared" ref="Q11:Q20" si="11">L11</f>
        <v>0</v>
      </c>
      <c r="R11" s="185">
        <v>0</v>
      </c>
      <c r="S11" s="185">
        <v>0</v>
      </c>
      <c r="T11" s="185">
        <v>0</v>
      </c>
      <c r="U11" s="185">
        <v>0</v>
      </c>
      <c r="V11" s="185">
        <v>0</v>
      </c>
      <c r="W11" s="187">
        <v>0</v>
      </c>
      <c r="X11" s="187">
        <v>0</v>
      </c>
      <c r="Y11" s="292" t="b">
        <f t="shared" si="5"/>
        <v>1</v>
      </c>
      <c r="Z11" s="293" t="e">
        <f t="shared" si="6"/>
        <v>#DIV/0!</v>
      </c>
      <c r="AA11" s="294" t="e">
        <f t="shared" si="7"/>
        <v>#DIV/0!</v>
      </c>
      <c r="AB11" s="294" t="b">
        <f t="shared" si="8"/>
        <v>1</v>
      </c>
    </row>
    <row r="12" spans="1:28" ht="46.5" customHeight="1" x14ac:dyDescent="0.25">
      <c r="A12" s="141">
        <v>10</v>
      </c>
      <c r="B12" s="150" t="s">
        <v>352</v>
      </c>
      <c r="C12" s="153"/>
      <c r="D12" s="150" t="s">
        <v>166</v>
      </c>
      <c r="E12" s="149">
        <v>1605053</v>
      </c>
      <c r="F12" s="149" t="s">
        <v>59</v>
      </c>
      <c r="G12" s="150" t="s">
        <v>242</v>
      </c>
      <c r="H12" s="149" t="s">
        <v>46</v>
      </c>
      <c r="I12" s="171"/>
      <c r="J12" s="170" t="s">
        <v>263</v>
      </c>
      <c r="K12" s="251">
        <v>0</v>
      </c>
      <c r="L12" s="167">
        <f t="shared" si="9"/>
        <v>0</v>
      </c>
      <c r="M12" s="167">
        <f t="shared" si="10"/>
        <v>0</v>
      </c>
      <c r="N12" s="131">
        <v>0.5</v>
      </c>
      <c r="O12" s="185">
        <v>0</v>
      </c>
      <c r="P12" s="185">
        <v>0</v>
      </c>
      <c r="Q12" s="235">
        <f t="shared" si="11"/>
        <v>0</v>
      </c>
      <c r="R12" s="185">
        <v>0</v>
      </c>
      <c r="S12" s="185">
        <v>0</v>
      </c>
      <c r="T12" s="185">
        <v>0</v>
      </c>
      <c r="U12" s="185">
        <v>0</v>
      </c>
      <c r="V12" s="185">
        <v>0</v>
      </c>
      <c r="W12" s="187">
        <v>0</v>
      </c>
      <c r="X12" s="187">
        <v>0</v>
      </c>
      <c r="Y12" s="292" t="b">
        <f t="shared" si="5"/>
        <v>1</v>
      </c>
      <c r="Z12" s="293" t="e">
        <f t="shared" si="6"/>
        <v>#DIV/0!</v>
      </c>
      <c r="AA12" s="294" t="e">
        <f t="shared" si="7"/>
        <v>#DIV/0!</v>
      </c>
      <c r="AB12" s="294" t="b">
        <f t="shared" si="8"/>
        <v>1</v>
      </c>
    </row>
    <row r="13" spans="1:28" ht="47.25" customHeight="1" x14ac:dyDescent="0.25">
      <c r="A13" s="141">
        <v>11</v>
      </c>
      <c r="B13" s="150" t="s">
        <v>353</v>
      </c>
      <c r="C13" s="153"/>
      <c r="D13" s="150" t="s">
        <v>160</v>
      </c>
      <c r="E13" s="149">
        <v>1611033</v>
      </c>
      <c r="F13" s="149" t="s">
        <v>57</v>
      </c>
      <c r="G13" s="150" t="s">
        <v>243</v>
      </c>
      <c r="H13" s="149" t="s">
        <v>46</v>
      </c>
      <c r="I13" s="171"/>
      <c r="J13" s="170" t="s">
        <v>276</v>
      </c>
      <c r="K13" s="251">
        <v>0</v>
      </c>
      <c r="L13" s="167">
        <f t="shared" si="9"/>
        <v>0</v>
      </c>
      <c r="M13" s="167">
        <f t="shared" si="10"/>
        <v>0</v>
      </c>
      <c r="N13" s="131">
        <v>0.7</v>
      </c>
      <c r="O13" s="185">
        <v>0</v>
      </c>
      <c r="P13" s="185">
        <v>0</v>
      </c>
      <c r="Q13" s="235">
        <f t="shared" si="11"/>
        <v>0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7">
        <v>0</v>
      </c>
      <c r="X13" s="187">
        <v>0</v>
      </c>
      <c r="Y13" s="292" t="b">
        <f t="shared" si="5"/>
        <v>1</v>
      </c>
      <c r="Z13" s="293" t="e">
        <f t="shared" si="6"/>
        <v>#DIV/0!</v>
      </c>
      <c r="AA13" s="294" t="e">
        <f t="shared" si="7"/>
        <v>#DIV/0!</v>
      </c>
      <c r="AB13" s="294" t="b">
        <f t="shared" si="8"/>
        <v>1</v>
      </c>
    </row>
    <row r="14" spans="1:28" ht="48.75" customHeight="1" x14ac:dyDescent="0.25">
      <c r="A14" s="141">
        <v>12</v>
      </c>
      <c r="B14" s="150" t="s">
        <v>354</v>
      </c>
      <c r="C14" s="153"/>
      <c r="D14" s="150" t="s">
        <v>167</v>
      </c>
      <c r="E14" s="149">
        <v>1603042</v>
      </c>
      <c r="F14" s="149" t="s">
        <v>60</v>
      </c>
      <c r="G14" s="150" t="s">
        <v>248</v>
      </c>
      <c r="H14" s="149" t="s">
        <v>257</v>
      </c>
      <c r="I14" s="171"/>
      <c r="J14" s="170" t="s">
        <v>264</v>
      </c>
      <c r="K14" s="251">
        <v>0</v>
      </c>
      <c r="L14" s="167">
        <f>ROUND(K14*N14,2)</f>
        <v>0</v>
      </c>
      <c r="M14" s="167">
        <f>K14-L14</f>
        <v>0</v>
      </c>
      <c r="N14" s="131">
        <v>0.7</v>
      </c>
      <c r="O14" s="185">
        <v>0</v>
      </c>
      <c r="P14" s="185">
        <v>0</v>
      </c>
      <c r="Q14" s="235">
        <f t="shared" si="11"/>
        <v>0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7">
        <v>0</v>
      </c>
      <c r="X14" s="187">
        <v>0</v>
      </c>
      <c r="Y14" s="292" t="b">
        <f t="shared" si="5"/>
        <v>1</v>
      </c>
      <c r="Z14" s="293" t="e">
        <f t="shared" si="6"/>
        <v>#DIV/0!</v>
      </c>
      <c r="AA14" s="294" t="e">
        <f t="shared" si="7"/>
        <v>#DIV/0!</v>
      </c>
      <c r="AB14" s="294" t="b">
        <f t="shared" si="8"/>
        <v>1</v>
      </c>
    </row>
    <row r="15" spans="1:28" ht="45.75" customHeight="1" x14ac:dyDescent="0.25">
      <c r="A15" s="141">
        <v>13</v>
      </c>
      <c r="B15" s="150" t="s">
        <v>359</v>
      </c>
      <c r="C15" s="153"/>
      <c r="D15" s="150" t="s">
        <v>160</v>
      </c>
      <c r="E15" s="149">
        <v>1611033</v>
      </c>
      <c r="F15" s="149" t="s">
        <v>57</v>
      </c>
      <c r="G15" s="150" t="s">
        <v>246</v>
      </c>
      <c r="H15" s="149" t="s">
        <v>46</v>
      </c>
      <c r="I15" s="171"/>
      <c r="J15" s="170" t="s">
        <v>259</v>
      </c>
      <c r="K15" s="251">
        <v>0</v>
      </c>
      <c r="L15" s="167">
        <v>0</v>
      </c>
      <c r="M15" s="167">
        <v>0</v>
      </c>
      <c r="N15" s="131">
        <v>0.7</v>
      </c>
      <c r="O15" s="185">
        <v>0</v>
      </c>
      <c r="P15" s="185">
        <v>0</v>
      </c>
      <c r="Q15" s="235">
        <f t="shared" si="11"/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0</v>
      </c>
      <c r="W15" s="187">
        <v>0</v>
      </c>
      <c r="X15" s="187">
        <v>0</v>
      </c>
      <c r="Y15" s="292" t="b">
        <f t="shared" si="5"/>
        <v>1</v>
      </c>
      <c r="Z15" s="293" t="e">
        <f t="shared" si="6"/>
        <v>#DIV/0!</v>
      </c>
      <c r="AA15" s="294" t="e">
        <f t="shared" si="7"/>
        <v>#DIV/0!</v>
      </c>
      <c r="AB15" s="294" t="b">
        <f t="shared" si="8"/>
        <v>1</v>
      </c>
    </row>
    <row r="16" spans="1:28" ht="48.75" customHeight="1" x14ac:dyDescent="0.25">
      <c r="A16" s="141">
        <v>14</v>
      </c>
      <c r="B16" s="150" t="s">
        <v>360</v>
      </c>
      <c r="C16" s="153"/>
      <c r="D16" s="150" t="s">
        <v>79</v>
      </c>
      <c r="E16" s="149">
        <v>1603022</v>
      </c>
      <c r="F16" s="149" t="s">
        <v>60</v>
      </c>
      <c r="G16" s="150" t="s">
        <v>245</v>
      </c>
      <c r="H16" s="149" t="s">
        <v>46</v>
      </c>
      <c r="I16" s="171"/>
      <c r="J16" s="170" t="s">
        <v>277</v>
      </c>
      <c r="K16" s="251">
        <v>0</v>
      </c>
      <c r="L16" s="167">
        <v>0</v>
      </c>
      <c r="M16" s="167">
        <v>0</v>
      </c>
      <c r="N16" s="131">
        <v>0.5</v>
      </c>
      <c r="O16" s="185">
        <v>0</v>
      </c>
      <c r="P16" s="185">
        <v>0</v>
      </c>
      <c r="Q16" s="235">
        <f t="shared" si="11"/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7">
        <v>0</v>
      </c>
      <c r="X16" s="187">
        <v>0</v>
      </c>
      <c r="Y16" s="292" t="b">
        <f t="shared" si="5"/>
        <v>1</v>
      </c>
      <c r="Z16" s="293" t="e">
        <f t="shared" si="6"/>
        <v>#DIV/0!</v>
      </c>
      <c r="AA16" s="294" t="e">
        <f t="shared" si="7"/>
        <v>#DIV/0!</v>
      </c>
      <c r="AB16" s="294" t="b">
        <f t="shared" si="8"/>
        <v>1</v>
      </c>
    </row>
    <row r="17" spans="1:28" ht="47.25" customHeight="1" x14ac:dyDescent="0.25">
      <c r="A17" s="141">
        <v>15</v>
      </c>
      <c r="B17" s="150" t="s">
        <v>366</v>
      </c>
      <c r="C17" s="153"/>
      <c r="D17" s="150" t="s">
        <v>79</v>
      </c>
      <c r="E17" s="149">
        <v>1603022</v>
      </c>
      <c r="F17" s="149" t="s">
        <v>60</v>
      </c>
      <c r="G17" s="150" t="s">
        <v>244</v>
      </c>
      <c r="H17" s="149" t="s">
        <v>257</v>
      </c>
      <c r="I17" s="171"/>
      <c r="J17" s="170" t="s">
        <v>277</v>
      </c>
      <c r="K17" s="251">
        <v>0</v>
      </c>
      <c r="L17" s="167">
        <f t="shared" si="9"/>
        <v>0</v>
      </c>
      <c r="M17" s="167">
        <f t="shared" si="10"/>
        <v>0</v>
      </c>
      <c r="N17" s="131">
        <v>0.5</v>
      </c>
      <c r="O17" s="185">
        <v>0</v>
      </c>
      <c r="P17" s="185">
        <v>0</v>
      </c>
      <c r="Q17" s="235">
        <f t="shared" si="11"/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7">
        <v>0</v>
      </c>
      <c r="X17" s="187">
        <v>0</v>
      </c>
      <c r="Y17" s="292" t="b">
        <f t="shared" si="5"/>
        <v>1</v>
      </c>
      <c r="Z17" s="293" t="e">
        <f t="shared" si="6"/>
        <v>#DIV/0!</v>
      </c>
      <c r="AA17" s="294" t="e">
        <f t="shared" si="7"/>
        <v>#DIV/0!</v>
      </c>
      <c r="AB17" s="294" t="b">
        <f t="shared" si="8"/>
        <v>1</v>
      </c>
    </row>
    <row r="18" spans="1:28" ht="45" customHeight="1" x14ac:dyDescent="0.25">
      <c r="A18" s="141">
        <v>16</v>
      </c>
      <c r="B18" s="150" t="s">
        <v>367</v>
      </c>
      <c r="C18" s="153"/>
      <c r="D18" s="150" t="s">
        <v>81</v>
      </c>
      <c r="E18" s="149">
        <v>1602043</v>
      </c>
      <c r="F18" s="149" t="s">
        <v>83</v>
      </c>
      <c r="G18" s="150" t="s">
        <v>247</v>
      </c>
      <c r="H18" s="149" t="s">
        <v>257</v>
      </c>
      <c r="I18" s="171"/>
      <c r="J18" s="170" t="s">
        <v>272</v>
      </c>
      <c r="K18" s="251">
        <v>0</v>
      </c>
      <c r="L18" s="167">
        <f t="shared" si="9"/>
        <v>0</v>
      </c>
      <c r="M18" s="167">
        <f t="shared" si="10"/>
        <v>0</v>
      </c>
      <c r="N18" s="131">
        <v>0.7</v>
      </c>
      <c r="O18" s="185">
        <v>0</v>
      </c>
      <c r="P18" s="185">
        <v>0</v>
      </c>
      <c r="Q18" s="235">
        <f t="shared" si="11"/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7">
        <v>0</v>
      </c>
      <c r="X18" s="187">
        <v>0</v>
      </c>
      <c r="Y18" s="292" t="b">
        <f t="shared" si="5"/>
        <v>1</v>
      </c>
      <c r="Z18" s="293" t="e">
        <f t="shared" si="6"/>
        <v>#DIV/0!</v>
      </c>
      <c r="AA18" s="294" t="e">
        <f t="shared" si="7"/>
        <v>#DIV/0!</v>
      </c>
      <c r="AB18" s="294" t="b">
        <f t="shared" si="8"/>
        <v>1</v>
      </c>
    </row>
    <row r="19" spans="1:28" ht="44.25" customHeight="1" x14ac:dyDescent="0.25">
      <c r="A19" s="141">
        <v>17</v>
      </c>
      <c r="B19" s="150" t="s">
        <v>369</v>
      </c>
      <c r="C19" s="153"/>
      <c r="D19" s="150" t="s">
        <v>73</v>
      </c>
      <c r="E19" s="149">
        <v>1606032</v>
      </c>
      <c r="F19" s="149" t="s">
        <v>58</v>
      </c>
      <c r="G19" s="150" t="s">
        <v>249</v>
      </c>
      <c r="H19" s="149" t="s">
        <v>257</v>
      </c>
      <c r="I19" s="171"/>
      <c r="J19" s="170" t="s">
        <v>278</v>
      </c>
      <c r="K19" s="251">
        <v>0</v>
      </c>
      <c r="L19" s="167">
        <f t="shared" si="9"/>
        <v>0</v>
      </c>
      <c r="M19" s="167">
        <f t="shared" si="10"/>
        <v>0</v>
      </c>
      <c r="N19" s="131">
        <v>0.6</v>
      </c>
      <c r="O19" s="185">
        <v>0</v>
      </c>
      <c r="P19" s="185">
        <v>0</v>
      </c>
      <c r="Q19" s="235">
        <f t="shared" si="11"/>
        <v>0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7">
        <v>0</v>
      </c>
      <c r="X19" s="187">
        <v>0</v>
      </c>
      <c r="Y19" s="292" t="b">
        <f t="shared" si="5"/>
        <v>1</v>
      </c>
      <c r="Z19" s="293" t="e">
        <f t="shared" si="6"/>
        <v>#DIV/0!</v>
      </c>
      <c r="AA19" s="294" t="e">
        <f t="shared" si="7"/>
        <v>#DIV/0!</v>
      </c>
      <c r="AB19" s="294" t="b">
        <f t="shared" si="8"/>
        <v>1</v>
      </c>
    </row>
    <row r="20" spans="1:28" ht="48.75" customHeight="1" x14ac:dyDescent="0.25">
      <c r="A20" s="141">
        <v>18</v>
      </c>
      <c r="B20" s="150" t="s">
        <v>372</v>
      </c>
      <c r="C20" s="153"/>
      <c r="D20" s="150" t="s">
        <v>172</v>
      </c>
      <c r="E20" s="149">
        <v>1611022</v>
      </c>
      <c r="F20" s="149" t="s">
        <v>57</v>
      </c>
      <c r="G20" s="150" t="s">
        <v>250</v>
      </c>
      <c r="H20" s="149" t="s">
        <v>257</v>
      </c>
      <c r="I20" s="171"/>
      <c r="J20" s="170" t="s">
        <v>279</v>
      </c>
      <c r="K20" s="251">
        <v>0</v>
      </c>
      <c r="L20" s="167">
        <f t="shared" si="9"/>
        <v>0</v>
      </c>
      <c r="M20" s="167">
        <f t="shared" si="10"/>
        <v>0</v>
      </c>
      <c r="N20" s="131">
        <v>0.7</v>
      </c>
      <c r="O20" s="185">
        <v>0</v>
      </c>
      <c r="P20" s="185">
        <v>0</v>
      </c>
      <c r="Q20" s="235">
        <f t="shared" si="11"/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7">
        <v>0</v>
      </c>
      <c r="X20" s="187">
        <v>0</v>
      </c>
      <c r="Y20" s="292" t="b">
        <f t="shared" si="5"/>
        <v>1</v>
      </c>
      <c r="Z20" s="293" t="e">
        <f t="shared" si="6"/>
        <v>#DIV/0!</v>
      </c>
      <c r="AA20" s="294" t="e">
        <f t="shared" si="7"/>
        <v>#DIV/0!</v>
      </c>
      <c r="AB20" s="294" t="b">
        <f t="shared" si="8"/>
        <v>1</v>
      </c>
    </row>
    <row r="21" spans="1:28" ht="39.950000000000003" customHeight="1" x14ac:dyDescent="0.25">
      <c r="A21" s="141">
        <v>19</v>
      </c>
      <c r="B21" s="148" t="s">
        <v>169</v>
      </c>
      <c r="C21" s="153" t="s">
        <v>52</v>
      </c>
      <c r="D21" s="150" t="s">
        <v>80</v>
      </c>
      <c r="E21" s="149">
        <v>1611073</v>
      </c>
      <c r="F21" s="149" t="s">
        <v>57</v>
      </c>
      <c r="G21" s="150" t="s">
        <v>251</v>
      </c>
      <c r="H21" s="149" t="s">
        <v>257</v>
      </c>
      <c r="I21" s="171">
        <v>0.54100000000000004</v>
      </c>
      <c r="J21" s="170" t="s">
        <v>274</v>
      </c>
      <c r="K21" s="251">
        <v>1856509.75</v>
      </c>
      <c r="L21" s="167">
        <f t="shared" si="9"/>
        <v>1299556.83</v>
      </c>
      <c r="M21" s="167">
        <f t="shared" si="10"/>
        <v>556952.91999999993</v>
      </c>
      <c r="N21" s="131">
        <v>0.7</v>
      </c>
      <c r="O21" s="185">
        <v>0</v>
      </c>
      <c r="P21" s="185">
        <v>0</v>
      </c>
      <c r="Q21" s="235">
        <f>L21</f>
        <v>1299556.83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7">
        <v>0</v>
      </c>
      <c r="X21" s="187">
        <v>0</v>
      </c>
      <c r="Y21" s="292" t="b">
        <f t="shared" si="5"/>
        <v>1</v>
      </c>
      <c r="Z21" s="293">
        <f t="shared" si="6"/>
        <v>0.7</v>
      </c>
      <c r="AA21" s="294" t="b">
        <f t="shared" si="7"/>
        <v>1</v>
      </c>
      <c r="AB21" s="294" t="b">
        <f t="shared" si="8"/>
        <v>1</v>
      </c>
    </row>
    <row r="22" spans="1:28" ht="39.950000000000003" customHeight="1" x14ac:dyDescent="0.25">
      <c r="A22" s="141">
        <v>20</v>
      </c>
      <c r="B22" s="148" t="s">
        <v>170</v>
      </c>
      <c r="C22" s="153" t="s">
        <v>52</v>
      </c>
      <c r="D22" s="150" t="s">
        <v>80</v>
      </c>
      <c r="E22" s="149">
        <v>1611073</v>
      </c>
      <c r="F22" s="149" t="s">
        <v>57</v>
      </c>
      <c r="G22" s="150" t="s">
        <v>253</v>
      </c>
      <c r="H22" s="149" t="s">
        <v>257</v>
      </c>
      <c r="I22" s="172">
        <v>0.45500000000000002</v>
      </c>
      <c r="J22" s="173" t="s">
        <v>272</v>
      </c>
      <c r="K22" s="251">
        <v>1561827.88</v>
      </c>
      <c r="L22" s="167">
        <f t="shared" si="9"/>
        <v>1093279.52</v>
      </c>
      <c r="M22" s="167">
        <f>K22-L22</f>
        <v>468548.35999999987</v>
      </c>
      <c r="N22" s="131">
        <v>0.7</v>
      </c>
      <c r="O22" s="185">
        <v>0</v>
      </c>
      <c r="P22" s="185">
        <v>0</v>
      </c>
      <c r="Q22" s="235">
        <f>L22</f>
        <v>1093279.52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7">
        <v>0</v>
      </c>
      <c r="X22" s="187">
        <v>0</v>
      </c>
      <c r="Y22" s="292" t="b">
        <f t="shared" si="5"/>
        <v>1</v>
      </c>
      <c r="Z22" s="293">
        <f t="shared" si="6"/>
        <v>0.7</v>
      </c>
      <c r="AA22" s="294" t="b">
        <f t="shared" si="7"/>
        <v>1</v>
      </c>
      <c r="AB22" s="294" t="b">
        <f t="shared" si="8"/>
        <v>1</v>
      </c>
    </row>
    <row r="23" spans="1:28" ht="18.75" customHeight="1" x14ac:dyDescent="0.25">
      <c r="A23" s="428" t="s">
        <v>44</v>
      </c>
      <c r="B23" s="441"/>
      <c r="C23" s="441"/>
      <c r="D23" s="441"/>
      <c r="E23" s="441"/>
      <c r="F23" s="441"/>
      <c r="G23" s="441"/>
      <c r="H23" s="159"/>
      <c r="I23" s="244">
        <f>SUM(I3:I22)</f>
        <v>0.996</v>
      </c>
      <c r="J23" s="160" t="s">
        <v>13</v>
      </c>
      <c r="K23" s="245">
        <f>SUM(K3:K22)</f>
        <v>3418337.63</v>
      </c>
      <c r="L23" s="245">
        <f>SUM(L3:L22)</f>
        <v>2392836.35</v>
      </c>
      <c r="M23" s="245">
        <f>SUM(M3:M22)</f>
        <v>1025501.2799999998</v>
      </c>
      <c r="N23" s="245" t="s">
        <v>13</v>
      </c>
      <c r="O23" s="245">
        <f t="shared" ref="O23:X23" si="12">SUM(O3:O22)</f>
        <v>0</v>
      </c>
      <c r="P23" s="245">
        <f t="shared" si="12"/>
        <v>0</v>
      </c>
      <c r="Q23" s="245">
        <f>SUM(Q3:Q22)</f>
        <v>2392836.35</v>
      </c>
      <c r="R23" s="245">
        <f t="shared" si="12"/>
        <v>0</v>
      </c>
      <c r="S23" s="256">
        <f t="shared" si="12"/>
        <v>0</v>
      </c>
      <c r="T23" s="256">
        <f t="shared" si="12"/>
        <v>0</v>
      </c>
      <c r="U23" s="256">
        <f t="shared" si="12"/>
        <v>0</v>
      </c>
      <c r="V23" s="256">
        <f t="shared" si="12"/>
        <v>0</v>
      </c>
      <c r="W23" s="256">
        <f t="shared" si="12"/>
        <v>0</v>
      </c>
      <c r="X23" s="256">
        <f t="shared" si="12"/>
        <v>0</v>
      </c>
      <c r="Y23" s="292" t="b">
        <f>L23=SUM(O23:X23)</f>
        <v>1</v>
      </c>
      <c r="Z23" s="293">
        <f>ROUND(L23/K23,4)</f>
        <v>0.7</v>
      </c>
    </row>
    <row r="24" spans="1:28" ht="20.100000000000001" customHeight="1" x14ac:dyDescent="0.25">
      <c r="A24" s="442" t="s">
        <v>37</v>
      </c>
      <c r="B24" s="443"/>
      <c r="C24" s="443"/>
      <c r="D24" s="443"/>
      <c r="E24" s="443"/>
      <c r="F24" s="443"/>
      <c r="G24" s="443"/>
      <c r="H24" s="137"/>
      <c r="I24" s="236">
        <f>SUMIF($C$3:$C$22,"K",I3:I22)</f>
        <v>0</v>
      </c>
      <c r="J24" s="160" t="s">
        <v>13</v>
      </c>
      <c r="K24" s="162">
        <f>SUMIF($C$3:$C$22,"K",K3:K22)</f>
        <v>0</v>
      </c>
      <c r="L24" s="162">
        <f>SUMIF($C$3:$C$22,"K",L3:L22)</f>
        <v>0</v>
      </c>
      <c r="M24" s="162">
        <f>SUMIF($C$3:$C$22,"K",M3:M22)</f>
        <v>0</v>
      </c>
      <c r="N24" s="162" t="s">
        <v>13</v>
      </c>
      <c r="O24" s="162">
        <f>SUMIF($C$3:$C$22,"K",O3:O22)</f>
        <v>0</v>
      </c>
      <c r="P24" s="162">
        <f>SUMIF($C$3:$C$22,"K",P3:P22)</f>
        <v>0</v>
      </c>
      <c r="Q24" s="162">
        <f>SUMIF($C$3:$C$22,"K",Q3:Q22)</f>
        <v>0</v>
      </c>
      <c r="R24" s="162">
        <f>SUMIF($C$3:$C$22,"K",R3:R22)</f>
        <v>0</v>
      </c>
      <c r="S24" s="164">
        <f t="shared" ref="S24:X24" si="13">SUM(S5:S22)</f>
        <v>0</v>
      </c>
      <c r="T24" s="164">
        <f t="shared" si="13"/>
        <v>0</v>
      </c>
      <c r="U24" s="164">
        <f t="shared" si="13"/>
        <v>0</v>
      </c>
      <c r="V24" s="164">
        <f t="shared" si="13"/>
        <v>0</v>
      </c>
      <c r="W24" s="164">
        <f t="shared" si="13"/>
        <v>0</v>
      </c>
      <c r="X24" s="164">
        <f t="shared" si="13"/>
        <v>0</v>
      </c>
      <c r="Y24" s="292" t="b">
        <f>L24=SUM(O24:X24)</f>
        <v>1</v>
      </c>
      <c r="Z24" s="293" t="e">
        <f>ROUND(L24/K24,4)</f>
        <v>#DIV/0!</v>
      </c>
      <c r="AA24" s="294" t="s">
        <v>13</v>
      </c>
      <c r="AB24" s="294" t="b">
        <f>K24=L24+M24</f>
        <v>1</v>
      </c>
    </row>
    <row r="25" spans="1:28" ht="20.100000000000001" customHeight="1" x14ac:dyDescent="0.25">
      <c r="A25" s="442" t="s">
        <v>38</v>
      </c>
      <c r="B25" s="443"/>
      <c r="C25" s="443"/>
      <c r="D25" s="443"/>
      <c r="E25" s="443"/>
      <c r="F25" s="443"/>
      <c r="G25" s="443"/>
      <c r="H25" s="136"/>
      <c r="I25" s="236">
        <f>SUMIF($C$3:$C$22,"N",I3:I22)</f>
        <v>0.996</v>
      </c>
      <c r="J25" s="160" t="s">
        <v>13</v>
      </c>
      <c r="K25" s="161">
        <f>SUMIF($C$3:$C$22,"N",K3:K22)</f>
        <v>3418337.63</v>
      </c>
      <c r="L25" s="161">
        <f>SUMIF($C$3:$C$22,"N",L3:L22)</f>
        <v>2392836.35</v>
      </c>
      <c r="M25" s="161">
        <f>SUMIF($C$3:$C$22,"N",M3:M22)</f>
        <v>1025501.2799999998</v>
      </c>
      <c r="N25" s="161" t="s">
        <v>13</v>
      </c>
      <c r="O25" s="161">
        <f>SUMIF($C$3:$C$22,"N",O3:O22)</f>
        <v>0</v>
      </c>
      <c r="P25" s="161">
        <f>SUMIF($C$3:$C$22,"N",P3:P22)</f>
        <v>0</v>
      </c>
      <c r="Q25" s="161">
        <f>SUMIF($C$3:$C$22,"N",Q3:Q22)</f>
        <v>2392836.35</v>
      </c>
      <c r="R25" s="161">
        <f>SUMIF($C$3:$C$22,"N",R3:R22)</f>
        <v>0</v>
      </c>
      <c r="S25" s="164">
        <f t="shared" ref="S25:X25" ca="1" si="14">SUMIF($C$3:$C$22,"N",S5:S22)</f>
        <v>0</v>
      </c>
      <c r="T25" s="164">
        <f t="shared" ca="1" si="14"/>
        <v>0</v>
      </c>
      <c r="U25" s="164">
        <f t="shared" ca="1" si="14"/>
        <v>0</v>
      </c>
      <c r="V25" s="164">
        <f t="shared" ca="1" si="14"/>
        <v>0</v>
      </c>
      <c r="W25" s="164">
        <f t="shared" ca="1" si="14"/>
        <v>0</v>
      </c>
      <c r="X25" s="164">
        <f t="shared" ca="1" si="14"/>
        <v>0</v>
      </c>
      <c r="Y25" s="292" t="b">
        <f ca="1">L25=SUM(O25:X25)</f>
        <v>1</v>
      </c>
      <c r="Z25" s="293">
        <f>ROUND(L25/K25,4)</f>
        <v>0.7</v>
      </c>
      <c r="AA25" s="294" t="s">
        <v>13</v>
      </c>
      <c r="AB25" s="294" t="b">
        <f>K25=L25+M25</f>
        <v>1</v>
      </c>
    </row>
    <row r="26" spans="1:28" ht="20.100000000000001" customHeight="1" x14ac:dyDescent="0.25">
      <c r="A26" s="436" t="s">
        <v>39</v>
      </c>
      <c r="B26" s="437"/>
      <c r="C26" s="437"/>
      <c r="D26" s="437"/>
      <c r="E26" s="437"/>
      <c r="F26" s="437"/>
      <c r="G26" s="437"/>
      <c r="H26" s="135"/>
      <c r="I26" s="237">
        <f>SUMIF($C$3:$C$22,"W",I3:I22)</f>
        <v>0</v>
      </c>
      <c r="J26" s="264" t="s">
        <v>13</v>
      </c>
      <c r="K26" s="214">
        <f>SUMIF($C$3:$C$22,"W",K3:K22)</f>
        <v>0</v>
      </c>
      <c r="L26" s="214">
        <f>SUMIF($C$3:$C$22,"W",L3:L22)</f>
        <v>0</v>
      </c>
      <c r="M26" s="214">
        <f>SUMIF($C$3:$C$22,"W",M3:M22)</f>
        <v>0</v>
      </c>
      <c r="N26" s="214" t="s">
        <v>13</v>
      </c>
      <c r="O26" s="214">
        <f>SUMIF($C$3:$C$22,"W",O3:O22)</f>
        <v>0</v>
      </c>
      <c r="P26" s="214">
        <f>SUMIF($C$3:$C$22,"W",P3:P22)</f>
        <v>0</v>
      </c>
      <c r="Q26" s="214">
        <f>SUMIF($C$3:$C$22,"W",Q3:Q22)</f>
        <v>0</v>
      </c>
      <c r="R26" s="214">
        <f>SUMIF($C$3:$C$22,"W",R3:R22)</f>
        <v>0</v>
      </c>
      <c r="S26" s="270">
        <f t="shared" ref="S26:X26" ca="1" si="15">SUMIF($C$3:$C$22,"W",S5:S22)</f>
        <v>0</v>
      </c>
      <c r="T26" s="270">
        <f t="shared" ca="1" si="15"/>
        <v>0</v>
      </c>
      <c r="U26" s="270">
        <f t="shared" ca="1" si="15"/>
        <v>0</v>
      </c>
      <c r="V26" s="270">
        <f t="shared" ca="1" si="15"/>
        <v>0</v>
      </c>
      <c r="W26" s="270">
        <f t="shared" ca="1" si="15"/>
        <v>0</v>
      </c>
      <c r="X26" s="270">
        <f t="shared" ca="1" si="15"/>
        <v>0</v>
      </c>
      <c r="Y26" s="292" t="b">
        <f ca="1">L26=SUM(O26:X26)</f>
        <v>1</v>
      </c>
      <c r="Z26" s="293" t="e">
        <f>ROUND(L26/K26,4)</f>
        <v>#DIV/0!</v>
      </c>
      <c r="AA26" s="294" t="s">
        <v>13</v>
      </c>
      <c r="AB26" s="294" t="b">
        <f>K26=L26+M26</f>
        <v>1</v>
      </c>
    </row>
    <row r="27" spans="1:28" x14ac:dyDescent="0.25">
      <c r="A27" s="29"/>
      <c r="Q27" s="27"/>
      <c r="AB27" s="308"/>
    </row>
    <row r="28" spans="1:28" x14ac:dyDescent="0.25">
      <c r="A28" s="23" t="s">
        <v>24</v>
      </c>
      <c r="Q28" s="27"/>
    </row>
    <row r="29" spans="1:28" x14ac:dyDescent="0.25">
      <c r="A29" s="24" t="s">
        <v>25</v>
      </c>
      <c r="Q29" s="27"/>
    </row>
    <row r="30" spans="1:28" x14ac:dyDescent="0.25">
      <c r="A30" s="23" t="s">
        <v>35</v>
      </c>
    </row>
    <row r="31" spans="1:28" x14ac:dyDescent="0.25">
      <c r="A31" s="30"/>
      <c r="Q31" s="27"/>
    </row>
    <row r="32" spans="1:28" x14ac:dyDescent="0.25">
      <c r="P32" s="27"/>
      <c r="Q32" s="27"/>
    </row>
    <row r="35" spans="16:16" x14ac:dyDescent="0.25">
      <c r="P35" s="27"/>
    </row>
  </sheetData>
  <autoFilter ref="A2:AB26" xr:uid="{00000000-0009-0000-0000-000004000000}"/>
  <customSheetViews>
    <customSheetView guid="{B2D40DA4-5FA0-499A-A7D1-4F99A3F826AC}" showPageBreaks="1" showGridLines="0" fitToPage="1" printArea="1" showAutoFilter="1" view="pageBreakPreview" topLeftCell="A13">
      <selection activeCell="L18" sqref="L18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3" orientation="landscape" r:id="rId1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  <customSheetView guid="{90AAACFD-C45E-4B79-9ECD-2C756BD997B3}" showPageBreaks="1" showGridLines="0" fitToPage="1" printArea="1" showAutoFilter="1" view="pageBreakPreview">
      <selection activeCell="H21" sqref="H21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3" orientation="landscape" r:id="rId2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  <customSheetView guid="{7BB0DA2A-E6EC-4283-8DAA-56DD15906E8E}" showPageBreaks="1" showGridLines="0" fitToPage="1" printArea="1" showAutoFilter="1" view="pageBreakPreview">
      <selection activeCell="H21" sqref="H21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2" orientation="landscape" r:id="rId3"/>
      <headerFooter>
        <oddHeader>&amp;LWojewództwo&amp;K000000 Opolskie&amp;K01+000 - zadania gminne lista rezerwowa</oddHeader>
        <oddFooter>Strona &amp;P z &amp;N</oddFooter>
      </headerFooter>
      <autoFilter ref="A2:AB2" xr:uid="{00000000-0000-0000-0000-000000000000}"/>
    </customSheetView>
    <customSheetView guid="{A2BCF76A-36CA-47CC-AE0E-554D5E4069A6}" showPageBreaks="1" showGridLines="0" fitToPage="1" printArea="1" showAutoFilter="1" view="pageBreakPreview" topLeftCell="A13">
      <selection activeCell="L18" sqref="L18"/>
      <rowBreaks count="1" manualBreakCount="1">
        <brk id="10" max="23" man="1"/>
      </rowBreaks>
      <pageMargins left="0.23622047244094491" right="0.23622047244094491" top="0.74803149606299213" bottom="0.74803149606299213" header="0.31496062992125984" footer="0.31496062992125984"/>
      <pageSetup paperSize="8" scale="63" orientation="landscape" r:id="rId4"/>
      <headerFooter>
        <oddHeader>&amp;LWojewództwo&amp;K000000 Opolskie&amp;K01+000 - zadania gminne lista rezerwowa</oddHeader>
        <oddFooter>Strona &amp;P z &amp;N</oddFooter>
      </headerFooter>
      <autoFilter ref="A2:AB26" xr:uid="{00000000-0000-0000-0000-000000000000}"/>
    </customSheetView>
  </customSheetViews>
  <mergeCells count="16">
    <mergeCell ref="O1:R1"/>
    <mergeCell ref="A26:G26"/>
    <mergeCell ref="A1:A2"/>
    <mergeCell ref="B1:B2"/>
    <mergeCell ref="C1:C2"/>
    <mergeCell ref="M1:M2"/>
    <mergeCell ref="N1:N2"/>
    <mergeCell ref="K1:K2"/>
    <mergeCell ref="L1:L2"/>
    <mergeCell ref="I1:I2"/>
    <mergeCell ref="H1:H2"/>
    <mergeCell ref="J1:J2"/>
    <mergeCell ref="A23:G23"/>
    <mergeCell ref="A24:G24"/>
    <mergeCell ref="A25:G25"/>
    <mergeCell ref="D1:D2"/>
  </mergeCells>
  <conditionalFormatting sqref="AB27 Y24:AB24 Y23:Z23 Y3:AB22">
    <cfRule type="cellIs" dxfId="11" priority="22" operator="equal">
      <formula>FALSE</formula>
    </cfRule>
  </conditionalFormatting>
  <conditionalFormatting sqref="Y24:AA24 Y23:Z23 Y3:AA22">
    <cfRule type="containsText" dxfId="10" priority="15" operator="containsText" text="fałsz">
      <formula>NOT(ISERROR(SEARCH("fałsz",Y3)))</formula>
    </cfRule>
  </conditionalFormatting>
  <conditionalFormatting sqref="Z26:AA26">
    <cfRule type="cellIs" dxfId="9" priority="12" operator="equal">
      <formula>FALSE</formula>
    </cfRule>
  </conditionalFormatting>
  <conditionalFormatting sqref="Y26">
    <cfRule type="cellIs" dxfId="8" priority="11" operator="equal">
      <formula>FALSE</formula>
    </cfRule>
  </conditionalFormatting>
  <conditionalFormatting sqref="Y26:AA26">
    <cfRule type="containsText" dxfId="7" priority="10" operator="containsText" text="fałsz">
      <formula>NOT(ISERROR(SEARCH("fałsz",Y26)))</formula>
    </cfRule>
  </conditionalFormatting>
  <conditionalFormatting sqref="AB26">
    <cfRule type="cellIs" dxfId="6" priority="9" operator="equal">
      <formula>FALSE</formula>
    </cfRule>
  </conditionalFormatting>
  <conditionalFormatting sqref="AB26">
    <cfRule type="cellIs" dxfId="5" priority="8" operator="equal">
      <formula>FALSE</formula>
    </cfRule>
  </conditionalFormatting>
  <conditionalFormatting sqref="Y25:AA25">
    <cfRule type="containsText" dxfId="4" priority="5" operator="containsText" text="fałsz">
      <formula>NOT(ISERROR(SEARCH("fałsz",Y25)))</formula>
    </cfRule>
  </conditionalFormatting>
  <conditionalFormatting sqref="Z25:AA25">
    <cfRule type="cellIs" dxfId="3" priority="7" operator="equal">
      <formula>FALSE</formula>
    </cfRule>
  </conditionalFormatting>
  <conditionalFormatting sqref="Y25">
    <cfRule type="cellIs" dxfId="2" priority="6" operator="equal">
      <formula>FALSE</formula>
    </cfRule>
  </conditionalFormatting>
  <conditionalFormatting sqref="AB25">
    <cfRule type="cellIs" dxfId="1" priority="4" operator="equal">
      <formula>FALSE</formula>
    </cfRule>
  </conditionalFormatting>
  <conditionalFormatting sqref="AB25">
    <cfRule type="cellIs" dxfId="0" priority="3" operator="equal">
      <formula>FALSE</formula>
    </cfRule>
  </conditionalFormatting>
  <dataValidations count="3">
    <dataValidation type="list" allowBlank="1" showInputMessage="1" showErrorMessage="1" sqref="C22" xr:uid="{00000000-0002-0000-0400-000000000000}">
      <formula1>"N,K,W"</formula1>
    </dataValidation>
    <dataValidation type="list" allowBlank="1" showInputMessage="1" showErrorMessage="1" sqref="C3:C21" xr:uid="{00000000-0002-0000-0400-000001000000}">
      <formula1>"N,W"</formula1>
    </dataValidation>
    <dataValidation type="list" allowBlank="1" showInputMessage="1" showErrorMessage="1" sqref="H3:H22" xr:uid="{00000000-0002-0000-04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2" orientation="landscape" r:id="rId5"/>
  <headerFooter>
    <oddHeader>&amp;LWojewództwo&amp;K000000 Opolskie&amp;K01+000 - zadania gminne lista rezerwowa</oddHeader>
    <oddFooter>Strona &amp;P z &amp;N</oddFooter>
  </headerFooter>
  <rowBreaks count="1" manualBreakCount="1">
    <brk id="1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Katarzyna Juszczak</cp:lastModifiedBy>
  <cp:lastPrinted>2021-10-25T11:47:46Z</cp:lastPrinted>
  <dcterms:created xsi:type="dcterms:W3CDTF">2019-02-25T10:53:14Z</dcterms:created>
  <dcterms:modified xsi:type="dcterms:W3CDTF">2021-10-28T10:29:46Z</dcterms:modified>
</cp:coreProperties>
</file>