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'doch_wyd'!$A$1:$M$116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5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6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<sst xmlns="http://schemas.openxmlformats.org/spreadsheetml/2006/main" count="257" uniqueCount="115">
  <si>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</si>
  <si>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</si>
  <si>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</si>
  <si>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</si>
  <si>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</si>
  <si>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</si>
  <si>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</si>
  <si>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</si>
  <si>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</si>
  <si>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</si>
  <si>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</si>
  <si>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</si>
  <si>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</si>
  <si>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</si>
  <si>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</si>
  <si>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</si>
  <si>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</si>
  <si>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</si>
  <si>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</si>
  <si>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</si>
  <si>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 xml:space="preserve">podatek rolny  </t>
  </si>
  <si>
    <t xml:space="preserve">podatek od nieruchomości </t>
  </si>
  <si>
    <t xml:space="preserve">podatek leśny        </t>
  </si>
  <si>
    <t>podatek od środków transportowych</t>
  </si>
  <si>
    <t>dochody z majątku</t>
  </si>
  <si>
    <t xml:space="preserve">pozostałe dochody </t>
  </si>
  <si>
    <t>Struktura</t>
  </si>
  <si>
    <t>Wskaźnik</t>
  </si>
  <si>
    <t xml:space="preserve">podatek od spadków i darowizn       </t>
  </si>
  <si>
    <t>podatek od czynności cywilnoprawnych</t>
  </si>
  <si>
    <t xml:space="preserve">wpływy z opłaty skarbowej        </t>
  </si>
  <si>
    <t>wpływy z opłaty eksploatacyjnej</t>
  </si>
  <si>
    <t>wpływy z opłaty targowej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</si>
  <si>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</si>
  <si>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</si>
  <si>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</si>
  <si>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</si>
  <si>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</si>
  <si>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</si>
  <si>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</si>
  <si>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r>
      <t xml:space="preserve">Obniżenie górnych stawek podatkowych
</t>
    </r>
    <r>
      <rPr>
        <b/>
        <sz val="10"/>
        <color indexed="8"/>
        <rFont val="Arial"/>
        <family val="2"/>
      </rPr>
      <t>R7</t>
    </r>
  </si>
  <si>
    <r>
      <t xml:space="preserve">Ulgi i zwolnienia
</t>
    </r>
    <r>
      <rPr>
        <b/>
        <sz val="10"/>
        <color indexed="8"/>
        <rFont val="Arial"/>
        <family val="2"/>
      </rPr>
      <t>R8</t>
    </r>
  </si>
  <si>
    <r>
      <t xml:space="preserve">Umorzenie zaległości podatkowych
</t>
    </r>
    <r>
      <rPr>
        <b/>
        <sz val="10"/>
        <color indexed="8"/>
        <rFont val="Arial"/>
        <family val="2"/>
      </rPr>
      <t>R11Z</t>
    </r>
  </si>
  <si>
    <r>
      <t xml:space="preserve">Rozłożenie na raty, odroczenie terminu płatności
</t>
    </r>
    <r>
      <rPr>
        <b/>
        <sz val="10"/>
        <color indexed="8"/>
        <rFont val="Arial"/>
        <family val="2"/>
      </rPr>
      <t>R11R</t>
    </r>
  </si>
  <si>
    <r>
      <t xml:space="preserve">Potrącenia 
</t>
    </r>
    <r>
      <rPr>
        <b/>
        <sz val="10"/>
        <color indexed="8"/>
        <rFont val="Arial"/>
        <family val="2"/>
      </rPr>
      <t>R3</t>
    </r>
  </si>
  <si>
    <t>uzupełnienie subwencji ogólnej</t>
  </si>
  <si>
    <t xml:space="preserve">podatek od dział. gosp. osób fizycznych, opłacany w formie karty podatkowej </t>
  </si>
  <si>
    <t>część równoważąca</t>
  </si>
  <si>
    <t>część rekompensująca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</si>
  <si>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</si>
  <si>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</si>
  <si>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</si>
  <si>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</si>
  <si>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</si>
  <si>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</si>
  <si>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</si>
  <si>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</si>
  <si>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</si>
  <si>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</si>
  <si>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</si>
  <si>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</si>
  <si>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</si>
  <si>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</si>
  <si>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#</t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</si>
  <si>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</si>
  <si>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</si>
  <si>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</si>
  <si>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</si>
  <si>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</si>
  <si>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</si>
  <si>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</si>
  <si>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</si>
  <si>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z tego:</t>
  </si>
  <si>
    <t>świadczenia na rzecz osób fizycznych</t>
  </si>
  <si>
    <t>majątkowe</t>
  </si>
  <si>
    <t>bieżące</t>
  </si>
  <si>
    <t>Dochody bieżące minus                  wydatki bieżące</t>
  </si>
  <si>
    <t>UE</t>
  </si>
  <si>
    <t>Wydatki ogółem UE        z tego: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</si>
  <si>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</si>
  <si>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</si>
  <si>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</si>
  <si>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</si>
  <si>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</si>
  <si>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</si>
  <si>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</si>
  <si>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</si>
  <si>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</si>
  <si>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</si>
  <si>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</si>
  <si>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</si>
  <si>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</si>
  <si>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</si>
  <si>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</si>
  <si>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</si>
  <si>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</si>
  <si>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</si>
  <si>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</si>
  <si>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</si>
  <si>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</si>
  <si>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</si>
  <si>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</si>
  <si>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</si>
  <si>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</si>
  <si>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</si>
  <si>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</si>
  <si>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>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</si>
  <si>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</si>
  <si>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</si>
  <si>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</si>
  <si>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>Dotacje §§ 200 i 620</t>
  </si>
  <si>
    <t>w tym: inwestycyjne § 620</t>
  </si>
  <si>
    <t>Dotacje §§ 205 i 625</t>
  </si>
  <si>
    <t>w tym: inwestycyjne § 625</t>
  </si>
  <si>
    <t xml:space="preserve">Informacja z wykonania budżetów gmin za III Kwartały 2018 rok   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</si>
</sst>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[$-415]d\ mmmm\ yyyy"/>
    <numFmt numFmtId="169" formatCode="dd/mm/yy\ h:mm;@"/>
    <numFmt numFmtId="170" formatCode="yyyy/mm/dd;@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4" fontId="5" fillId="0" borderId="10" xfId="0" applyNumberFormat="1" applyFont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1"/>
    </xf>
    <xf numFmtId="164" fontId="13" fillId="34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12" fillId="34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12" fillId="34" borderId="10" xfId="42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" fontId="7" fillId="34" borderId="12" xfId="0" applyNumberFormat="1" applyFont="1" applyFill="1" applyBorder="1" applyAlignment="1">
      <alignment horizontal="right" vertical="center"/>
    </xf>
    <xf numFmtId="4" fontId="13" fillId="35" borderId="10" xfId="0" applyNumberFormat="1" applyFont="1" applyFill="1" applyBorder="1" applyAlignment="1">
      <alignment horizontal="right" vertical="center"/>
    </xf>
    <xf numFmtId="164" fontId="13" fillId="35" borderId="10" xfId="0" applyNumberFormat="1" applyFont="1" applyFill="1" applyBorder="1" applyAlignment="1">
      <alignment horizontal="right" vertical="center"/>
    </xf>
    <xf numFmtId="4" fontId="7" fillId="34" borderId="11" xfId="0" applyNumberFormat="1" applyFont="1" applyFill="1" applyBorder="1" applyAlignment="1">
      <alignment horizontal="right" vertical="center"/>
    </xf>
    <xf numFmtId="4" fontId="7" fillId="36" borderId="12" xfId="0" applyNumberFormat="1" applyFont="1" applyFill="1" applyBorder="1" applyAlignment="1">
      <alignment horizontal="right" vertical="center"/>
    </xf>
    <xf numFmtId="4" fontId="7" fillId="36" borderId="11" xfId="0" applyNumberFormat="1" applyFont="1" applyFill="1" applyBorder="1" applyAlignment="1">
      <alignment horizontal="righ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5" borderId="12" xfId="0" applyNumberFormat="1" applyFont="1" applyFill="1" applyBorder="1" applyAlignment="1">
      <alignment horizontal="right" vertical="center"/>
    </xf>
    <xf numFmtId="164" fontId="12" fillId="36" borderId="10" xfId="42" applyNumberFormat="1" applyFont="1" applyFill="1" applyBorder="1" applyAlignment="1">
      <alignment horizontal="right" vertical="center"/>
    </xf>
    <xf numFmtId="164" fontId="12" fillId="36" borderId="10" xfId="0" applyNumberFormat="1" applyFont="1" applyFill="1" applyBorder="1" applyAlignment="1">
      <alignment horizontal="right" vertical="center"/>
    </xf>
    <xf numFmtId="164" fontId="12" fillId="35" borderId="10" xfId="0" applyNumberFormat="1" applyFont="1" applyFill="1" applyBorder="1" applyAlignment="1">
      <alignment horizontal="right" vertical="center"/>
    </xf>
    <xf numFmtId="0" fontId="50" fillId="0" borderId="10" xfId="52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50" fillId="35" borderId="10" xfId="52" applyFont="1" applyFill="1" applyBorder="1" applyAlignment="1">
      <alignment horizontal="left" vertical="top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 indent="2"/>
    </xf>
    <xf numFmtId="164" fontId="5" fillId="35" borderId="10" xfId="0" applyNumberFormat="1" applyFont="1" applyFill="1" applyBorder="1" applyAlignment="1">
      <alignment horizontal="right" vertical="center"/>
    </xf>
    <xf numFmtId="164" fontId="6" fillId="35" borderId="10" xfId="0" applyNumberFormat="1" applyFont="1" applyFill="1" applyBorder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164" fontId="12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 indent="1"/>
    </xf>
    <xf numFmtId="4" fontId="7" fillId="0" borderId="11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164" fontId="12" fillId="0" borderId="10" xfId="42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top" wrapText="1"/>
    </xf>
    <xf numFmtId="0" fontId="50" fillId="0" borderId="10" xfId="52" applyFont="1" applyFill="1" applyBorder="1" applyAlignment="1">
      <alignment horizontal="left" vertical="top" wrapText="1"/>
      <protection/>
    </xf>
    <xf numFmtId="0" fontId="50" fillId="35" borderId="11" xfId="52" applyFont="1" applyFill="1" applyBorder="1" applyAlignment="1">
      <alignment horizontal="left" vertical="top" wrapText="1"/>
      <protection/>
    </xf>
    <xf numFmtId="0" fontId="12" fillId="34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 indent="1"/>
    </xf>
    <xf numFmtId="0" fontId="13" fillId="34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7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 wrapText="1"/>
    </xf>
    <xf numFmtId="0" fontId="7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2" fillId="35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 wrapText="1"/>
    </xf>
    <xf numFmtId="4" fontId="13" fillId="37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4" fontId="7" fillId="36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16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2.875" style="1" customWidth="1"/>
    <col min="3" max="5" width="14.625" style="1" customWidth="1"/>
    <col min="6" max="6" width="13.875" style="1" customWidth="1"/>
    <col min="7" max="7" width="13.00390625" style="1" customWidth="1"/>
    <col min="8" max="8" width="11.875" style="1" customWidth="1"/>
    <col min="9" max="9" width="13.00390625" style="1" customWidth="1"/>
    <col min="10" max="10" width="12.75390625" style="1" customWidth="1"/>
    <col min="11" max="11" width="7.375" style="1" customWidth="1"/>
    <col min="12" max="12" width="7.25390625" style="1" customWidth="1"/>
    <col min="13" max="13" width="8.125" style="1" customWidth="1"/>
    <col min="14" max="16384" width="9.125" style="1" customWidth="1"/>
  </cols>
  <sheetData>
    <row r="1" spans="2:13" ht="15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ht="0.75" customHeight="1"/>
    <row r="3" spans="2:13" ht="63.75" customHeight="1">
      <c r="B3" s="110" t="s">
        <v>0</v>
      </c>
      <c r="C3" s="15" t="s">
        <v>37</v>
      </c>
      <c r="D3" s="15" t="s">
        <v>38</v>
      </c>
      <c r="E3" s="15" t="s">
        <v>39</v>
      </c>
      <c r="F3" s="15" t="s">
        <v>40</v>
      </c>
      <c r="G3" s="15" t="s">
        <v>41</v>
      </c>
      <c r="H3" s="15" t="s">
        <v>42</v>
      </c>
      <c r="I3" s="15" t="s">
        <v>43</v>
      </c>
      <c r="J3" s="15" t="s">
        <v>44</v>
      </c>
      <c r="K3" s="17" t="s">
        <v>2</v>
      </c>
      <c r="L3" s="15" t="s">
        <v>18</v>
      </c>
      <c r="M3" s="15" t="s">
        <v>3</v>
      </c>
    </row>
    <row r="4" spans="2:13" ht="12.75">
      <c r="B4" s="110"/>
      <c r="C4" s="111" t="s">
        <v>81</v>
      </c>
      <c r="D4" s="111"/>
      <c r="E4" s="111"/>
      <c r="F4" s="111"/>
      <c r="G4" s="111"/>
      <c r="H4" s="111"/>
      <c r="I4" s="111"/>
      <c r="J4" s="111"/>
      <c r="K4" s="111" t="s">
        <v>4</v>
      </c>
      <c r="L4" s="111"/>
      <c r="M4" s="111"/>
    </row>
    <row r="5" spans="2:13" ht="12.75">
      <c r="B5" s="17">
        <v>1</v>
      </c>
      <c r="C5" s="19">
        <v>2</v>
      </c>
      <c r="D5" s="19">
        <v>3</v>
      </c>
      <c r="E5" s="19">
        <v>4</v>
      </c>
      <c r="F5" s="17">
        <v>5</v>
      </c>
      <c r="G5" s="19">
        <v>6</v>
      </c>
      <c r="H5" s="17">
        <v>7</v>
      </c>
      <c r="I5" s="19">
        <v>8</v>
      </c>
      <c r="J5" s="17">
        <v>9</v>
      </c>
      <c r="K5" s="19">
        <v>10</v>
      </c>
      <c r="L5" s="17">
        <v>11</v>
      </c>
      <c r="M5" s="19">
        <v>12</v>
      </c>
    </row>
    <row r="6" spans="2:13" ht="12.75">
      <c r="B6" s="82" t="s">
        <v>5</v>
      </c>
      <c r="C6" s="49">
        <f>124211284603.53</f>
        <v>124211284603.53</v>
      </c>
      <c r="D6" s="49">
        <f>90605656611.32</f>
        <v>90605656611.32</v>
      </c>
      <c r="E6" s="49">
        <f>87522639500.89</f>
        <v>87522639500.89</v>
      </c>
      <c r="F6" s="49">
        <f>2040560878.1</f>
        <v>2040560878.1</v>
      </c>
      <c r="G6" s="49">
        <f>504928021.86</f>
        <v>504928021.86</v>
      </c>
      <c r="H6" s="49">
        <f>63178670.04</f>
        <v>63178670.04</v>
      </c>
      <c r="I6" s="49">
        <f>100186841</f>
        <v>100186841</v>
      </c>
      <c r="J6" s="49">
        <f>2422671.89</f>
        <v>2422671.89</v>
      </c>
      <c r="K6" s="50">
        <f aca="true" t="shared" si="0" ref="K6:K49">IF($D$6=0,"",100*$D6/$D$6)</f>
        <v>99.99999999999999</v>
      </c>
      <c r="L6" s="50">
        <f aca="true" t="shared" si="1" ref="L6:L45">IF(C6=0,"",100*D6/C6)</f>
        <v>72.9447866999558</v>
      </c>
      <c r="M6" s="50"/>
    </row>
    <row r="7" spans="2:13" ht="25.5" customHeight="1">
      <c r="B7" s="82" t="s">
        <v>64</v>
      </c>
      <c r="C7" s="25">
        <f>C6-C22-C40</f>
        <v>52290563662.65999</v>
      </c>
      <c r="D7" s="25">
        <f>D6-D22-D40</f>
        <v>38591534517.020004</v>
      </c>
      <c r="E7" s="25">
        <f>E6-E22-E40</f>
        <v>37106042978.49</v>
      </c>
      <c r="F7" s="25">
        <f>F6</f>
        <v>2040560878.1</v>
      </c>
      <c r="G7" s="25">
        <f>G6</f>
        <v>504928021.86</v>
      </c>
      <c r="H7" s="25">
        <f>H6</f>
        <v>63178670.04</v>
      </c>
      <c r="I7" s="25">
        <f>I6</f>
        <v>100186841</v>
      </c>
      <c r="J7" s="25">
        <f>J6</f>
        <v>2422671.89</v>
      </c>
      <c r="K7" s="33">
        <f t="shared" si="0"/>
        <v>42.592853426988455</v>
      </c>
      <c r="L7" s="33">
        <f t="shared" si="1"/>
        <v>73.80210082642066</v>
      </c>
      <c r="M7" s="33">
        <f aca="true" t="shared" si="2" ref="M7:M21">IF($D$7=0,"",100*$D7/$D$7)</f>
        <v>100</v>
      </c>
    </row>
    <row r="8" spans="2:13" ht="22.5" customHeight="1">
      <c r="B8" s="32" t="s">
        <v>35</v>
      </c>
      <c r="C8" s="24">
        <f>900138084.2</f>
        <v>900138084.2</v>
      </c>
      <c r="D8" s="24">
        <f>707386581.21</f>
        <v>707386581.21</v>
      </c>
      <c r="E8" s="24">
        <f>731166691.79</f>
        <v>731166691.79</v>
      </c>
      <c r="F8" s="24">
        <f>0</f>
        <v>0</v>
      </c>
      <c r="G8" s="24">
        <f>0</f>
        <v>0</v>
      </c>
      <c r="H8" s="24">
        <f>0</f>
        <v>0</v>
      </c>
      <c r="I8" s="24">
        <f>0</f>
        <v>0</v>
      </c>
      <c r="J8" s="24">
        <f>0</f>
        <v>0</v>
      </c>
      <c r="K8" s="34">
        <f t="shared" si="0"/>
        <v>0.7807311460084062</v>
      </c>
      <c r="L8" s="34">
        <f t="shared" si="1"/>
        <v>78.58645174853274</v>
      </c>
      <c r="M8" s="34">
        <f t="shared" si="2"/>
        <v>1.833009726260099</v>
      </c>
    </row>
    <row r="9" spans="2:13" ht="22.5" customHeight="1">
      <c r="B9" s="32" t="s">
        <v>19</v>
      </c>
      <c r="C9" s="24">
        <f>19636723200.69</f>
        <v>19636723200.69</v>
      </c>
      <c r="D9" s="24">
        <f>14728956157</f>
        <v>14728956157</v>
      </c>
      <c r="E9" s="24">
        <f>13253861479.04</f>
        <v>13253861479.04</v>
      </c>
      <c r="F9" s="24">
        <f>0</f>
        <v>0</v>
      </c>
      <c r="G9" s="24">
        <f>0</f>
        <v>0</v>
      </c>
      <c r="H9" s="24">
        <f>0</f>
        <v>0</v>
      </c>
      <c r="I9" s="24">
        <f>0</f>
        <v>0</v>
      </c>
      <c r="J9" s="24">
        <f>0</f>
        <v>0</v>
      </c>
      <c r="K9" s="34">
        <f t="shared" si="0"/>
        <v>16.25611105075288</v>
      </c>
      <c r="L9" s="34">
        <f t="shared" si="1"/>
        <v>75.00719955395843</v>
      </c>
      <c r="M9" s="34">
        <f t="shared" si="2"/>
        <v>38.16628786943959</v>
      </c>
    </row>
    <row r="10" spans="2:13" ht="13.5" customHeight="1">
      <c r="B10" s="32" t="s">
        <v>20</v>
      </c>
      <c r="C10" s="24">
        <f>1506365355.19</f>
        <v>1506365355.19</v>
      </c>
      <c r="D10" s="24">
        <f>1132192248.45</f>
        <v>1132192248.45</v>
      </c>
      <c r="E10" s="24">
        <f>1130124740.36</f>
        <v>1130124740.36</v>
      </c>
      <c r="F10" s="24">
        <f>84104053.9</f>
        <v>84104053.9</v>
      </c>
      <c r="G10" s="24">
        <f>1031701.73</f>
        <v>1031701.73</v>
      </c>
      <c r="H10" s="24">
        <f>3714953.87</f>
        <v>3714953.87</v>
      </c>
      <c r="I10" s="24">
        <f>3018895.96</f>
        <v>3018895.96</v>
      </c>
      <c r="J10" s="24">
        <f>2664.16</f>
        <v>2664.16</v>
      </c>
      <c r="K10" s="34">
        <f t="shared" si="0"/>
        <v>1.2495823007021254</v>
      </c>
      <c r="L10" s="34">
        <f t="shared" si="1"/>
        <v>75.1605342322278</v>
      </c>
      <c r="M10" s="34">
        <f t="shared" si="2"/>
        <v>2.9337839570765705</v>
      </c>
    </row>
    <row r="11" spans="2:13" ht="13.5" customHeight="1">
      <c r="B11" s="32" t="s">
        <v>21</v>
      </c>
      <c r="C11" s="24">
        <f>13719843565.48</f>
        <v>13719843565.48</v>
      </c>
      <c r="D11" s="62">
        <f>10499400084.04</f>
        <v>10499400084.04</v>
      </c>
      <c r="E11" s="24">
        <f>10485710334.85</f>
        <v>10485710334.85</v>
      </c>
      <c r="F11" s="24">
        <f>1440093582</f>
        <v>1440093582</v>
      </c>
      <c r="G11" s="24">
        <f>498325204.15</f>
        <v>498325204.15</v>
      </c>
      <c r="H11" s="24">
        <f>43673736.55</f>
        <v>43673736.55</v>
      </c>
      <c r="I11" s="24">
        <f>78852423.93</f>
        <v>78852423.93</v>
      </c>
      <c r="J11" s="24">
        <f>2069990.53</f>
        <v>2069990.53</v>
      </c>
      <c r="K11" s="34">
        <f t="shared" si="0"/>
        <v>11.588018316649158</v>
      </c>
      <c r="L11" s="34">
        <f t="shared" si="1"/>
        <v>76.52711223659401</v>
      </c>
      <c r="M11" s="34">
        <f t="shared" si="2"/>
        <v>27.206485089131288</v>
      </c>
    </row>
    <row r="12" spans="2:13" ht="13.5" customHeight="1">
      <c r="B12" s="32" t="s">
        <v>22</v>
      </c>
      <c r="C12" s="24">
        <f>293815670.43</f>
        <v>293815670.43</v>
      </c>
      <c r="D12" s="62">
        <f>231727227.73</f>
        <v>231727227.73</v>
      </c>
      <c r="E12" s="24">
        <f>231342346.4</f>
        <v>231342346.4</v>
      </c>
      <c r="F12" s="24">
        <f>2264500.33</f>
        <v>2264500.33</v>
      </c>
      <c r="G12" s="24">
        <f>766132.6</f>
        <v>766132.6</v>
      </c>
      <c r="H12" s="24">
        <f>125258.79</f>
        <v>125258.79</v>
      </c>
      <c r="I12" s="24">
        <f>15582.79</f>
        <v>15582.79</v>
      </c>
      <c r="J12" s="24">
        <f>141.31</f>
        <v>141.31</v>
      </c>
      <c r="K12" s="34">
        <f t="shared" si="0"/>
        <v>0.25575359905404477</v>
      </c>
      <c r="L12" s="34">
        <f t="shared" si="1"/>
        <v>78.86823306288143</v>
      </c>
      <c r="M12" s="34">
        <f t="shared" si="2"/>
        <v>0.6004612945043724</v>
      </c>
    </row>
    <row r="13" spans="2:13" ht="22.5" customHeight="1">
      <c r="B13" s="32" t="s">
        <v>23</v>
      </c>
      <c r="C13" s="24">
        <f>773916787.9</f>
        <v>773916787.9</v>
      </c>
      <c r="D13" s="62">
        <f>670637462.68</f>
        <v>670637462.68</v>
      </c>
      <c r="E13" s="24">
        <f>670241391.31</f>
        <v>670241391.31</v>
      </c>
      <c r="F13" s="24">
        <f>501405727.7</f>
        <v>501405727.7</v>
      </c>
      <c r="G13" s="24">
        <f>2783806.51</f>
        <v>2783806.51</v>
      </c>
      <c r="H13" s="24">
        <f>2150543.66</f>
        <v>2150543.66</v>
      </c>
      <c r="I13" s="24">
        <f>5803344.64</f>
        <v>5803344.64</v>
      </c>
      <c r="J13" s="24">
        <f>20066.5</f>
        <v>20066.5</v>
      </c>
      <c r="K13" s="34">
        <f t="shared" si="0"/>
        <v>0.7401717373528889</v>
      </c>
      <c r="L13" s="34">
        <f t="shared" si="1"/>
        <v>86.65498321851301</v>
      </c>
      <c r="M13" s="34">
        <f t="shared" si="2"/>
        <v>1.7377838717043734</v>
      </c>
    </row>
    <row r="14" spans="2:13" ht="33" customHeight="1">
      <c r="B14" s="32" t="s">
        <v>46</v>
      </c>
      <c r="C14" s="24">
        <f>38404675.94</f>
        <v>38404675.94</v>
      </c>
      <c r="D14" s="62">
        <f>26295879.73</f>
        <v>26295879.73</v>
      </c>
      <c r="E14" s="24">
        <f>26671471.84</f>
        <v>26671471.84</v>
      </c>
      <c r="F14" s="24">
        <f>0</f>
        <v>0</v>
      </c>
      <c r="G14" s="24">
        <f>0</f>
        <v>0</v>
      </c>
      <c r="H14" s="24">
        <f>11634.96</f>
        <v>11634.96</v>
      </c>
      <c r="I14" s="24">
        <f>52831.7</f>
        <v>52831.7</v>
      </c>
      <c r="J14" s="24">
        <f>0</f>
        <v>0</v>
      </c>
      <c r="K14" s="34">
        <f t="shared" si="0"/>
        <v>0.029022337802598816</v>
      </c>
      <c r="L14" s="34">
        <f t="shared" si="1"/>
        <v>68.47051585875197</v>
      </c>
      <c r="M14" s="34">
        <f t="shared" si="2"/>
        <v>0.06813898451849004</v>
      </c>
    </row>
    <row r="15" spans="2:13" ht="22.5" customHeight="1">
      <c r="B15" s="32" t="s">
        <v>28</v>
      </c>
      <c r="C15" s="24">
        <f>113008750.04</f>
        <v>113008750.04</v>
      </c>
      <c r="D15" s="62">
        <f>96386584.52</f>
        <v>96386584.52</v>
      </c>
      <c r="E15" s="24">
        <f>95968537.9</f>
        <v>95968537.9</v>
      </c>
      <c r="F15" s="24">
        <f>0</f>
        <v>0</v>
      </c>
      <c r="G15" s="24">
        <f>8061</f>
        <v>8061</v>
      </c>
      <c r="H15" s="24">
        <f>3477069.87</f>
        <v>3477069.87</v>
      </c>
      <c r="I15" s="24">
        <f>3955163.26</f>
        <v>3955163.26</v>
      </c>
      <c r="J15" s="24">
        <f>0</f>
        <v>0</v>
      </c>
      <c r="K15" s="34">
        <f t="shared" si="0"/>
        <v>0.10638031677589294</v>
      </c>
      <c r="L15" s="34">
        <f t="shared" si="1"/>
        <v>85.29125796531993</v>
      </c>
      <c r="M15" s="34">
        <f t="shared" si="2"/>
        <v>0.24976095334454937</v>
      </c>
    </row>
    <row r="16" spans="2:13" ht="22.5" customHeight="1">
      <c r="B16" s="32" t="s">
        <v>29</v>
      </c>
      <c r="C16" s="24">
        <f>948619573.75</f>
        <v>948619573.75</v>
      </c>
      <c r="D16" s="62">
        <f>874259728.07</f>
        <v>874259728.07</v>
      </c>
      <c r="E16" s="24">
        <f>870893071.94</f>
        <v>870893071.94</v>
      </c>
      <c r="F16" s="24">
        <f>0</f>
        <v>0</v>
      </c>
      <c r="G16" s="24">
        <f>0</f>
        <v>0</v>
      </c>
      <c r="H16" s="24">
        <f>88792.54</f>
        <v>88792.54</v>
      </c>
      <c r="I16" s="24">
        <f>415761.67</f>
        <v>415761.67</v>
      </c>
      <c r="J16" s="24">
        <f>0.1</f>
        <v>0.1</v>
      </c>
      <c r="K16" s="34">
        <f t="shared" si="0"/>
        <v>0.9649063433427759</v>
      </c>
      <c r="L16" s="34">
        <f t="shared" si="1"/>
        <v>92.16125750114483</v>
      </c>
      <c r="M16" s="34">
        <f t="shared" si="2"/>
        <v>2.2654184110881253</v>
      </c>
    </row>
    <row r="17" spans="2:13" ht="13.5" customHeight="1">
      <c r="B17" s="32" t="s">
        <v>30</v>
      </c>
      <c r="C17" s="24">
        <f>172584375.3</f>
        <v>172584375.3</v>
      </c>
      <c r="D17" s="62">
        <f>132677004.92</f>
        <v>132677004.92</v>
      </c>
      <c r="E17" s="24">
        <f>132703784.89</f>
        <v>132703784.89</v>
      </c>
      <c r="F17" s="24">
        <f>0</f>
        <v>0</v>
      </c>
      <c r="G17" s="24">
        <f>0</f>
        <v>0</v>
      </c>
      <c r="H17" s="24">
        <f>2820</f>
        <v>2820</v>
      </c>
      <c r="I17" s="24">
        <f>19687.4</f>
        <v>19687.4</v>
      </c>
      <c r="J17" s="24">
        <f>0</f>
        <v>0</v>
      </c>
      <c r="K17" s="34">
        <f t="shared" si="0"/>
        <v>0.14643346771290183</v>
      </c>
      <c r="L17" s="34">
        <f t="shared" si="1"/>
        <v>76.87660293081004</v>
      </c>
      <c r="M17" s="34">
        <f t="shared" si="2"/>
        <v>0.34379821010093686</v>
      </c>
    </row>
    <row r="18" spans="2:13" ht="22.5" customHeight="1">
      <c r="B18" s="32" t="s">
        <v>31</v>
      </c>
      <c r="C18" s="24">
        <f>390304291.35</f>
        <v>390304291.35</v>
      </c>
      <c r="D18" s="62">
        <f>373920526.66</f>
        <v>373920526.66</v>
      </c>
      <c r="E18" s="24">
        <f>373627780.86</f>
        <v>373627780.86</v>
      </c>
      <c r="F18" s="24">
        <f>0</f>
        <v>0</v>
      </c>
      <c r="G18" s="24">
        <f>0</f>
        <v>0</v>
      </c>
      <c r="H18" s="24">
        <f>0</f>
        <v>0</v>
      </c>
      <c r="I18" s="24">
        <f>270905.8</f>
        <v>270905.8</v>
      </c>
      <c r="J18" s="24">
        <f>4.79</f>
        <v>4.79</v>
      </c>
      <c r="K18" s="34">
        <f t="shared" si="0"/>
        <v>0.412690046785979</v>
      </c>
      <c r="L18" s="34">
        <f t="shared" si="1"/>
        <v>95.8023098763964</v>
      </c>
      <c r="M18" s="34">
        <f t="shared" si="2"/>
        <v>0.9689185240744703</v>
      </c>
    </row>
    <row r="19" spans="2:13" ht="13.5" customHeight="1">
      <c r="B19" s="32" t="s">
        <v>32</v>
      </c>
      <c r="C19" s="24">
        <f>125966727.44</f>
        <v>125966727.44</v>
      </c>
      <c r="D19" s="62">
        <f>87690903.1</f>
        <v>87690903.1</v>
      </c>
      <c r="E19" s="24">
        <f>87620805.65</f>
        <v>87620805.65</v>
      </c>
      <c r="F19" s="24">
        <f>2173412.68</f>
        <v>2173412.68</v>
      </c>
      <c r="G19" s="24">
        <f>44877.92</f>
        <v>44877.92</v>
      </c>
      <c r="H19" s="24">
        <f>11836.34</f>
        <v>11836.34</v>
      </c>
      <c r="I19" s="24">
        <f>7562.8</f>
        <v>7562.8</v>
      </c>
      <c r="J19" s="24">
        <f>0</f>
        <v>0</v>
      </c>
      <c r="K19" s="34">
        <f t="shared" si="0"/>
        <v>0.09678303362026974</v>
      </c>
      <c r="L19" s="34">
        <f t="shared" si="1"/>
        <v>69.61433775579238</v>
      </c>
      <c r="M19" s="34">
        <f t="shared" si="2"/>
        <v>0.2272283395761983</v>
      </c>
    </row>
    <row r="20" spans="2:13" ht="13.5" customHeight="1">
      <c r="B20" s="32" t="s">
        <v>24</v>
      </c>
      <c r="C20" s="24">
        <f>3894748612.37</f>
        <v>3894748612.37</v>
      </c>
      <c r="D20" s="62">
        <f>2250171862.21</f>
        <v>2250171862.21</v>
      </c>
      <c r="E20" s="24">
        <f>2239232634.67</f>
        <v>2239232634.67</v>
      </c>
      <c r="F20" s="24">
        <f>0</f>
        <v>0</v>
      </c>
      <c r="G20" s="24">
        <f>0</f>
        <v>0</v>
      </c>
      <c r="H20" s="24">
        <f>0</f>
        <v>0</v>
      </c>
      <c r="I20" s="24">
        <f>156011.8</f>
        <v>156011.8</v>
      </c>
      <c r="J20" s="24">
        <f>80110</f>
        <v>80110</v>
      </c>
      <c r="K20" s="34">
        <f t="shared" si="0"/>
        <v>2.483478346018487</v>
      </c>
      <c r="L20" s="34">
        <f t="shared" si="1"/>
        <v>57.77450834858233</v>
      </c>
      <c r="M20" s="34">
        <f t="shared" si="2"/>
        <v>5.830739540086461</v>
      </c>
    </row>
    <row r="21" spans="2:13" ht="13.5" customHeight="1">
      <c r="B21" s="32" t="s">
        <v>25</v>
      </c>
      <c r="C21" s="24">
        <f>C7-C8-C9-C10-C11-C12-C13-C14-C15-C16-C17-C18-C19-C20</f>
        <v>9776123992.579994</v>
      </c>
      <c r="D21" s="24">
        <f aca="true" t="shared" si="3" ref="D21:J21">D7-D8-D9-D10-D11-D12-D13-D14-D15-D16-D17-D18-D19-D20</f>
        <v>6779832266.700004</v>
      </c>
      <c r="E21" s="24">
        <f t="shared" si="3"/>
        <v>6776877906.989996</v>
      </c>
      <c r="F21" s="24">
        <f t="shared" si="3"/>
        <v>10519601.489999838</v>
      </c>
      <c r="G21" s="24">
        <f t="shared" si="3"/>
        <v>1968237.9500000197</v>
      </c>
      <c r="H21" s="24">
        <f t="shared" si="3"/>
        <v>9922023.460000005</v>
      </c>
      <c r="I21" s="24">
        <f t="shared" si="3"/>
        <v>7618669.250000001</v>
      </c>
      <c r="J21" s="24">
        <f t="shared" si="3"/>
        <v>249694.5</v>
      </c>
      <c r="K21" s="34">
        <f t="shared" si="0"/>
        <v>7.482791384410045</v>
      </c>
      <c r="L21" s="34">
        <f t="shared" si="1"/>
        <v>69.35092345234007</v>
      </c>
      <c r="M21" s="34">
        <f t="shared" si="2"/>
        <v>17.568185229094475</v>
      </c>
    </row>
    <row r="22" spans="2:13" ht="26.25" customHeight="1">
      <c r="B22" s="82" t="s">
        <v>72</v>
      </c>
      <c r="C22" s="49">
        <f>C23+C36+C38</f>
        <v>43726387847.98</v>
      </c>
      <c r="D22" s="49">
        <f>D23+D36+D38</f>
        <v>28875563278.3</v>
      </c>
      <c r="E22" s="49">
        <f>E23+E36+E38</f>
        <v>28788885138.89</v>
      </c>
      <c r="F22" s="41" t="s">
        <v>63</v>
      </c>
      <c r="G22" s="41" t="s">
        <v>63</v>
      </c>
      <c r="H22" s="41" t="s">
        <v>63</v>
      </c>
      <c r="I22" s="41" t="s">
        <v>63</v>
      </c>
      <c r="J22" s="41" t="s">
        <v>63</v>
      </c>
      <c r="K22" s="50">
        <f t="shared" si="0"/>
        <v>31.869492875230012</v>
      </c>
      <c r="L22" s="50">
        <f t="shared" si="1"/>
        <v>66.03692804145939</v>
      </c>
      <c r="M22" s="28"/>
    </row>
    <row r="23" spans="2:13" ht="25.5" customHeight="1">
      <c r="B23" s="82" t="s">
        <v>65</v>
      </c>
      <c r="C23" s="49">
        <f>C24+C26+C28+C30+C32+C34</f>
        <v>33694095553.59</v>
      </c>
      <c r="D23" s="49">
        <f>D24+D26+D28+D30+D32+D34</f>
        <v>25667482335.26</v>
      </c>
      <c r="E23" s="49">
        <f>E24+E26+E28+E30+E32+E34</f>
        <v>25613517775.699997</v>
      </c>
      <c r="F23" s="41" t="s">
        <v>63</v>
      </c>
      <c r="G23" s="41" t="s">
        <v>63</v>
      </c>
      <c r="H23" s="41" t="s">
        <v>63</v>
      </c>
      <c r="I23" s="41" t="s">
        <v>63</v>
      </c>
      <c r="J23" s="41" t="s">
        <v>63</v>
      </c>
      <c r="K23" s="50">
        <f t="shared" si="0"/>
        <v>28.328785746091242</v>
      </c>
      <c r="L23" s="50">
        <f t="shared" si="1"/>
        <v>76.17798285885496</v>
      </c>
      <c r="M23" s="28"/>
    </row>
    <row r="24" spans="2:13" ht="22.5" customHeight="1">
      <c r="B24" s="32" t="s">
        <v>9</v>
      </c>
      <c r="C24" s="24">
        <f>27872866125.59</f>
        <v>27872866125.59</v>
      </c>
      <c r="D24" s="24">
        <f>22426478968.33</f>
        <v>22426478968.33</v>
      </c>
      <c r="E24" s="24">
        <f>22380609833.91</f>
        <v>22380609833.91</v>
      </c>
      <c r="F24" s="24" t="s">
        <v>63</v>
      </c>
      <c r="G24" s="24" t="s">
        <v>63</v>
      </c>
      <c r="H24" s="24" t="s">
        <v>63</v>
      </c>
      <c r="I24" s="24" t="s">
        <v>63</v>
      </c>
      <c r="J24" s="24" t="s">
        <v>63</v>
      </c>
      <c r="K24" s="34">
        <f t="shared" si="0"/>
        <v>24.75174266937336</v>
      </c>
      <c r="L24" s="34">
        <f t="shared" si="1"/>
        <v>80.45989553883844</v>
      </c>
      <c r="M24" s="28"/>
    </row>
    <row r="25" spans="2:13" ht="13.5" customHeight="1">
      <c r="B25" s="63" t="s">
        <v>6</v>
      </c>
      <c r="C25" s="24">
        <f>12149874.78</f>
        <v>12149874.78</v>
      </c>
      <c r="D25" s="24">
        <f>3793146.71</f>
        <v>3793146.71</v>
      </c>
      <c r="E25" s="24">
        <f>3793146.71</f>
        <v>3793146.71</v>
      </c>
      <c r="F25" s="24" t="s">
        <v>63</v>
      </c>
      <c r="G25" s="24" t="s">
        <v>63</v>
      </c>
      <c r="H25" s="24" t="s">
        <v>63</v>
      </c>
      <c r="I25" s="24" t="s">
        <v>63</v>
      </c>
      <c r="J25" s="24" t="s">
        <v>63</v>
      </c>
      <c r="K25" s="34">
        <f t="shared" si="0"/>
        <v>0.0041864347678333535</v>
      </c>
      <c r="L25" s="34">
        <f t="shared" si="1"/>
        <v>31.21963624056379</v>
      </c>
      <c r="M25" s="28"/>
    </row>
    <row r="26" spans="2:13" ht="13.5" customHeight="1">
      <c r="B26" s="32" t="s">
        <v>7</v>
      </c>
      <c r="C26" s="24">
        <f>4471127287.68</f>
        <v>4471127287.68</v>
      </c>
      <c r="D26" s="24">
        <f>2618964730.24</f>
        <v>2618964730.24</v>
      </c>
      <c r="E26" s="24">
        <f>2611236616.41</f>
        <v>2611236616.41</v>
      </c>
      <c r="F26" s="24" t="s">
        <v>63</v>
      </c>
      <c r="G26" s="24" t="s">
        <v>63</v>
      </c>
      <c r="H26" s="24" t="s">
        <v>63</v>
      </c>
      <c r="I26" s="24" t="s">
        <v>63</v>
      </c>
      <c r="J26" s="24" t="s">
        <v>63</v>
      </c>
      <c r="K26" s="34">
        <f t="shared" si="0"/>
        <v>2.890509078781726</v>
      </c>
      <c r="L26" s="34">
        <f t="shared" si="1"/>
        <v>58.575042975324024</v>
      </c>
      <c r="M26" s="28"/>
    </row>
    <row r="27" spans="2:13" ht="13.5" customHeight="1">
      <c r="B27" s="63" t="s">
        <v>6</v>
      </c>
      <c r="C27" s="24">
        <f>1338205813.46</f>
        <v>1338205813.46</v>
      </c>
      <c r="D27" s="24">
        <f>270120580.05</f>
        <v>270120580.05</v>
      </c>
      <c r="E27" s="24">
        <f>270273234.96</f>
        <v>270273234.96</v>
      </c>
      <c r="F27" s="24" t="s">
        <v>63</v>
      </c>
      <c r="G27" s="24" t="s">
        <v>63</v>
      </c>
      <c r="H27" s="24" t="s">
        <v>63</v>
      </c>
      <c r="I27" s="24" t="s">
        <v>63</v>
      </c>
      <c r="J27" s="24" t="s">
        <v>63</v>
      </c>
      <c r="K27" s="34">
        <f t="shared" si="0"/>
        <v>0.29812772199065096</v>
      </c>
      <c r="L27" s="34">
        <f t="shared" si="1"/>
        <v>20.185279224844297</v>
      </c>
      <c r="M27" s="28"/>
    </row>
    <row r="28" spans="2:13" ht="33" customHeight="1">
      <c r="B28" s="32" t="s">
        <v>10</v>
      </c>
      <c r="C28" s="24">
        <f>28826061.74</f>
        <v>28826061.74</v>
      </c>
      <c r="D28" s="24">
        <f>15192787.03</f>
        <v>15192787.03</v>
      </c>
      <c r="E28" s="24">
        <f>15177299.19</f>
        <v>15177299.19</v>
      </c>
      <c r="F28" s="24" t="s">
        <v>63</v>
      </c>
      <c r="G28" s="24" t="s">
        <v>63</v>
      </c>
      <c r="H28" s="24" t="s">
        <v>63</v>
      </c>
      <c r="I28" s="24" t="s">
        <v>63</v>
      </c>
      <c r="J28" s="24" t="s">
        <v>63</v>
      </c>
      <c r="K28" s="34">
        <f t="shared" si="0"/>
        <v>0.016768033694821056</v>
      </c>
      <c r="L28" s="34">
        <f t="shared" si="1"/>
        <v>52.70503881880606</v>
      </c>
      <c r="M28" s="28"/>
    </row>
    <row r="29" spans="2:13" ht="13.5" customHeight="1">
      <c r="B29" s="63" t="s">
        <v>6</v>
      </c>
      <c r="C29" s="24">
        <f>9440868.3</f>
        <v>9440868.3</v>
      </c>
      <c r="D29" s="24">
        <f>1514693.65</f>
        <v>1514693.65</v>
      </c>
      <c r="E29" s="24">
        <f>1514693.65</f>
        <v>1514693.65</v>
      </c>
      <c r="F29" s="24" t="s">
        <v>63</v>
      </c>
      <c r="G29" s="24" t="s">
        <v>63</v>
      </c>
      <c r="H29" s="24" t="s">
        <v>63</v>
      </c>
      <c r="I29" s="24" t="s">
        <v>63</v>
      </c>
      <c r="J29" s="24" t="s">
        <v>63</v>
      </c>
      <c r="K29" s="34">
        <f t="shared" si="0"/>
        <v>0.0016717429205305914</v>
      </c>
      <c r="L29" s="34">
        <f t="shared" si="1"/>
        <v>16.04400783771128</v>
      </c>
      <c r="M29" s="28"/>
    </row>
    <row r="30" spans="2:13" ht="33.75">
      <c r="B30" s="32" t="s">
        <v>11</v>
      </c>
      <c r="C30" s="24">
        <f>632141289.62</f>
        <v>632141289.62</v>
      </c>
      <c r="D30" s="24">
        <f>281003146.65</f>
        <v>281003146.65</v>
      </c>
      <c r="E30" s="24">
        <f>280786264.66</f>
        <v>280786264.66</v>
      </c>
      <c r="F30" s="24" t="s">
        <v>63</v>
      </c>
      <c r="G30" s="24" t="s">
        <v>63</v>
      </c>
      <c r="H30" s="24" t="s">
        <v>63</v>
      </c>
      <c r="I30" s="24" t="s">
        <v>63</v>
      </c>
      <c r="J30" s="24" t="s">
        <v>63</v>
      </c>
      <c r="K30" s="34">
        <f t="shared" si="0"/>
        <v>0.31013863500316186</v>
      </c>
      <c r="L30" s="34">
        <f t="shared" si="1"/>
        <v>44.45258540522164</v>
      </c>
      <c r="M30" s="28"/>
    </row>
    <row r="31" spans="2:13" ht="12.75">
      <c r="B31" s="63" t="s">
        <v>6</v>
      </c>
      <c r="C31" s="24">
        <f>353263324.04</f>
        <v>353263324.04</v>
      </c>
      <c r="D31" s="24">
        <f>86627761.86</f>
        <v>86627761.86</v>
      </c>
      <c r="E31" s="24">
        <f>86577427.53</f>
        <v>86577427.53</v>
      </c>
      <c r="F31" s="24" t="s">
        <v>63</v>
      </c>
      <c r="G31" s="24" t="s">
        <v>63</v>
      </c>
      <c r="H31" s="24" t="s">
        <v>63</v>
      </c>
      <c r="I31" s="24" t="s">
        <v>63</v>
      </c>
      <c r="J31" s="24" t="s">
        <v>63</v>
      </c>
      <c r="K31" s="34">
        <f t="shared" si="0"/>
        <v>0.09560966180248064</v>
      </c>
      <c r="L31" s="34">
        <f t="shared" si="1"/>
        <v>24.522149899204123</v>
      </c>
      <c r="M31" s="28"/>
    </row>
    <row r="32" spans="2:13" ht="45">
      <c r="B32" s="32" t="s">
        <v>82</v>
      </c>
      <c r="C32" s="24">
        <f>340029519.62</f>
        <v>340029519.62</v>
      </c>
      <c r="D32" s="24">
        <f>204282621.78</f>
        <v>204282621.78</v>
      </c>
      <c r="E32" s="24">
        <f>204277943.62</f>
        <v>204277943.62</v>
      </c>
      <c r="F32" s="24" t="s">
        <v>63</v>
      </c>
      <c r="G32" s="24" t="s">
        <v>63</v>
      </c>
      <c r="H32" s="24" t="s">
        <v>63</v>
      </c>
      <c r="I32" s="24" t="s">
        <v>63</v>
      </c>
      <c r="J32" s="24" t="s">
        <v>63</v>
      </c>
      <c r="K32" s="34">
        <f t="shared" si="0"/>
        <v>0.22546343067335325</v>
      </c>
      <c r="L32" s="34">
        <f t="shared" si="1"/>
        <v>60.07790794407969</v>
      </c>
      <c r="M32" s="28"/>
    </row>
    <row r="33" spans="2:13" ht="12.75">
      <c r="B33" s="63" t="s">
        <v>6</v>
      </c>
      <c r="C33" s="24">
        <f>295959248.29</f>
        <v>295959248.29</v>
      </c>
      <c r="D33" s="24">
        <f>170806457.46</f>
        <v>170806457.46</v>
      </c>
      <c r="E33" s="24">
        <f>170806494.83</f>
        <v>170806494.83</v>
      </c>
      <c r="F33" s="24" t="s">
        <v>63</v>
      </c>
      <c r="G33" s="24" t="s">
        <v>63</v>
      </c>
      <c r="H33" s="24" t="s">
        <v>63</v>
      </c>
      <c r="I33" s="24" t="s">
        <v>63</v>
      </c>
      <c r="J33" s="24" t="s">
        <v>63</v>
      </c>
      <c r="K33" s="34">
        <f t="shared" si="0"/>
        <v>0.18851632872407212</v>
      </c>
      <c r="L33" s="34">
        <f t="shared" si="1"/>
        <v>57.71282987333201</v>
      </c>
      <c r="M33" s="28"/>
    </row>
    <row r="34" spans="2:13" ht="22.5">
      <c r="B34" s="32" t="s">
        <v>8</v>
      </c>
      <c r="C34" s="24">
        <f>349105269.34</f>
        <v>349105269.34</v>
      </c>
      <c r="D34" s="24">
        <f>121560081.23</f>
        <v>121560081.23</v>
      </c>
      <c r="E34" s="24">
        <f>121429817.91</f>
        <v>121429817.91</v>
      </c>
      <c r="F34" s="24" t="s">
        <v>63</v>
      </c>
      <c r="G34" s="24" t="s">
        <v>63</v>
      </c>
      <c r="H34" s="24" t="s">
        <v>63</v>
      </c>
      <c r="I34" s="24" t="s">
        <v>63</v>
      </c>
      <c r="J34" s="24" t="s">
        <v>63</v>
      </c>
      <c r="K34" s="34">
        <f t="shared" si="0"/>
        <v>0.13416389856481944</v>
      </c>
      <c r="L34" s="34">
        <f t="shared" si="1"/>
        <v>34.82046588979166</v>
      </c>
      <c r="M34" s="28"/>
    </row>
    <row r="35" spans="2:13" ht="12.75">
      <c r="B35" s="31" t="s">
        <v>6</v>
      </c>
      <c r="C35" s="22">
        <f>303083130.92</f>
        <v>303083130.92</v>
      </c>
      <c r="D35" s="22">
        <f>84836953.55</f>
        <v>84836953.55</v>
      </c>
      <c r="E35" s="22">
        <f>84864973.55</f>
        <v>84864973.55</v>
      </c>
      <c r="F35" s="24" t="s">
        <v>63</v>
      </c>
      <c r="G35" s="24" t="s">
        <v>63</v>
      </c>
      <c r="H35" s="24" t="s">
        <v>63</v>
      </c>
      <c r="I35" s="24" t="s">
        <v>63</v>
      </c>
      <c r="J35" s="24" t="s">
        <v>63</v>
      </c>
      <c r="K35" s="34">
        <f t="shared" si="0"/>
        <v>0.09363317559071772</v>
      </c>
      <c r="L35" s="34">
        <f t="shared" si="1"/>
        <v>27.991314888585155</v>
      </c>
      <c r="M35" s="28"/>
    </row>
    <row r="36" spans="2:13" ht="12.75">
      <c r="B36" s="82" t="s">
        <v>110</v>
      </c>
      <c r="C36" s="49">
        <f>1962538477.84</f>
        <v>1962538477.84</v>
      </c>
      <c r="D36" s="49">
        <f>578592430.68</f>
        <v>578592430.68</v>
      </c>
      <c r="E36" s="49">
        <f>555208464.7</f>
        <v>555208464.7</v>
      </c>
      <c r="F36" s="41" t="s">
        <v>63</v>
      </c>
      <c r="G36" s="41" t="s">
        <v>63</v>
      </c>
      <c r="H36" s="41" t="s">
        <v>63</v>
      </c>
      <c r="I36" s="41" t="s">
        <v>63</v>
      </c>
      <c r="J36" s="41" t="s">
        <v>63</v>
      </c>
      <c r="K36" s="50">
        <f t="shared" si="0"/>
        <v>0.6385831219810533</v>
      </c>
      <c r="L36" s="50">
        <f t="shared" si="1"/>
        <v>29.481838813005474</v>
      </c>
      <c r="M36" s="28"/>
    </row>
    <row r="37" spans="2:13" ht="13.5" customHeight="1">
      <c r="B37" s="31" t="s">
        <v>111</v>
      </c>
      <c r="C37" s="22">
        <f>1787976717.52</f>
        <v>1787976717.52</v>
      </c>
      <c r="D37" s="22">
        <f>467535188.11</f>
        <v>467535188.11</v>
      </c>
      <c r="E37" s="22">
        <f>444254334.26</f>
        <v>444254334.26</v>
      </c>
      <c r="F37" s="24" t="s">
        <v>63</v>
      </c>
      <c r="G37" s="24" t="s">
        <v>63</v>
      </c>
      <c r="H37" s="24" t="s">
        <v>63</v>
      </c>
      <c r="I37" s="24" t="s">
        <v>63</v>
      </c>
      <c r="J37" s="24" t="s">
        <v>63</v>
      </c>
      <c r="K37" s="34">
        <f t="shared" si="0"/>
        <v>0.5160110368336401</v>
      </c>
      <c r="L37" s="34">
        <f t="shared" si="1"/>
        <v>26.1488409512676</v>
      </c>
      <c r="M37" s="28"/>
    </row>
    <row r="38" spans="2:13" ht="13.5" customHeight="1">
      <c r="B38" s="82" t="s">
        <v>112</v>
      </c>
      <c r="C38" s="41">
        <f>8069753816.55</f>
        <v>8069753816.55</v>
      </c>
      <c r="D38" s="41">
        <f>2629488512.36</f>
        <v>2629488512.36</v>
      </c>
      <c r="E38" s="41">
        <f>2620158898.49</f>
        <v>2620158898.49</v>
      </c>
      <c r="F38" s="41" t="s">
        <v>63</v>
      </c>
      <c r="G38" s="41" t="s">
        <v>63</v>
      </c>
      <c r="H38" s="41" t="s">
        <v>63</v>
      </c>
      <c r="I38" s="41" t="s">
        <v>63</v>
      </c>
      <c r="J38" s="41" t="s">
        <v>63</v>
      </c>
      <c r="K38" s="64">
        <f t="shared" si="0"/>
        <v>2.902124007157716</v>
      </c>
      <c r="L38" s="64">
        <f t="shared" si="1"/>
        <v>32.5844947954579</v>
      </c>
      <c r="M38" s="28"/>
    </row>
    <row r="39" spans="2:13" ht="13.5" customHeight="1">
      <c r="B39" s="31" t="s">
        <v>113</v>
      </c>
      <c r="C39" s="22">
        <f>7326342581.88</f>
        <v>7326342581.88</v>
      </c>
      <c r="D39" s="22">
        <f>2168381316.55</f>
        <v>2168381316.55</v>
      </c>
      <c r="E39" s="22">
        <f>2159635140.73</f>
        <v>2159635140.73</v>
      </c>
      <c r="F39" s="24" t="s">
        <v>63</v>
      </c>
      <c r="G39" s="24" t="s">
        <v>63</v>
      </c>
      <c r="H39" s="24" t="s">
        <v>63</v>
      </c>
      <c r="I39" s="24" t="s">
        <v>63</v>
      </c>
      <c r="J39" s="24" t="s">
        <v>63</v>
      </c>
      <c r="K39" s="34">
        <f t="shared" si="0"/>
        <v>2.393207441619146</v>
      </c>
      <c r="L39" s="34">
        <f t="shared" si="1"/>
        <v>29.597050538054088</v>
      </c>
      <c r="M39" s="28"/>
    </row>
    <row r="40" spans="2:13" s="5" customFormat="1" ht="25.5" customHeight="1">
      <c r="B40" s="82" t="s">
        <v>66</v>
      </c>
      <c r="C40" s="25">
        <f>C41+C42+C43+C44+C45</f>
        <v>28194333092.89</v>
      </c>
      <c r="D40" s="25">
        <f>D41+D42+D43+D44+D45</f>
        <v>23138558816</v>
      </c>
      <c r="E40" s="25">
        <f>E41+E42+E43+E44+E45</f>
        <v>21627711383.510002</v>
      </c>
      <c r="F40" s="23" t="s">
        <v>63</v>
      </c>
      <c r="G40" s="23" t="s">
        <v>63</v>
      </c>
      <c r="H40" s="23" t="s">
        <v>63</v>
      </c>
      <c r="I40" s="23" t="s">
        <v>63</v>
      </c>
      <c r="J40" s="23" t="s">
        <v>63</v>
      </c>
      <c r="K40" s="33">
        <f t="shared" si="0"/>
        <v>25.53765369778153</v>
      </c>
      <c r="L40" s="33">
        <f t="shared" si="1"/>
        <v>82.06811893640798</v>
      </c>
      <c r="M40" s="29"/>
    </row>
    <row r="41" spans="2:13" ht="13.5" customHeight="1">
      <c r="B41" s="20" t="s">
        <v>50</v>
      </c>
      <c r="C41" s="22">
        <f>7307627594</f>
        <v>7307627594</v>
      </c>
      <c r="D41" s="22">
        <f>5480773092</f>
        <v>5480773092</v>
      </c>
      <c r="E41" s="22">
        <f>5480773092</f>
        <v>5480773092</v>
      </c>
      <c r="F41" s="24" t="s">
        <v>63</v>
      </c>
      <c r="G41" s="24" t="s">
        <v>63</v>
      </c>
      <c r="H41" s="24" t="s">
        <v>63</v>
      </c>
      <c r="I41" s="24" t="s">
        <v>63</v>
      </c>
      <c r="J41" s="24" t="s">
        <v>63</v>
      </c>
      <c r="K41" s="34">
        <f t="shared" si="0"/>
        <v>6.049040751960345</v>
      </c>
      <c r="L41" s="34">
        <f t="shared" si="1"/>
        <v>75.00071701108638</v>
      </c>
      <c r="M41" s="28"/>
    </row>
    <row r="42" spans="2:13" ht="13.5" customHeight="1">
      <c r="B42" s="32" t="s">
        <v>49</v>
      </c>
      <c r="C42" s="24">
        <f>20560385373.89</f>
        <v>20560385373.89</v>
      </c>
      <c r="D42" s="24">
        <f>17414322512</f>
        <v>17414322512</v>
      </c>
      <c r="E42" s="24">
        <f>15903475079.51</f>
        <v>15903475079.51</v>
      </c>
      <c r="F42" s="24" t="s">
        <v>63</v>
      </c>
      <c r="G42" s="24" t="s">
        <v>63</v>
      </c>
      <c r="H42" s="24" t="s">
        <v>63</v>
      </c>
      <c r="I42" s="24" t="s">
        <v>63</v>
      </c>
      <c r="J42" s="24" t="s">
        <v>63</v>
      </c>
      <c r="K42" s="34">
        <f t="shared" si="0"/>
        <v>19.2199065304542</v>
      </c>
      <c r="L42" s="34">
        <f t="shared" si="1"/>
        <v>84.69842464195617</v>
      </c>
      <c r="M42" s="28"/>
    </row>
    <row r="43" spans="2:13" ht="13.5" customHeight="1">
      <c r="B43" s="32" t="s">
        <v>48</v>
      </c>
      <c r="C43" s="24">
        <f>1563829</f>
        <v>1563829</v>
      </c>
      <c r="D43" s="24">
        <f>0</f>
        <v>0</v>
      </c>
      <c r="E43" s="24">
        <f>0</f>
        <v>0</v>
      </c>
      <c r="F43" s="24" t="s">
        <v>63</v>
      </c>
      <c r="G43" s="24" t="s">
        <v>63</v>
      </c>
      <c r="H43" s="24" t="s">
        <v>63</v>
      </c>
      <c r="I43" s="24" t="s">
        <v>63</v>
      </c>
      <c r="J43" s="24" t="s">
        <v>63</v>
      </c>
      <c r="K43" s="34">
        <f t="shared" si="0"/>
        <v>0</v>
      </c>
      <c r="L43" s="34">
        <f t="shared" si="1"/>
        <v>0</v>
      </c>
      <c r="M43" s="28"/>
    </row>
    <row r="44" spans="2:13" ht="13.5" customHeight="1">
      <c r="B44" s="32" t="s">
        <v>47</v>
      </c>
      <c r="C44" s="24">
        <f>324610701</f>
        <v>324610701</v>
      </c>
      <c r="D44" s="24">
        <f>243463212</f>
        <v>243463212</v>
      </c>
      <c r="E44" s="24">
        <f>243463212</f>
        <v>243463212</v>
      </c>
      <c r="F44" s="24" t="s">
        <v>63</v>
      </c>
      <c r="G44" s="24" t="s">
        <v>63</v>
      </c>
      <c r="H44" s="24" t="s">
        <v>63</v>
      </c>
      <c r="I44" s="24" t="s">
        <v>63</v>
      </c>
      <c r="J44" s="24" t="s">
        <v>63</v>
      </c>
      <c r="K44" s="34">
        <f t="shared" si="0"/>
        <v>0.2687064153669876</v>
      </c>
      <c r="L44" s="34">
        <f t="shared" si="1"/>
        <v>75.00159768300429</v>
      </c>
      <c r="M44" s="28"/>
    </row>
    <row r="45" spans="2:13" s="5" customFormat="1" ht="22.5" customHeight="1">
      <c r="B45" s="32" t="s">
        <v>45</v>
      </c>
      <c r="C45" s="24">
        <f>145595</f>
        <v>145595</v>
      </c>
      <c r="D45" s="24">
        <f>0</f>
        <v>0</v>
      </c>
      <c r="E45" s="24">
        <f>0</f>
        <v>0</v>
      </c>
      <c r="F45" s="24" t="s">
        <v>63</v>
      </c>
      <c r="G45" s="24" t="s">
        <v>63</v>
      </c>
      <c r="H45" s="24" t="s">
        <v>63</v>
      </c>
      <c r="I45" s="24" t="s">
        <v>63</v>
      </c>
      <c r="J45" s="24" t="s">
        <v>63</v>
      </c>
      <c r="K45" s="34">
        <f t="shared" si="0"/>
        <v>0</v>
      </c>
      <c r="L45" s="34">
        <f t="shared" si="1"/>
        <v>0</v>
      </c>
      <c r="M45" s="29"/>
    </row>
    <row r="46" spans="1:13" s="5" customFormat="1" ht="9" customHeight="1">
      <c r="A46" s="2"/>
      <c r="B46" s="21"/>
      <c r="C46" s="7"/>
      <c r="D46" s="8"/>
      <c r="E46" s="8"/>
      <c r="F46" s="16"/>
      <c r="G46" s="16"/>
      <c r="H46" s="16"/>
      <c r="I46" s="16"/>
      <c r="J46" s="16"/>
      <c r="K46" s="9"/>
      <c r="L46" s="9"/>
      <c r="M46" s="3"/>
    </row>
    <row r="47" spans="1:13" s="5" customFormat="1" ht="13.5" customHeight="1">
      <c r="A47" s="2"/>
      <c r="B47" s="82" t="s">
        <v>5</v>
      </c>
      <c r="C47" s="41">
        <f aca="true" t="shared" si="4" ref="C47:J47">+C6</f>
        <v>124211284603.53</v>
      </c>
      <c r="D47" s="41">
        <f t="shared" si="4"/>
        <v>90605656611.32</v>
      </c>
      <c r="E47" s="41">
        <f t="shared" si="4"/>
        <v>87522639500.89</v>
      </c>
      <c r="F47" s="41">
        <f t="shared" si="4"/>
        <v>2040560878.1</v>
      </c>
      <c r="G47" s="41">
        <f t="shared" si="4"/>
        <v>504928021.86</v>
      </c>
      <c r="H47" s="41">
        <f t="shared" si="4"/>
        <v>63178670.04</v>
      </c>
      <c r="I47" s="41">
        <f t="shared" si="4"/>
        <v>100186841</v>
      </c>
      <c r="J47" s="41">
        <f t="shared" si="4"/>
        <v>2422671.89</v>
      </c>
      <c r="K47" s="65">
        <f t="shared" si="0"/>
        <v>99.99999999999999</v>
      </c>
      <c r="L47" s="65">
        <f>IF(C47=0,"",100*D47/C47)</f>
        <v>72.9447866999558</v>
      </c>
      <c r="M47" s="65"/>
    </row>
    <row r="48" spans="1:13" s="5" customFormat="1" ht="13.5" customHeight="1">
      <c r="A48" s="2"/>
      <c r="B48" s="83" t="s">
        <v>74</v>
      </c>
      <c r="C48" s="24">
        <f>15536223249.85</f>
        <v>15536223249.85</v>
      </c>
      <c r="D48" s="24">
        <f>5091693985.7</f>
        <v>5091693985.7</v>
      </c>
      <c r="E48" s="24">
        <f>5045951356.74</f>
        <v>5045951356.74</v>
      </c>
      <c r="F48" s="24">
        <f>0</f>
        <v>0</v>
      </c>
      <c r="G48" s="24">
        <f>0</f>
        <v>0</v>
      </c>
      <c r="H48" s="24">
        <f>0</f>
        <v>0</v>
      </c>
      <c r="I48" s="24">
        <f>156011.8</f>
        <v>156011.8</v>
      </c>
      <c r="J48" s="24">
        <f>80110</f>
        <v>80110</v>
      </c>
      <c r="K48" s="38">
        <f t="shared" si="0"/>
        <v>5.619620425623469</v>
      </c>
      <c r="L48" s="38">
        <f>IF(C48=0,"",100*D48/C48)</f>
        <v>32.77304853191498</v>
      </c>
      <c r="M48" s="38"/>
    </row>
    <row r="49" spans="1:13" s="5" customFormat="1" ht="13.5" customHeight="1">
      <c r="A49" s="2"/>
      <c r="B49" s="83" t="s">
        <v>75</v>
      </c>
      <c r="C49" s="24">
        <f>C47-C48</f>
        <v>108675061353.68</v>
      </c>
      <c r="D49" s="24">
        <f aca="true" t="shared" si="5" ref="D49:J49">D47-D48</f>
        <v>85513962625.62001</v>
      </c>
      <c r="E49" s="24">
        <f t="shared" si="5"/>
        <v>82476688144.15</v>
      </c>
      <c r="F49" s="24">
        <f t="shared" si="5"/>
        <v>2040560878.1</v>
      </c>
      <c r="G49" s="24">
        <f t="shared" si="5"/>
        <v>504928021.86</v>
      </c>
      <c r="H49" s="24">
        <f t="shared" si="5"/>
        <v>63178670.04</v>
      </c>
      <c r="I49" s="24">
        <f t="shared" si="5"/>
        <v>100030829.2</v>
      </c>
      <c r="J49" s="24">
        <f t="shared" si="5"/>
        <v>2342561.89</v>
      </c>
      <c r="K49" s="38">
        <f t="shared" si="0"/>
        <v>94.38037957437653</v>
      </c>
      <c r="L49" s="38">
        <f>IF(C49=0,"",100*D49/C49)</f>
        <v>78.68775187282128</v>
      </c>
      <c r="M49" s="38"/>
    </row>
    <row r="50" spans="2:13" ht="15">
      <c r="B50" s="103" t="s">
        <v>114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 s="5" customFormat="1" ht="7.5" customHeight="1">
      <c r="B51" s="6"/>
      <c r="C51" s="7"/>
      <c r="D51" s="8"/>
      <c r="E51" s="8"/>
      <c r="F51" s="4"/>
      <c r="G51" s="4"/>
      <c r="H51" s="4"/>
      <c r="I51" s="4"/>
      <c r="J51" s="4"/>
      <c r="K51" s="9"/>
      <c r="L51" s="9"/>
      <c r="M51" s="3"/>
    </row>
    <row r="52" spans="2:27" ht="29.25" customHeight="1">
      <c r="B52" s="110" t="s">
        <v>0</v>
      </c>
      <c r="C52" s="107" t="s">
        <v>59</v>
      </c>
      <c r="D52" s="107" t="s">
        <v>60</v>
      </c>
      <c r="E52" s="107" t="s">
        <v>61</v>
      </c>
      <c r="F52" s="107" t="s">
        <v>12</v>
      </c>
      <c r="G52" s="107"/>
      <c r="H52" s="107"/>
      <c r="I52" s="107" t="s">
        <v>98</v>
      </c>
      <c r="J52" s="107"/>
      <c r="K52" s="107" t="s">
        <v>2</v>
      </c>
      <c r="L52" s="109" t="s">
        <v>36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2:27" ht="18" customHeight="1">
      <c r="B53" s="110"/>
      <c r="C53" s="107"/>
      <c r="D53" s="95"/>
      <c r="E53" s="107"/>
      <c r="F53" s="100" t="s">
        <v>62</v>
      </c>
      <c r="G53" s="108" t="s">
        <v>34</v>
      </c>
      <c r="H53" s="95"/>
      <c r="I53" s="107"/>
      <c r="J53" s="107"/>
      <c r="K53" s="107"/>
      <c r="L53" s="109"/>
      <c r="M53" s="11"/>
      <c r="N53" s="12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2:27" ht="36" customHeight="1">
      <c r="B54" s="110"/>
      <c r="C54" s="107"/>
      <c r="D54" s="95"/>
      <c r="E54" s="107"/>
      <c r="F54" s="95"/>
      <c r="G54" s="18" t="s">
        <v>57</v>
      </c>
      <c r="H54" s="18" t="s">
        <v>58</v>
      </c>
      <c r="I54" s="107"/>
      <c r="J54" s="107"/>
      <c r="K54" s="107"/>
      <c r="L54" s="109"/>
      <c r="M54" s="11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2:27" ht="13.5" customHeight="1">
      <c r="B55" s="110"/>
      <c r="C55" s="111" t="s">
        <v>81</v>
      </c>
      <c r="D55" s="111"/>
      <c r="E55" s="111"/>
      <c r="F55" s="111"/>
      <c r="G55" s="111"/>
      <c r="H55" s="111"/>
      <c r="I55" s="111"/>
      <c r="J55" s="111"/>
      <c r="K55" s="111" t="s">
        <v>4</v>
      </c>
      <c r="L55" s="111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2:27" ht="11.25" customHeight="1">
      <c r="B56" s="17">
        <v>1</v>
      </c>
      <c r="C56" s="19">
        <v>2</v>
      </c>
      <c r="D56" s="19">
        <v>3</v>
      </c>
      <c r="E56" s="19">
        <v>4</v>
      </c>
      <c r="F56" s="17">
        <v>5</v>
      </c>
      <c r="G56" s="17">
        <v>6</v>
      </c>
      <c r="H56" s="19">
        <v>7</v>
      </c>
      <c r="I56" s="95">
        <v>8</v>
      </c>
      <c r="J56" s="95"/>
      <c r="K56" s="17">
        <v>9</v>
      </c>
      <c r="L56" s="19">
        <v>10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2:12" ht="25.5" customHeight="1">
      <c r="B57" s="82" t="s">
        <v>67</v>
      </c>
      <c r="C57" s="66">
        <f>137744608233.83</f>
        <v>137744608233.83</v>
      </c>
      <c r="D57" s="66">
        <f>111008531119.28</f>
        <v>111008531119.28</v>
      </c>
      <c r="E57" s="66">
        <f>87209209074.49</f>
        <v>87209209074.49</v>
      </c>
      <c r="F57" s="66">
        <f>3150841182.58</f>
        <v>3150841182.58</v>
      </c>
      <c r="G57" s="66">
        <f>16406321.6</f>
        <v>16406321.6</v>
      </c>
      <c r="H57" s="66">
        <f>34686431.68</f>
        <v>34686431.68</v>
      </c>
      <c r="I57" s="104">
        <f>0</f>
        <v>0</v>
      </c>
      <c r="J57" s="104"/>
      <c r="K57" s="58">
        <f aca="true" t="shared" si="6" ref="K57:K68">IF($E$57=0,"",100*$E57/$E$57)</f>
        <v>100</v>
      </c>
      <c r="L57" s="58">
        <f aca="true" t="shared" si="7" ref="L57:L68">IF(C57=0,"",100*E57/C57)</f>
        <v>63.31224880065504</v>
      </c>
    </row>
    <row r="58" spans="2:12" ht="24" customHeight="1">
      <c r="B58" s="82" t="s">
        <v>14</v>
      </c>
      <c r="C58" s="26">
        <f>34771632785.04</f>
        <v>34771632785.04</v>
      </c>
      <c r="D58" s="26">
        <f>23083693977.29</f>
        <v>23083693977.29</v>
      </c>
      <c r="E58" s="26">
        <f>13318331321.28</f>
        <v>13318331321.28</v>
      </c>
      <c r="F58" s="26">
        <f>1471207611.46</f>
        <v>1471207611.46</v>
      </c>
      <c r="G58" s="26">
        <f>1600084.66</f>
        <v>1600084.66</v>
      </c>
      <c r="H58" s="26">
        <f>11797534.42</f>
        <v>11797534.42</v>
      </c>
      <c r="I58" s="105">
        <f>0</f>
        <v>0</v>
      </c>
      <c r="J58" s="106"/>
      <c r="K58" s="35">
        <f t="shared" si="6"/>
        <v>15.271702911448386</v>
      </c>
      <c r="L58" s="35">
        <f t="shared" si="7"/>
        <v>38.30228912060184</v>
      </c>
    </row>
    <row r="59" spans="2:12" ht="22.5" customHeight="1">
      <c r="B59" s="20" t="s">
        <v>13</v>
      </c>
      <c r="C59" s="22">
        <f>34320492961.18</f>
        <v>34320492961.18</v>
      </c>
      <c r="D59" s="22">
        <f>22750061269.69</f>
        <v>22750061269.69</v>
      </c>
      <c r="E59" s="22">
        <f>13013298267.96</f>
        <v>13013298267.96</v>
      </c>
      <c r="F59" s="22">
        <f>1469838511.46</f>
        <v>1469838511.46</v>
      </c>
      <c r="G59" s="22">
        <f>1600084.66</f>
        <v>1600084.66</v>
      </c>
      <c r="H59" s="22">
        <f>11797534.42</f>
        <v>11797534.42</v>
      </c>
      <c r="I59" s="92">
        <f>0</f>
        <v>0</v>
      </c>
      <c r="J59" s="93"/>
      <c r="K59" s="36">
        <f t="shared" si="6"/>
        <v>14.921931302971286</v>
      </c>
      <c r="L59" s="36">
        <f t="shared" si="7"/>
        <v>37.91699111862809</v>
      </c>
    </row>
    <row r="60" spans="2:12" ht="25.5" customHeight="1">
      <c r="B60" s="82" t="s">
        <v>68</v>
      </c>
      <c r="C60" s="26">
        <f aca="true" t="shared" si="8" ref="C60:I60">C57-C58</f>
        <v>102972975448.78998</v>
      </c>
      <c r="D60" s="26">
        <f t="shared" si="8"/>
        <v>87924837141.98999</v>
      </c>
      <c r="E60" s="26">
        <f t="shared" si="8"/>
        <v>73890877753.21</v>
      </c>
      <c r="F60" s="26">
        <f t="shared" si="8"/>
        <v>1679633571.12</v>
      </c>
      <c r="G60" s="26">
        <f t="shared" si="8"/>
        <v>14806236.94</v>
      </c>
      <c r="H60" s="26">
        <f t="shared" si="8"/>
        <v>22888897.259999998</v>
      </c>
      <c r="I60" s="105">
        <f t="shared" si="8"/>
        <v>0</v>
      </c>
      <c r="J60" s="105"/>
      <c r="K60" s="35">
        <f t="shared" si="6"/>
        <v>84.72829708855161</v>
      </c>
      <c r="L60" s="35">
        <f t="shared" si="7"/>
        <v>71.75754359934668</v>
      </c>
    </row>
    <row r="61" spans="2:12" ht="13.5" customHeight="1">
      <c r="B61" s="20" t="s">
        <v>56</v>
      </c>
      <c r="C61" s="22">
        <f>32486164273.28</f>
        <v>32486164273.28</v>
      </c>
      <c r="D61" s="22">
        <f>30096840920.27</f>
        <v>30096840920.27</v>
      </c>
      <c r="E61" s="22">
        <f>23927509346.13</f>
        <v>23927509346.13</v>
      </c>
      <c r="F61" s="22">
        <f>462730856.39</f>
        <v>462730856.39</v>
      </c>
      <c r="G61" s="22">
        <f>417058.33</f>
        <v>417058.33</v>
      </c>
      <c r="H61" s="22">
        <f>3243080.68</f>
        <v>3243080.68</v>
      </c>
      <c r="I61" s="92">
        <f>0</f>
        <v>0</v>
      </c>
      <c r="J61" s="93"/>
      <c r="K61" s="36">
        <f t="shared" si="6"/>
        <v>27.436906721275555</v>
      </c>
      <c r="L61" s="36">
        <f t="shared" si="7"/>
        <v>73.65446146503197</v>
      </c>
    </row>
    <row r="62" spans="2:12" ht="22.5" customHeight="1">
      <c r="B62" s="63" t="s">
        <v>51</v>
      </c>
      <c r="C62" s="68">
        <f>29343489168.07</f>
        <v>29343489168.07</v>
      </c>
      <c r="D62" s="68">
        <f>27288063729.53</f>
        <v>27288063729.53</v>
      </c>
      <c r="E62" s="68">
        <f>21275527825.65</f>
        <v>21275527825.65</v>
      </c>
      <c r="F62" s="68">
        <f>444798345.19</f>
        <v>444798345.19</v>
      </c>
      <c r="G62" s="68">
        <f>416905.62</f>
        <v>416905.62</v>
      </c>
      <c r="H62" s="68">
        <f>2987731.67</f>
        <v>2987731.67</v>
      </c>
      <c r="I62" s="91">
        <f>0</f>
        <v>0</v>
      </c>
      <c r="J62" s="91"/>
      <c r="K62" s="69">
        <f t="shared" si="6"/>
        <v>24.39596465950912</v>
      </c>
      <c r="L62" s="69">
        <f t="shared" si="7"/>
        <v>72.50510566003474</v>
      </c>
    </row>
    <row r="63" spans="2:12" ht="13.5" customHeight="1">
      <c r="B63" s="32" t="s">
        <v>55</v>
      </c>
      <c r="C63" s="24">
        <f>6542057694.29</f>
        <v>6542057694.29</v>
      </c>
      <c r="D63" s="24">
        <f>6024540578.59</f>
        <v>6024540578.59</v>
      </c>
      <c r="E63" s="24">
        <f>4530948945.9</f>
        <v>4530948945.9</v>
      </c>
      <c r="F63" s="24">
        <f>268136046.34</f>
        <v>268136046.34</v>
      </c>
      <c r="G63" s="24">
        <f>81245.24</f>
        <v>81245.24</v>
      </c>
      <c r="H63" s="24">
        <f>1407194.75</f>
        <v>1407194.75</v>
      </c>
      <c r="I63" s="94">
        <f>0</f>
        <v>0</v>
      </c>
      <c r="J63" s="94"/>
      <c r="K63" s="69">
        <f t="shared" si="6"/>
        <v>5.195493680065228</v>
      </c>
      <c r="L63" s="69">
        <f t="shared" si="7"/>
        <v>69.2587738847775</v>
      </c>
    </row>
    <row r="64" spans="2:12" ht="13.5" customHeight="1">
      <c r="B64" s="32" t="s">
        <v>54</v>
      </c>
      <c r="C64" s="68">
        <f>7255608116.19</f>
        <v>7255608116.19</v>
      </c>
      <c r="D64" s="68">
        <f>6166229850.77</f>
        <v>6166229850.77</v>
      </c>
      <c r="E64" s="68">
        <f>5465032977.25</f>
        <v>5465032977.25</v>
      </c>
      <c r="F64" s="68">
        <f>9562042.02</f>
        <v>9562042.02</v>
      </c>
      <c r="G64" s="68">
        <f>56593.57</f>
        <v>56593.57</v>
      </c>
      <c r="H64" s="68">
        <f>419862.61</f>
        <v>419862.61</v>
      </c>
      <c r="I64" s="91">
        <f>0</f>
        <v>0</v>
      </c>
      <c r="J64" s="91"/>
      <c r="K64" s="69">
        <f t="shared" si="6"/>
        <v>6.2665778479678975</v>
      </c>
      <c r="L64" s="69">
        <f t="shared" si="7"/>
        <v>75.32150151626091</v>
      </c>
    </row>
    <row r="65" spans="2:12" ht="13.5" customHeight="1">
      <c r="B65" s="32" t="s">
        <v>53</v>
      </c>
      <c r="C65" s="24">
        <f>861600789.01</f>
        <v>861600789.01</v>
      </c>
      <c r="D65" s="24">
        <f>561890352.38</f>
        <v>561890352.38</v>
      </c>
      <c r="E65" s="24">
        <f>474069604.87</f>
        <v>474069604.87</v>
      </c>
      <c r="F65" s="24">
        <f>26792428.28</f>
        <v>26792428.28</v>
      </c>
      <c r="G65" s="24">
        <f>7452205.15</f>
        <v>7452205.15</v>
      </c>
      <c r="H65" s="24">
        <f>626547.34</f>
        <v>626547.34</v>
      </c>
      <c r="I65" s="94">
        <f>0</f>
        <v>0</v>
      </c>
      <c r="J65" s="94"/>
      <c r="K65" s="69">
        <f t="shared" si="6"/>
        <v>0.5436003948448518</v>
      </c>
      <c r="L65" s="69">
        <f t="shared" si="7"/>
        <v>55.021955749914916</v>
      </c>
    </row>
    <row r="66" spans="2:12" ht="22.5" customHeight="1">
      <c r="B66" s="32" t="s">
        <v>71</v>
      </c>
      <c r="C66" s="68">
        <f>90357464.22</f>
        <v>90357464.22</v>
      </c>
      <c r="D66" s="68">
        <f>7472720.88</f>
        <v>7472720.88</v>
      </c>
      <c r="E66" s="68">
        <f>4560900.69</f>
        <v>4560900.69</v>
      </c>
      <c r="F66" s="68">
        <f>295590.87</f>
        <v>295590.87</v>
      </c>
      <c r="G66" s="68">
        <f>0</f>
        <v>0</v>
      </c>
      <c r="H66" s="68">
        <f>0</f>
        <v>0</v>
      </c>
      <c r="I66" s="91">
        <f>0</f>
        <v>0</v>
      </c>
      <c r="J66" s="91"/>
      <c r="K66" s="69">
        <f t="shared" si="6"/>
        <v>0.005229838383357306</v>
      </c>
      <c r="L66" s="69">
        <f t="shared" si="7"/>
        <v>5.047619174986184</v>
      </c>
    </row>
    <row r="67" spans="2:12" ht="22.5" customHeight="1">
      <c r="B67" s="32" t="s">
        <v>73</v>
      </c>
      <c r="C67" s="68">
        <f>29269606564.06</f>
        <v>29269606564.06</v>
      </c>
      <c r="D67" s="68">
        <f>25304991542.96</f>
        <v>25304991542.96</v>
      </c>
      <c r="E67" s="68">
        <f>22632317293.43</f>
        <v>22632317293.43</v>
      </c>
      <c r="F67" s="68">
        <f>183677287.35</f>
        <v>183677287.35</v>
      </c>
      <c r="G67" s="68">
        <f>103536.54</f>
        <v>103536.54</v>
      </c>
      <c r="H67" s="68">
        <f>560227.87</f>
        <v>560227.87</v>
      </c>
      <c r="I67" s="96">
        <f>0</f>
        <v>0</v>
      </c>
      <c r="J67" s="97"/>
      <c r="K67" s="69">
        <f t="shared" si="6"/>
        <v>25.951751579467416</v>
      </c>
      <c r="L67" s="69">
        <f t="shared" si="7"/>
        <v>77.32361295631526</v>
      </c>
    </row>
    <row r="68" spans="2:12" ht="13.5" customHeight="1">
      <c r="B68" s="32" t="s">
        <v>52</v>
      </c>
      <c r="C68" s="24">
        <f aca="true" t="shared" si="9" ref="C68:J68">C60-C61-C63-C64-C65-C66-C67</f>
        <v>26467580547.73997</v>
      </c>
      <c r="D68" s="24">
        <f t="shared" si="9"/>
        <v>19762871176.13999</v>
      </c>
      <c r="E68" s="24">
        <f t="shared" si="9"/>
        <v>16856438684.939995</v>
      </c>
      <c r="F68" s="24">
        <f t="shared" si="9"/>
        <v>728439319.87</v>
      </c>
      <c r="G68" s="24">
        <f t="shared" si="9"/>
        <v>6695598.1099999985</v>
      </c>
      <c r="H68" s="24">
        <f t="shared" si="9"/>
        <v>16631984.01</v>
      </c>
      <c r="I68" s="91">
        <f t="shared" si="9"/>
        <v>0</v>
      </c>
      <c r="J68" s="91">
        <f t="shared" si="9"/>
        <v>0</v>
      </c>
      <c r="K68" s="69">
        <f t="shared" si="6"/>
        <v>19.328737026547298</v>
      </c>
      <c r="L68" s="69">
        <f t="shared" si="7"/>
        <v>63.68711584549931</v>
      </c>
    </row>
    <row r="69" spans="2:13" ht="18" customHeight="1">
      <c r="B69" s="82" t="s">
        <v>15</v>
      </c>
      <c r="C69" s="26">
        <f>C6-C57</f>
        <v>-13533323630.299988</v>
      </c>
      <c r="D69" s="26"/>
      <c r="E69" s="26">
        <f>D6-E57</f>
        <v>3396447536.830002</v>
      </c>
      <c r="F69" s="26"/>
      <c r="G69" s="26"/>
      <c r="H69" s="26"/>
      <c r="I69" s="105"/>
      <c r="J69" s="105"/>
      <c r="K69" s="27"/>
      <c r="L69" s="27"/>
      <c r="M69" s="13"/>
    </row>
    <row r="70" spans="2:13" ht="33" customHeight="1">
      <c r="B70" s="84" t="s">
        <v>76</v>
      </c>
      <c r="C70" s="26">
        <f>+C49-C60</f>
        <v>5702085904.890015</v>
      </c>
      <c r="D70" s="26"/>
      <c r="E70" s="26">
        <f>+D49-E60</f>
        <v>11623084872.410004</v>
      </c>
      <c r="F70" s="26"/>
      <c r="G70" s="26"/>
      <c r="H70" s="26"/>
      <c r="I70" s="26"/>
      <c r="J70" s="26"/>
      <c r="K70" s="27"/>
      <c r="L70" s="27"/>
      <c r="M70" s="13"/>
    </row>
    <row r="71" spans="2:13" ht="8.25" customHeight="1" thickBot="1">
      <c r="B71" s="70"/>
      <c r="C71" s="71"/>
      <c r="D71" s="71"/>
      <c r="E71" s="71"/>
      <c r="F71" s="71"/>
      <c r="G71" s="71"/>
      <c r="H71" s="71"/>
      <c r="I71" s="71"/>
      <c r="J71" s="71"/>
      <c r="K71" s="27"/>
      <c r="L71" s="27"/>
      <c r="M71" s="13"/>
    </row>
    <row r="72" spans="2:13" ht="14.25" customHeight="1">
      <c r="B72" s="85" t="s">
        <v>77</v>
      </c>
      <c r="C72" s="71"/>
      <c r="D72" s="71"/>
      <c r="E72" s="71"/>
      <c r="F72" s="71"/>
      <c r="G72" s="71"/>
      <c r="H72" s="71"/>
      <c r="I72" s="71"/>
      <c r="J72" s="71"/>
      <c r="K72" s="27"/>
      <c r="L72" s="27"/>
      <c r="M72" s="13"/>
    </row>
    <row r="73" spans="2:13" ht="24" customHeight="1">
      <c r="B73" s="82" t="s">
        <v>78</v>
      </c>
      <c r="C73" s="41">
        <f>16065481054.28</f>
        <v>16065481054.28</v>
      </c>
      <c r="D73" s="41">
        <f>10496480620.57</f>
        <v>10496480620.57</v>
      </c>
      <c r="E73" s="41">
        <f>6349718240.15</f>
        <v>6349718240.15</v>
      </c>
      <c r="F73" s="41">
        <f>536638428.23</f>
        <v>536638428.23</v>
      </c>
      <c r="G73" s="41">
        <f>1212797.13</f>
        <v>1212797.13</v>
      </c>
      <c r="H73" s="41">
        <f>8513221.69</f>
        <v>8513221.69</v>
      </c>
      <c r="I73" s="41">
        <f>0</f>
        <v>0</v>
      </c>
      <c r="J73" s="41">
        <f>0</f>
        <v>0</v>
      </c>
      <c r="K73" s="72">
        <f>IF($E$57=0,"",100*$E73/$E$73)</f>
        <v>100</v>
      </c>
      <c r="L73" s="72">
        <f>IF(C73=0,"",100*E73/C73)</f>
        <v>39.52398449007771</v>
      </c>
      <c r="M73" s="13"/>
    </row>
    <row r="74" spans="2:13" ht="15" customHeight="1">
      <c r="B74" s="86" t="s">
        <v>79</v>
      </c>
      <c r="C74" s="22">
        <f>14958110545.76</f>
        <v>14958110545.76</v>
      </c>
      <c r="D74" s="22">
        <f>9839818573</f>
        <v>9839818573</v>
      </c>
      <c r="E74" s="22">
        <f>5822478176.55</f>
        <v>5822478176.55</v>
      </c>
      <c r="F74" s="22">
        <f>526536254.16</f>
        <v>526536254.16</v>
      </c>
      <c r="G74" s="22">
        <f>1212797.13</f>
        <v>1212797.13</v>
      </c>
      <c r="H74" s="22">
        <f>7572922.93</f>
        <v>7572922.93</v>
      </c>
      <c r="I74" s="22">
        <f>0</f>
        <v>0</v>
      </c>
      <c r="J74" s="22">
        <f>0</f>
        <v>0</v>
      </c>
      <c r="K74" s="36">
        <f>IF($E$57=0,"",100*$E74/$E$73)</f>
        <v>91.69663843875465</v>
      </c>
      <c r="L74" s="36">
        <f>IF(C74=0,"",100*E74/C74)</f>
        <v>38.92522493892405</v>
      </c>
      <c r="M74" s="13"/>
    </row>
    <row r="75" spans="2:13" ht="14.25" customHeight="1">
      <c r="B75" s="87" t="s">
        <v>80</v>
      </c>
      <c r="C75" s="22">
        <f>+C73-C74</f>
        <v>1107370508.5200005</v>
      </c>
      <c r="D75" s="22">
        <f aca="true" t="shared" si="10" ref="D75:J75">+D73-D74</f>
        <v>656662047.5699997</v>
      </c>
      <c r="E75" s="22">
        <f t="shared" si="10"/>
        <v>527240063.5999994</v>
      </c>
      <c r="F75" s="22">
        <f t="shared" si="10"/>
        <v>10102174.069999993</v>
      </c>
      <c r="G75" s="22">
        <f t="shared" si="10"/>
        <v>0</v>
      </c>
      <c r="H75" s="22">
        <f t="shared" si="10"/>
        <v>940298.7599999998</v>
      </c>
      <c r="I75" s="22">
        <f t="shared" si="10"/>
        <v>0</v>
      </c>
      <c r="J75" s="22">
        <f t="shared" si="10"/>
        <v>0</v>
      </c>
      <c r="K75" s="36">
        <f>IF($E$57=0,"",100*$E75/$E$73)</f>
        <v>8.303361561245344</v>
      </c>
      <c r="L75" s="36">
        <f>IF(C75=0,"",100*E75/C75)</f>
        <v>47.611893177889954</v>
      </c>
      <c r="M75" s="10"/>
    </row>
    <row r="76" spans="2:13" ht="15">
      <c r="B76" s="103" t="s">
        <v>114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ht="6.75" customHeight="1"/>
    <row r="78" spans="2:8" ht="18" customHeight="1">
      <c r="B78" s="81" t="s">
        <v>16</v>
      </c>
      <c r="C78" s="98" t="s">
        <v>17</v>
      </c>
      <c r="D78" s="99"/>
      <c r="E78" s="98" t="s">
        <v>1</v>
      </c>
      <c r="F78" s="99"/>
      <c r="G78" s="19" t="s">
        <v>26</v>
      </c>
      <c r="H78" s="19" t="s">
        <v>27</v>
      </c>
    </row>
    <row r="79" spans="2:10" ht="13.5" customHeight="1">
      <c r="B79" s="40"/>
      <c r="C79" s="100" t="s">
        <v>81</v>
      </c>
      <c r="D79" s="101"/>
      <c r="E79" s="101"/>
      <c r="F79" s="102"/>
      <c r="G79" s="112" t="s">
        <v>4</v>
      </c>
      <c r="H79" s="113"/>
      <c r="J79" s="14"/>
    </row>
    <row r="80" spans="2:10" ht="11.25" customHeight="1">
      <c r="B80" s="39">
        <v>1</v>
      </c>
      <c r="C80" s="42">
        <v>2</v>
      </c>
      <c r="D80" s="43"/>
      <c r="E80" s="42">
        <v>3</v>
      </c>
      <c r="F80" s="43"/>
      <c r="G80" s="30">
        <v>4</v>
      </c>
      <c r="H80" s="30">
        <v>5</v>
      </c>
      <c r="J80" s="10"/>
    </row>
    <row r="81" spans="2:8" ht="25.5" customHeight="1">
      <c r="B81" s="80" t="s">
        <v>69</v>
      </c>
      <c r="C81" s="44">
        <f>18167808237.64</f>
        <v>18167808237.64</v>
      </c>
      <c r="D81" s="45"/>
      <c r="E81" s="44">
        <f>11696470232.28</f>
        <v>11696470232.28</v>
      </c>
      <c r="F81" s="45"/>
      <c r="G81" s="37">
        <f aca="true" t="shared" si="11" ref="G81:G88">IF($E$81=0,"",100*$E81/$E$81)</f>
        <v>100</v>
      </c>
      <c r="H81" s="35">
        <f>IF(C81=0,"",100*E81/C81)</f>
        <v>64.38019423855044</v>
      </c>
    </row>
    <row r="82" spans="2:8" ht="26.25" customHeight="1">
      <c r="B82" s="60" t="s">
        <v>99</v>
      </c>
      <c r="C82" s="46">
        <f>11406766605.76</f>
        <v>11406766605.76</v>
      </c>
      <c r="D82" s="47"/>
      <c r="E82" s="46">
        <f>3232433300.47</f>
        <v>3232433300.47</v>
      </c>
      <c r="F82" s="47"/>
      <c r="G82" s="56">
        <f t="shared" si="11"/>
        <v>27.635972530833342</v>
      </c>
      <c r="H82" s="57">
        <f aca="true" t="shared" si="12" ref="H82:H93">IF(C82=0,"",100*E82/C82)</f>
        <v>28.33785780133118</v>
      </c>
    </row>
    <row r="83" spans="2:8" ht="22.5">
      <c r="B83" s="73" t="s">
        <v>100</v>
      </c>
      <c r="C83" s="74">
        <f>385987739.7</f>
        <v>385987739.7</v>
      </c>
      <c r="D83" s="75"/>
      <c r="E83" s="74">
        <f>75996000</f>
        <v>75996000</v>
      </c>
      <c r="F83" s="75"/>
      <c r="G83" s="76">
        <f t="shared" si="11"/>
        <v>0.6497344796404108</v>
      </c>
      <c r="H83" s="67">
        <f t="shared" si="12"/>
        <v>19.68870826287543</v>
      </c>
    </row>
    <row r="84" spans="2:8" ht="12.75">
      <c r="B84" s="77" t="s">
        <v>101</v>
      </c>
      <c r="C84" s="74">
        <f>66225604.71</f>
        <v>66225604.71</v>
      </c>
      <c r="D84" s="75"/>
      <c r="E84" s="74">
        <f>21040493.96</f>
        <v>21040493.96</v>
      </c>
      <c r="F84" s="75"/>
      <c r="G84" s="76">
        <f t="shared" si="11"/>
        <v>0.17988755190375552</v>
      </c>
      <c r="H84" s="67">
        <f t="shared" si="12"/>
        <v>31.770935202684388</v>
      </c>
    </row>
    <row r="85" spans="2:8" ht="12.75">
      <c r="B85" s="77" t="s">
        <v>102</v>
      </c>
      <c r="C85" s="74">
        <f>1955137841.41</f>
        <v>1955137841.41</v>
      </c>
      <c r="D85" s="75"/>
      <c r="E85" s="74">
        <f>2486693876.14</f>
        <v>2486693876.14</v>
      </c>
      <c r="F85" s="75"/>
      <c r="G85" s="76">
        <f t="shared" si="11"/>
        <v>21.260207795657912</v>
      </c>
      <c r="H85" s="67">
        <f t="shared" si="12"/>
        <v>127.18765007108931</v>
      </c>
    </row>
    <row r="86" spans="2:8" ht="13.5" customHeight="1">
      <c r="B86" s="77" t="s">
        <v>103</v>
      </c>
      <c r="C86" s="74">
        <f>0</f>
        <v>0</v>
      </c>
      <c r="D86" s="75"/>
      <c r="E86" s="74">
        <f>0.53</f>
        <v>0.53</v>
      </c>
      <c r="F86" s="75"/>
      <c r="G86" s="76">
        <f t="shared" si="11"/>
        <v>4.531281570206559E-09</v>
      </c>
      <c r="H86" s="67">
        <f t="shared" si="12"/>
      </c>
    </row>
    <row r="87" spans="2:8" ht="40.5" customHeight="1">
      <c r="B87" s="77" t="s">
        <v>83</v>
      </c>
      <c r="C87" s="74">
        <f>4678163291.03</f>
        <v>4678163291.03</v>
      </c>
      <c r="D87" s="75"/>
      <c r="E87" s="74">
        <f>5714967163.25</f>
        <v>5714967163.25</v>
      </c>
      <c r="F87" s="75"/>
      <c r="G87" s="76">
        <f t="shared" si="11"/>
        <v>48.860613926736576</v>
      </c>
      <c r="H87" s="67">
        <f t="shared" si="12"/>
        <v>122.16262681997415</v>
      </c>
    </row>
    <row r="88" spans="2:8" ht="12.75">
      <c r="B88" s="77" t="s">
        <v>84</v>
      </c>
      <c r="C88" s="74">
        <f>61514894.73</f>
        <v>61514894.73</v>
      </c>
      <c r="D88" s="75"/>
      <c r="E88" s="74">
        <f>241335397.93</f>
        <v>241335397.93</v>
      </c>
      <c r="F88" s="75"/>
      <c r="G88" s="76">
        <f t="shared" si="11"/>
        <v>2.063318190337123</v>
      </c>
      <c r="H88" s="67">
        <f t="shared" si="12"/>
        <v>392.32026485498307</v>
      </c>
    </row>
    <row r="89" spans="2:8" ht="25.5" customHeight="1">
      <c r="B89" s="80" t="s">
        <v>70</v>
      </c>
      <c r="C89" s="54">
        <f>4621036312.43</f>
        <v>4621036312.43</v>
      </c>
      <c r="D89" s="55"/>
      <c r="E89" s="54">
        <f>3619618363.72</f>
        <v>3619618363.72</v>
      </c>
      <c r="F89" s="55"/>
      <c r="G89" s="37">
        <f>IF($E$89=0,"",100*$E89/$E$89)</f>
        <v>100</v>
      </c>
      <c r="H89" s="35">
        <f t="shared" si="12"/>
        <v>78.32914781439148</v>
      </c>
    </row>
    <row r="90" spans="2:8" ht="36" customHeight="1">
      <c r="B90" s="60" t="s">
        <v>104</v>
      </c>
      <c r="C90" s="46">
        <f>4001711160.93</f>
        <v>4001711160.93</v>
      </c>
      <c r="D90" s="52"/>
      <c r="E90" s="53">
        <f>2623699095.05</f>
        <v>2623699095.05</v>
      </c>
      <c r="F90" s="52"/>
      <c r="G90" s="56">
        <f>IF($E$89=0,"",100*$E90/$E$89)</f>
        <v>72.48551729507581</v>
      </c>
      <c r="H90" s="57">
        <f t="shared" si="12"/>
        <v>65.5644295536875</v>
      </c>
    </row>
    <row r="91" spans="2:8" ht="24.75" customHeight="1">
      <c r="B91" s="77" t="s">
        <v>105</v>
      </c>
      <c r="C91" s="74">
        <f>36077683</f>
        <v>36077683</v>
      </c>
      <c r="D91" s="75"/>
      <c r="E91" s="74">
        <f>14525999</f>
        <v>14525999</v>
      </c>
      <c r="F91" s="75"/>
      <c r="G91" s="76">
        <f>IF($E$89=0,"",100*$E91/$E$89)</f>
        <v>0.4013129987845226</v>
      </c>
      <c r="H91" s="67">
        <f t="shared" si="12"/>
        <v>40.26311501212536</v>
      </c>
    </row>
    <row r="92" spans="2:8" ht="12.75">
      <c r="B92" s="73" t="s">
        <v>106</v>
      </c>
      <c r="C92" s="74">
        <f>75049047.39</f>
        <v>75049047.39</v>
      </c>
      <c r="D92" s="75"/>
      <c r="E92" s="74">
        <f>43888963.91</f>
        <v>43888963.91</v>
      </c>
      <c r="F92" s="75"/>
      <c r="G92" s="76">
        <f>IF($E$89=0,"",100*$E92/$E$89)</f>
        <v>1.2125301482030797</v>
      </c>
      <c r="H92" s="67">
        <f t="shared" si="12"/>
        <v>58.48037441691503</v>
      </c>
    </row>
    <row r="93" spans="2:8" ht="12.75">
      <c r="B93" s="77" t="s">
        <v>33</v>
      </c>
      <c r="C93" s="74">
        <f>544276104.11</f>
        <v>544276104.11</v>
      </c>
      <c r="D93" s="75"/>
      <c r="E93" s="74">
        <f>952030304.76</f>
        <v>952030304.76</v>
      </c>
      <c r="F93" s="75"/>
      <c r="G93" s="76">
        <f>IF($E$89=0,"",100*$E93/$E$89)</f>
        <v>26.30195255672113</v>
      </c>
      <c r="H93" s="67">
        <f t="shared" si="12"/>
        <v>174.9167927033577</v>
      </c>
    </row>
    <row r="94" ht="7.5" customHeight="1"/>
    <row r="95" spans="2:8" ht="12.75">
      <c r="B95" s="81" t="s">
        <v>16</v>
      </c>
      <c r="C95" s="98" t="s">
        <v>17</v>
      </c>
      <c r="D95" s="99"/>
      <c r="E95" s="98" t="s">
        <v>1</v>
      </c>
      <c r="F95" s="99"/>
      <c r="G95" s="19" t="s">
        <v>26</v>
      </c>
      <c r="H95" s="19" t="s">
        <v>27</v>
      </c>
    </row>
    <row r="96" spans="2:8" ht="12.75">
      <c r="B96" s="40"/>
      <c r="C96" s="100" t="s">
        <v>81</v>
      </c>
      <c r="D96" s="101"/>
      <c r="E96" s="101"/>
      <c r="F96" s="102"/>
      <c r="G96" s="112" t="s">
        <v>4</v>
      </c>
      <c r="H96" s="113"/>
    </row>
    <row r="97" spans="2:8" ht="12.75">
      <c r="B97" s="39">
        <v>1</v>
      </c>
      <c r="C97" s="42">
        <v>2</v>
      </c>
      <c r="D97" s="43"/>
      <c r="E97" s="42">
        <v>3</v>
      </c>
      <c r="F97" s="43"/>
      <c r="G97" s="30">
        <v>4</v>
      </c>
      <c r="H97" s="30">
        <v>5</v>
      </c>
    </row>
    <row r="98" spans="2:8" ht="31.5" customHeight="1">
      <c r="B98" s="61" t="s">
        <v>85</v>
      </c>
      <c r="C98" s="51">
        <f>13647993459.19</f>
        <v>13647993459.19</v>
      </c>
      <c r="D98" s="48"/>
      <c r="E98" s="51">
        <f>0</f>
        <v>0</v>
      </c>
      <c r="F98" s="45"/>
      <c r="G98" s="37"/>
      <c r="H98" s="35"/>
    </row>
    <row r="99" spans="2:8" ht="47.25" customHeight="1">
      <c r="B99" s="59" t="s">
        <v>86</v>
      </c>
      <c r="C99" s="53">
        <f>314090647.37</f>
        <v>314090647.37</v>
      </c>
      <c r="D99" s="52"/>
      <c r="E99" s="53">
        <f>0</f>
        <v>0</v>
      </c>
      <c r="F99" s="52"/>
      <c r="G99" s="56"/>
      <c r="H99" s="57"/>
    </row>
    <row r="100" spans="2:8" ht="12.75">
      <c r="B100" s="59" t="s">
        <v>87</v>
      </c>
      <c r="C100" s="53">
        <f>8678976336.88</f>
        <v>8678976336.88</v>
      </c>
      <c r="D100" s="52"/>
      <c r="E100" s="53">
        <f>0</f>
        <v>0</v>
      </c>
      <c r="F100" s="52"/>
      <c r="G100" s="56"/>
      <c r="H100" s="57"/>
    </row>
    <row r="101" spans="2:8" ht="25.5" customHeight="1">
      <c r="B101" s="59" t="s">
        <v>88</v>
      </c>
      <c r="C101" s="53">
        <f>0</f>
        <v>0</v>
      </c>
      <c r="D101" s="52"/>
      <c r="E101" s="53">
        <f>0</f>
        <v>0</v>
      </c>
      <c r="F101" s="52"/>
      <c r="G101" s="56"/>
      <c r="H101" s="57"/>
    </row>
    <row r="102" spans="2:8" ht="33.75">
      <c r="B102" s="59" t="s">
        <v>89</v>
      </c>
      <c r="C102" s="53">
        <f>1364503145.32</f>
        <v>1364503145.32</v>
      </c>
      <c r="D102" s="52"/>
      <c r="E102" s="53">
        <f>0</f>
        <v>0</v>
      </c>
      <c r="F102" s="52"/>
      <c r="G102" s="56"/>
      <c r="H102" s="57"/>
    </row>
    <row r="103" spans="2:8" ht="85.5" customHeight="1">
      <c r="B103" s="59" t="s">
        <v>90</v>
      </c>
      <c r="C103" s="53">
        <f>3290423329.62</f>
        <v>3290423329.62</v>
      </c>
      <c r="D103" s="52"/>
      <c r="E103" s="53">
        <f>0</f>
        <v>0</v>
      </c>
      <c r="F103" s="52"/>
      <c r="G103" s="56"/>
      <c r="H103" s="57"/>
    </row>
    <row r="104" ht="7.5" customHeight="1"/>
    <row r="105" spans="2:6" ht="12.75">
      <c r="B105" s="81" t="s">
        <v>16</v>
      </c>
      <c r="C105" s="98" t="s">
        <v>109</v>
      </c>
      <c r="D105" s="114"/>
      <c r="E105" s="114"/>
      <c r="F105" s="99"/>
    </row>
    <row r="106" spans="2:6" ht="12.75">
      <c r="B106" s="40"/>
      <c r="C106" s="100" t="s">
        <v>81</v>
      </c>
      <c r="D106" s="101"/>
      <c r="E106" s="101"/>
      <c r="F106" s="102"/>
    </row>
    <row r="107" spans="2:6" ht="12.75">
      <c r="B107" s="39">
        <v>1</v>
      </c>
      <c r="C107" s="88">
        <v>2</v>
      </c>
      <c r="D107" s="89"/>
      <c r="E107" s="89"/>
      <c r="F107" s="90"/>
    </row>
    <row r="108" spans="2:6" ht="48.75" customHeight="1">
      <c r="B108" s="79" t="s">
        <v>91</v>
      </c>
      <c r="C108" s="115">
        <f>383112212.55</f>
        <v>383112212.55</v>
      </c>
      <c r="D108" s="114"/>
      <c r="E108" s="114"/>
      <c r="F108" s="99"/>
    </row>
    <row r="109" spans="2:6" ht="36.75" customHeight="1">
      <c r="B109" s="59" t="s">
        <v>92</v>
      </c>
      <c r="C109" s="115">
        <f>0</f>
        <v>0</v>
      </c>
      <c r="D109" s="114"/>
      <c r="E109" s="114"/>
      <c r="F109" s="99"/>
    </row>
    <row r="110" spans="2:6" ht="37.5" customHeight="1">
      <c r="B110" s="59" t="s">
        <v>93</v>
      </c>
      <c r="C110" s="115">
        <f>0</f>
        <v>0</v>
      </c>
      <c r="D110" s="114"/>
      <c r="E110" s="114"/>
      <c r="F110" s="99"/>
    </row>
    <row r="111" spans="2:6" ht="73.5" customHeight="1">
      <c r="B111" s="59" t="s">
        <v>94</v>
      </c>
      <c r="C111" s="115">
        <f>0</f>
        <v>0</v>
      </c>
      <c r="D111" s="114"/>
      <c r="E111" s="114"/>
      <c r="F111" s="99"/>
    </row>
    <row r="112" spans="2:6" ht="56.25">
      <c r="B112" s="59" t="s">
        <v>95</v>
      </c>
      <c r="C112" s="115">
        <f>0</f>
        <v>0</v>
      </c>
      <c r="D112" s="114"/>
      <c r="E112" s="114"/>
      <c r="F112" s="99"/>
    </row>
    <row r="113" spans="2:6" ht="61.5" customHeight="1">
      <c r="B113" s="78" t="s">
        <v>96</v>
      </c>
      <c r="C113" s="115">
        <f>0</f>
        <v>0</v>
      </c>
      <c r="D113" s="114"/>
      <c r="E113" s="114"/>
      <c r="F113" s="99"/>
    </row>
    <row r="114" spans="2:6" ht="49.5" customHeight="1">
      <c r="B114" s="78" t="s">
        <v>97</v>
      </c>
      <c r="C114" s="115">
        <f>0</f>
        <v>0</v>
      </c>
      <c r="D114" s="114"/>
      <c r="E114" s="114"/>
      <c r="F114" s="99"/>
    </row>
    <row r="115" spans="2:6" ht="87" customHeight="1">
      <c r="B115" s="78" t="s">
        <v>107</v>
      </c>
      <c r="C115" s="115">
        <f>0</f>
        <v>0</v>
      </c>
      <c r="D115" s="114"/>
      <c r="E115" s="114"/>
      <c r="F115" s="99"/>
    </row>
    <row r="116" spans="2:6" ht="81" customHeight="1">
      <c r="B116" s="78" t="s">
        <v>108</v>
      </c>
      <c r="C116" s="115">
        <f>0</f>
        <v>0</v>
      </c>
      <c r="D116" s="114"/>
      <c r="E116" s="114"/>
      <c r="F116" s="99"/>
    </row>
    <row r="117" ht="7.5" customHeight="1"/>
  </sheetData>
  <sheetProtection/>
  <mergeCells count="52"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06:F106"/>
    <mergeCell ref="C95:D95"/>
    <mergeCell ref="E95:F95"/>
    <mergeCell ref="C96:F96"/>
    <mergeCell ref="G96:H96"/>
    <mergeCell ref="C105:F105"/>
    <mergeCell ref="G79:H79"/>
    <mergeCell ref="C4:J4"/>
    <mergeCell ref="C55:J55"/>
    <mergeCell ref="C52:C54"/>
    <mergeCell ref="I68:J68"/>
    <mergeCell ref="I69:J69"/>
    <mergeCell ref="B76:M76"/>
    <mergeCell ref="B52:B55"/>
    <mergeCell ref="K52:K54"/>
    <mergeCell ref="K55:L55"/>
    <mergeCell ref="B1:M1"/>
    <mergeCell ref="I52:J54"/>
    <mergeCell ref="D52:D54"/>
    <mergeCell ref="E52:E54"/>
    <mergeCell ref="F53:F54"/>
    <mergeCell ref="F52:H52"/>
    <mergeCell ref="G53:H53"/>
    <mergeCell ref="L52:L54"/>
    <mergeCell ref="B3:B4"/>
    <mergeCell ref="K4:M4"/>
    <mergeCell ref="B50:M50"/>
    <mergeCell ref="I65:J65"/>
    <mergeCell ref="I66:J66"/>
    <mergeCell ref="I57:J57"/>
    <mergeCell ref="I58:J58"/>
    <mergeCell ref="I59:J59"/>
    <mergeCell ref="I60:J60"/>
    <mergeCell ref="C107:F107"/>
    <mergeCell ref="I62:J62"/>
    <mergeCell ref="I61:J61"/>
    <mergeCell ref="I63:J63"/>
    <mergeCell ref="I64:J64"/>
    <mergeCell ref="I56:J56"/>
    <mergeCell ref="I67:J67"/>
    <mergeCell ref="C78:D78"/>
    <mergeCell ref="E78:F78"/>
    <mergeCell ref="C79:F79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6" manualBreakCount="6">
    <brk id="21" max="255" man="1"/>
    <brk id="49" max="255" man="1"/>
    <brk id="75" max="255" man="1"/>
    <brk id="94" max="12" man="1"/>
    <brk id="103" max="12" man="1"/>
    <brk id="116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2018-03-19T09:08:58Z</cp:lastPrinted>
  <dcterms:created xsi:type="dcterms:W3CDTF">2001-05-17T08:58:03Z</dcterms:created>
  <dcterms:modified xsi:type="dcterms:W3CDTF">2018-11-19T09:06:09Z</dcterms:modified>
  <cp:category/>
  <cp:version/>
  <cp:contentType/>
  <cp:contentStatus/>
</cp:coreProperties>
</file>