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/>
  <c r="A77" i="7" s="1"/>
  <c r="A34" i="7" l="1"/>
  <c r="A9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<sst xmlns="http://schemas.openxmlformats.org/spreadsheetml/2006/main" count="97" uniqueCount="81">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</sst>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II Kwartały 2022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32476850796.33</f>
        <v>32476850796.330002</v>
      </c>
      <c r="C13" s="28">
        <f>32476849904.2</f>
        <v>32476849904.200001</v>
      </c>
      <c r="D13" s="28">
        <f>2465910071.4</f>
        <v>2465910071.4000001</v>
      </c>
      <c r="E13" s="28">
        <f>251769298.21</f>
        <v>251769298.21000001</v>
      </c>
      <c r="F13" s="28">
        <f>383084295.84</f>
        <v>383084295.83999997</v>
      </c>
      <c r="G13" s="28">
        <f>1828928978.91</f>
        <v>1828928978.9100001</v>
      </c>
      <c r="H13" s="28">
        <f>2127498.44</f>
        <v>2127498.44</v>
      </c>
      <c r="I13" s="28">
        <f>0</f>
        <v>0</v>
      </c>
      <c r="J13" s="28">
        <f>28237323752.05</f>
        <v>28237323752.049999</v>
      </c>
      <c r="K13" s="28">
        <f>1507051781.34</f>
        <v>1507051781.3399999</v>
      </c>
      <c r="L13" s="28">
        <f>231593947.48</f>
        <v>231593947.47999999</v>
      </c>
      <c r="M13" s="28">
        <f>19363412.19</f>
        <v>19363412.190000001</v>
      </c>
      <c r="N13" s="28">
        <f>15606939.74</f>
        <v>15606939.74</v>
      </c>
      <c r="O13" s="28">
        <f>892.13</f>
        <v>892.13</v>
      </c>
      <c r="P13" s="28">
        <f>0</f>
        <v>0</v>
      </c>
      <c r="Q13" s="28">
        <f>892.13</f>
        <v>892.13</v>
      </c>
    </row>
    <row r="14" spans="1:17" ht="26.25" customHeight="1" x14ac:dyDescent="0.2">
      <c r="A14" s="29" t="s">
        <v>47</v>
      </c>
      <c r="B14" s="28">
        <f>780264458.58</f>
        <v>780264458.58000004</v>
      </c>
      <c r="C14" s="28">
        <f>780264458.58</f>
        <v>780264458.58000004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703026627.8</f>
        <v>703026627.79999995</v>
      </c>
      <c r="K14" s="28">
        <f>77137000</f>
        <v>77137000</v>
      </c>
      <c r="L14" s="28">
        <f>100830.78</f>
        <v>100830.78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4000000</f>
        <v>4000000</v>
      </c>
      <c r="C15" s="33">
        <f>4000000</f>
        <v>4000000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4000000</f>
        <v>4000000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776264458.58</f>
        <v>776264458.58000004</v>
      </c>
      <c r="C16" s="33">
        <f>776264458.58</f>
        <v>776264458.58000004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699026627.8</f>
        <v>699026627.79999995</v>
      </c>
      <c r="K16" s="33">
        <f>77137000</f>
        <v>77137000</v>
      </c>
      <c r="L16" s="33">
        <f>100830.78</f>
        <v>100830.78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31658275893.72</f>
        <v>31658275893.720001</v>
      </c>
      <c r="C17" s="28">
        <f>31658275893.72</f>
        <v>31658275893.720001</v>
      </c>
      <c r="D17" s="28">
        <f>2452137418.85</f>
        <v>2452137418.8499999</v>
      </c>
      <c r="E17" s="28">
        <f>251667023.96</f>
        <v>251667023.96000001</v>
      </c>
      <c r="F17" s="28">
        <f>382987700.83</f>
        <v>382987700.82999998</v>
      </c>
      <c r="G17" s="28">
        <f>1817482694.06</f>
        <v>1817482694.0599999</v>
      </c>
      <c r="H17" s="28">
        <f>0</f>
        <v>0</v>
      </c>
      <c r="I17" s="28">
        <f>0</f>
        <v>0</v>
      </c>
      <c r="J17" s="28">
        <f>27533661292.93</f>
        <v>27533661292.93</v>
      </c>
      <c r="K17" s="28">
        <f>1429900647.03</f>
        <v>1429900647.03</v>
      </c>
      <c r="L17" s="28">
        <f>217680349.96</f>
        <v>217680349.96000001</v>
      </c>
      <c r="M17" s="28">
        <f>12048145.3</f>
        <v>12048145.300000001</v>
      </c>
      <c r="N17" s="28">
        <f>12848039.65</f>
        <v>12848039.65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260112576.66</f>
        <v>260112576.66</v>
      </c>
      <c r="C18" s="33">
        <f>260112576.66</f>
        <v>260112576.66</v>
      </c>
      <c r="D18" s="33">
        <f>30584667.83</f>
        <v>30584667.829999998</v>
      </c>
      <c r="E18" s="33">
        <f>15798937.83</f>
        <v>15798937.83</v>
      </c>
      <c r="F18" s="33">
        <f>1251500</f>
        <v>1251500</v>
      </c>
      <c r="G18" s="33">
        <f>13534230</f>
        <v>13534230</v>
      </c>
      <c r="H18" s="33">
        <f>0</f>
        <v>0</v>
      </c>
      <c r="I18" s="33">
        <f>0</f>
        <v>0</v>
      </c>
      <c r="J18" s="33">
        <f>228034566.18</f>
        <v>228034566.18000001</v>
      </c>
      <c r="K18" s="33">
        <f>58823.55</f>
        <v>58823.55</v>
      </c>
      <c r="L18" s="33">
        <f>810401.45</f>
        <v>810401.45</v>
      </c>
      <c r="M18" s="33">
        <f>450000</f>
        <v>450000</v>
      </c>
      <c r="N18" s="33">
        <f>174117.65</f>
        <v>174117.65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31398163317.06</f>
        <v>31398163317.060001</v>
      </c>
      <c r="C19" s="33">
        <f>31398163317.06</f>
        <v>31398163317.060001</v>
      </c>
      <c r="D19" s="33">
        <f>2421552751.02</f>
        <v>2421552751.02</v>
      </c>
      <c r="E19" s="33">
        <f>235868086.13</f>
        <v>235868086.13</v>
      </c>
      <c r="F19" s="33">
        <f>381736200.83</f>
        <v>381736200.82999998</v>
      </c>
      <c r="G19" s="33">
        <f>1803948464.06</f>
        <v>1803948464.0599999</v>
      </c>
      <c r="H19" s="33">
        <f>0</f>
        <v>0</v>
      </c>
      <c r="I19" s="33">
        <f>0</f>
        <v>0</v>
      </c>
      <c r="J19" s="33">
        <f>27305626726.75</f>
        <v>27305626726.75</v>
      </c>
      <c r="K19" s="33">
        <f>1429841823.48</f>
        <v>1429841823.48</v>
      </c>
      <c r="L19" s="33">
        <f>216869948.51</f>
        <v>216869948.50999999</v>
      </c>
      <c r="M19" s="33">
        <f>11598145.3</f>
        <v>11598145.300000001</v>
      </c>
      <c r="N19" s="33">
        <f>12673922</f>
        <v>12673922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0</f>
        <v>0</v>
      </c>
      <c r="C20" s="28">
        <f>0</f>
        <v>0</v>
      </c>
      <c r="D20" s="28">
        <f>0</f>
        <v>0</v>
      </c>
      <c r="E20" s="28">
        <f>0</f>
        <v>0</v>
      </c>
      <c r="F20" s="28">
        <f>0</f>
        <v>0</v>
      </c>
      <c r="G20" s="28">
        <f>0</f>
        <v>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38310444.03</f>
        <v>38310444.030000001</v>
      </c>
      <c r="C21" s="28">
        <f>38309551.9</f>
        <v>38309551.899999999</v>
      </c>
      <c r="D21" s="28">
        <f>13772652.55</f>
        <v>13772652.550000001</v>
      </c>
      <c r="E21" s="28">
        <f>102274.25</f>
        <v>102274.25</v>
      </c>
      <c r="F21" s="28">
        <f>96595.01</f>
        <v>96595.01</v>
      </c>
      <c r="G21" s="28">
        <f>11446284.85</f>
        <v>11446284.85</v>
      </c>
      <c r="H21" s="28">
        <f>2127498.44</f>
        <v>2127498.44</v>
      </c>
      <c r="I21" s="28">
        <f>0</f>
        <v>0</v>
      </c>
      <c r="J21" s="28">
        <f>635831.32</f>
        <v>635831.31999999995</v>
      </c>
      <c r="K21" s="28">
        <f>14134.31</f>
        <v>14134.31</v>
      </c>
      <c r="L21" s="28">
        <f>13812766.74</f>
        <v>13812766.74</v>
      </c>
      <c r="M21" s="28">
        <f>7315266.89</f>
        <v>7315266.8899999997</v>
      </c>
      <c r="N21" s="28">
        <f>2758900.09</f>
        <v>2758900.09</v>
      </c>
      <c r="O21" s="28">
        <f>892.13</f>
        <v>892.13</v>
      </c>
      <c r="P21" s="28">
        <f>0</f>
        <v>0</v>
      </c>
      <c r="Q21" s="28">
        <f>892.13</f>
        <v>892.13</v>
      </c>
    </row>
    <row r="22" spans="1:17" ht="27" customHeight="1" x14ac:dyDescent="0.2">
      <c r="A22" s="19" t="s">
        <v>55</v>
      </c>
      <c r="B22" s="33">
        <f>20128217.95</f>
        <v>20128217.949999999</v>
      </c>
      <c r="C22" s="33">
        <f>20128217.95</f>
        <v>20128217.949999999</v>
      </c>
      <c r="D22" s="33">
        <f>1990947.94</f>
        <v>1990947.94</v>
      </c>
      <c r="E22" s="33">
        <f>0</f>
        <v>0</v>
      </c>
      <c r="F22" s="33">
        <f>6593.8</f>
        <v>6593.8</v>
      </c>
      <c r="G22" s="33">
        <f>1984354.14</f>
        <v>1984354.14</v>
      </c>
      <c r="H22" s="33">
        <f>0</f>
        <v>0</v>
      </c>
      <c r="I22" s="33">
        <f>0</f>
        <v>0</v>
      </c>
      <c r="J22" s="33">
        <f>1072.13</f>
        <v>1072.1300000000001</v>
      </c>
      <c r="K22" s="33">
        <f>0</f>
        <v>0</v>
      </c>
      <c r="L22" s="33">
        <f>11722457.03</f>
        <v>11722457.029999999</v>
      </c>
      <c r="M22" s="33">
        <f>4076328.98</f>
        <v>4076328.98</v>
      </c>
      <c r="N22" s="33">
        <f>2337411.87</f>
        <v>2337411.87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18182226.08</f>
        <v>18182226.079999998</v>
      </c>
      <c r="C23" s="33">
        <f>18181333.95</f>
        <v>18181333.949999999</v>
      </c>
      <c r="D23" s="33">
        <f>11781704.61</f>
        <v>11781704.609999999</v>
      </c>
      <c r="E23" s="33">
        <f>102274.25</f>
        <v>102274.25</v>
      </c>
      <c r="F23" s="33">
        <f>90001.21</f>
        <v>90001.21</v>
      </c>
      <c r="G23" s="33">
        <f>9461930.71</f>
        <v>9461930.7100000009</v>
      </c>
      <c r="H23" s="33">
        <f>2127498.44</f>
        <v>2127498.44</v>
      </c>
      <c r="I23" s="33">
        <f>0</f>
        <v>0</v>
      </c>
      <c r="J23" s="33">
        <f>634759.19</f>
        <v>634759.18999999994</v>
      </c>
      <c r="K23" s="33">
        <f>14134.31</f>
        <v>14134.31</v>
      </c>
      <c r="L23" s="33">
        <f>2090309.71</f>
        <v>2090309.71</v>
      </c>
      <c r="M23" s="33">
        <f>3238937.91</f>
        <v>3238937.91</v>
      </c>
      <c r="N23" s="33">
        <f>421488.22</f>
        <v>421488.22</v>
      </c>
      <c r="O23" s="33">
        <f>892.13</f>
        <v>892.13</v>
      </c>
      <c r="P23" s="33">
        <f>0</f>
        <v>0</v>
      </c>
      <c r="Q23" s="33">
        <f>892.13</f>
        <v>892.13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II Kwartały 2022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1793951.88</f>
        <v>1793951.88</v>
      </c>
      <c r="C44" s="35">
        <f>1793951.88</f>
        <v>1793951.88</v>
      </c>
      <c r="D44" s="35">
        <f>1429.6</f>
        <v>1429.6</v>
      </c>
      <c r="E44" s="35">
        <f>1429.6</f>
        <v>1429.6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183554.8</f>
        <v>183554.8</v>
      </c>
      <c r="K44" s="35">
        <f>24965</f>
        <v>24965</v>
      </c>
      <c r="L44" s="35">
        <f>747725</f>
        <v>747725</v>
      </c>
      <c r="M44" s="35">
        <f>580912.48</f>
        <v>580912.48</v>
      </c>
      <c r="N44" s="35">
        <f>255365</f>
        <v>255365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729404.98</f>
        <v>729404.98</v>
      </c>
      <c r="C45" s="26">
        <f>729404.98</f>
        <v>729404.98</v>
      </c>
      <c r="D45" s="26">
        <f>1429.6</f>
        <v>1429.6</v>
      </c>
      <c r="E45" s="26">
        <f>1429.6</f>
        <v>1429.6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6000</f>
        <v>6000</v>
      </c>
      <c r="K45" s="26">
        <f>0</f>
        <v>0</v>
      </c>
      <c r="L45" s="26">
        <f>592125</f>
        <v>592125</v>
      </c>
      <c r="M45" s="26">
        <f>3662.38</f>
        <v>3662.38</v>
      </c>
      <c r="N45" s="26">
        <f>126188</f>
        <v>126188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1064546.9</f>
        <v>1064546.8999999999</v>
      </c>
      <c r="C46" s="26">
        <f>1064546.9</f>
        <v>1064546.8999999999</v>
      </c>
      <c r="D46" s="26">
        <f>0</f>
        <v>0</v>
      </c>
      <c r="E46" s="26">
        <f>0</f>
        <v>0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177554.8</f>
        <v>177554.8</v>
      </c>
      <c r="K46" s="26">
        <f>24965</f>
        <v>24965</v>
      </c>
      <c r="L46" s="26">
        <f>155600</f>
        <v>155600</v>
      </c>
      <c r="M46" s="26">
        <f>577250.1</f>
        <v>577250.1</v>
      </c>
      <c r="N46" s="26">
        <f>129177</f>
        <v>129177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372958836.65</f>
        <v>372958836.64999998</v>
      </c>
      <c r="C47" s="26">
        <f>372776959.99</f>
        <v>372776959.99000001</v>
      </c>
      <c r="D47" s="26">
        <f>38561390.31</f>
        <v>38561390.310000002</v>
      </c>
      <c r="E47" s="26">
        <f>17716.5</f>
        <v>17716.5</v>
      </c>
      <c r="F47" s="26">
        <f>63178</f>
        <v>63178</v>
      </c>
      <c r="G47" s="26">
        <f>23380495.81</f>
        <v>23380495.809999999</v>
      </c>
      <c r="H47" s="26">
        <f>15100000</f>
        <v>15100000</v>
      </c>
      <c r="I47" s="26">
        <f>0</f>
        <v>0</v>
      </c>
      <c r="J47" s="26">
        <f>47205.43</f>
        <v>47205.43</v>
      </c>
      <c r="K47" s="26">
        <f>598.5</f>
        <v>598.5</v>
      </c>
      <c r="L47" s="26">
        <f>133082881.56</f>
        <v>133082881.56</v>
      </c>
      <c r="M47" s="26">
        <f>171353378.15</f>
        <v>171353378.15000001</v>
      </c>
      <c r="N47" s="26">
        <f>29731506.04</f>
        <v>29731506.039999999</v>
      </c>
      <c r="O47" s="15">
        <f>181876.66</f>
        <v>181876.66</v>
      </c>
      <c r="P47" s="15">
        <f>3883.66</f>
        <v>3883.66</v>
      </c>
      <c r="Q47" s="15">
        <f>177993</f>
        <v>177993</v>
      </c>
    </row>
    <row r="48" spans="1:17" ht="24.75" customHeight="1" x14ac:dyDescent="0.2">
      <c r="A48" s="23" t="s">
        <v>31</v>
      </c>
      <c r="B48" s="26">
        <f>48020203.27</f>
        <v>48020203.270000003</v>
      </c>
      <c r="C48" s="26">
        <f>47907206.77</f>
        <v>47907206.770000003</v>
      </c>
      <c r="D48" s="26">
        <f>22859819.9</f>
        <v>22859819.899999999</v>
      </c>
      <c r="E48" s="26">
        <f>283.03</f>
        <v>283.02999999999997</v>
      </c>
      <c r="F48" s="26">
        <f>58762</f>
        <v>58762</v>
      </c>
      <c r="G48" s="26">
        <f>7700774.87</f>
        <v>7700774.8700000001</v>
      </c>
      <c r="H48" s="26">
        <f>15100000</f>
        <v>15100000</v>
      </c>
      <c r="I48" s="26">
        <f>0</f>
        <v>0</v>
      </c>
      <c r="J48" s="26">
        <f>0</f>
        <v>0</v>
      </c>
      <c r="K48" s="26">
        <f>0</f>
        <v>0</v>
      </c>
      <c r="L48" s="26">
        <f>11056902.16</f>
        <v>11056902.16</v>
      </c>
      <c r="M48" s="26">
        <f>3523831.67</f>
        <v>3523831.67</v>
      </c>
      <c r="N48" s="26">
        <f>10466653.04</f>
        <v>10466653.039999999</v>
      </c>
      <c r="O48" s="15">
        <f>112996.5</f>
        <v>112996.5</v>
      </c>
      <c r="P48" s="15">
        <f>0</f>
        <v>0</v>
      </c>
      <c r="Q48" s="15">
        <f>112996.5</f>
        <v>112996.5</v>
      </c>
    </row>
    <row r="49" spans="1:17" ht="24.75" customHeight="1" x14ac:dyDescent="0.2">
      <c r="A49" s="23" t="s">
        <v>32</v>
      </c>
      <c r="B49" s="26">
        <f>324938633.38</f>
        <v>324938633.38</v>
      </c>
      <c r="C49" s="26">
        <f>324869753.22</f>
        <v>324869753.22000003</v>
      </c>
      <c r="D49" s="26">
        <f>15701570.41</f>
        <v>15701570.41</v>
      </c>
      <c r="E49" s="26">
        <f>17433.47</f>
        <v>17433.47</v>
      </c>
      <c r="F49" s="26">
        <f>4416</f>
        <v>4416</v>
      </c>
      <c r="G49" s="26">
        <f>15679720.94</f>
        <v>15679720.939999999</v>
      </c>
      <c r="H49" s="26">
        <f>0</f>
        <v>0</v>
      </c>
      <c r="I49" s="26">
        <f>0</f>
        <v>0</v>
      </c>
      <c r="J49" s="26">
        <f>47205.43</f>
        <v>47205.43</v>
      </c>
      <c r="K49" s="26">
        <f>598.5</f>
        <v>598.5</v>
      </c>
      <c r="L49" s="26">
        <f>122025979.4</f>
        <v>122025979.40000001</v>
      </c>
      <c r="M49" s="26">
        <f>167829546.48</f>
        <v>167829546.47999999</v>
      </c>
      <c r="N49" s="26">
        <f>19264853</f>
        <v>19264853</v>
      </c>
      <c r="O49" s="15">
        <f>68880.16</f>
        <v>68880.160000000003</v>
      </c>
      <c r="P49" s="15">
        <f>3883.66</f>
        <v>3883.66</v>
      </c>
      <c r="Q49" s="15">
        <f>64996.5</f>
        <v>64996.5</v>
      </c>
    </row>
    <row r="50" spans="1:17" ht="24.75" customHeight="1" x14ac:dyDescent="0.2">
      <c r="A50" s="34" t="s">
        <v>43</v>
      </c>
      <c r="B50" s="35">
        <f>31667873732.46</f>
        <v>31667873732.459999</v>
      </c>
      <c r="C50" s="35">
        <f>31667873732.46</f>
        <v>31667873732.459999</v>
      </c>
      <c r="D50" s="35">
        <f>18786807.69</f>
        <v>18786807.690000001</v>
      </c>
      <c r="E50" s="35">
        <f>9467176.38</f>
        <v>9467176.3800000008</v>
      </c>
      <c r="F50" s="35">
        <f>8244.58</f>
        <v>8244.58</v>
      </c>
      <c r="G50" s="35">
        <f>9311386.73</f>
        <v>9311386.7300000004</v>
      </c>
      <c r="H50" s="35">
        <f>0</f>
        <v>0</v>
      </c>
      <c r="I50" s="35">
        <f>0</f>
        <v>0</v>
      </c>
      <c r="J50" s="35">
        <f>31636419638.48</f>
        <v>31636419638.48</v>
      </c>
      <c r="K50" s="35">
        <f>5076488.33</f>
        <v>5076488.33</v>
      </c>
      <c r="L50" s="35">
        <f>7472647.21</f>
        <v>7472647.21</v>
      </c>
      <c r="M50" s="35">
        <f>118150.75</f>
        <v>118150.75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9422396.08</f>
        <v>9422396.0800000001</v>
      </c>
      <c r="C51" s="26">
        <f>9422396.08</f>
        <v>9422396.0800000001</v>
      </c>
      <c r="D51" s="26">
        <f>9162124.03</f>
        <v>9162124.0299999993</v>
      </c>
      <c r="E51" s="26">
        <f>0</f>
        <v>0</v>
      </c>
      <c r="F51" s="26">
        <f>0</f>
        <v>0</v>
      </c>
      <c r="G51" s="26">
        <f>9162124.03</f>
        <v>9162124.0299999993</v>
      </c>
      <c r="H51" s="26">
        <f>0</f>
        <v>0</v>
      </c>
      <c r="I51" s="26">
        <f>0</f>
        <v>0</v>
      </c>
      <c r="J51" s="26">
        <f>260272.05</f>
        <v>260272.05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24070466253.31</f>
        <v>24070466253.310001</v>
      </c>
      <c r="C52" s="26">
        <f>24070466253.31</f>
        <v>24070466253.310001</v>
      </c>
      <c r="D52" s="26">
        <f>9385872.5</f>
        <v>9385872.5</v>
      </c>
      <c r="E52" s="26">
        <f>9286645</f>
        <v>9286645</v>
      </c>
      <c r="F52" s="26">
        <f>6750</f>
        <v>6750</v>
      </c>
      <c r="G52" s="26">
        <f>92477.5</f>
        <v>92477.5</v>
      </c>
      <c r="H52" s="26">
        <f>0</f>
        <v>0</v>
      </c>
      <c r="I52" s="26">
        <f>0</f>
        <v>0</v>
      </c>
      <c r="J52" s="26">
        <f>24053816942.3</f>
        <v>24053816942.299999</v>
      </c>
      <c r="K52" s="26">
        <f>74123.65</f>
        <v>74123.649999999994</v>
      </c>
      <c r="L52" s="26">
        <f>7187109.86</f>
        <v>7187109.8600000003</v>
      </c>
      <c r="M52" s="26">
        <f>2205</f>
        <v>2205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7587985083.07</f>
        <v>7587985083.0699997</v>
      </c>
      <c r="C53" s="26">
        <f>7587985083.07</f>
        <v>7587985083.0699997</v>
      </c>
      <c r="D53" s="26">
        <f>238811.16</f>
        <v>238811.16</v>
      </c>
      <c r="E53" s="26">
        <f>180531.38</f>
        <v>180531.38</v>
      </c>
      <c r="F53" s="26">
        <f>1494.58</f>
        <v>1494.58</v>
      </c>
      <c r="G53" s="26">
        <f>56785.2</f>
        <v>56785.2</v>
      </c>
      <c r="H53" s="26">
        <f>0</f>
        <v>0</v>
      </c>
      <c r="I53" s="26">
        <f>0</f>
        <v>0</v>
      </c>
      <c r="J53" s="26">
        <f>7582342424.13</f>
        <v>7582342424.1300001</v>
      </c>
      <c r="K53" s="26">
        <f>5002364.68</f>
        <v>5002364.68</v>
      </c>
      <c r="L53" s="26">
        <f>285537.35</f>
        <v>285537.34999999998</v>
      </c>
      <c r="M53" s="26">
        <f>115945.75</f>
        <v>115945.75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9733647776.92</f>
        <v>9733647776.9200001</v>
      </c>
      <c r="C54" s="35">
        <f>9708360509.87</f>
        <v>9708360509.8700008</v>
      </c>
      <c r="D54" s="35">
        <f>98062734.72</f>
        <v>98062734.719999999</v>
      </c>
      <c r="E54" s="35">
        <f>62690710.66</f>
        <v>62690710.659999996</v>
      </c>
      <c r="F54" s="35">
        <f>2189875.51</f>
        <v>2189875.5099999998</v>
      </c>
      <c r="G54" s="35">
        <f>32953794.61</f>
        <v>32953794.609999999</v>
      </c>
      <c r="H54" s="35">
        <f>228353.94</f>
        <v>228353.94</v>
      </c>
      <c r="I54" s="35">
        <f>0</f>
        <v>0</v>
      </c>
      <c r="J54" s="35">
        <f>7197165.25</f>
        <v>7197165.25</v>
      </c>
      <c r="K54" s="35">
        <f>21444819.86</f>
        <v>21444819.859999999</v>
      </c>
      <c r="L54" s="35">
        <f>2115901974.29</f>
        <v>2115901974.29</v>
      </c>
      <c r="M54" s="35">
        <f>7393110680.11</f>
        <v>7393110680.1099997</v>
      </c>
      <c r="N54" s="35">
        <f>72643135.64</f>
        <v>72643135.640000001</v>
      </c>
      <c r="O54" s="35">
        <f>25287267.05</f>
        <v>25287267.050000001</v>
      </c>
      <c r="P54" s="35">
        <f>17240201.82</f>
        <v>17240201.82</v>
      </c>
      <c r="Q54" s="35">
        <f>8047065.23</f>
        <v>8047065.2300000004</v>
      </c>
    </row>
    <row r="55" spans="1:17" ht="24.75" customHeight="1" x14ac:dyDescent="0.2">
      <c r="A55" s="22" t="s">
        <v>36</v>
      </c>
      <c r="B55" s="26">
        <f>1242987833.98</f>
        <v>1242987833.98</v>
      </c>
      <c r="C55" s="26">
        <f>1242496433.84</f>
        <v>1242496433.8399999</v>
      </c>
      <c r="D55" s="26">
        <f>5399888.6</f>
        <v>5399888.5999999996</v>
      </c>
      <c r="E55" s="26">
        <f>1974347.96</f>
        <v>1974347.96</v>
      </c>
      <c r="F55" s="26">
        <f>69539.37</f>
        <v>69539.37</v>
      </c>
      <c r="G55" s="26">
        <f>3240316.44</f>
        <v>3240316.44</v>
      </c>
      <c r="H55" s="26">
        <f>115684.83</f>
        <v>115684.83</v>
      </c>
      <c r="I55" s="26">
        <f>0</f>
        <v>0</v>
      </c>
      <c r="J55" s="26">
        <f>67371.85</f>
        <v>67371.850000000006</v>
      </c>
      <c r="K55" s="26">
        <f>578744.94</f>
        <v>578744.93999999994</v>
      </c>
      <c r="L55" s="26">
        <f>205371221.16</f>
        <v>205371221.16</v>
      </c>
      <c r="M55" s="26">
        <f>1002251100.56</f>
        <v>1002251100.5599999</v>
      </c>
      <c r="N55" s="26">
        <f>28828106.73</f>
        <v>28828106.73</v>
      </c>
      <c r="O55" s="15">
        <f>491400.14</f>
        <v>491400.14</v>
      </c>
      <c r="P55" s="15">
        <f>438831.56</f>
        <v>438831.56</v>
      </c>
      <c r="Q55" s="15">
        <f>52568.58</f>
        <v>52568.58</v>
      </c>
    </row>
    <row r="56" spans="1:17" ht="24.75" customHeight="1" x14ac:dyDescent="0.2">
      <c r="A56" s="23" t="s">
        <v>37</v>
      </c>
      <c r="B56" s="26">
        <f>8490659942.94</f>
        <v>8490659942.9399996</v>
      </c>
      <c r="C56" s="26">
        <f>8465864076.03</f>
        <v>8465864076.0299997</v>
      </c>
      <c r="D56" s="26">
        <f>92662846.12</f>
        <v>92662846.120000005</v>
      </c>
      <c r="E56" s="26">
        <f>60716362.7</f>
        <v>60716362.700000003</v>
      </c>
      <c r="F56" s="26">
        <f>2120336.14</f>
        <v>2120336.14</v>
      </c>
      <c r="G56" s="26">
        <f>29713478.17</f>
        <v>29713478.170000002</v>
      </c>
      <c r="H56" s="26">
        <f>112669.11</f>
        <v>112669.11</v>
      </c>
      <c r="I56" s="26">
        <f>0</f>
        <v>0</v>
      </c>
      <c r="J56" s="26">
        <f>7129793.4</f>
        <v>7129793.4000000004</v>
      </c>
      <c r="K56" s="26">
        <f>20866074.92</f>
        <v>20866074.920000002</v>
      </c>
      <c r="L56" s="26">
        <f>1910530753.13</f>
        <v>1910530753.1300001</v>
      </c>
      <c r="M56" s="26">
        <f>6390859579.55</f>
        <v>6390859579.5500002</v>
      </c>
      <c r="N56" s="26">
        <f>43815028.91</f>
        <v>43815028.909999996</v>
      </c>
      <c r="O56" s="15">
        <f>24795866.91</f>
        <v>24795866.91</v>
      </c>
      <c r="P56" s="15">
        <f>16801370.26</f>
        <v>16801370.260000002</v>
      </c>
      <c r="Q56" s="15">
        <f>7994496.65</f>
        <v>7994496.6500000004</v>
      </c>
    </row>
    <row r="57" spans="1:17" ht="24.75" customHeight="1" x14ac:dyDescent="0.2">
      <c r="A57" s="34" t="s">
        <v>45</v>
      </c>
      <c r="B57" s="35">
        <f>13740967332.67</f>
        <v>13740967332.67</v>
      </c>
      <c r="C57" s="35">
        <f>13739377296.42</f>
        <v>13739377296.42</v>
      </c>
      <c r="D57" s="35">
        <f>611096574.51</f>
        <v>611096574.50999999</v>
      </c>
      <c r="E57" s="35">
        <f>276029694.46</f>
        <v>276029694.45999998</v>
      </c>
      <c r="F57" s="35">
        <f>40613150.5</f>
        <v>40613150.5</v>
      </c>
      <c r="G57" s="35">
        <f>289647919.19</f>
        <v>289647919.19</v>
      </c>
      <c r="H57" s="35">
        <f>4805810.36</f>
        <v>4805810.3600000003</v>
      </c>
      <c r="I57" s="35">
        <f>224850</f>
        <v>224850</v>
      </c>
      <c r="J57" s="35">
        <f>13073829.38</f>
        <v>13073829.380000001</v>
      </c>
      <c r="K57" s="35">
        <f>51255688.99</f>
        <v>51255688.990000002</v>
      </c>
      <c r="L57" s="35">
        <f>7230852635.84</f>
        <v>7230852635.8400002</v>
      </c>
      <c r="M57" s="35">
        <f>5705074810.8</f>
        <v>5705074810.8000002</v>
      </c>
      <c r="N57" s="35">
        <f>127798906.9</f>
        <v>127798906.90000001</v>
      </c>
      <c r="O57" s="35">
        <f>1590036.25</f>
        <v>1590036.25</v>
      </c>
      <c r="P57" s="35">
        <f>1200912.74</f>
        <v>1200912.74</v>
      </c>
      <c r="Q57" s="35">
        <f>389123.51</f>
        <v>389123.51</v>
      </c>
    </row>
    <row r="58" spans="1:17" ht="30" customHeight="1" x14ac:dyDescent="0.2">
      <c r="A58" s="22" t="s">
        <v>38</v>
      </c>
      <c r="B58" s="26">
        <f>789209084.42</f>
        <v>789209084.41999996</v>
      </c>
      <c r="C58" s="26">
        <f>788975887.36</f>
        <v>788975887.36000001</v>
      </c>
      <c r="D58" s="26">
        <f>48983513.39</f>
        <v>48983513.390000001</v>
      </c>
      <c r="E58" s="26">
        <f>2866109.44</f>
        <v>2866109.44</v>
      </c>
      <c r="F58" s="26">
        <f>1151363.36</f>
        <v>1151363.3600000001</v>
      </c>
      <c r="G58" s="26">
        <f>44266296.18</f>
        <v>44266296.18</v>
      </c>
      <c r="H58" s="26">
        <f>699744.41</f>
        <v>699744.41</v>
      </c>
      <c r="I58" s="26">
        <f>0</f>
        <v>0</v>
      </c>
      <c r="J58" s="26">
        <f>1123505.46</f>
        <v>1123505.46</v>
      </c>
      <c r="K58" s="26">
        <f>4099234.01</f>
        <v>4099234.01</v>
      </c>
      <c r="L58" s="26">
        <f>259523382.48</f>
        <v>259523382.47999999</v>
      </c>
      <c r="M58" s="26">
        <f>465697368.97</f>
        <v>465697368.97000003</v>
      </c>
      <c r="N58" s="26">
        <f>9548883.05</f>
        <v>9548883.0500000007</v>
      </c>
      <c r="O58" s="15">
        <f>233197.06</f>
        <v>233197.06</v>
      </c>
      <c r="P58" s="15">
        <f>205856.68</f>
        <v>205856.68</v>
      </c>
      <c r="Q58" s="15">
        <f>27340.38</f>
        <v>27340.38</v>
      </c>
    </row>
    <row r="59" spans="1:17" ht="36" x14ac:dyDescent="0.2">
      <c r="A59" s="22" t="s">
        <v>39</v>
      </c>
      <c r="B59" s="26">
        <f>8622908417.81</f>
        <v>8622908417.8099995</v>
      </c>
      <c r="C59" s="26">
        <f>8621723118.19</f>
        <v>8621723118.1900005</v>
      </c>
      <c r="D59" s="26">
        <f>248872146.18</f>
        <v>248872146.18000001</v>
      </c>
      <c r="E59" s="26">
        <f>122679169.3</f>
        <v>122679169.3</v>
      </c>
      <c r="F59" s="26">
        <f>27709983.83</f>
        <v>27709983.829999998</v>
      </c>
      <c r="G59" s="26">
        <f>96056774.32</f>
        <v>96056774.319999993</v>
      </c>
      <c r="H59" s="26">
        <f>2426218.73</f>
        <v>2426218.73</v>
      </c>
      <c r="I59" s="26">
        <f>224850</f>
        <v>224850</v>
      </c>
      <c r="J59" s="26">
        <f>10269360.8</f>
        <v>10269360.800000001</v>
      </c>
      <c r="K59" s="26">
        <f>35792521.97</f>
        <v>35792521.969999999</v>
      </c>
      <c r="L59" s="26">
        <f>5424033020.57</f>
        <v>5424033020.5699997</v>
      </c>
      <c r="M59" s="26">
        <f>2867087122.46</f>
        <v>2867087122.46</v>
      </c>
      <c r="N59" s="26">
        <f>35444096.21</f>
        <v>35444096.210000001</v>
      </c>
      <c r="O59" s="15">
        <f>1185299.62</f>
        <v>1185299.6200000001</v>
      </c>
      <c r="P59" s="15">
        <f>962361.69</f>
        <v>962361.69</v>
      </c>
      <c r="Q59" s="15">
        <f>222937.93</f>
        <v>222937.93</v>
      </c>
    </row>
    <row r="60" spans="1:17" ht="30.75" customHeight="1" x14ac:dyDescent="0.2">
      <c r="A60" s="22" t="s">
        <v>40</v>
      </c>
      <c r="B60" s="26">
        <f>4328849830.44</f>
        <v>4328849830.4399996</v>
      </c>
      <c r="C60" s="26">
        <f>4328678290.87</f>
        <v>4328678290.8699999</v>
      </c>
      <c r="D60" s="26">
        <f>313240914.94</f>
        <v>313240914.94</v>
      </c>
      <c r="E60" s="26">
        <f>150484415.72</f>
        <v>150484415.72</v>
      </c>
      <c r="F60" s="26">
        <f>11751803.31</f>
        <v>11751803.310000001</v>
      </c>
      <c r="G60" s="26">
        <f>149324848.69</f>
        <v>149324848.69</v>
      </c>
      <c r="H60" s="26">
        <f>1679847.22</f>
        <v>1679847.22</v>
      </c>
      <c r="I60" s="26">
        <f>0</f>
        <v>0</v>
      </c>
      <c r="J60" s="26">
        <f>1680963.12</f>
        <v>1680963.12</v>
      </c>
      <c r="K60" s="26">
        <f>11363933.01</f>
        <v>11363933.01</v>
      </c>
      <c r="L60" s="26">
        <f>1547296232.79</f>
        <v>1547296232.79</v>
      </c>
      <c r="M60" s="26">
        <f>2372290319.37</f>
        <v>2372290319.3699999</v>
      </c>
      <c r="N60" s="26">
        <f>82805927.64</f>
        <v>82805927.640000001</v>
      </c>
      <c r="O60" s="15">
        <f>171539.57</f>
        <v>171539.57</v>
      </c>
      <c r="P60" s="15">
        <f>32694.37</f>
        <v>32694.37</v>
      </c>
      <c r="Q60" s="15">
        <f>138845.2</f>
        <v>138845.20000000001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II Kwartały 2022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1017718129.49</f>
        <v>1017718129.49</v>
      </c>
      <c r="G87" s="33">
        <f>411448497.53</f>
        <v>411448497.52999997</v>
      </c>
      <c r="H87" s="33">
        <f>22332574.55</f>
        <v>22332574.550000001</v>
      </c>
      <c r="I87" s="33">
        <f>166873637.91</f>
        <v>166873637.91</v>
      </c>
      <c r="J87" s="33">
        <f>217581133.03</f>
        <v>217581133.03</v>
      </c>
      <c r="K87" s="33">
        <f>4661152.04</f>
        <v>4661152.04</v>
      </c>
      <c r="L87" s="33">
        <f>606269631.96</f>
        <v>606269631.96000004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1035116</f>
        <v>1035116</v>
      </c>
      <c r="G88" s="33">
        <f>1035116</f>
        <v>1035116</v>
      </c>
      <c r="H88" s="33">
        <f>40364</f>
        <v>40364</v>
      </c>
      <c r="I88" s="33">
        <f>0</f>
        <v>0</v>
      </c>
      <c r="J88" s="33">
        <f>994752</f>
        <v>994752</v>
      </c>
      <c r="K88" s="33">
        <f>0</f>
        <v>0</v>
      </c>
      <c r="L88" s="33">
        <f>0</f>
        <v>0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43169254.3</f>
        <v>43169254.299999997</v>
      </c>
      <c r="G89" s="33">
        <f>27403581.59</f>
        <v>27403581.59</v>
      </c>
      <c r="H89" s="33">
        <f>1456851</f>
        <v>1456851</v>
      </c>
      <c r="I89" s="33">
        <f>23416666.55</f>
        <v>23416666.550000001</v>
      </c>
      <c r="J89" s="33">
        <f>2420478</f>
        <v>2420478</v>
      </c>
      <c r="K89" s="33">
        <f>109586.04</f>
        <v>109586.04</v>
      </c>
      <c r="L89" s="33">
        <f>15765672.71</f>
        <v>15765672.710000001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12561982.22</f>
        <v>12561982.220000001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12561982.22</f>
        <v>12561982.220000001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20920.28</f>
        <v>20920.28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20920.28</f>
        <v>20920.28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2063683.34</f>
        <v>2063683.34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2063683.34</f>
        <v>2063683.34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93000</f>
        <v>93000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93000</f>
        <v>93000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II Kwartały 2022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1870</f>
        <v>1870</v>
      </c>
      <c r="H99" s="67"/>
      <c r="I99" s="68">
        <f>6572044482.66001</f>
        <v>6572044482.6600103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541</f>
        <v>541</v>
      </c>
      <c r="H100" s="77"/>
      <c r="I100" s="78">
        <f>-952659631.51</f>
        <v>-952659631.50999999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2</f>
        <v>2</v>
      </c>
      <c r="C104" s="8" t="str">
        <f>IF(B104=1,"I Kwartał",IF(B104=2,"II Kwartały",IF(B104=3,"III Kwartały",IF(B104=4,"IV Kwartały","-"))))</f>
        <v>II Kwartały</v>
      </c>
    </row>
    <row r="105" spans="1:11" ht="13.5" customHeight="1" x14ac:dyDescent="0.2">
      <c r="A105" s="8" t="s">
        <v>9</v>
      </c>
      <c r="B105" s="8">
        <f>2022</f>
        <v>2022</v>
      </c>
      <c r="C105" s="9"/>
    </row>
    <row r="106" spans="1:11" ht="13.5" customHeight="1" x14ac:dyDescent="0.2">
      <c r="A106" s="8" t="s">
        <v>10</v>
      </c>
      <c r="B106" s="10" t="str">
        <f>"Aug 18 2022 12:00AM"</f>
        <v>Aug 18 2022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2022-08-19T13:17:20Z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2022-08-19T15:17:16.5025628+02:00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GRN-bdc03f7d-3845-451d-9061-432243ea4854</vt:lpwstr>
  </property>
  <property fmtid="{D5CDD505-2E9C-101B-9397-08002B2CF9AE}" pid="7" name="MFHash">
    <vt:lpwstr>RoWCHkGXQYklacpHJYSYeD53Ka+yg8Ms0iXgGbx+0t0=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