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0C6FA301-96C0-4CE4-8E83-72DABD568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s="1"/>
  <c r="A85" i="7" l="1"/>
  <c r="A66" i="7"/>
  <c r="A30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<sst xmlns="http://schemas.openxmlformats.org/spreadsheetml/2006/main" count="97" uniqueCount="81">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</sst>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miast na prawach powiatu za  ",$C$93," ",$B$94," roku     ",$B$96,"")</f>
        <v xml:space="preserve">Informacja z wykonania budżetów miast na prawach powiatu za  I Kwartał 2024 roku 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4" t="s">
        <v>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3.5" customHeight="1" x14ac:dyDescent="0.2">
      <c r="B5" s="1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1"/>
      <c r="O5" s="11"/>
      <c r="P5" s="11"/>
      <c r="Q5" s="11"/>
    </row>
    <row r="6" spans="1:17" ht="13.5" customHeight="1" x14ac:dyDescent="0.2">
      <c r="A6" s="59" t="s">
        <v>0</v>
      </c>
      <c r="B6" s="69" t="s">
        <v>65</v>
      </c>
      <c r="C6" s="26" t="s">
        <v>69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68</v>
      </c>
      <c r="P6" s="27"/>
      <c r="Q6" s="28"/>
    </row>
    <row r="7" spans="1:17" ht="13.5" customHeight="1" x14ac:dyDescent="0.2">
      <c r="A7" s="60"/>
      <c r="B7" s="70"/>
      <c r="C7" s="62" t="s">
        <v>66</v>
      </c>
      <c r="D7" s="62" t="s">
        <v>1</v>
      </c>
      <c r="E7" s="62" t="s">
        <v>70</v>
      </c>
      <c r="F7" s="62" t="s">
        <v>71</v>
      </c>
      <c r="G7" s="62" t="s">
        <v>28</v>
      </c>
      <c r="H7" s="62" t="s">
        <v>29</v>
      </c>
      <c r="I7" s="71" t="s">
        <v>67</v>
      </c>
      <c r="J7" s="62" t="s">
        <v>17</v>
      </c>
      <c r="K7" s="62" t="s">
        <v>18</v>
      </c>
      <c r="L7" s="62" t="s">
        <v>19</v>
      </c>
      <c r="M7" s="62" t="s">
        <v>20</v>
      </c>
      <c r="N7" s="70" t="s">
        <v>21</v>
      </c>
      <c r="O7" s="29" t="s">
        <v>22</v>
      </c>
      <c r="P7" s="29" t="s">
        <v>23</v>
      </c>
      <c r="Q7" s="29" t="s">
        <v>24</v>
      </c>
    </row>
    <row r="8" spans="1:17" ht="13.5" customHeight="1" x14ac:dyDescent="0.2">
      <c r="A8" s="60"/>
      <c r="B8" s="70"/>
      <c r="C8" s="29"/>
      <c r="D8" s="29"/>
      <c r="E8" s="29"/>
      <c r="F8" s="29"/>
      <c r="G8" s="29"/>
      <c r="H8" s="29"/>
      <c r="I8" s="71"/>
      <c r="J8" s="29"/>
      <c r="K8" s="29"/>
      <c r="L8" s="29"/>
      <c r="M8" s="29"/>
      <c r="N8" s="70"/>
      <c r="O8" s="29"/>
      <c r="P8" s="29"/>
      <c r="Q8" s="29"/>
    </row>
    <row r="9" spans="1:17" ht="11.25" customHeight="1" x14ac:dyDescent="0.2">
      <c r="A9" s="60"/>
      <c r="B9" s="70"/>
      <c r="C9" s="29"/>
      <c r="D9" s="29"/>
      <c r="E9" s="29"/>
      <c r="F9" s="29"/>
      <c r="G9" s="29"/>
      <c r="H9" s="29"/>
      <c r="I9" s="71"/>
      <c r="J9" s="29"/>
      <c r="K9" s="29"/>
      <c r="L9" s="29"/>
      <c r="M9" s="29"/>
      <c r="N9" s="70"/>
      <c r="O9" s="29"/>
      <c r="P9" s="29"/>
      <c r="Q9" s="29"/>
    </row>
    <row r="10" spans="1:17" ht="11.25" customHeight="1" x14ac:dyDescent="0.2">
      <c r="A10" s="61"/>
      <c r="B10" s="62"/>
      <c r="C10" s="29"/>
      <c r="D10" s="29"/>
      <c r="E10" s="29"/>
      <c r="F10" s="29"/>
      <c r="G10" s="29"/>
      <c r="H10" s="29"/>
      <c r="I10" s="72"/>
      <c r="J10" s="29"/>
      <c r="K10" s="29"/>
      <c r="L10" s="29"/>
      <c r="M10" s="29"/>
      <c r="N10" s="62"/>
      <c r="O10" s="29"/>
      <c r="P10" s="29"/>
      <c r="Q10" s="29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3" t="s">
        <v>79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38.25" customHeight="1" x14ac:dyDescent="0.2">
      <c r="A13" s="20" t="s">
        <v>47</v>
      </c>
      <c r="B13" s="21">
        <f>51160838857.24</f>
        <v>51160838857.239998</v>
      </c>
      <c r="C13" s="21">
        <f>27887711450.95</f>
        <v>27887711450.950001</v>
      </c>
      <c r="D13" s="21">
        <f>351206303.18</f>
        <v>351206303.18000001</v>
      </c>
      <c r="E13" s="21">
        <f>4691.19</f>
        <v>4691.1899999999996</v>
      </c>
      <c r="F13" s="21">
        <f>189015732.46</f>
        <v>189015732.46000001</v>
      </c>
      <c r="G13" s="21">
        <f>162185879.53</f>
        <v>162185879.53</v>
      </c>
      <c r="H13" s="21">
        <f>0</f>
        <v>0</v>
      </c>
      <c r="I13" s="21">
        <f>0</f>
        <v>0</v>
      </c>
      <c r="J13" s="21">
        <f>25481551778.58</f>
        <v>25481551778.580002</v>
      </c>
      <c r="K13" s="21">
        <f>1082665384.36</f>
        <v>1082665384.3599999</v>
      </c>
      <c r="L13" s="21">
        <f>952714947.06</f>
        <v>952714947.05999994</v>
      </c>
      <c r="M13" s="21">
        <f>16894974.18</f>
        <v>16894974.18</v>
      </c>
      <c r="N13" s="21">
        <f>2678063.59</f>
        <v>2678063.59</v>
      </c>
      <c r="O13" s="21">
        <f>23273127406.29</f>
        <v>23273127406.290001</v>
      </c>
      <c r="P13" s="21">
        <f>23251811616.29</f>
        <v>23251811616.290001</v>
      </c>
      <c r="Q13" s="21">
        <f>21315790</f>
        <v>21315790</v>
      </c>
    </row>
    <row r="14" spans="1:17" ht="38.25" customHeight="1" x14ac:dyDescent="0.2">
      <c r="A14" s="20" t="s">
        <v>48</v>
      </c>
      <c r="B14" s="21">
        <f>6201409000</f>
        <v>6201409000</v>
      </c>
      <c r="C14" s="21">
        <f>6201409000</f>
        <v>6201409000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6039909000</f>
        <v>6039909000</v>
      </c>
      <c r="K14" s="21">
        <f>161500000</f>
        <v>161500000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6201409000</f>
        <v>6201409000</v>
      </c>
      <c r="C16" s="22">
        <f>6201409000</f>
        <v>6201409000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6039909000</f>
        <v>6039909000</v>
      </c>
      <c r="K16" s="22">
        <f>161500000</f>
        <v>161500000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44929290065.81</f>
        <v>44929290065.809998</v>
      </c>
      <c r="C17" s="21">
        <f>21656162659.52</f>
        <v>21656162659.52</v>
      </c>
      <c r="D17" s="21">
        <f>347322414.18</f>
        <v>347322414.18000001</v>
      </c>
      <c r="E17" s="21">
        <f>0</f>
        <v>0</v>
      </c>
      <c r="F17" s="21">
        <f>189015432.46</f>
        <v>189015432.46000001</v>
      </c>
      <c r="G17" s="21">
        <f>158306981.72</f>
        <v>158306981.72</v>
      </c>
      <c r="H17" s="21">
        <f>0</f>
        <v>0</v>
      </c>
      <c r="I17" s="21">
        <f>0</f>
        <v>0</v>
      </c>
      <c r="J17" s="21">
        <f>19441642778.58</f>
        <v>19441642778.580002</v>
      </c>
      <c r="K17" s="21">
        <f>921082752.45</f>
        <v>921082752.45000005</v>
      </c>
      <c r="L17" s="21">
        <f>946064714.31</f>
        <v>946064714.30999994</v>
      </c>
      <c r="M17" s="21">
        <f>50000</f>
        <v>50000</v>
      </c>
      <c r="N17" s="21">
        <f>0</f>
        <v>0</v>
      </c>
      <c r="O17" s="21">
        <f>23273127406.29</f>
        <v>23273127406.290001</v>
      </c>
      <c r="P17" s="21">
        <f>23251811616.29</f>
        <v>23251811616.290001</v>
      </c>
      <c r="Q17" s="21">
        <f>21315790</f>
        <v>21315790</v>
      </c>
    </row>
    <row r="18" spans="1:17" ht="38.25" customHeight="1" x14ac:dyDescent="0.2">
      <c r="A18" s="18" t="s">
        <v>52</v>
      </c>
      <c r="B18" s="22">
        <f>116601830.07</f>
        <v>116601830.06999999</v>
      </c>
      <c r="C18" s="22">
        <f>116601830.07</f>
        <v>116601830.06999999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108601830.07</f>
        <v>108601830.06999999</v>
      </c>
      <c r="K18" s="22">
        <f>8000000</f>
        <v>8000000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44812688235.74</f>
        <v>44812688235.739998</v>
      </c>
      <c r="C19" s="22">
        <f>21539560829.45</f>
        <v>21539560829.450001</v>
      </c>
      <c r="D19" s="22">
        <f>347322414.18</f>
        <v>347322414.18000001</v>
      </c>
      <c r="E19" s="22">
        <f>0</f>
        <v>0</v>
      </c>
      <c r="F19" s="22">
        <f>189015432.46</f>
        <v>189015432.46000001</v>
      </c>
      <c r="G19" s="22">
        <f>158306981.72</f>
        <v>158306981.72</v>
      </c>
      <c r="H19" s="22">
        <f>0</f>
        <v>0</v>
      </c>
      <c r="I19" s="22">
        <f>0</f>
        <v>0</v>
      </c>
      <c r="J19" s="22">
        <f>19333040948.51</f>
        <v>19333040948.509998</v>
      </c>
      <c r="K19" s="22">
        <f>913082752.45</f>
        <v>913082752.45000005</v>
      </c>
      <c r="L19" s="22">
        <f>946064714.31</f>
        <v>946064714.30999994</v>
      </c>
      <c r="M19" s="22">
        <f>50000</f>
        <v>50000</v>
      </c>
      <c r="N19" s="22">
        <f>0</f>
        <v>0</v>
      </c>
      <c r="O19" s="22">
        <f>23273127406.29</f>
        <v>23273127406.290001</v>
      </c>
      <c r="P19" s="22">
        <f>23251811616.29</f>
        <v>23251811616.290001</v>
      </c>
      <c r="Q19" s="22">
        <f>21315790</f>
        <v>21315790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30139791.43</f>
        <v>30139791.43</v>
      </c>
      <c r="C21" s="21">
        <f>30139791.43</f>
        <v>30139791.43</v>
      </c>
      <c r="D21" s="21">
        <f>3883889</f>
        <v>3883889</v>
      </c>
      <c r="E21" s="21">
        <f>4691.19</f>
        <v>4691.1899999999996</v>
      </c>
      <c r="F21" s="21">
        <f>300</f>
        <v>300</v>
      </c>
      <c r="G21" s="21">
        <f>3878897.81</f>
        <v>3878897.81</v>
      </c>
      <c r="H21" s="21">
        <f>0</f>
        <v>0</v>
      </c>
      <c r="I21" s="21">
        <f>0</f>
        <v>0</v>
      </c>
      <c r="J21" s="21">
        <f>0</f>
        <v>0</v>
      </c>
      <c r="K21" s="21">
        <f>82631.91</f>
        <v>82631.91</v>
      </c>
      <c r="L21" s="21">
        <f>6650232.75</f>
        <v>6650232.75</v>
      </c>
      <c r="M21" s="21">
        <f>16844974.18</f>
        <v>16844974.18</v>
      </c>
      <c r="N21" s="21">
        <f>2678063.59</f>
        <v>2678063.59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23638748.98</f>
        <v>23638748.98</v>
      </c>
      <c r="C22" s="22">
        <f>23638748.98</f>
        <v>23638748.98</v>
      </c>
      <c r="D22" s="22">
        <f>1443309.7</f>
        <v>1443309.7</v>
      </c>
      <c r="E22" s="22">
        <f>155.48</f>
        <v>155.47999999999999</v>
      </c>
      <c r="F22" s="22">
        <f>0</f>
        <v>0</v>
      </c>
      <c r="G22" s="22">
        <f>1443154.22</f>
        <v>1443154.22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4919856.98</f>
        <v>4919856.9800000004</v>
      </c>
      <c r="M22" s="22">
        <f>14767305.28</f>
        <v>14767305.279999999</v>
      </c>
      <c r="N22" s="22">
        <f>2508277.02</f>
        <v>2508277.02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6501042.45</f>
        <v>6501042.4500000002</v>
      </c>
      <c r="C23" s="22">
        <f>6501042.45</f>
        <v>6501042.4500000002</v>
      </c>
      <c r="D23" s="22">
        <f>2440579.3</f>
        <v>2440579.2999999998</v>
      </c>
      <c r="E23" s="22">
        <f>4535.71</f>
        <v>4535.71</v>
      </c>
      <c r="F23" s="22">
        <f>300</f>
        <v>300</v>
      </c>
      <c r="G23" s="22">
        <f>2435743.59</f>
        <v>2435743.59</v>
      </c>
      <c r="H23" s="22">
        <f>0</f>
        <v>0</v>
      </c>
      <c r="I23" s="22">
        <f>0</f>
        <v>0</v>
      </c>
      <c r="J23" s="22">
        <f>0</f>
        <v>0</v>
      </c>
      <c r="K23" s="22">
        <f>82631.91</f>
        <v>82631.91</v>
      </c>
      <c r="L23" s="22">
        <f>1730375.77</f>
        <v>1730375.77</v>
      </c>
      <c r="M23" s="22">
        <f>2077668.9</f>
        <v>2077668.9</v>
      </c>
      <c r="N23" s="22">
        <f>169786.57</f>
        <v>169786.57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0" t="str">
        <f>CONCATENATE("Informacja z wykonania budżetów miast na prawach powiatu za  ",$C$93," ",$B$94," roku     ",$B$96,"")</f>
        <v xml:space="preserve">Informacja z wykonania budżetów miast na prawach powiatu za  I Kwartał 2024 roku     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2" spans="1:17" ht="13.5" customHeight="1" x14ac:dyDescent="0.2">
      <c r="A32" s="44" t="s">
        <v>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1:17" ht="13.5" customHeight="1" x14ac:dyDescent="0.2">
      <c r="A34" s="59" t="s">
        <v>0</v>
      </c>
      <c r="B34" s="69" t="s">
        <v>13</v>
      </c>
      <c r="C34" s="73" t="s">
        <v>15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73" t="s">
        <v>25</v>
      </c>
      <c r="P34" s="74"/>
      <c r="Q34" s="75"/>
    </row>
    <row r="35" spans="1:17" ht="13.5" customHeight="1" x14ac:dyDescent="0.2">
      <c r="A35" s="60"/>
      <c r="B35" s="70"/>
      <c r="C35" s="70" t="s">
        <v>14</v>
      </c>
      <c r="D35" s="29" t="s">
        <v>16</v>
      </c>
      <c r="E35" s="29" t="s">
        <v>26</v>
      </c>
      <c r="F35" s="29" t="s">
        <v>27</v>
      </c>
      <c r="G35" s="29" t="s">
        <v>75</v>
      </c>
      <c r="H35" s="29" t="s">
        <v>29</v>
      </c>
      <c r="I35" s="29" t="s">
        <v>2</v>
      </c>
      <c r="J35" s="29" t="s">
        <v>17</v>
      </c>
      <c r="K35" s="29" t="s">
        <v>18</v>
      </c>
      <c r="L35" s="29" t="s">
        <v>19</v>
      </c>
      <c r="M35" s="29" t="s">
        <v>20</v>
      </c>
      <c r="N35" s="76" t="s">
        <v>21</v>
      </c>
      <c r="O35" s="29" t="s">
        <v>22</v>
      </c>
      <c r="P35" s="29" t="s">
        <v>23</v>
      </c>
      <c r="Q35" s="69" t="s">
        <v>24</v>
      </c>
    </row>
    <row r="36" spans="1:17" ht="11.25" customHeight="1" x14ac:dyDescent="0.2">
      <c r="A36" s="60"/>
      <c r="B36" s="70"/>
      <c r="C36" s="7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76"/>
      <c r="O36" s="29"/>
      <c r="P36" s="29"/>
      <c r="Q36" s="70"/>
    </row>
    <row r="37" spans="1:17" ht="24.75" customHeight="1" x14ac:dyDescent="0.2">
      <c r="A37" s="61"/>
      <c r="B37" s="62"/>
      <c r="C37" s="6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76"/>
      <c r="O37" s="29"/>
      <c r="P37" s="29"/>
      <c r="Q37" s="62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36" t="s">
        <v>79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26.25" customHeight="1" x14ac:dyDescent="0.2">
      <c r="A40" s="25" t="s">
        <v>42</v>
      </c>
      <c r="B40" s="23">
        <f>686374.5</f>
        <v>686374.5</v>
      </c>
      <c r="C40" s="23">
        <f>686374.5</f>
        <v>686374.5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105339.5</f>
        <v>105339.5</v>
      </c>
      <c r="M40" s="23">
        <f>581035</f>
        <v>581035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686374.5</f>
        <v>686374.5</v>
      </c>
      <c r="C42" s="24">
        <f>686374.5</f>
        <v>686374.5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105339.5</f>
        <v>105339.5</v>
      </c>
      <c r="M42" s="24">
        <f>581035</f>
        <v>581035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315427633.62</f>
        <v>315427633.62</v>
      </c>
      <c r="C43" s="23">
        <f>315427633.62</f>
        <v>315427633.62</v>
      </c>
      <c r="D43" s="23">
        <f>111688063.47</f>
        <v>111688063.47</v>
      </c>
      <c r="E43" s="23">
        <f>28880</f>
        <v>28880</v>
      </c>
      <c r="F43" s="23">
        <f>0</f>
        <v>0</v>
      </c>
      <c r="G43" s="23">
        <f>111659183.47</f>
        <v>111659183.47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115583894.32</f>
        <v>115583894.31999999</v>
      </c>
      <c r="M43" s="23">
        <f>74997126.94</f>
        <v>74997126.939999998</v>
      </c>
      <c r="N43" s="23">
        <f>13153988.89</f>
        <v>13153988.890000001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60700757.83</f>
        <v>60700757.829999998</v>
      </c>
      <c r="C44" s="24">
        <f>60700757.83</f>
        <v>60700757.829999998</v>
      </c>
      <c r="D44" s="24">
        <f>16014905.96</f>
        <v>16014905.960000001</v>
      </c>
      <c r="E44" s="24">
        <f>28880</f>
        <v>28880</v>
      </c>
      <c r="F44" s="24">
        <f>0</f>
        <v>0</v>
      </c>
      <c r="G44" s="24">
        <f>15986025.96</f>
        <v>15986025.960000001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21701732.7</f>
        <v>21701732.699999999</v>
      </c>
      <c r="M44" s="24">
        <f>21636159.47</f>
        <v>21636159.469999999</v>
      </c>
      <c r="N44" s="24">
        <f>1343399.7</f>
        <v>1343399.7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254726875.79</f>
        <v>254726875.78999999</v>
      </c>
      <c r="C45" s="24">
        <f>254726875.79</f>
        <v>254726875.78999999</v>
      </c>
      <c r="D45" s="24">
        <f>95673157.51</f>
        <v>95673157.510000005</v>
      </c>
      <c r="E45" s="24">
        <f>0</f>
        <v>0</v>
      </c>
      <c r="F45" s="24">
        <f>0</f>
        <v>0</v>
      </c>
      <c r="G45" s="24">
        <f>95673157.51</f>
        <v>95673157.510000005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93882161.62</f>
        <v>93882161.620000005</v>
      </c>
      <c r="M45" s="24">
        <f>53360967.47</f>
        <v>53360967.469999999</v>
      </c>
      <c r="N45" s="24">
        <f>11810589.19</f>
        <v>11810589.189999999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13815925627.01</f>
        <v>13815925627.01</v>
      </c>
      <c r="C46" s="23">
        <f>13815925627.01</f>
        <v>13815925627.01</v>
      </c>
      <c r="D46" s="23">
        <f>14503879.03</f>
        <v>14503879.029999999</v>
      </c>
      <c r="E46" s="23">
        <f>121720.71</f>
        <v>121720.71</v>
      </c>
      <c r="F46" s="23">
        <f>29198.68</f>
        <v>29198.68</v>
      </c>
      <c r="G46" s="23">
        <f>14352959.64</f>
        <v>14352959.640000001</v>
      </c>
      <c r="H46" s="23">
        <f>0</f>
        <v>0</v>
      </c>
      <c r="I46" s="23">
        <f>6929699.32</f>
        <v>6929699.3200000003</v>
      </c>
      <c r="J46" s="23">
        <f>13792288359.91</f>
        <v>13792288359.91</v>
      </c>
      <c r="K46" s="23">
        <f>116710.58</f>
        <v>116710.58</v>
      </c>
      <c r="L46" s="23">
        <f>2044298.6</f>
        <v>2044298.6</v>
      </c>
      <c r="M46" s="23">
        <f>42030.66</f>
        <v>42030.66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7594312.71</f>
        <v>7594312.71</v>
      </c>
      <c r="C47" s="24">
        <f>7594312.71</f>
        <v>7594312.71</v>
      </c>
      <c r="D47" s="24">
        <f>7594312.71</f>
        <v>7594312.71</v>
      </c>
      <c r="E47" s="24">
        <f>0</f>
        <v>0</v>
      </c>
      <c r="F47" s="24">
        <f>0</f>
        <v>0</v>
      </c>
      <c r="G47" s="24">
        <f>7594312.71</f>
        <v>7594312.71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7552099322.64</f>
        <v>7552099322.6400003</v>
      </c>
      <c r="C48" s="24">
        <f>7552099322.64</f>
        <v>7552099322.6400003</v>
      </c>
      <c r="D48" s="24">
        <f>6619515.98</f>
        <v>6619515.9800000004</v>
      </c>
      <c r="E48" s="24">
        <f>14000</f>
        <v>14000</v>
      </c>
      <c r="F48" s="24">
        <f>0</f>
        <v>0</v>
      </c>
      <c r="G48" s="24">
        <f>6605515.98</f>
        <v>6605515.9800000004</v>
      </c>
      <c r="H48" s="24">
        <f>0</f>
        <v>0</v>
      </c>
      <c r="I48" s="24">
        <f>6845914.79</f>
        <v>6845914.79</v>
      </c>
      <c r="J48" s="24">
        <f>7537764763.65</f>
        <v>7537764763.6499996</v>
      </c>
      <c r="K48" s="24">
        <f>116710.58</f>
        <v>116710.58</v>
      </c>
      <c r="L48" s="24">
        <f>752417.64</f>
        <v>752417.64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6256231991.66</f>
        <v>6256231991.6599998</v>
      </c>
      <c r="C49" s="24">
        <f>6256231991.66</f>
        <v>6256231991.6599998</v>
      </c>
      <c r="D49" s="24">
        <f>290050.34</f>
        <v>290050.34000000003</v>
      </c>
      <c r="E49" s="24">
        <f>107720.71</f>
        <v>107720.71</v>
      </c>
      <c r="F49" s="24">
        <f>29198.68</f>
        <v>29198.68</v>
      </c>
      <c r="G49" s="24">
        <f>153130.95</f>
        <v>153130.95000000001</v>
      </c>
      <c r="H49" s="24">
        <f>0</f>
        <v>0</v>
      </c>
      <c r="I49" s="24">
        <f>83784.53</f>
        <v>83784.53</v>
      </c>
      <c r="J49" s="24">
        <f>6254523596.26</f>
        <v>6254523596.2600002</v>
      </c>
      <c r="K49" s="24">
        <f>0</f>
        <v>0</v>
      </c>
      <c r="L49" s="24">
        <f>1291880.96</f>
        <v>1291880.96</v>
      </c>
      <c r="M49" s="24">
        <f>42030.66</f>
        <v>42030.66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12718989232.84</f>
        <v>12718989232.84</v>
      </c>
      <c r="C50" s="23">
        <f>12675694458.14</f>
        <v>12675694458.139999</v>
      </c>
      <c r="D50" s="23">
        <f>311734630.32</f>
        <v>311734630.31999999</v>
      </c>
      <c r="E50" s="23">
        <f>57575306.26</f>
        <v>57575306.259999998</v>
      </c>
      <c r="F50" s="23">
        <f>9429233.63</f>
        <v>9429233.6300000008</v>
      </c>
      <c r="G50" s="23">
        <f>244530727.05</f>
        <v>244530727.05000001</v>
      </c>
      <c r="H50" s="23">
        <f>199363.38</f>
        <v>199363.38</v>
      </c>
      <c r="I50" s="23">
        <f>27000</f>
        <v>27000</v>
      </c>
      <c r="J50" s="23">
        <f>277404.26</f>
        <v>277404.26</v>
      </c>
      <c r="K50" s="23">
        <f>3652020.89</f>
        <v>3652020.89</v>
      </c>
      <c r="L50" s="23">
        <f>2692558824.48</f>
        <v>2692558824.48</v>
      </c>
      <c r="M50" s="23">
        <f>9530155530.1</f>
        <v>9530155530.1000004</v>
      </c>
      <c r="N50" s="23">
        <f>137289048.09</f>
        <v>137289048.09</v>
      </c>
      <c r="O50" s="23">
        <f>43294774.7</f>
        <v>43294774.700000003</v>
      </c>
      <c r="P50" s="23">
        <f>10854810.22</f>
        <v>10854810.220000001</v>
      </c>
      <c r="Q50" s="23">
        <f>32439964.48</f>
        <v>32439964.48</v>
      </c>
    </row>
    <row r="51" spans="1:17" ht="26.25" customHeight="1" x14ac:dyDescent="0.2">
      <c r="A51" s="19" t="s">
        <v>37</v>
      </c>
      <c r="B51" s="24">
        <f>5242539440.15</f>
        <v>5242539440.1499996</v>
      </c>
      <c r="C51" s="24">
        <f>5221832053.52</f>
        <v>5221832053.5200005</v>
      </c>
      <c r="D51" s="24">
        <f>68970383.84</f>
        <v>68970383.840000004</v>
      </c>
      <c r="E51" s="24">
        <f>1093014.58</f>
        <v>1093014.58</v>
      </c>
      <c r="F51" s="24">
        <f>3465829.17</f>
        <v>3465829.17</v>
      </c>
      <c r="G51" s="24">
        <f>64401309.55</f>
        <v>64401309.549999997</v>
      </c>
      <c r="H51" s="24">
        <f>10230.54</f>
        <v>10230.540000000001</v>
      </c>
      <c r="I51" s="24">
        <f>0</f>
        <v>0</v>
      </c>
      <c r="J51" s="24">
        <f>64285.87</f>
        <v>64285.87</v>
      </c>
      <c r="K51" s="24">
        <f>450241.22</f>
        <v>450241.22</v>
      </c>
      <c r="L51" s="24">
        <f>697513754.28</f>
        <v>697513754.27999997</v>
      </c>
      <c r="M51" s="24">
        <f>4404847059.09</f>
        <v>4404847059.0900002</v>
      </c>
      <c r="N51" s="24">
        <f>49986329.22</f>
        <v>49986329.219999999</v>
      </c>
      <c r="O51" s="24">
        <f>20707386.63</f>
        <v>20707386.629999999</v>
      </c>
      <c r="P51" s="24">
        <f>540926.02</f>
        <v>540926.02</v>
      </c>
      <c r="Q51" s="24">
        <f>20166460.61</f>
        <v>20166460.609999999</v>
      </c>
    </row>
    <row r="52" spans="1:17" ht="26.25" customHeight="1" x14ac:dyDescent="0.2">
      <c r="A52" s="19" t="s">
        <v>38</v>
      </c>
      <c r="B52" s="24">
        <f>7476449792.69</f>
        <v>7476449792.6899996</v>
      </c>
      <c r="C52" s="24">
        <f>7453862404.62</f>
        <v>7453862404.6199999</v>
      </c>
      <c r="D52" s="24">
        <f>242764246.48</f>
        <v>242764246.47999999</v>
      </c>
      <c r="E52" s="24">
        <f>56482291.68</f>
        <v>56482291.68</v>
      </c>
      <c r="F52" s="24">
        <f>5963404.46</f>
        <v>5963404.46</v>
      </c>
      <c r="G52" s="24">
        <f>180129417.5</f>
        <v>180129417.5</v>
      </c>
      <c r="H52" s="24">
        <f>189132.84</f>
        <v>189132.84</v>
      </c>
      <c r="I52" s="24">
        <f>27000</f>
        <v>27000</v>
      </c>
      <c r="J52" s="24">
        <f>213118.39</f>
        <v>213118.39</v>
      </c>
      <c r="K52" s="24">
        <f>3201779.67</f>
        <v>3201779.67</v>
      </c>
      <c r="L52" s="24">
        <f>1995045070.2</f>
        <v>1995045070.2</v>
      </c>
      <c r="M52" s="24">
        <f>5125308471.01</f>
        <v>5125308471.0100002</v>
      </c>
      <c r="N52" s="24">
        <f>87302718.87</f>
        <v>87302718.870000005</v>
      </c>
      <c r="O52" s="24">
        <f>22587388.07</f>
        <v>22587388.07</v>
      </c>
      <c r="P52" s="24">
        <f>10313884.2</f>
        <v>10313884.199999999</v>
      </c>
      <c r="Q52" s="24">
        <f>12273503.87</f>
        <v>12273503.869999999</v>
      </c>
    </row>
    <row r="53" spans="1:17" ht="26.25" customHeight="1" x14ac:dyDescent="0.2">
      <c r="A53" s="25" t="s">
        <v>46</v>
      </c>
      <c r="B53" s="23">
        <f>14748853383.26</f>
        <v>14748853383.26</v>
      </c>
      <c r="C53" s="23">
        <f>14699292354.86</f>
        <v>14699292354.860001</v>
      </c>
      <c r="D53" s="23">
        <f>906416867.58</f>
        <v>906416867.58000004</v>
      </c>
      <c r="E53" s="23">
        <f>344946506.01</f>
        <v>344946506.00999999</v>
      </c>
      <c r="F53" s="23">
        <f>106984305.8</f>
        <v>106984305.8</v>
      </c>
      <c r="G53" s="23">
        <f>443193481.96</f>
        <v>443193481.95999998</v>
      </c>
      <c r="H53" s="23">
        <f>11292573.81</f>
        <v>11292573.810000001</v>
      </c>
      <c r="I53" s="23">
        <f>4062961.53</f>
        <v>4062961.53</v>
      </c>
      <c r="J53" s="23">
        <f>21308038.8</f>
        <v>21308038.800000001</v>
      </c>
      <c r="K53" s="23">
        <f>50197828.27</f>
        <v>50197828.270000003</v>
      </c>
      <c r="L53" s="23">
        <f>10082535150.54</f>
        <v>10082535150.540001</v>
      </c>
      <c r="M53" s="23">
        <f>3282508488.65</f>
        <v>3282508488.6500001</v>
      </c>
      <c r="N53" s="23">
        <f>352263019.49</f>
        <v>352263019.49000001</v>
      </c>
      <c r="O53" s="23">
        <f>49561028.4</f>
        <v>49561028.399999999</v>
      </c>
      <c r="P53" s="23">
        <f>29772789.76</f>
        <v>29772789.760000002</v>
      </c>
      <c r="Q53" s="23">
        <f>19788238.64</f>
        <v>19788238.640000001</v>
      </c>
    </row>
    <row r="54" spans="1:17" ht="26.25" customHeight="1" x14ac:dyDescent="0.2">
      <c r="A54" s="19" t="s">
        <v>39</v>
      </c>
      <c r="B54" s="24">
        <f>933047553.62</f>
        <v>933047553.62</v>
      </c>
      <c r="C54" s="24">
        <f>931328733.43</f>
        <v>931328733.42999995</v>
      </c>
      <c r="D54" s="24">
        <f>53210237.23</f>
        <v>53210237.229999997</v>
      </c>
      <c r="E54" s="24">
        <f>3839978.91</f>
        <v>3839978.91</v>
      </c>
      <c r="F54" s="24">
        <f>1051752.37</f>
        <v>1051752.3700000001</v>
      </c>
      <c r="G54" s="24">
        <f>46618690.5</f>
        <v>46618690.5</v>
      </c>
      <c r="H54" s="24">
        <f>1699815.45</f>
        <v>1699815.45</v>
      </c>
      <c r="I54" s="24">
        <f>0</f>
        <v>0</v>
      </c>
      <c r="J54" s="24">
        <f>571894.19</f>
        <v>571894.18999999994</v>
      </c>
      <c r="K54" s="24">
        <f>885657.09</f>
        <v>885657.09</v>
      </c>
      <c r="L54" s="24">
        <f>456027934.9</f>
        <v>456027934.89999998</v>
      </c>
      <c r="M54" s="24">
        <f>406707801.33</f>
        <v>406707801.32999998</v>
      </c>
      <c r="N54" s="24">
        <f>13925208.69</f>
        <v>13925208.689999999</v>
      </c>
      <c r="O54" s="24">
        <f>1718820.19</f>
        <v>1718820.19</v>
      </c>
      <c r="P54" s="24">
        <f>1629928.04</f>
        <v>1629928.04</v>
      </c>
      <c r="Q54" s="24">
        <f>88892.15</f>
        <v>88892.15</v>
      </c>
    </row>
    <row r="55" spans="1:17" ht="36.75" customHeight="1" x14ac:dyDescent="0.2">
      <c r="A55" s="19" t="s">
        <v>40</v>
      </c>
      <c r="B55" s="24">
        <f>9303042974.26</f>
        <v>9303042974.2600002</v>
      </c>
      <c r="C55" s="24">
        <f>9273529874.3</f>
        <v>9273529874.2999992</v>
      </c>
      <c r="D55" s="24">
        <f>399800276</f>
        <v>399800276</v>
      </c>
      <c r="E55" s="24">
        <f>120807117.67</f>
        <v>120807117.67</v>
      </c>
      <c r="F55" s="24">
        <f>82183220.87</f>
        <v>82183220.870000005</v>
      </c>
      <c r="G55" s="24">
        <f>191274975.55</f>
        <v>191274975.55000001</v>
      </c>
      <c r="H55" s="24">
        <f>5534961.91</f>
        <v>5534961.9100000001</v>
      </c>
      <c r="I55" s="24">
        <f>3948821.41</f>
        <v>3948821.41</v>
      </c>
      <c r="J55" s="24">
        <f>19799346.15</f>
        <v>19799346.149999999</v>
      </c>
      <c r="K55" s="24">
        <f>40484072.83</f>
        <v>40484072.829999998</v>
      </c>
      <c r="L55" s="24">
        <f>7352265849.19</f>
        <v>7352265849.1899996</v>
      </c>
      <c r="M55" s="24">
        <f>1395196910.39</f>
        <v>1395196910.3900001</v>
      </c>
      <c r="N55" s="24">
        <f>62034598.33</f>
        <v>62034598.329999998</v>
      </c>
      <c r="O55" s="24">
        <f>29513099.96</f>
        <v>29513099.960000001</v>
      </c>
      <c r="P55" s="24">
        <f>26889131.19</f>
        <v>26889131.190000001</v>
      </c>
      <c r="Q55" s="24">
        <f>2623968.77</f>
        <v>2623968.77</v>
      </c>
    </row>
    <row r="56" spans="1:17" ht="26.25" customHeight="1" x14ac:dyDescent="0.2">
      <c r="A56" s="19" t="s">
        <v>41</v>
      </c>
      <c r="B56" s="24">
        <f>4512762855.38</f>
        <v>4512762855.3800001</v>
      </c>
      <c r="C56" s="24">
        <f>4494433747.13</f>
        <v>4494433747.1300001</v>
      </c>
      <c r="D56" s="24">
        <f>453406354.35</f>
        <v>453406354.35000002</v>
      </c>
      <c r="E56" s="24">
        <f>220299409.43</f>
        <v>220299409.43000001</v>
      </c>
      <c r="F56" s="24">
        <f>23749332.56</f>
        <v>23749332.559999999</v>
      </c>
      <c r="G56" s="24">
        <f>205299815.91</f>
        <v>205299815.91</v>
      </c>
      <c r="H56" s="24">
        <f>4057796.45</f>
        <v>4057796.45</v>
      </c>
      <c r="I56" s="24">
        <f>114140.12</f>
        <v>114140.12</v>
      </c>
      <c r="J56" s="24">
        <f>936798.46</f>
        <v>936798.46</v>
      </c>
      <c r="K56" s="24">
        <f>8828098.35</f>
        <v>8828098.3499999996</v>
      </c>
      <c r="L56" s="24">
        <f>2274241366.45</f>
        <v>2274241366.4499998</v>
      </c>
      <c r="M56" s="24">
        <f>1480603776.93</f>
        <v>1480603776.9300001</v>
      </c>
      <c r="N56" s="24">
        <f>276303212.47</f>
        <v>276303212.47000003</v>
      </c>
      <c r="O56" s="24">
        <f>18329108.25</f>
        <v>18329108.25</v>
      </c>
      <c r="P56" s="24">
        <f>1253730.53</f>
        <v>1253730.53</v>
      </c>
      <c r="Q56" s="24">
        <f>17075377.72</f>
        <v>17075377.719999999</v>
      </c>
    </row>
    <row r="66" spans="1:13" ht="75" customHeight="1" x14ac:dyDescent="0.2">
      <c r="A66" s="30" t="str">
        <f>CONCATENATE("Informacja z wykonania budżetów miast na prawach powiatu za  ",$C$93," ",$B$94," roku     ",$B$96,"")</f>
        <v xml:space="preserve">Informacja z wykonania budżetów miast na prawach powiatu za  I Kwartał 2024 roku 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4" t="s">
        <v>3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9" spans="1:13" ht="13.5" customHeight="1" x14ac:dyDescent="0.2">
      <c r="B69" s="45" t="s">
        <v>0</v>
      </c>
      <c r="C69" s="46"/>
      <c r="D69" s="46"/>
      <c r="E69" s="47"/>
      <c r="F69" s="77" t="s">
        <v>73</v>
      </c>
      <c r="G69" s="36" t="s">
        <v>72</v>
      </c>
      <c r="H69" s="37"/>
      <c r="I69" s="37"/>
      <c r="J69" s="37"/>
      <c r="K69" s="37"/>
      <c r="L69" s="38"/>
    </row>
    <row r="70" spans="1:13" ht="13.5" customHeight="1" x14ac:dyDescent="0.2">
      <c r="B70" s="48"/>
      <c r="C70" s="49"/>
      <c r="D70" s="49"/>
      <c r="E70" s="50"/>
      <c r="F70" s="78"/>
      <c r="G70" s="80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39" t="s">
        <v>77</v>
      </c>
    </row>
    <row r="71" spans="1:13" ht="13.5" customHeight="1" x14ac:dyDescent="0.2">
      <c r="B71" s="48"/>
      <c r="C71" s="49"/>
      <c r="D71" s="49"/>
      <c r="E71" s="50"/>
      <c r="F71" s="78"/>
      <c r="G71" s="80"/>
      <c r="H71" s="32"/>
      <c r="I71" s="32"/>
      <c r="J71" s="32"/>
      <c r="K71" s="32"/>
      <c r="L71" s="39"/>
    </row>
    <row r="72" spans="1:13" ht="11.25" customHeight="1" x14ac:dyDescent="0.2">
      <c r="B72" s="48"/>
      <c r="C72" s="49"/>
      <c r="D72" s="49"/>
      <c r="E72" s="50"/>
      <c r="F72" s="78"/>
      <c r="G72" s="80"/>
      <c r="H72" s="32"/>
      <c r="I72" s="32"/>
      <c r="J72" s="32"/>
      <c r="K72" s="32"/>
      <c r="L72" s="39"/>
    </row>
    <row r="73" spans="1:13" ht="11.25" customHeight="1" x14ac:dyDescent="0.2">
      <c r="B73" s="51"/>
      <c r="C73" s="52"/>
      <c r="D73" s="52"/>
      <c r="E73" s="53"/>
      <c r="F73" s="79"/>
      <c r="G73" s="80"/>
      <c r="H73" s="32"/>
      <c r="I73" s="32"/>
      <c r="J73" s="32"/>
      <c r="K73" s="32"/>
      <c r="L73" s="39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31"/>
      <c r="C75" s="31"/>
      <c r="D75" s="31"/>
      <c r="E75" s="31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4" t="s">
        <v>57</v>
      </c>
      <c r="C76" s="55"/>
      <c r="D76" s="55"/>
      <c r="E76" s="56"/>
      <c r="F76" s="22">
        <f>1622125208.5</f>
        <v>1622125208.5</v>
      </c>
      <c r="G76" s="22">
        <f>213606642.33</f>
        <v>213606642.33000001</v>
      </c>
      <c r="H76" s="22">
        <f>19051771</f>
        <v>19051771</v>
      </c>
      <c r="I76" s="22">
        <f>71551751</f>
        <v>71551751</v>
      </c>
      <c r="J76" s="22">
        <f>123003120.33</f>
        <v>123003120.33</v>
      </c>
      <c r="K76" s="22">
        <f>0</f>
        <v>0</v>
      </c>
      <c r="L76" s="22">
        <f>1408518566.17</f>
        <v>1408518566.1700001</v>
      </c>
    </row>
    <row r="77" spans="1:13" ht="47.25" customHeight="1" x14ac:dyDescent="0.2">
      <c r="B77" s="54" t="s">
        <v>58</v>
      </c>
      <c r="C77" s="55"/>
      <c r="D77" s="55"/>
      <c r="E77" s="56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4" t="s">
        <v>59</v>
      </c>
      <c r="C78" s="55"/>
      <c r="D78" s="55"/>
      <c r="E78" s="56"/>
      <c r="F78" s="22">
        <f>34977326</f>
        <v>34977326</v>
      </c>
      <c r="G78" s="22">
        <f>4622026</f>
        <v>4622026</v>
      </c>
      <c r="H78" s="22">
        <f>0</f>
        <v>0</v>
      </c>
      <c r="I78" s="22">
        <f>0</f>
        <v>0</v>
      </c>
      <c r="J78" s="22">
        <f>4622026</f>
        <v>4622026</v>
      </c>
      <c r="K78" s="22">
        <f>0</f>
        <v>0</v>
      </c>
      <c r="L78" s="22">
        <f>30355300</f>
        <v>30355300</v>
      </c>
    </row>
    <row r="79" spans="1:13" ht="47.25" customHeight="1" x14ac:dyDescent="0.2">
      <c r="B79" s="54" t="s">
        <v>60</v>
      </c>
      <c r="C79" s="55"/>
      <c r="D79" s="55"/>
      <c r="E79" s="56"/>
      <c r="F79" s="22">
        <f>22018258.3</f>
        <v>22018258.300000001</v>
      </c>
      <c r="G79" s="22">
        <f>20000012.88</f>
        <v>20000012.879999999</v>
      </c>
      <c r="H79" s="22">
        <f>0</f>
        <v>0</v>
      </c>
      <c r="I79" s="22">
        <f>0</f>
        <v>0</v>
      </c>
      <c r="J79" s="22">
        <f>20000012.88</f>
        <v>20000012.879999999</v>
      </c>
      <c r="K79" s="22">
        <f>0</f>
        <v>0</v>
      </c>
      <c r="L79" s="22">
        <f>2018245.42</f>
        <v>2018245.42</v>
      </c>
    </row>
    <row r="80" spans="1:13" ht="47.25" customHeight="1" x14ac:dyDescent="0.2">
      <c r="B80" s="54" t="s">
        <v>61</v>
      </c>
      <c r="C80" s="55"/>
      <c r="D80" s="55"/>
      <c r="E80" s="56"/>
      <c r="F80" s="22">
        <f>6700291.51</f>
        <v>6700291.5099999998</v>
      </c>
      <c r="G80" s="22">
        <f>6700291.51</f>
        <v>6700291.5099999998</v>
      </c>
      <c r="H80" s="22">
        <f>0</f>
        <v>0</v>
      </c>
      <c r="I80" s="22">
        <f>0</f>
        <v>0</v>
      </c>
      <c r="J80" s="22">
        <f>6700291.51</f>
        <v>6700291.5099999998</v>
      </c>
      <c r="K80" s="22">
        <f>0</f>
        <v>0</v>
      </c>
      <c r="L80" s="22">
        <f>0</f>
        <v>0</v>
      </c>
    </row>
    <row r="81" spans="1:13" ht="47.25" customHeight="1" x14ac:dyDescent="0.2">
      <c r="B81" s="54" t="s">
        <v>62</v>
      </c>
      <c r="C81" s="55"/>
      <c r="D81" s="55"/>
      <c r="E81" s="56"/>
      <c r="F81" s="22">
        <f>2593050.72</f>
        <v>2593050.7200000002</v>
      </c>
      <c r="G81" s="22">
        <f>1574805.3</f>
        <v>1574805.3</v>
      </c>
      <c r="H81" s="22">
        <f>0</f>
        <v>0</v>
      </c>
      <c r="I81" s="22">
        <f>0</f>
        <v>0</v>
      </c>
      <c r="J81" s="22">
        <f>1574805.3</f>
        <v>1574805.3</v>
      </c>
      <c r="K81" s="22">
        <f>0</f>
        <v>0</v>
      </c>
      <c r="L81" s="22">
        <f>1018245.42</f>
        <v>1018245.42</v>
      </c>
    </row>
    <row r="82" spans="1:13" ht="47.25" customHeight="1" x14ac:dyDescent="0.2">
      <c r="B82" s="54" t="s">
        <v>63</v>
      </c>
      <c r="C82" s="55"/>
      <c r="D82" s="55"/>
      <c r="E82" s="56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0" t="str">
        <f>CONCATENATE("Informacja z wykonania budżetów miast na prawach powiatu za  ",$C$93," ",$B$94," roku     ",$B$96,"")</f>
        <v xml:space="preserve">Informacja z wykonania budżetów miast na prawach powiatu za  I Kwartał 2024 roku 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36"/>
      <c r="D87" s="37"/>
      <c r="E87" s="37"/>
      <c r="F87" s="38"/>
      <c r="G87" s="36" t="s">
        <v>4</v>
      </c>
      <c r="H87" s="38"/>
      <c r="I87" s="36" t="s">
        <v>5</v>
      </c>
      <c r="J87" s="38"/>
      <c r="K87" s="5"/>
    </row>
    <row r="88" spans="1:13" ht="13.5" customHeight="1" x14ac:dyDescent="0.2">
      <c r="B88" s="6"/>
      <c r="C88" s="54" t="s">
        <v>6</v>
      </c>
      <c r="D88" s="55"/>
      <c r="E88" s="55"/>
      <c r="F88" s="56"/>
      <c r="G88" s="40">
        <f>64</f>
        <v>64</v>
      </c>
      <c r="H88" s="41"/>
      <c r="I88" s="42">
        <f>7779742297.72</f>
        <v>7779742297.7200003</v>
      </c>
      <c r="J88" s="43"/>
      <c r="K88" s="7"/>
    </row>
    <row r="89" spans="1:13" ht="13.5" customHeight="1" x14ac:dyDescent="0.2">
      <c r="B89" s="6"/>
      <c r="C89" s="63" t="s">
        <v>7</v>
      </c>
      <c r="D89" s="64"/>
      <c r="E89" s="64"/>
      <c r="F89" s="65"/>
      <c r="G89" s="66">
        <f>2</f>
        <v>2</v>
      </c>
      <c r="H89" s="67"/>
      <c r="I89" s="57">
        <f>-10217861.5</f>
        <v>-10217861.5</v>
      </c>
      <c r="J89" s="58"/>
      <c r="K89" s="7"/>
    </row>
    <row r="90" spans="1:13" ht="13.5" customHeight="1" x14ac:dyDescent="0.2">
      <c r="B90" s="6"/>
      <c r="C90" s="54" t="s">
        <v>8</v>
      </c>
      <c r="D90" s="55"/>
      <c r="E90" s="55"/>
      <c r="F90" s="56"/>
      <c r="G90" s="40">
        <f>0</f>
        <v>0</v>
      </c>
      <c r="H90" s="41"/>
      <c r="I90" s="42">
        <f>0</f>
        <v>0</v>
      </c>
      <c r="J90" s="43"/>
      <c r="K90" s="7"/>
    </row>
    <row r="93" spans="1:13" ht="13.5" customHeight="1" x14ac:dyDescent="0.2">
      <c r="A93" s="8" t="s">
        <v>9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10</v>
      </c>
      <c r="B94" s="8">
        <f>2024</f>
        <v>2024</v>
      </c>
      <c r="C94" s="9"/>
    </row>
    <row r="95" spans="1:13" ht="13.5" customHeight="1" x14ac:dyDescent="0.2">
      <c r="A95" s="8" t="s">
        <v>11</v>
      </c>
      <c r="B95" s="10" t="str">
        <f>"May 21 2024 12:00AM"</f>
        <v>May 21 2024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L7:L10"/>
    <mergeCell ref="M7:M1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B75:E75"/>
    <mergeCell ref="F75:L75"/>
    <mergeCell ref="B12:Q12"/>
    <mergeCell ref="B39:Q39"/>
    <mergeCell ref="L70:L73"/>
    <mergeCell ref="C34:N34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O6:Q6"/>
    <mergeCell ref="O7:O10"/>
    <mergeCell ref="A66:M66"/>
    <mergeCell ref="L35:L37"/>
    <mergeCell ref="P35:P37"/>
    <mergeCell ref="Q7:Q10"/>
    <mergeCell ref="N7:N10"/>
    <mergeCell ref="P7:P10"/>
    <mergeCell ref="E35:E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2024-05-27T12:25:45Z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2024-05-23T09:43:03.6205570+02:00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GRN-ecda2d7e-e14a-4b79-817d-7973f5b8d0a7</vt:lpwstr>
  </property>
  <property fmtid="{D5CDD505-2E9C-101B-9397-08002B2CF9AE}" pid="7" name="MFHash">
    <vt:lpwstr>s+L7jf+mhtc3zMCaG96yCo8iJFjykemU1aQEA7afZtY=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