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5700" yWindow="45" windowWidth="14310" windowHeight="12795" tabRatio="879" firstSheet="1" activeTab="2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  <sheet name="Arkusz1" sheetId="50" r:id="rId16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617" i="45" l="1"/>
  <c r="J617" i="45"/>
  <c r="I617" i="45"/>
  <c r="H617" i="45"/>
  <c r="G617" i="45"/>
  <c r="F617" i="45"/>
  <c r="E617" i="45"/>
  <c r="D617" i="45"/>
  <c r="C615" i="45"/>
  <c r="C614" i="45"/>
  <c r="C613" i="45"/>
  <c r="C612" i="45"/>
  <c r="C611" i="45"/>
  <c r="C610" i="45"/>
  <c r="C609" i="45"/>
  <c r="C608" i="45"/>
  <c r="C607" i="45"/>
  <c r="C606" i="45"/>
  <c r="C605" i="45"/>
  <c r="C604" i="45"/>
  <c r="C617" i="45" s="1"/>
  <c r="K595" i="45"/>
  <c r="J595" i="45"/>
  <c r="I595" i="45"/>
  <c r="H595" i="45"/>
  <c r="G595" i="45"/>
  <c r="F595" i="45"/>
  <c r="E595" i="45"/>
  <c r="D595" i="45"/>
  <c r="C593" i="45"/>
  <c r="C592" i="45"/>
  <c r="C591" i="45"/>
  <c r="C590" i="45"/>
  <c r="C589" i="45"/>
  <c r="C588" i="45"/>
  <c r="C587" i="45"/>
  <c r="C586" i="45"/>
  <c r="C585" i="45"/>
  <c r="C584" i="45"/>
  <c r="C583" i="45"/>
  <c r="C582" i="45"/>
  <c r="C595" i="45" s="1"/>
  <c r="K578" i="45"/>
  <c r="J578" i="45"/>
  <c r="I578" i="45"/>
  <c r="H578" i="45"/>
  <c r="G578" i="45"/>
  <c r="F578" i="45"/>
  <c r="E578" i="45"/>
  <c r="D578" i="45"/>
  <c r="C576" i="45"/>
  <c r="C575" i="45"/>
  <c r="C574" i="45"/>
  <c r="C573" i="45"/>
  <c r="C572" i="45"/>
  <c r="C571" i="45"/>
  <c r="C570" i="45"/>
  <c r="C569" i="45"/>
  <c r="C568" i="45"/>
  <c r="C567" i="45"/>
  <c r="C566" i="45"/>
  <c r="C565" i="45"/>
  <c r="C578" i="45" s="1"/>
  <c r="M312" i="36" l="1"/>
  <c r="B478" i="36"/>
  <c r="B324" i="36"/>
  <c r="B323" i="36"/>
  <c r="B322" i="36"/>
  <c r="H324" i="36"/>
  <c r="G324" i="36"/>
  <c r="H323" i="36"/>
  <c r="G323" i="36"/>
  <c r="H322" i="36"/>
  <c r="G322" i="36"/>
  <c r="H321" i="36"/>
  <c r="G321" i="36"/>
  <c r="H320" i="36"/>
  <c r="G320" i="36"/>
  <c r="H319" i="36"/>
  <c r="G319" i="36"/>
  <c r="H318" i="36"/>
  <c r="G318" i="36"/>
  <c r="M314" i="36"/>
  <c r="M313" i="36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Z479" i="36"/>
  <c r="W479" i="36"/>
  <c r="V479" i="36"/>
  <c r="S479" i="36"/>
  <c r="R479" i="36"/>
  <c r="Q479" i="36"/>
  <c r="M479" i="36"/>
  <c r="L479" i="36"/>
  <c r="K479" i="36"/>
  <c r="J479" i="36"/>
  <c r="I479" i="36"/>
  <c r="H479" i="36"/>
  <c r="G479" i="36"/>
  <c r="F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Z477" i="36"/>
  <c r="W477" i="36"/>
  <c r="V477" i="36"/>
  <c r="S477" i="36"/>
  <c r="R477" i="36"/>
  <c r="Q477" i="36"/>
  <c r="M477" i="36"/>
  <c r="L477" i="36"/>
  <c r="K477" i="36"/>
  <c r="J477" i="36"/>
  <c r="I477" i="36"/>
  <c r="H477" i="36"/>
  <c r="G477" i="36"/>
  <c r="F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Z475" i="36"/>
  <c r="W475" i="36"/>
  <c r="V475" i="36"/>
  <c r="S475" i="36"/>
  <c r="R475" i="36"/>
  <c r="Q475" i="36"/>
  <c r="M475" i="36"/>
  <c r="L475" i="36"/>
  <c r="K475" i="36"/>
  <c r="J475" i="36"/>
  <c r="I475" i="36"/>
  <c r="H475" i="36"/>
  <c r="G475" i="36"/>
  <c r="F475" i="36"/>
  <c r="Z474" i="36"/>
  <c r="W474" i="36"/>
  <c r="V474" i="36"/>
  <c r="S474" i="36"/>
  <c r="R474" i="36"/>
  <c r="Q474" i="36"/>
  <c r="M474" i="36"/>
  <c r="L474" i="36"/>
  <c r="K474" i="36"/>
  <c r="J474" i="36"/>
  <c r="I474" i="36"/>
  <c r="H474" i="36"/>
  <c r="G474" i="36"/>
  <c r="F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E480" i="36" s="1"/>
  <c r="D324" i="36"/>
  <c r="D480" i="36" s="1"/>
  <c r="C324" i="36"/>
  <c r="C480" i="36" s="1"/>
  <c r="Z323" i="36"/>
  <c r="W323" i="36"/>
  <c r="V323" i="36"/>
  <c r="S323" i="36"/>
  <c r="R323" i="36"/>
  <c r="Q323" i="36"/>
  <c r="P323" i="36"/>
  <c r="P479" i="36" s="1"/>
  <c r="M323" i="36"/>
  <c r="L323" i="36"/>
  <c r="K323" i="36"/>
  <c r="J323" i="36"/>
  <c r="I323" i="36"/>
  <c r="F323" i="36"/>
  <c r="E323" i="36"/>
  <c r="E479" i="36" s="1"/>
  <c r="D323" i="36"/>
  <c r="D479" i="36" s="1"/>
  <c r="C323" i="36"/>
  <c r="C479" i="36" s="1"/>
  <c r="B480" i="36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F322" i="36"/>
  <c r="E322" i="36"/>
  <c r="E478" i="36" s="1"/>
  <c r="D322" i="36"/>
  <c r="D478" i="36" s="1"/>
  <c r="C322" i="36"/>
  <c r="C478" i="36" s="1"/>
  <c r="B479" i="36"/>
  <c r="Z321" i="36"/>
  <c r="W321" i="36"/>
  <c r="V321" i="36"/>
  <c r="S321" i="36"/>
  <c r="R321" i="36"/>
  <c r="Q321" i="36"/>
  <c r="P321" i="36"/>
  <c r="P477" i="36" s="1"/>
  <c r="M321" i="36"/>
  <c r="L321" i="36"/>
  <c r="K321" i="36"/>
  <c r="J321" i="36"/>
  <c r="I321" i="36"/>
  <c r="F321" i="36"/>
  <c r="E321" i="36"/>
  <c r="E477" i="36" s="1"/>
  <c r="D321" i="36"/>
  <c r="D477" i="36" s="1"/>
  <c r="C321" i="36"/>
  <c r="C477" i="36" s="1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E476" i="36" s="1"/>
  <c r="D320" i="36"/>
  <c r="D476" i="36" s="1"/>
  <c r="C320" i="36"/>
  <c r="C476" i="36" s="1"/>
  <c r="B320" i="36"/>
  <c r="B476" i="36" s="1"/>
  <c r="Z319" i="36"/>
  <c r="W319" i="36"/>
  <c r="V319" i="36"/>
  <c r="S319" i="36"/>
  <c r="R319" i="36"/>
  <c r="Q319" i="36"/>
  <c r="P319" i="36"/>
  <c r="P475" i="36" s="1"/>
  <c r="M319" i="36"/>
  <c r="L319" i="36"/>
  <c r="K319" i="36"/>
  <c r="J319" i="36"/>
  <c r="I319" i="36"/>
  <c r="F319" i="36"/>
  <c r="E319" i="36"/>
  <c r="E475" i="36" s="1"/>
  <c r="D319" i="36"/>
  <c r="D475" i="36" s="1"/>
  <c r="C319" i="36"/>
  <c r="C475" i="36" s="1"/>
  <c r="B319" i="36"/>
  <c r="B475" i="36" s="1"/>
  <c r="Z318" i="36"/>
  <c r="W318" i="36"/>
  <c r="V318" i="36"/>
  <c r="S318" i="36"/>
  <c r="R318" i="36"/>
  <c r="Q318" i="36"/>
  <c r="P318" i="36"/>
  <c r="P474" i="36" s="1"/>
  <c r="M318" i="36"/>
  <c r="L318" i="36"/>
  <c r="K318" i="36"/>
  <c r="J318" i="36"/>
  <c r="I318" i="36"/>
  <c r="F318" i="36"/>
  <c r="E318" i="36"/>
  <c r="E474" i="36" s="1"/>
  <c r="D318" i="36"/>
  <c r="D474" i="36" s="1"/>
  <c r="C318" i="36"/>
  <c r="C474" i="36" s="1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469" i="36"/>
  <c r="M470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<sst xmlns="http://schemas.openxmlformats.org/spreadsheetml/2006/main" count="5120" uniqueCount="383">
  <si>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</si>
  <si>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</si>
  <si>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</si>
  <si>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</si>
  <si>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</si>
  <si>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</si>
  <si>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</si>
  <si>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</si>
  <si>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</si>
  <si>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</si>
  <si>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</si>
  <si>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</si>
  <si>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</si>
  <si>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</si>
  <si>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</si>
  <si>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</si>
  <si>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</si>
  <si>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</si>
  <si>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</si>
  <si>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</si>
  <si>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</si>
  <si>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</si>
  <si>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</si>
  <si>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</si>
  <si>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</si>
  <si>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</si>
  <si>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</si>
  <si>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</si>
  <si>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</si>
  <si>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</si>
  <si>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</si>
  <si>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</si>
  <si>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</si>
  <si>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</si>
  <si>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</si>
  <si>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</si>
  <si>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</si>
  <si>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</si>
  <si>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</si>
  <si>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</si>
  <si>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</si>
  <si>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</si>
  <si>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</si>
  <si>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</si>
  <si>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</si>
  <si>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</si>
  <si>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</si>
  <si>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</si>
  <si>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</si>
  <si>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</si>
  <si>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</si>
  <si>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</si>
  <si>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</si>
  <si>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</si>
  <si>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</si>
  <si>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</si>
  <si>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</si>
  <si>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</si>
  <si>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</si>
  <si>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</si>
  <si>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</si>
  <si>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</si>
  <si>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</si>
  <si>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</si>
  <si>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</si>
  <si>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</si>
  <si>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</si>
  <si>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</si>
  <si>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</si>
  <si>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</si>
  <si>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</si>
  <si>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</si>
  <si>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</si>
  <si>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</si>
  <si>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</si>
  <si>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</si>
  <si>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</si>
  <si>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</si>
  <si>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</si>
  <si>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</si>
  <si>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</si>
  <si>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</si>
  <si>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</si>
  <si>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</si>
  <si>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</si>
  <si>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</si>
  <si>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</si>
  <si>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</si>
  <si>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</si>
  <si>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</si>
  <si>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</si>
  <si>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</si>
  <si>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</si>
  <si>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</si>
  <si>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</si>
  <si>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</si>
  <si>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</si>
  <si>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</si>
  <si>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</si>
  <si>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</si>
  <si>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</si>
  <si>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</si>
  <si>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</si>
  <si>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</si>
  <si>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</si>
  <si>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</si>
  <si>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</si>
  <si>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</si>
  <si>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</si>
  <si>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</si>
  <si>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</si>
  <si>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</si>
  <si>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</si>
  <si>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</si>
  <si>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</si>
  <si>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</si>
  <si>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</si>
  <si>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</si>
  <si>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</si>
  <si>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</si>
  <si>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</si>
  <si>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</si>
  <si>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</si>
  <si>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</si>
  <si>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</si>
  <si>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</si>
  <si>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</si>
  <si>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</si>
  <si>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</si>
  <si>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</si>
  <si>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</si>
  <si>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</si>
  <si>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</si>
  <si>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</si>
  <si>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</si>
  <si>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</si>
  <si>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</si>
  <si>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</si>
  <si>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</si>
  <si>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</si>
  <si>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</si>
  <si>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</si>
  <si>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</si>
  <si>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</si>
  <si>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</si>
  <si>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</si>
  <si>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</si>
  <si>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</si>
  <si>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</si>
  <si>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</si>
  <si>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</si>
  <si>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</si>
  <si>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</si>
  <si>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</si>
  <si>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</si>
  <si>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</si>
  <si>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</si>
  <si>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</si>
  <si>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</si>
  <si>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</si>
  <si>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</si>
  <si>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</si>
  <si>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</si>
  <si>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</si>
  <si>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</si>
  <si>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</si>
  <si>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</si>
  <si>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</si>
  <si>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</si>
  <si>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</si>
  <si>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</si>
  <si>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</si>
  <si>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</si>
  <si>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</si>
  <si>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</si>
  <si>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</si>
  <si>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</si>
  <si>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</si>
  <si>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</si>
  <si>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</si>
  <si>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</si>
  <si>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</si>
  <si>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</si>
  <si>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</si>
  <si>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</si>
  <si>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</si>
  <si>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</si>
  <si>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</si>
  <si>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</si>
  <si>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</si>
  <si>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</si>
  <si>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</si>
  <si>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</si>
  <si>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</si>
  <si>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</si>
  <si>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</si>
  <si>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</si>
  <si>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</si>
  <si>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</si>
  <si>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</si>
  <si>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</si>
  <si>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</si>
  <si>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</si>
  <si>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</si>
  <si>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</si>
  <si>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</si>
  <si>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</si>
  <si>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</si>
  <si>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</si>
  <si>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</si>
  <si>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</si>
  <si>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</si>
  <si>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</si>
  <si>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</si>
  <si>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</si>
  <si>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</si>
  <si>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</si>
  <si>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</si>
  <si>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</si>
  <si>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</si>
  <si>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</si>
  <si>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</si>
  <si>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</si>
  <si>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</si>
  <si>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</si>
  <si>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</si>
  <si>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</si>
  <si>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</si>
  <si>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</si>
  <si>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</si>
  <si>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</si>
  <si>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</si>
  <si>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</si>
  <si>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</si>
  <si>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</si>
  <si>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</si>
  <si>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</si>
  <si>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</si>
  <si>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</si>
  <si>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</si>
  <si>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</si>
  <si>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</si>
  <si>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</si>
  <si>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</si>
  <si>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</si>
  <si>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</si>
  <si>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</si>
  <si>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</si>
  <si>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</si>
  <si>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</si>
  <si>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</si>
  <si>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</si>
  <si>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</si>
  <si>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</si>
  <si>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</si>
  <si>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</si>
  <si>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</si>
  <si>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</si>
  <si>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</si>
  <si>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</si>
  <si>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</si>
  <si>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</si>
  <si>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</si>
  <si>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</si>
  <si>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</si>
  <si>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</si>
  <si>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</si>
  <si>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</si>
  <si>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</si>
  <si>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</si>
  <si>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</si>
  <si>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</si>
  <si>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</si>
  <si>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</si>
  <si>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</si>
  <si>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</si>
  <si>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</si>
  <si>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</si>
  <si>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</si>
  <si>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</si>
  <si>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</si>
  <si>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</si>
  <si>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</si>
  <si>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</si>
  <si>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</si>
  <si>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</si>
  <si>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</si>
  <si>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</si>
  <si>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</si>
  <si>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</si>
  <si>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</si>
  <si>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</si>
  <si>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</si>
  <si>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</si>
  <si>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</si>
  <si>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</si>
  <si>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</si>
  <si>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</si>
  <si>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</si>
  <si>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</si>
  <si>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</si>
  <si>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</si>
  <si>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</si>
  <si>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</si>
  <si>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</si>
  <si>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</si>
  <si>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</si>
  <si>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</si>
  <si>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</si>
  <si>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</si>
  <si>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</si>
  <si>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</si>
  <si>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</si>
  <si>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</si>
  <si>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</si>
  <si>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</si>
  <si>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</si>
  <si>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</si>
  <si>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</si>
  <si>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</si>
  <si>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</si>
  <si>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</si>
  <si>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</si>
  <si>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</si>
  <si>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</si>
  <si>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</si>
  <si>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</si>
  <si>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</si>
  <si>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</si>
  <si>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</si>
  <si>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</si>
  <si>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</si>
  <si>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</si>
  <si>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</si>
  <si>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</si>
  <si>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</si>
  <si>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</si>
  <si>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</si>
  <si>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</si>
  <si>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</si>
  <si>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</si>
  <si>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</si>
  <si>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</si>
  <si>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</si>
  <si>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</si>
  <si>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</si>
  <si>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</si>
  <si>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</si>
  <si>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</si>
  <si>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</si>
  <si>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</si>
  <si>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</si>
  <si>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</si>
  <si>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</si>
  <si>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</si>
  <si>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</si>
  <si>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</si>
  <si>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</si>
  <si>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</si>
  <si>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</si>
  <si>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</si>
  <si>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</si>
  <si>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</si>
  <si>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t>Uboje przemysłowe 2019 (dane wstępne)</t>
  </si>
  <si>
    <t>buhaje, byczki, woły</t>
  </si>
  <si>
    <t>2019-06-09</t>
  </si>
  <si>
    <t>NR 24/2019</t>
  </si>
  <si>
    <t>21.06.2019 r.</t>
  </si>
  <si>
    <t>Notowania z okresu: 10.06 - 16.06.2019r.</t>
  </si>
  <si>
    <t>2019-06-16</t>
  </si>
  <si>
    <t>2019-06-10 - 2019-06-16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</si>
  <si>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okresie I-IV 2019 r. (dane wstępne) </t>
    </r>
    <r>
      <rPr>
        <b/>
        <sz val="11"/>
        <rFont val="Times New Roman"/>
        <family val="1"/>
        <charset val="238"/>
      </rPr>
      <t xml:space="preserve">w porównaniu do I-IV 2018 r. </t>
    </r>
    <r>
      <rPr>
        <i/>
        <sz val="11"/>
        <rFont val="Times New Roman"/>
        <family val="1"/>
        <charset val="238"/>
      </rPr>
      <t>(wg wstępnych danych Min. Finansów).</t>
    </r>
  </si>
  <si>
    <t>I-IV 2019 r. (wstępne)</t>
  </si>
  <si>
    <t>I-IV 2018 r.</t>
  </si>
  <si>
    <t>zmiana I-IV 2019 /I-IV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</si>
  <si>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I-IV  2019 r. (dane wstępne) </t>
    </r>
    <r>
      <rPr>
        <b/>
        <sz val="11"/>
        <rFont val="Times New Roman"/>
        <family val="1"/>
        <charset val="238"/>
      </rPr>
      <t>w porównaniu do  I-IV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</si>
  <si>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I - IV 2019 r. (dane wstępne)</t>
  </si>
  <si>
    <t>OKRES: I -  IV 2019 r. (wstępne) - ważniejsze państwa</t>
  </si>
  <si>
    <t>Kierunki, wartość, wolumen oraz średnia cena uzyskana w imporcie bydła żywego i mięsa wołowego w okresie I - IV 2019 r. (dane wstępne)</t>
  </si>
  <si>
    <t>OKRES: I - IV 2019 r. (wstępne) - ważniejsze państwa</t>
  </si>
  <si>
    <t>Unia Europejska</t>
  </si>
  <si>
    <t>Norwegia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</si>
  <si>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10.06 -16.06.2019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</si>
</sst>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79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1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1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2" fillId="0" borderId="0" xfId="0" applyFont="1" applyAlignment="1">
      <alignment vertical="center"/>
    </xf>
    <xf numFmtId="0" fontId="0" fillId="0" borderId="0" xfId="0" applyAlignment="1">
      <alignment vertical="center"/>
    </xf>
    <xf numFmtId="0" fontId="183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4" fillId="3" borderId="0" xfId="0" applyFont="1" applyFill="1"/>
    <xf numFmtId="0" fontId="185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7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1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1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2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8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0" fillId="0" borderId="23" xfId="0" applyFont="1" applyBorder="1" applyAlignment="1">
      <alignment horizontal="center" vertical="center" wrapText="1"/>
    </xf>
    <xf numFmtId="0" fontId="190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7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3" fillId="3" borderId="0" xfId="0" applyFont="1" applyFill="1"/>
    <xf numFmtId="0" fontId="194" fillId="3" borderId="0" xfId="0" applyFont="1" applyFill="1"/>
    <xf numFmtId="0" fontId="4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5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6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5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6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6" fillId="60" borderId="20" xfId="0" applyNumberFormat="1" applyFont="1" applyFill="1" applyBorder="1" applyAlignment="1"/>
    <xf numFmtId="2" fontId="186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89" fillId="0" borderId="19" xfId="0" applyFont="1" applyBorder="1" applyAlignment="1">
      <alignment horizontal="center" vertical="center" wrapText="1"/>
    </xf>
    <xf numFmtId="0" fontId="189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14" fontId="178" fillId="0" borderId="46" xfId="0" applyNumberFormat="1" applyFont="1" applyBorder="1" applyAlignment="1">
      <alignment vertical="center" wrapText="1"/>
    </xf>
    <xf numFmtId="0" fontId="26" fillId="0" borderId="52" xfId="0" applyFont="1" applyBorder="1" applyAlignment="1">
      <alignment horizontal="center"/>
    </xf>
    <xf numFmtId="2" fontId="34" fillId="0" borderId="46" xfId="0" quotePrefix="1" applyNumberFormat="1" applyFont="1" applyBorder="1" applyAlignment="1"/>
    <xf numFmtId="14" fontId="5" fillId="0" borderId="47" xfId="0" applyNumberFormat="1" applyFont="1" applyBorder="1" applyAlignment="1">
      <alignment horizontal="center" vertical="center" wrapText="1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0" fillId="0" borderId="82" xfId="0" applyFont="1" applyBorder="1" applyAlignment="1">
      <alignment horizontal="center" vertical="center" wrapText="1"/>
    </xf>
    <xf numFmtId="0" fontId="190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0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64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27" fillId="0" borderId="0" xfId="51" applyFont="1" applyBorder="1" applyAlignment="1">
      <alignment horizontal="center"/>
    </xf>
    <xf numFmtId="0" fontId="4" fillId="0" borderId="24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161290</xdr:colOff>
      <xdr:row>21</xdr:row>
      <xdr:rowOff>133350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257290" cy="3371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180975</xdr:colOff>
      <xdr:row>43</xdr:row>
      <xdr:rowOff>5080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"/>
          <a:ext cx="6276975" cy="32912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590550</xdr:colOff>
      <xdr:row>1</xdr:row>
      <xdr:rowOff>0</xdr:rowOff>
    </xdr:from>
    <xdr:to>
      <xdr:col>20</xdr:col>
      <xdr:colOff>507365</xdr:colOff>
      <xdr:row>21</xdr:row>
      <xdr:rowOff>114300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61925"/>
          <a:ext cx="6012815" cy="3352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526415</xdr:colOff>
      <xdr:row>43</xdr:row>
      <xdr:rowOff>6985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76650"/>
          <a:ext cx="6012815" cy="329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4"/>
  <sheetViews>
    <sheetView showGridLines="0" zoomScale="130" zoomScaleNormal="130" workbookViewId="0">
      <selection activeCell="P34" sqref="P34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0" t="s">
        <v>367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8" t="s">
        <v>352</v>
      </c>
      <c r="C5" s="788"/>
      <c r="D5" s="788"/>
      <c r="E5" s="788"/>
      <c r="F5" s="788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7" t="s">
        <v>366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3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4" t="s">
        <v>368</v>
      </c>
      <c r="C13" s="775"/>
      <c r="D13" s="775"/>
      <c r="E13" s="775"/>
      <c r="F13" s="776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7"/>
      <c r="B15" s="1144"/>
      <c r="C15" s="1142"/>
      <c r="D15" s="1142"/>
      <c r="E15" s="1143"/>
      <c r="F15" s="1143"/>
      <c r="G15" s="1143"/>
      <c r="H15" s="1143"/>
      <c r="I15" s="1142"/>
      <c r="J15" s="1142"/>
      <c r="K15" s="1142"/>
      <c r="L15" s="1143"/>
      <c r="M15" s="1143"/>
      <c r="N15" s="1143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2.75">
      <c r="A16" s="62"/>
      <c r="B16" s="974"/>
      <c r="C16" s="974"/>
      <c r="D16" s="975"/>
      <c r="E16" s="975"/>
      <c r="F16" s="975"/>
      <c r="G16" s="975"/>
      <c r="H16" s="975"/>
      <c r="I16" s="975"/>
      <c r="J16" s="975"/>
      <c r="K16" s="976"/>
      <c r="L16" s="976"/>
      <c r="M16" s="976"/>
      <c r="N16" s="976"/>
      <c r="O16" s="976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5" t="s">
        <v>342</v>
      </c>
      <c r="C17" s="66"/>
      <c r="D17" s="67"/>
      <c r="E17" s="67"/>
      <c r="F17" s="67"/>
      <c r="G17" s="67"/>
      <c r="H17" s="67"/>
      <c r="I17" s="67"/>
      <c r="J17" s="67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7" t="s">
        <v>3</v>
      </c>
      <c r="C18" s="67"/>
      <c r="D18" s="67"/>
      <c r="E18" s="67"/>
      <c r="F18" s="67"/>
      <c r="G18" s="67"/>
      <c r="H18" s="67"/>
      <c r="I18" s="67"/>
      <c r="J18" s="67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>
      <c r="A19" s="62"/>
      <c r="B19" s="67" t="s">
        <v>351</v>
      </c>
      <c r="C19" s="67"/>
      <c r="D19" s="67"/>
      <c r="E19" s="67"/>
      <c r="F19" s="67"/>
      <c r="G19" s="67"/>
      <c r="H19" s="67"/>
      <c r="I19" s="67"/>
      <c r="J19" s="67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7" t="s">
        <v>4</v>
      </c>
      <c r="C20" s="67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5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86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6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97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7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2"/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 ht="11.25" customHeight="1">
      <c r="A27" s="62"/>
      <c r="B27" s="692" t="s">
        <v>324</v>
      </c>
      <c r="C27" s="67"/>
      <c r="D27" s="67"/>
      <c r="E27" s="67"/>
      <c r="F27" s="67"/>
      <c r="G27" s="67"/>
      <c r="H27" s="67"/>
      <c r="I27" s="67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 ht="12.75">
      <c r="A28" s="62"/>
      <c r="B28" s="693"/>
      <c r="C28" s="694"/>
      <c r="D28" s="694"/>
      <c r="E28" s="694"/>
      <c r="F28" s="694"/>
      <c r="G28" s="694"/>
      <c r="H28" s="694"/>
      <c r="I28" s="694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 ht="12.75">
      <c r="A29" s="62"/>
      <c r="B29" s="693" t="s">
        <v>336</v>
      </c>
      <c r="C29" s="694"/>
      <c r="D29" s="694"/>
      <c r="E29" s="694"/>
      <c r="F29" s="694"/>
      <c r="G29" s="694"/>
      <c r="H29" s="694"/>
      <c r="I29" s="694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>
      <c r="A30" s="62"/>
      <c r="B30" s="123"/>
      <c r="C30" s="76"/>
      <c r="D30" s="76"/>
      <c r="E30" s="76"/>
      <c r="F30" s="76"/>
      <c r="G30" s="76"/>
      <c r="H30" s="76"/>
      <c r="I30" s="76"/>
      <c r="J30" s="76"/>
      <c r="K30" s="76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>
      <c r="A31" s="62"/>
      <c r="B31" s="75"/>
      <c r="C31" s="76"/>
      <c r="D31" s="76"/>
      <c r="E31" s="76"/>
      <c r="F31" s="76"/>
      <c r="G31" s="76"/>
      <c r="H31" s="76"/>
      <c r="I31" s="76"/>
      <c r="J31" s="76"/>
      <c r="K31" s="7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A1:N82"/>
  <sheetViews>
    <sheetView workbookViewId="0">
      <selection sqref="A1:XFD1048576"/>
    </sheetView>
  </sheetViews>
  <sheetFormatPr defaultRowHeight="12.75"/>
  <cols>
    <col min="1" max="1" width="4.42578125" style="699" customWidth="1"/>
    <col min="2" max="2" width="18.85546875" style="699" customWidth="1"/>
    <col min="3" max="3" width="12" style="699" customWidth="1"/>
    <col min="4" max="4" width="13.7109375" style="699" customWidth="1"/>
    <col min="5" max="5" width="12.85546875" style="699" bestFit="1" customWidth="1"/>
    <col min="6" max="6" width="13.85546875" style="699" customWidth="1"/>
    <col min="7" max="7" width="15.7109375" style="699" customWidth="1"/>
    <col min="8" max="8" width="9.140625" style="699"/>
    <col min="9" max="9" width="18.85546875" style="699" bestFit="1" customWidth="1"/>
    <col min="10" max="10" width="12.5703125" style="699" customWidth="1"/>
    <col min="11" max="252" width="9.140625" style="699"/>
    <col min="253" max="253" width="4.42578125" style="699" customWidth="1"/>
    <col min="254" max="254" width="20.85546875" style="699" customWidth="1"/>
    <col min="255" max="256" width="12" style="699" customWidth="1"/>
    <col min="257" max="257" width="14.5703125" style="699" customWidth="1"/>
    <col min="258" max="258" width="12.42578125" style="699" customWidth="1"/>
    <col min="259" max="259" width="19.7109375" style="699" customWidth="1"/>
    <col min="260" max="260" width="9.140625" style="699"/>
    <col min="261" max="261" width="16.85546875" style="699" customWidth="1"/>
    <col min="262" max="262" width="12.5703125" style="699" customWidth="1"/>
    <col min="263" max="263" width="11.7109375" style="699" customWidth="1"/>
    <col min="264" max="264" width="12.28515625" style="699" customWidth="1"/>
    <col min="265" max="508" width="9.140625" style="699"/>
    <col min="509" max="509" width="4.42578125" style="699" customWidth="1"/>
    <col min="510" max="510" width="20.85546875" style="699" customWidth="1"/>
    <col min="511" max="512" width="12" style="699" customWidth="1"/>
    <col min="513" max="513" width="14.5703125" style="699" customWidth="1"/>
    <col min="514" max="514" width="12.42578125" style="699" customWidth="1"/>
    <col min="515" max="515" width="19.7109375" style="699" customWidth="1"/>
    <col min="516" max="516" width="9.140625" style="699"/>
    <col min="517" max="517" width="16.85546875" style="699" customWidth="1"/>
    <col min="518" max="518" width="12.5703125" style="699" customWidth="1"/>
    <col min="519" max="519" width="11.7109375" style="699" customWidth="1"/>
    <col min="520" max="520" width="12.28515625" style="699" customWidth="1"/>
    <col min="521" max="764" width="9.140625" style="699"/>
    <col min="765" max="765" width="4.42578125" style="699" customWidth="1"/>
    <col min="766" max="766" width="20.85546875" style="699" customWidth="1"/>
    <col min="767" max="768" width="12" style="699" customWidth="1"/>
    <col min="769" max="769" width="14.5703125" style="699" customWidth="1"/>
    <col min="770" max="770" width="12.42578125" style="699" customWidth="1"/>
    <col min="771" max="771" width="19.7109375" style="699" customWidth="1"/>
    <col min="772" max="772" width="9.140625" style="699"/>
    <col min="773" max="773" width="16.85546875" style="699" customWidth="1"/>
    <col min="774" max="774" width="12.5703125" style="699" customWidth="1"/>
    <col min="775" max="775" width="11.7109375" style="699" customWidth="1"/>
    <col min="776" max="776" width="12.28515625" style="699" customWidth="1"/>
    <col min="777" max="1020" width="9.140625" style="699"/>
    <col min="1021" max="1021" width="4.42578125" style="699" customWidth="1"/>
    <col min="1022" max="1022" width="20.85546875" style="699" customWidth="1"/>
    <col min="1023" max="1024" width="12" style="699" customWidth="1"/>
    <col min="1025" max="1025" width="14.5703125" style="699" customWidth="1"/>
    <col min="1026" max="1026" width="12.42578125" style="699" customWidth="1"/>
    <col min="1027" max="1027" width="19.7109375" style="699" customWidth="1"/>
    <col min="1028" max="1028" width="9.140625" style="699"/>
    <col min="1029" max="1029" width="16.85546875" style="699" customWidth="1"/>
    <col min="1030" max="1030" width="12.5703125" style="699" customWidth="1"/>
    <col min="1031" max="1031" width="11.7109375" style="699" customWidth="1"/>
    <col min="1032" max="1032" width="12.28515625" style="699" customWidth="1"/>
    <col min="1033" max="1276" width="9.140625" style="699"/>
    <col min="1277" max="1277" width="4.42578125" style="699" customWidth="1"/>
    <col min="1278" max="1278" width="20.85546875" style="699" customWidth="1"/>
    <col min="1279" max="1280" width="12" style="699" customWidth="1"/>
    <col min="1281" max="1281" width="14.5703125" style="699" customWidth="1"/>
    <col min="1282" max="1282" width="12.42578125" style="699" customWidth="1"/>
    <col min="1283" max="1283" width="19.7109375" style="699" customWidth="1"/>
    <col min="1284" max="1284" width="9.140625" style="699"/>
    <col min="1285" max="1285" width="16.85546875" style="699" customWidth="1"/>
    <col min="1286" max="1286" width="12.5703125" style="699" customWidth="1"/>
    <col min="1287" max="1287" width="11.7109375" style="699" customWidth="1"/>
    <col min="1288" max="1288" width="12.28515625" style="699" customWidth="1"/>
    <col min="1289" max="1532" width="9.140625" style="699"/>
    <col min="1533" max="1533" width="4.42578125" style="699" customWidth="1"/>
    <col min="1534" max="1534" width="20.85546875" style="699" customWidth="1"/>
    <col min="1535" max="1536" width="12" style="699" customWidth="1"/>
    <col min="1537" max="1537" width="14.5703125" style="699" customWidth="1"/>
    <col min="1538" max="1538" width="12.42578125" style="699" customWidth="1"/>
    <col min="1539" max="1539" width="19.7109375" style="699" customWidth="1"/>
    <col min="1540" max="1540" width="9.140625" style="699"/>
    <col min="1541" max="1541" width="16.85546875" style="699" customWidth="1"/>
    <col min="1542" max="1542" width="12.5703125" style="699" customWidth="1"/>
    <col min="1543" max="1543" width="11.7109375" style="699" customWidth="1"/>
    <col min="1544" max="1544" width="12.28515625" style="699" customWidth="1"/>
    <col min="1545" max="1788" width="9.140625" style="699"/>
    <col min="1789" max="1789" width="4.42578125" style="699" customWidth="1"/>
    <col min="1790" max="1790" width="20.85546875" style="699" customWidth="1"/>
    <col min="1791" max="1792" width="12" style="699" customWidth="1"/>
    <col min="1793" max="1793" width="14.5703125" style="699" customWidth="1"/>
    <col min="1794" max="1794" width="12.42578125" style="699" customWidth="1"/>
    <col min="1795" max="1795" width="19.7109375" style="699" customWidth="1"/>
    <col min="1796" max="1796" width="9.140625" style="699"/>
    <col min="1797" max="1797" width="16.85546875" style="699" customWidth="1"/>
    <col min="1798" max="1798" width="12.5703125" style="699" customWidth="1"/>
    <col min="1799" max="1799" width="11.7109375" style="699" customWidth="1"/>
    <col min="1800" max="1800" width="12.28515625" style="699" customWidth="1"/>
    <col min="1801" max="2044" width="9.140625" style="699"/>
    <col min="2045" max="2045" width="4.42578125" style="699" customWidth="1"/>
    <col min="2046" max="2046" width="20.85546875" style="699" customWidth="1"/>
    <col min="2047" max="2048" width="12" style="699" customWidth="1"/>
    <col min="2049" max="2049" width="14.5703125" style="699" customWidth="1"/>
    <col min="2050" max="2050" width="12.42578125" style="699" customWidth="1"/>
    <col min="2051" max="2051" width="19.7109375" style="699" customWidth="1"/>
    <col min="2052" max="2052" width="9.140625" style="699"/>
    <col min="2053" max="2053" width="16.85546875" style="699" customWidth="1"/>
    <col min="2054" max="2054" width="12.5703125" style="699" customWidth="1"/>
    <col min="2055" max="2055" width="11.7109375" style="699" customWidth="1"/>
    <col min="2056" max="2056" width="12.28515625" style="699" customWidth="1"/>
    <col min="2057" max="2300" width="9.140625" style="699"/>
    <col min="2301" max="2301" width="4.42578125" style="699" customWidth="1"/>
    <col min="2302" max="2302" width="20.85546875" style="699" customWidth="1"/>
    <col min="2303" max="2304" width="12" style="699" customWidth="1"/>
    <col min="2305" max="2305" width="14.5703125" style="699" customWidth="1"/>
    <col min="2306" max="2306" width="12.42578125" style="699" customWidth="1"/>
    <col min="2307" max="2307" width="19.7109375" style="699" customWidth="1"/>
    <col min="2308" max="2308" width="9.140625" style="699"/>
    <col min="2309" max="2309" width="16.85546875" style="699" customWidth="1"/>
    <col min="2310" max="2310" width="12.5703125" style="699" customWidth="1"/>
    <col min="2311" max="2311" width="11.7109375" style="699" customWidth="1"/>
    <col min="2312" max="2312" width="12.28515625" style="699" customWidth="1"/>
    <col min="2313" max="2556" width="9.140625" style="699"/>
    <col min="2557" max="2557" width="4.42578125" style="699" customWidth="1"/>
    <col min="2558" max="2558" width="20.85546875" style="699" customWidth="1"/>
    <col min="2559" max="2560" width="12" style="699" customWidth="1"/>
    <col min="2561" max="2561" width="14.5703125" style="699" customWidth="1"/>
    <col min="2562" max="2562" width="12.42578125" style="699" customWidth="1"/>
    <col min="2563" max="2563" width="19.7109375" style="699" customWidth="1"/>
    <col min="2564" max="2564" width="9.140625" style="699"/>
    <col min="2565" max="2565" width="16.85546875" style="699" customWidth="1"/>
    <col min="2566" max="2566" width="12.5703125" style="699" customWidth="1"/>
    <col min="2567" max="2567" width="11.7109375" style="699" customWidth="1"/>
    <col min="2568" max="2568" width="12.28515625" style="699" customWidth="1"/>
    <col min="2569" max="2812" width="9.140625" style="699"/>
    <col min="2813" max="2813" width="4.42578125" style="699" customWidth="1"/>
    <col min="2814" max="2814" width="20.85546875" style="699" customWidth="1"/>
    <col min="2815" max="2816" width="12" style="699" customWidth="1"/>
    <col min="2817" max="2817" width="14.5703125" style="699" customWidth="1"/>
    <col min="2818" max="2818" width="12.42578125" style="699" customWidth="1"/>
    <col min="2819" max="2819" width="19.7109375" style="699" customWidth="1"/>
    <col min="2820" max="2820" width="9.140625" style="699"/>
    <col min="2821" max="2821" width="16.85546875" style="699" customWidth="1"/>
    <col min="2822" max="2822" width="12.5703125" style="699" customWidth="1"/>
    <col min="2823" max="2823" width="11.7109375" style="699" customWidth="1"/>
    <col min="2824" max="2824" width="12.28515625" style="699" customWidth="1"/>
    <col min="2825" max="3068" width="9.140625" style="699"/>
    <col min="3069" max="3069" width="4.42578125" style="699" customWidth="1"/>
    <col min="3070" max="3070" width="20.85546875" style="699" customWidth="1"/>
    <col min="3071" max="3072" width="12" style="699" customWidth="1"/>
    <col min="3073" max="3073" width="14.5703125" style="699" customWidth="1"/>
    <col min="3074" max="3074" width="12.42578125" style="699" customWidth="1"/>
    <col min="3075" max="3075" width="19.7109375" style="699" customWidth="1"/>
    <col min="3076" max="3076" width="9.140625" style="699"/>
    <col min="3077" max="3077" width="16.85546875" style="699" customWidth="1"/>
    <col min="3078" max="3078" width="12.5703125" style="699" customWidth="1"/>
    <col min="3079" max="3079" width="11.7109375" style="699" customWidth="1"/>
    <col min="3080" max="3080" width="12.28515625" style="699" customWidth="1"/>
    <col min="3081" max="3324" width="9.140625" style="699"/>
    <col min="3325" max="3325" width="4.42578125" style="699" customWidth="1"/>
    <col min="3326" max="3326" width="20.85546875" style="699" customWidth="1"/>
    <col min="3327" max="3328" width="12" style="699" customWidth="1"/>
    <col min="3329" max="3329" width="14.5703125" style="699" customWidth="1"/>
    <col min="3330" max="3330" width="12.42578125" style="699" customWidth="1"/>
    <col min="3331" max="3331" width="19.7109375" style="699" customWidth="1"/>
    <col min="3332" max="3332" width="9.140625" style="699"/>
    <col min="3333" max="3333" width="16.85546875" style="699" customWidth="1"/>
    <col min="3334" max="3334" width="12.5703125" style="699" customWidth="1"/>
    <col min="3335" max="3335" width="11.7109375" style="699" customWidth="1"/>
    <col min="3336" max="3336" width="12.28515625" style="699" customWidth="1"/>
    <col min="3337" max="3580" width="9.140625" style="699"/>
    <col min="3581" max="3581" width="4.42578125" style="699" customWidth="1"/>
    <col min="3582" max="3582" width="20.85546875" style="699" customWidth="1"/>
    <col min="3583" max="3584" width="12" style="699" customWidth="1"/>
    <col min="3585" max="3585" width="14.5703125" style="699" customWidth="1"/>
    <col min="3586" max="3586" width="12.42578125" style="699" customWidth="1"/>
    <col min="3587" max="3587" width="19.7109375" style="699" customWidth="1"/>
    <col min="3588" max="3588" width="9.140625" style="699"/>
    <col min="3589" max="3589" width="16.85546875" style="699" customWidth="1"/>
    <col min="3590" max="3590" width="12.5703125" style="699" customWidth="1"/>
    <col min="3591" max="3591" width="11.7109375" style="699" customWidth="1"/>
    <col min="3592" max="3592" width="12.28515625" style="699" customWidth="1"/>
    <col min="3593" max="3836" width="9.140625" style="699"/>
    <col min="3837" max="3837" width="4.42578125" style="699" customWidth="1"/>
    <col min="3838" max="3838" width="20.85546875" style="699" customWidth="1"/>
    <col min="3839" max="3840" width="12" style="699" customWidth="1"/>
    <col min="3841" max="3841" width="14.5703125" style="699" customWidth="1"/>
    <col min="3842" max="3842" width="12.42578125" style="699" customWidth="1"/>
    <col min="3843" max="3843" width="19.7109375" style="699" customWidth="1"/>
    <col min="3844" max="3844" width="9.140625" style="699"/>
    <col min="3845" max="3845" width="16.85546875" style="699" customWidth="1"/>
    <col min="3846" max="3846" width="12.5703125" style="699" customWidth="1"/>
    <col min="3847" max="3847" width="11.7109375" style="699" customWidth="1"/>
    <col min="3848" max="3848" width="12.28515625" style="699" customWidth="1"/>
    <col min="3849" max="4092" width="9.140625" style="699"/>
    <col min="4093" max="4093" width="4.42578125" style="699" customWidth="1"/>
    <col min="4094" max="4094" width="20.85546875" style="699" customWidth="1"/>
    <col min="4095" max="4096" width="12" style="699" customWidth="1"/>
    <col min="4097" max="4097" width="14.5703125" style="699" customWidth="1"/>
    <col min="4098" max="4098" width="12.42578125" style="699" customWidth="1"/>
    <col min="4099" max="4099" width="19.7109375" style="699" customWidth="1"/>
    <col min="4100" max="4100" width="9.140625" style="699"/>
    <col min="4101" max="4101" width="16.85546875" style="699" customWidth="1"/>
    <col min="4102" max="4102" width="12.5703125" style="699" customWidth="1"/>
    <col min="4103" max="4103" width="11.7109375" style="699" customWidth="1"/>
    <col min="4104" max="4104" width="12.28515625" style="699" customWidth="1"/>
    <col min="4105" max="4348" width="9.140625" style="699"/>
    <col min="4349" max="4349" width="4.42578125" style="699" customWidth="1"/>
    <col min="4350" max="4350" width="20.85546875" style="699" customWidth="1"/>
    <col min="4351" max="4352" width="12" style="699" customWidth="1"/>
    <col min="4353" max="4353" width="14.5703125" style="699" customWidth="1"/>
    <col min="4354" max="4354" width="12.42578125" style="699" customWidth="1"/>
    <col min="4355" max="4355" width="19.7109375" style="699" customWidth="1"/>
    <col min="4356" max="4356" width="9.140625" style="699"/>
    <col min="4357" max="4357" width="16.85546875" style="699" customWidth="1"/>
    <col min="4358" max="4358" width="12.5703125" style="699" customWidth="1"/>
    <col min="4359" max="4359" width="11.7109375" style="699" customWidth="1"/>
    <col min="4360" max="4360" width="12.28515625" style="699" customWidth="1"/>
    <col min="4361" max="4604" width="9.140625" style="699"/>
    <col min="4605" max="4605" width="4.42578125" style="699" customWidth="1"/>
    <col min="4606" max="4606" width="20.85546875" style="699" customWidth="1"/>
    <col min="4607" max="4608" width="12" style="699" customWidth="1"/>
    <col min="4609" max="4609" width="14.5703125" style="699" customWidth="1"/>
    <col min="4610" max="4610" width="12.42578125" style="699" customWidth="1"/>
    <col min="4611" max="4611" width="19.7109375" style="699" customWidth="1"/>
    <col min="4612" max="4612" width="9.140625" style="699"/>
    <col min="4613" max="4613" width="16.85546875" style="699" customWidth="1"/>
    <col min="4614" max="4614" width="12.5703125" style="699" customWidth="1"/>
    <col min="4615" max="4615" width="11.7109375" style="699" customWidth="1"/>
    <col min="4616" max="4616" width="12.28515625" style="699" customWidth="1"/>
    <col min="4617" max="4860" width="9.140625" style="699"/>
    <col min="4861" max="4861" width="4.42578125" style="699" customWidth="1"/>
    <col min="4862" max="4862" width="20.85546875" style="699" customWidth="1"/>
    <col min="4863" max="4864" width="12" style="699" customWidth="1"/>
    <col min="4865" max="4865" width="14.5703125" style="699" customWidth="1"/>
    <col min="4866" max="4866" width="12.42578125" style="699" customWidth="1"/>
    <col min="4867" max="4867" width="19.7109375" style="699" customWidth="1"/>
    <col min="4868" max="4868" width="9.140625" style="699"/>
    <col min="4869" max="4869" width="16.85546875" style="699" customWidth="1"/>
    <col min="4870" max="4870" width="12.5703125" style="699" customWidth="1"/>
    <col min="4871" max="4871" width="11.7109375" style="699" customWidth="1"/>
    <col min="4872" max="4872" width="12.28515625" style="699" customWidth="1"/>
    <col min="4873" max="5116" width="9.140625" style="699"/>
    <col min="5117" max="5117" width="4.42578125" style="699" customWidth="1"/>
    <col min="5118" max="5118" width="20.85546875" style="699" customWidth="1"/>
    <col min="5119" max="5120" width="12" style="699" customWidth="1"/>
    <col min="5121" max="5121" width="14.5703125" style="699" customWidth="1"/>
    <col min="5122" max="5122" width="12.42578125" style="699" customWidth="1"/>
    <col min="5123" max="5123" width="19.7109375" style="699" customWidth="1"/>
    <col min="5124" max="5124" width="9.140625" style="699"/>
    <col min="5125" max="5125" width="16.85546875" style="699" customWidth="1"/>
    <col min="5126" max="5126" width="12.5703125" style="699" customWidth="1"/>
    <col min="5127" max="5127" width="11.7109375" style="699" customWidth="1"/>
    <col min="5128" max="5128" width="12.28515625" style="699" customWidth="1"/>
    <col min="5129" max="5372" width="9.140625" style="699"/>
    <col min="5373" max="5373" width="4.42578125" style="699" customWidth="1"/>
    <col min="5374" max="5374" width="20.85546875" style="699" customWidth="1"/>
    <col min="5375" max="5376" width="12" style="699" customWidth="1"/>
    <col min="5377" max="5377" width="14.5703125" style="699" customWidth="1"/>
    <col min="5378" max="5378" width="12.42578125" style="699" customWidth="1"/>
    <col min="5379" max="5379" width="19.7109375" style="699" customWidth="1"/>
    <col min="5380" max="5380" width="9.140625" style="699"/>
    <col min="5381" max="5381" width="16.85546875" style="699" customWidth="1"/>
    <col min="5382" max="5382" width="12.5703125" style="699" customWidth="1"/>
    <col min="5383" max="5383" width="11.7109375" style="699" customWidth="1"/>
    <col min="5384" max="5384" width="12.28515625" style="699" customWidth="1"/>
    <col min="5385" max="5628" width="9.140625" style="699"/>
    <col min="5629" max="5629" width="4.42578125" style="699" customWidth="1"/>
    <col min="5630" max="5630" width="20.85546875" style="699" customWidth="1"/>
    <col min="5631" max="5632" width="12" style="699" customWidth="1"/>
    <col min="5633" max="5633" width="14.5703125" style="699" customWidth="1"/>
    <col min="5634" max="5634" width="12.42578125" style="699" customWidth="1"/>
    <col min="5635" max="5635" width="19.7109375" style="699" customWidth="1"/>
    <col min="5636" max="5636" width="9.140625" style="699"/>
    <col min="5637" max="5637" width="16.85546875" style="699" customWidth="1"/>
    <col min="5638" max="5638" width="12.5703125" style="699" customWidth="1"/>
    <col min="5639" max="5639" width="11.7109375" style="699" customWidth="1"/>
    <col min="5640" max="5640" width="12.28515625" style="699" customWidth="1"/>
    <col min="5641" max="5884" width="9.140625" style="699"/>
    <col min="5885" max="5885" width="4.42578125" style="699" customWidth="1"/>
    <col min="5886" max="5886" width="20.85546875" style="699" customWidth="1"/>
    <col min="5887" max="5888" width="12" style="699" customWidth="1"/>
    <col min="5889" max="5889" width="14.5703125" style="699" customWidth="1"/>
    <col min="5890" max="5890" width="12.42578125" style="699" customWidth="1"/>
    <col min="5891" max="5891" width="19.7109375" style="699" customWidth="1"/>
    <col min="5892" max="5892" width="9.140625" style="699"/>
    <col min="5893" max="5893" width="16.85546875" style="699" customWidth="1"/>
    <col min="5894" max="5894" width="12.5703125" style="699" customWidth="1"/>
    <col min="5895" max="5895" width="11.7109375" style="699" customWidth="1"/>
    <col min="5896" max="5896" width="12.28515625" style="699" customWidth="1"/>
    <col min="5897" max="6140" width="9.140625" style="699"/>
    <col min="6141" max="6141" width="4.42578125" style="699" customWidth="1"/>
    <col min="6142" max="6142" width="20.85546875" style="699" customWidth="1"/>
    <col min="6143" max="6144" width="12" style="699" customWidth="1"/>
    <col min="6145" max="6145" width="14.5703125" style="699" customWidth="1"/>
    <col min="6146" max="6146" width="12.42578125" style="699" customWidth="1"/>
    <col min="6147" max="6147" width="19.7109375" style="699" customWidth="1"/>
    <col min="6148" max="6148" width="9.140625" style="699"/>
    <col min="6149" max="6149" width="16.85546875" style="699" customWidth="1"/>
    <col min="6150" max="6150" width="12.5703125" style="699" customWidth="1"/>
    <col min="6151" max="6151" width="11.7109375" style="699" customWidth="1"/>
    <col min="6152" max="6152" width="12.28515625" style="699" customWidth="1"/>
    <col min="6153" max="6396" width="9.140625" style="699"/>
    <col min="6397" max="6397" width="4.42578125" style="699" customWidth="1"/>
    <col min="6398" max="6398" width="20.85546875" style="699" customWidth="1"/>
    <col min="6399" max="6400" width="12" style="699" customWidth="1"/>
    <col min="6401" max="6401" width="14.5703125" style="699" customWidth="1"/>
    <col min="6402" max="6402" width="12.42578125" style="699" customWidth="1"/>
    <col min="6403" max="6403" width="19.7109375" style="699" customWidth="1"/>
    <col min="6404" max="6404" width="9.140625" style="699"/>
    <col min="6405" max="6405" width="16.85546875" style="699" customWidth="1"/>
    <col min="6406" max="6406" width="12.5703125" style="699" customWidth="1"/>
    <col min="6407" max="6407" width="11.7109375" style="699" customWidth="1"/>
    <col min="6408" max="6408" width="12.28515625" style="699" customWidth="1"/>
    <col min="6409" max="6652" width="9.140625" style="699"/>
    <col min="6653" max="6653" width="4.42578125" style="699" customWidth="1"/>
    <col min="6654" max="6654" width="20.85546875" style="699" customWidth="1"/>
    <col min="6655" max="6656" width="12" style="699" customWidth="1"/>
    <col min="6657" max="6657" width="14.5703125" style="699" customWidth="1"/>
    <col min="6658" max="6658" width="12.42578125" style="699" customWidth="1"/>
    <col min="6659" max="6659" width="19.7109375" style="699" customWidth="1"/>
    <col min="6660" max="6660" width="9.140625" style="699"/>
    <col min="6661" max="6661" width="16.85546875" style="699" customWidth="1"/>
    <col min="6662" max="6662" width="12.5703125" style="699" customWidth="1"/>
    <col min="6663" max="6663" width="11.7109375" style="699" customWidth="1"/>
    <col min="6664" max="6664" width="12.28515625" style="699" customWidth="1"/>
    <col min="6665" max="6908" width="9.140625" style="699"/>
    <col min="6909" max="6909" width="4.42578125" style="699" customWidth="1"/>
    <col min="6910" max="6910" width="20.85546875" style="699" customWidth="1"/>
    <col min="6911" max="6912" width="12" style="699" customWidth="1"/>
    <col min="6913" max="6913" width="14.5703125" style="699" customWidth="1"/>
    <col min="6914" max="6914" width="12.42578125" style="699" customWidth="1"/>
    <col min="6915" max="6915" width="19.7109375" style="699" customWidth="1"/>
    <col min="6916" max="6916" width="9.140625" style="699"/>
    <col min="6917" max="6917" width="16.85546875" style="699" customWidth="1"/>
    <col min="6918" max="6918" width="12.5703125" style="699" customWidth="1"/>
    <col min="6919" max="6919" width="11.7109375" style="699" customWidth="1"/>
    <col min="6920" max="6920" width="12.28515625" style="699" customWidth="1"/>
    <col min="6921" max="7164" width="9.140625" style="699"/>
    <col min="7165" max="7165" width="4.42578125" style="699" customWidth="1"/>
    <col min="7166" max="7166" width="20.85546875" style="699" customWidth="1"/>
    <col min="7167" max="7168" width="12" style="699" customWidth="1"/>
    <col min="7169" max="7169" width="14.5703125" style="699" customWidth="1"/>
    <col min="7170" max="7170" width="12.42578125" style="699" customWidth="1"/>
    <col min="7171" max="7171" width="19.7109375" style="699" customWidth="1"/>
    <col min="7172" max="7172" width="9.140625" style="699"/>
    <col min="7173" max="7173" width="16.85546875" style="699" customWidth="1"/>
    <col min="7174" max="7174" width="12.5703125" style="699" customWidth="1"/>
    <col min="7175" max="7175" width="11.7109375" style="699" customWidth="1"/>
    <col min="7176" max="7176" width="12.28515625" style="699" customWidth="1"/>
    <col min="7177" max="7420" width="9.140625" style="699"/>
    <col min="7421" max="7421" width="4.42578125" style="699" customWidth="1"/>
    <col min="7422" max="7422" width="20.85546875" style="699" customWidth="1"/>
    <col min="7423" max="7424" width="12" style="699" customWidth="1"/>
    <col min="7425" max="7425" width="14.5703125" style="699" customWidth="1"/>
    <col min="7426" max="7426" width="12.42578125" style="699" customWidth="1"/>
    <col min="7427" max="7427" width="19.7109375" style="699" customWidth="1"/>
    <col min="7428" max="7428" width="9.140625" style="699"/>
    <col min="7429" max="7429" width="16.85546875" style="699" customWidth="1"/>
    <col min="7430" max="7430" width="12.5703125" style="699" customWidth="1"/>
    <col min="7431" max="7431" width="11.7109375" style="699" customWidth="1"/>
    <col min="7432" max="7432" width="12.28515625" style="699" customWidth="1"/>
    <col min="7433" max="7676" width="9.140625" style="699"/>
    <col min="7677" max="7677" width="4.42578125" style="699" customWidth="1"/>
    <col min="7678" max="7678" width="20.85546875" style="699" customWidth="1"/>
    <col min="7679" max="7680" width="12" style="699" customWidth="1"/>
    <col min="7681" max="7681" width="14.5703125" style="699" customWidth="1"/>
    <col min="7682" max="7682" width="12.42578125" style="699" customWidth="1"/>
    <col min="7683" max="7683" width="19.7109375" style="699" customWidth="1"/>
    <col min="7684" max="7684" width="9.140625" style="699"/>
    <col min="7685" max="7685" width="16.85546875" style="699" customWidth="1"/>
    <col min="7686" max="7686" width="12.5703125" style="699" customWidth="1"/>
    <col min="7687" max="7687" width="11.7109375" style="699" customWidth="1"/>
    <col min="7688" max="7688" width="12.28515625" style="699" customWidth="1"/>
    <col min="7689" max="7932" width="9.140625" style="699"/>
    <col min="7933" max="7933" width="4.42578125" style="699" customWidth="1"/>
    <col min="7934" max="7934" width="20.85546875" style="699" customWidth="1"/>
    <col min="7935" max="7936" width="12" style="699" customWidth="1"/>
    <col min="7937" max="7937" width="14.5703125" style="699" customWidth="1"/>
    <col min="7938" max="7938" width="12.42578125" style="699" customWidth="1"/>
    <col min="7939" max="7939" width="19.7109375" style="699" customWidth="1"/>
    <col min="7940" max="7940" width="9.140625" style="699"/>
    <col min="7941" max="7941" width="16.85546875" style="699" customWidth="1"/>
    <col min="7942" max="7942" width="12.5703125" style="699" customWidth="1"/>
    <col min="7943" max="7943" width="11.7109375" style="699" customWidth="1"/>
    <col min="7944" max="7944" width="12.28515625" style="699" customWidth="1"/>
    <col min="7945" max="8188" width="9.140625" style="699"/>
    <col min="8189" max="8189" width="4.42578125" style="699" customWidth="1"/>
    <col min="8190" max="8190" width="20.85546875" style="699" customWidth="1"/>
    <col min="8191" max="8192" width="12" style="699" customWidth="1"/>
    <col min="8193" max="8193" width="14.5703125" style="699" customWidth="1"/>
    <col min="8194" max="8194" width="12.42578125" style="699" customWidth="1"/>
    <col min="8195" max="8195" width="19.7109375" style="699" customWidth="1"/>
    <col min="8196" max="8196" width="9.140625" style="699"/>
    <col min="8197" max="8197" width="16.85546875" style="699" customWidth="1"/>
    <col min="8198" max="8198" width="12.5703125" style="699" customWidth="1"/>
    <col min="8199" max="8199" width="11.7109375" style="699" customWidth="1"/>
    <col min="8200" max="8200" width="12.28515625" style="699" customWidth="1"/>
    <col min="8201" max="8444" width="9.140625" style="699"/>
    <col min="8445" max="8445" width="4.42578125" style="699" customWidth="1"/>
    <col min="8446" max="8446" width="20.85546875" style="699" customWidth="1"/>
    <col min="8447" max="8448" width="12" style="699" customWidth="1"/>
    <col min="8449" max="8449" width="14.5703125" style="699" customWidth="1"/>
    <col min="8450" max="8450" width="12.42578125" style="699" customWidth="1"/>
    <col min="8451" max="8451" width="19.7109375" style="699" customWidth="1"/>
    <col min="8452" max="8452" width="9.140625" style="699"/>
    <col min="8453" max="8453" width="16.85546875" style="699" customWidth="1"/>
    <col min="8454" max="8454" width="12.5703125" style="699" customWidth="1"/>
    <col min="8455" max="8455" width="11.7109375" style="699" customWidth="1"/>
    <col min="8456" max="8456" width="12.28515625" style="699" customWidth="1"/>
    <col min="8457" max="8700" width="9.140625" style="699"/>
    <col min="8701" max="8701" width="4.42578125" style="699" customWidth="1"/>
    <col min="8702" max="8702" width="20.85546875" style="699" customWidth="1"/>
    <col min="8703" max="8704" width="12" style="699" customWidth="1"/>
    <col min="8705" max="8705" width="14.5703125" style="699" customWidth="1"/>
    <col min="8706" max="8706" width="12.42578125" style="699" customWidth="1"/>
    <col min="8707" max="8707" width="19.7109375" style="699" customWidth="1"/>
    <col min="8708" max="8708" width="9.140625" style="699"/>
    <col min="8709" max="8709" width="16.85546875" style="699" customWidth="1"/>
    <col min="8710" max="8710" width="12.5703125" style="699" customWidth="1"/>
    <col min="8711" max="8711" width="11.7109375" style="699" customWidth="1"/>
    <col min="8712" max="8712" width="12.28515625" style="699" customWidth="1"/>
    <col min="8713" max="8956" width="9.140625" style="699"/>
    <col min="8957" max="8957" width="4.42578125" style="699" customWidth="1"/>
    <col min="8958" max="8958" width="20.85546875" style="699" customWidth="1"/>
    <col min="8959" max="8960" width="12" style="699" customWidth="1"/>
    <col min="8961" max="8961" width="14.5703125" style="699" customWidth="1"/>
    <col min="8962" max="8962" width="12.42578125" style="699" customWidth="1"/>
    <col min="8963" max="8963" width="19.7109375" style="699" customWidth="1"/>
    <col min="8964" max="8964" width="9.140625" style="699"/>
    <col min="8965" max="8965" width="16.85546875" style="699" customWidth="1"/>
    <col min="8966" max="8966" width="12.5703125" style="699" customWidth="1"/>
    <col min="8967" max="8967" width="11.7109375" style="699" customWidth="1"/>
    <col min="8968" max="8968" width="12.28515625" style="699" customWidth="1"/>
    <col min="8969" max="9212" width="9.140625" style="699"/>
    <col min="9213" max="9213" width="4.42578125" style="699" customWidth="1"/>
    <col min="9214" max="9214" width="20.85546875" style="699" customWidth="1"/>
    <col min="9215" max="9216" width="12" style="699" customWidth="1"/>
    <col min="9217" max="9217" width="14.5703125" style="699" customWidth="1"/>
    <col min="9218" max="9218" width="12.42578125" style="699" customWidth="1"/>
    <col min="9219" max="9219" width="19.7109375" style="699" customWidth="1"/>
    <col min="9220" max="9220" width="9.140625" style="699"/>
    <col min="9221" max="9221" width="16.85546875" style="699" customWidth="1"/>
    <col min="9222" max="9222" width="12.5703125" style="699" customWidth="1"/>
    <col min="9223" max="9223" width="11.7109375" style="699" customWidth="1"/>
    <col min="9224" max="9224" width="12.28515625" style="699" customWidth="1"/>
    <col min="9225" max="9468" width="9.140625" style="699"/>
    <col min="9469" max="9469" width="4.42578125" style="699" customWidth="1"/>
    <col min="9470" max="9470" width="20.85546875" style="699" customWidth="1"/>
    <col min="9471" max="9472" width="12" style="699" customWidth="1"/>
    <col min="9473" max="9473" width="14.5703125" style="699" customWidth="1"/>
    <col min="9474" max="9474" width="12.42578125" style="699" customWidth="1"/>
    <col min="9475" max="9475" width="19.7109375" style="699" customWidth="1"/>
    <col min="9476" max="9476" width="9.140625" style="699"/>
    <col min="9477" max="9477" width="16.85546875" style="699" customWidth="1"/>
    <col min="9478" max="9478" width="12.5703125" style="699" customWidth="1"/>
    <col min="9479" max="9479" width="11.7109375" style="699" customWidth="1"/>
    <col min="9480" max="9480" width="12.28515625" style="699" customWidth="1"/>
    <col min="9481" max="9724" width="9.140625" style="699"/>
    <col min="9725" max="9725" width="4.42578125" style="699" customWidth="1"/>
    <col min="9726" max="9726" width="20.85546875" style="699" customWidth="1"/>
    <col min="9727" max="9728" width="12" style="699" customWidth="1"/>
    <col min="9729" max="9729" width="14.5703125" style="699" customWidth="1"/>
    <col min="9730" max="9730" width="12.42578125" style="699" customWidth="1"/>
    <col min="9731" max="9731" width="19.7109375" style="699" customWidth="1"/>
    <col min="9732" max="9732" width="9.140625" style="699"/>
    <col min="9733" max="9733" width="16.85546875" style="699" customWidth="1"/>
    <col min="9734" max="9734" width="12.5703125" style="699" customWidth="1"/>
    <col min="9735" max="9735" width="11.7109375" style="699" customWidth="1"/>
    <col min="9736" max="9736" width="12.28515625" style="699" customWidth="1"/>
    <col min="9737" max="9980" width="9.140625" style="699"/>
    <col min="9981" max="9981" width="4.42578125" style="699" customWidth="1"/>
    <col min="9982" max="9982" width="20.85546875" style="699" customWidth="1"/>
    <col min="9983" max="9984" width="12" style="699" customWidth="1"/>
    <col min="9985" max="9985" width="14.5703125" style="699" customWidth="1"/>
    <col min="9986" max="9986" width="12.42578125" style="699" customWidth="1"/>
    <col min="9987" max="9987" width="19.7109375" style="699" customWidth="1"/>
    <col min="9988" max="9988" width="9.140625" style="699"/>
    <col min="9989" max="9989" width="16.85546875" style="699" customWidth="1"/>
    <col min="9990" max="9990" width="12.5703125" style="699" customWidth="1"/>
    <col min="9991" max="9991" width="11.7109375" style="699" customWidth="1"/>
    <col min="9992" max="9992" width="12.28515625" style="699" customWidth="1"/>
    <col min="9993" max="10236" width="9.140625" style="699"/>
    <col min="10237" max="10237" width="4.42578125" style="699" customWidth="1"/>
    <col min="10238" max="10238" width="20.85546875" style="699" customWidth="1"/>
    <col min="10239" max="10240" width="12" style="699" customWidth="1"/>
    <col min="10241" max="10241" width="14.5703125" style="699" customWidth="1"/>
    <col min="10242" max="10242" width="12.42578125" style="699" customWidth="1"/>
    <col min="10243" max="10243" width="19.7109375" style="699" customWidth="1"/>
    <col min="10244" max="10244" width="9.140625" style="699"/>
    <col min="10245" max="10245" width="16.85546875" style="699" customWidth="1"/>
    <col min="10246" max="10246" width="12.5703125" style="699" customWidth="1"/>
    <col min="10247" max="10247" width="11.7109375" style="699" customWidth="1"/>
    <col min="10248" max="10248" width="12.28515625" style="699" customWidth="1"/>
    <col min="10249" max="10492" width="9.140625" style="699"/>
    <col min="10493" max="10493" width="4.42578125" style="699" customWidth="1"/>
    <col min="10494" max="10494" width="20.85546875" style="699" customWidth="1"/>
    <col min="10495" max="10496" width="12" style="699" customWidth="1"/>
    <col min="10497" max="10497" width="14.5703125" style="699" customWidth="1"/>
    <col min="10498" max="10498" width="12.42578125" style="699" customWidth="1"/>
    <col min="10499" max="10499" width="19.7109375" style="699" customWidth="1"/>
    <col min="10500" max="10500" width="9.140625" style="699"/>
    <col min="10501" max="10501" width="16.85546875" style="699" customWidth="1"/>
    <col min="10502" max="10502" width="12.5703125" style="699" customWidth="1"/>
    <col min="10503" max="10503" width="11.7109375" style="699" customWidth="1"/>
    <col min="10504" max="10504" width="12.28515625" style="699" customWidth="1"/>
    <col min="10505" max="10748" width="9.140625" style="699"/>
    <col min="10749" max="10749" width="4.42578125" style="699" customWidth="1"/>
    <col min="10750" max="10750" width="20.85546875" style="699" customWidth="1"/>
    <col min="10751" max="10752" width="12" style="699" customWidth="1"/>
    <col min="10753" max="10753" width="14.5703125" style="699" customWidth="1"/>
    <col min="10754" max="10754" width="12.42578125" style="699" customWidth="1"/>
    <col min="10755" max="10755" width="19.7109375" style="699" customWidth="1"/>
    <col min="10756" max="10756" width="9.140625" style="699"/>
    <col min="10757" max="10757" width="16.85546875" style="699" customWidth="1"/>
    <col min="10758" max="10758" width="12.5703125" style="699" customWidth="1"/>
    <col min="10759" max="10759" width="11.7109375" style="699" customWidth="1"/>
    <col min="10760" max="10760" width="12.28515625" style="699" customWidth="1"/>
    <col min="10761" max="11004" width="9.140625" style="699"/>
    <col min="11005" max="11005" width="4.42578125" style="699" customWidth="1"/>
    <col min="11006" max="11006" width="20.85546875" style="699" customWidth="1"/>
    <col min="11007" max="11008" width="12" style="699" customWidth="1"/>
    <col min="11009" max="11009" width="14.5703125" style="699" customWidth="1"/>
    <col min="11010" max="11010" width="12.42578125" style="699" customWidth="1"/>
    <col min="11011" max="11011" width="19.7109375" style="699" customWidth="1"/>
    <col min="11012" max="11012" width="9.140625" style="699"/>
    <col min="11013" max="11013" width="16.85546875" style="699" customWidth="1"/>
    <col min="11014" max="11014" width="12.5703125" style="699" customWidth="1"/>
    <col min="11015" max="11015" width="11.7109375" style="699" customWidth="1"/>
    <col min="11016" max="11016" width="12.28515625" style="699" customWidth="1"/>
    <col min="11017" max="11260" width="9.140625" style="699"/>
    <col min="11261" max="11261" width="4.42578125" style="699" customWidth="1"/>
    <col min="11262" max="11262" width="20.85546875" style="699" customWidth="1"/>
    <col min="11263" max="11264" width="12" style="699" customWidth="1"/>
    <col min="11265" max="11265" width="14.5703125" style="699" customWidth="1"/>
    <col min="11266" max="11266" width="12.42578125" style="699" customWidth="1"/>
    <col min="11267" max="11267" width="19.7109375" style="699" customWidth="1"/>
    <col min="11268" max="11268" width="9.140625" style="699"/>
    <col min="11269" max="11269" width="16.85546875" style="699" customWidth="1"/>
    <col min="11270" max="11270" width="12.5703125" style="699" customWidth="1"/>
    <col min="11271" max="11271" width="11.7109375" style="699" customWidth="1"/>
    <col min="11272" max="11272" width="12.28515625" style="699" customWidth="1"/>
    <col min="11273" max="11516" width="9.140625" style="699"/>
    <col min="11517" max="11517" width="4.42578125" style="699" customWidth="1"/>
    <col min="11518" max="11518" width="20.85546875" style="699" customWidth="1"/>
    <col min="11519" max="11520" width="12" style="699" customWidth="1"/>
    <col min="11521" max="11521" width="14.5703125" style="699" customWidth="1"/>
    <col min="11522" max="11522" width="12.42578125" style="699" customWidth="1"/>
    <col min="11523" max="11523" width="19.7109375" style="699" customWidth="1"/>
    <col min="11524" max="11524" width="9.140625" style="699"/>
    <col min="11525" max="11525" width="16.85546875" style="699" customWidth="1"/>
    <col min="11526" max="11526" width="12.5703125" style="699" customWidth="1"/>
    <col min="11527" max="11527" width="11.7109375" style="699" customWidth="1"/>
    <col min="11528" max="11528" width="12.28515625" style="699" customWidth="1"/>
    <col min="11529" max="11772" width="9.140625" style="699"/>
    <col min="11773" max="11773" width="4.42578125" style="699" customWidth="1"/>
    <col min="11774" max="11774" width="20.85546875" style="699" customWidth="1"/>
    <col min="11775" max="11776" width="12" style="699" customWidth="1"/>
    <col min="11777" max="11777" width="14.5703125" style="699" customWidth="1"/>
    <col min="11778" max="11778" width="12.42578125" style="699" customWidth="1"/>
    <col min="11779" max="11779" width="19.7109375" style="699" customWidth="1"/>
    <col min="11780" max="11780" width="9.140625" style="699"/>
    <col min="11781" max="11781" width="16.85546875" style="699" customWidth="1"/>
    <col min="11782" max="11782" width="12.5703125" style="699" customWidth="1"/>
    <col min="11783" max="11783" width="11.7109375" style="699" customWidth="1"/>
    <col min="11784" max="11784" width="12.28515625" style="699" customWidth="1"/>
    <col min="11785" max="12028" width="9.140625" style="699"/>
    <col min="12029" max="12029" width="4.42578125" style="699" customWidth="1"/>
    <col min="12030" max="12030" width="20.85546875" style="699" customWidth="1"/>
    <col min="12031" max="12032" width="12" style="699" customWidth="1"/>
    <col min="12033" max="12033" width="14.5703125" style="699" customWidth="1"/>
    <col min="12034" max="12034" width="12.42578125" style="699" customWidth="1"/>
    <col min="12035" max="12035" width="19.7109375" style="699" customWidth="1"/>
    <col min="12036" max="12036" width="9.140625" style="699"/>
    <col min="12037" max="12037" width="16.85546875" style="699" customWidth="1"/>
    <col min="12038" max="12038" width="12.5703125" style="699" customWidth="1"/>
    <col min="12039" max="12039" width="11.7109375" style="699" customWidth="1"/>
    <col min="12040" max="12040" width="12.28515625" style="699" customWidth="1"/>
    <col min="12041" max="12284" width="9.140625" style="699"/>
    <col min="12285" max="12285" width="4.42578125" style="699" customWidth="1"/>
    <col min="12286" max="12286" width="20.85546875" style="699" customWidth="1"/>
    <col min="12287" max="12288" width="12" style="699" customWidth="1"/>
    <col min="12289" max="12289" width="14.5703125" style="699" customWidth="1"/>
    <col min="12290" max="12290" width="12.42578125" style="699" customWidth="1"/>
    <col min="12291" max="12291" width="19.7109375" style="699" customWidth="1"/>
    <col min="12292" max="12292" width="9.140625" style="699"/>
    <col min="12293" max="12293" width="16.85546875" style="699" customWidth="1"/>
    <col min="12294" max="12294" width="12.5703125" style="699" customWidth="1"/>
    <col min="12295" max="12295" width="11.7109375" style="699" customWidth="1"/>
    <col min="12296" max="12296" width="12.28515625" style="699" customWidth="1"/>
    <col min="12297" max="12540" width="9.140625" style="699"/>
    <col min="12541" max="12541" width="4.42578125" style="699" customWidth="1"/>
    <col min="12542" max="12542" width="20.85546875" style="699" customWidth="1"/>
    <col min="12543" max="12544" width="12" style="699" customWidth="1"/>
    <col min="12545" max="12545" width="14.5703125" style="699" customWidth="1"/>
    <col min="12546" max="12546" width="12.42578125" style="699" customWidth="1"/>
    <col min="12547" max="12547" width="19.7109375" style="699" customWidth="1"/>
    <col min="12548" max="12548" width="9.140625" style="699"/>
    <col min="12549" max="12549" width="16.85546875" style="699" customWidth="1"/>
    <col min="12550" max="12550" width="12.5703125" style="699" customWidth="1"/>
    <col min="12551" max="12551" width="11.7109375" style="699" customWidth="1"/>
    <col min="12552" max="12552" width="12.28515625" style="699" customWidth="1"/>
    <col min="12553" max="12796" width="9.140625" style="699"/>
    <col min="12797" max="12797" width="4.42578125" style="699" customWidth="1"/>
    <col min="12798" max="12798" width="20.85546875" style="699" customWidth="1"/>
    <col min="12799" max="12800" width="12" style="699" customWidth="1"/>
    <col min="12801" max="12801" width="14.5703125" style="699" customWidth="1"/>
    <col min="12802" max="12802" width="12.42578125" style="699" customWidth="1"/>
    <col min="12803" max="12803" width="19.7109375" style="699" customWidth="1"/>
    <col min="12804" max="12804" width="9.140625" style="699"/>
    <col min="12805" max="12805" width="16.85546875" style="699" customWidth="1"/>
    <col min="12806" max="12806" width="12.5703125" style="699" customWidth="1"/>
    <col min="12807" max="12807" width="11.7109375" style="699" customWidth="1"/>
    <col min="12808" max="12808" width="12.28515625" style="699" customWidth="1"/>
    <col min="12809" max="13052" width="9.140625" style="699"/>
    <col min="13053" max="13053" width="4.42578125" style="699" customWidth="1"/>
    <col min="13054" max="13054" width="20.85546875" style="699" customWidth="1"/>
    <col min="13055" max="13056" width="12" style="699" customWidth="1"/>
    <col min="13057" max="13057" width="14.5703125" style="699" customWidth="1"/>
    <col min="13058" max="13058" width="12.42578125" style="699" customWidth="1"/>
    <col min="13059" max="13059" width="19.7109375" style="699" customWidth="1"/>
    <col min="13060" max="13060" width="9.140625" style="699"/>
    <col min="13061" max="13061" width="16.85546875" style="699" customWidth="1"/>
    <col min="13062" max="13062" width="12.5703125" style="699" customWidth="1"/>
    <col min="13063" max="13063" width="11.7109375" style="699" customWidth="1"/>
    <col min="13064" max="13064" width="12.28515625" style="699" customWidth="1"/>
    <col min="13065" max="13308" width="9.140625" style="699"/>
    <col min="13309" max="13309" width="4.42578125" style="699" customWidth="1"/>
    <col min="13310" max="13310" width="20.85546875" style="699" customWidth="1"/>
    <col min="13311" max="13312" width="12" style="699" customWidth="1"/>
    <col min="13313" max="13313" width="14.5703125" style="699" customWidth="1"/>
    <col min="13314" max="13314" width="12.42578125" style="699" customWidth="1"/>
    <col min="13315" max="13315" width="19.7109375" style="699" customWidth="1"/>
    <col min="13316" max="13316" width="9.140625" style="699"/>
    <col min="13317" max="13317" width="16.85546875" style="699" customWidth="1"/>
    <col min="13318" max="13318" width="12.5703125" style="699" customWidth="1"/>
    <col min="13319" max="13319" width="11.7109375" style="699" customWidth="1"/>
    <col min="13320" max="13320" width="12.28515625" style="699" customWidth="1"/>
    <col min="13321" max="13564" width="9.140625" style="699"/>
    <col min="13565" max="13565" width="4.42578125" style="699" customWidth="1"/>
    <col min="13566" max="13566" width="20.85546875" style="699" customWidth="1"/>
    <col min="13567" max="13568" width="12" style="699" customWidth="1"/>
    <col min="13569" max="13569" width="14.5703125" style="699" customWidth="1"/>
    <col min="13570" max="13570" width="12.42578125" style="699" customWidth="1"/>
    <col min="13571" max="13571" width="19.7109375" style="699" customWidth="1"/>
    <col min="13572" max="13572" width="9.140625" style="699"/>
    <col min="13573" max="13573" width="16.85546875" style="699" customWidth="1"/>
    <col min="13574" max="13574" width="12.5703125" style="699" customWidth="1"/>
    <col min="13575" max="13575" width="11.7109375" style="699" customWidth="1"/>
    <col min="13576" max="13576" width="12.28515625" style="699" customWidth="1"/>
    <col min="13577" max="13820" width="9.140625" style="699"/>
    <col min="13821" max="13821" width="4.42578125" style="699" customWidth="1"/>
    <col min="13822" max="13822" width="20.85546875" style="699" customWidth="1"/>
    <col min="13823" max="13824" width="12" style="699" customWidth="1"/>
    <col min="13825" max="13825" width="14.5703125" style="699" customWidth="1"/>
    <col min="13826" max="13826" width="12.42578125" style="699" customWidth="1"/>
    <col min="13827" max="13827" width="19.7109375" style="699" customWidth="1"/>
    <col min="13828" max="13828" width="9.140625" style="699"/>
    <col min="13829" max="13829" width="16.85546875" style="699" customWidth="1"/>
    <col min="13830" max="13830" width="12.5703125" style="699" customWidth="1"/>
    <col min="13831" max="13831" width="11.7109375" style="699" customWidth="1"/>
    <col min="13832" max="13832" width="12.28515625" style="699" customWidth="1"/>
    <col min="13833" max="14076" width="9.140625" style="699"/>
    <col min="14077" max="14077" width="4.42578125" style="699" customWidth="1"/>
    <col min="14078" max="14078" width="20.85546875" style="699" customWidth="1"/>
    <col min="14079" max="14080" width="12" style="699" customWidth="1"/>
    <col min="14081" max="14081" width="14.5703125" style="699" customWidth="1"/>
    <col min="14082" max="14082" width="12.42578125" style="699" customWidth="1"/>
    <col min="14083" max="14083" width="19.7109375" style="699" customWidth="1"/>
    <col min="14084" max="14084" width="9.140625" style="699"/>
    <col min="14085" max="14085" width="16.85546875" style="699" customWidth="1"/>
    <col min="14086" max="14086" width="12.5703125" style="699" customWidth="1"/>
    <col min="14087" max="14087" width="11.7109375" style="699" customWidth="1"/>
    <col min="14088" max="14088" width="12.28515625" style="699" customWidth="1"/>
    <col min="14089" max="14332" width="9.140625" style="699"/>
    <col min="14333" max="14333" width="4.42578125" style="699" customWidth="1"/>
    <col min="14334" max="14334" width="20.85546875" style="699" customWidth="1"/>
    <col min="14335" max="14336" width="12" style="699" customWidth="1"/>
    <col min="14337" max="14337" width="14.5703125" style="699" customWidth="1"/>
    <col min="14338" max="14338" width="12.42578125" style="699" customWidth="1"/>
    <col min="14339" max="14339" width="19.7109375" style="699" customWidth="1"/>
    <col min="14340" max="14340" width="9.140625" style="699"/>
    <col min="14341" max="14341" width="16.85546875" style="699" customWidth="1"/>
    <col min="14342" max="14342" width="12.5703125" style="699" customWidth="1"/>
    <col min="14343" max="14343" width="11.7109375" style="699" customWidth="1"/>
    <col min="14344" max="14344" width="12.28515625" style="699" customWidth="1"/>
    <col min="14345" max="14588" width="9.140625" style="699"/>
    <col min="14589" max="14589" width="4.42578125" style="699" customWidth="1"/>
    <col min="14590" max="14590" width="20.85546875" style="699" customWidth="1"/>
    <col min="14591" max="14592" width="12" style="699" customWidth="1"/>
    <col min="14593" max="14593" width="14.5703125" style="699" customWidth="1"/>
    <col min="14594" max="14594" width="12.42578125" style="699" customWidth="1"/>
    <col min="14595" max="14595" width="19.7109375" style="699" customWidth="1"/>
    <col min="14596" max="14596" width="9.140625" style="699"/>
    <col min="14597" max="14597" width="16.85546875" style="699" customWidth="1"/>
    <col min="14598" max="14598" width="12.5703125" style="699" customWidth="1"/>
    <col min="14599" max="14599" width="11.7109375" style="699" customWidth="1"/>
    <col min="14600" max="14600" width="12.28515625" style="699" customWidth="1"/>
    <col min="14601" max="14844" width="9.140625" style="699"/>
    <col min="14845" max="14845" width="4.42578125" style="699" customWidth="1"/>
    <col min="14846" max="14846" width="20.85546875" style="699" customWidth="1"/>
    <col min="14847" max="14848" width="12" style="699" customWidth="1"/>
    <col min="14849" max="14849" width="14.5703125" style="699" customWidth="1"/>
    <col min="14850" max="14850" width="12.42578125" style="699" customWidth="1"/>
    <col min="14851" max="14851" width="19.7109375" style="699" customWidth="1"/>
    <col min="14852" max="14852" width="9.140625" style="699"/>
    <col min="14853" max="14853" width="16.85546875" style="699" customWidth="1"/>
    <col min="14854" max="14854" width="12.5703125" style="699" customWidth="1"/>
    <col min="14855" max="14855" width="11.7109375" style="699" customWidth="1"/>
    <col min="14856" max="14856" width="12.28515625" style="699" customWidth="1"/>
    <col min="14857" max="15100" width="9.140625" style="699"/>
    <col min="15101" max="15101" width="4.42578125" style="699" customWidth="1"/>
    <col min="15102" max="15102" width="20.85546875" style="699" customWidth="1"/>
    <col min="15103" max="15104" width="12" style="699" customWidth="1"/>
    <col min="15105" max="15105" width="14.5703125" style="699" customWidth="1"/>
    <col min="15106" max="15106" width="12.42578125" style="699" customWidth="1"/>
    <col min="15107" max="15107" width="19.7109375" style="699" customWidth="1"/>
    <col min="15108" max="15108" width="9.140625" style="699"/>
    <col min="15109" max="15109" width="16.85546875" style="699" customWidth="1"/>
    <col min="15110" max="15110" width="12.5703125" style="699" customWidth="1"/>
    <col min="15111" max="15111" width="11.7109375" style="699" customWidth="1"/>
    <col min="15112" max="15112" width="12.28515625" style="699" customWidth="1"/>
    <col min="15113" max="15356" width="9.140625" style="699"/>
    <col min="15357" max="15357" width="4.42578125" style="699" customWidth="1"/>
    <col min="15358" max="15358" width="20.85546875" style="699" customWidth="1"/>
    <col min="15359" max="15360" width="12" style="699" customWidth="1"/>
    <col min="15361" max="15361" width="14.5703125" style="699" customWidth="1"/>
    <col min="15362" max="15362" width="12.42578125" style="699" customWidth="1"/>
    <col min="15363" max="15363" width="19.7109375" style="699" customWidth="1"/>
    <col min="15364" max="15364" width="9.140625" style="699"/>
    <col min="15365" max="15365" width="16.85546875" style="699" customWidth="1"/>
    <col min="15366" max="15366" width="12.5703125" style="699" customWidth="1"/>
    <col min="15367" max="15367" width="11.7109375" style="699" customWidth="1"/>
    <col min="15368" max="15368" width="12.28515625" style="699" customWidth="1"/>
    <col min="15369" max="15612" width="9.140625" style="699"/>
    <col min="15613" max="15613" width="4.42578125" style="699" customWidth="1"/>
    <col min="15614" max="15614" width="20.85546875" style="699" customWidth="1"/>
    <col min="15615" max="15616" width="12" style="699" customWidth="1"/>
    <col min="15617" max="15617" width="14.5703125" style="699" customWidth="1"/>
    <col min="15618" max="15618" width="12.42578125" style="699" customWidth="1"/>
    <col min="15619" max="15619" width="19.7109375" style="699" customWidth="1"/>
    <col min="15620" max="15620" width="9.140625" style="699"/>
    <col min="15621" max="15621" width="16.85546875" style="699" customWidth="1"/>
    <col min="15622" max="15622" width="12.5703125" style="699" customWidth="1"/>
    <col min="15623" max="15623" width="11.7109375" style="699" customWidth="1"/>
    <col min="15624" max="15624" width="12.28515625" style="699" customWidth="1"/>
    <col min="15625" max="15868" width="9.140625" style="699"/>
    <col min="15869" max="15869" width="4.42578125" style="699" customWidth="1"/>
    <col min="15870" max="15870" width="20.85546875" style="699" customWidth="1"/>
    <col min="15871" max="15872" width="12" style="699" customWidth="1"/>
    <col min="15873" max="15873" width="14.5703125" style="699" customWidth="1"/>
    <col min="15874" max="15874" width="12.42578125" style="699" customWidth="1"/>
    <col min="15875" max="15875" width="19.7109375" style="699" customWidth="1"/>
    <col min="15876" max="15876" width="9.140625" style="699"/>
    <col min="15877" max="15877" width="16.85546875" style="699" customWidth="1"/>
    <col min="15878" max="15878" width="12.5703125" style="699" customWidth="1"/>
    <col min="15879" max="15879" width="11.7109375" style="699" customWidth="1"/>
    <col min="15880" max="15880" width="12.28515625" style="699" customWidth="1"/>
    <col min="15881" max="16124" width="9.140625" style="699"/>
    <col min="16125" max="16125" width="4.42578125" style="699" customWidth="1"/>
    <col min="16126" max="16126" width="20.85546875" style="699" customWidth="1"/>
    <col min="16127" max="16128" width="12" style="699" customWidth="1"/>
    <col min="16129" max="16129" width="14.5703125" style="699" customWidth="1"/>
    <col min="16130" max="16130" width="12.42578125" style="699" customWidth="1"/>
    <col min="16131" max="16131" width="19.7109375" style="699" customWidth="1"/>
    <col min="16132" max="16132" width="9.140625" style="699"/>
    <col min="16133" max="16133" width="16.85546875" style="699" customWidth="1"/>
    <col min="16134" max="16134" width="12.5703125" style="699" customWidth="1"/>
    <col min="16135" max="16135" width="11.7109375" style="699" customWidth="1"/>
    <col min="16136" max="16136" width="12.28515625" style="699" customWidth="1"/>
    <col min="16137" max="16384" width="9.140625" style="699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13" t="s">
        <v>371</v>
      </c>
      <c r="C5" s="1213"/>
      <c r="D5" s="1213"/>
      <c r="E5" s="1213"/>
      <c r="F5" s="1213"/>
      <c r="G5" s="1213"/>
      <c r="I5" s="685" t="s">
        <v>337</v>
      </c>
    </row>
    <row r="6" spans="2:11" ht="15.75" customHeight="1" thickBot="1">
      <c r="B6" s="1214" t="s">
        <v>172</v>
      </c>
      <c r="C6" s="1216" t="s">
        <v>372</v>
      </c>
      <c r="D6" s="1217"/>
      <c r="E6" s="1218"/>
      <c r="F6" s="1219" t="s">
        <v>373</v>
      </c>
      <c r="G6" s="1214" t="s">
        <v>374</v>
      </c>
    </row>
    <row r="7" spans="2:11" ht="31.5" customHeight="1" thickBot="1">
      <c r="B7" s="1215"/>
      <c r="C7" s="919" t="s">
        <v>317</v>
      </c>
      <c r="D7" s="919" t="s">
        <v>326</v>
      </c>
      <c r="E7" s="919" t="s">
        <v>327</v>
      </c>
      <c r="F7" s="1220"/>
      <c r="G7" s="1215"/>
    </row>
    <row r="8" spans="2:11" ht="17.25" customHeight="1" thickBot="1">
      <c r="B8" s="920" t="s">
        <v>173</v>
      </c>
      <c r="C8" s="789">
        <v>3712.93</v>
      </c>
      <c r="D8" s="789">
        <v>1307.2719999999999</v>
      </c>
      <c r="E8" s="986">
        <f>(D8/C8)*100</f>
        <v>35.208635767439731</v>
      </c>
      <c r="F8" s="789">
        <v>3184.0450000000001</v>
      </c>
      <c r="G8" s="986">
        <f>((C8-F8)/F8)*100</f>
        <v>16.610475040396722</v>
      </c>
      <c r="I8" s="720" t="s">
        <v>174</v>
      </c>
    </row>
    <row r="9" spans="2:11" ht="18" customHeight="1" thickBot="1">
      <c r="B9" s="921" t="s">
        <v>175</v>
      </c>
      <c r="C9" s="790">
        <v>13496</v>
      </c>
      <c r="D9" s="790">
        <v>2797</v>
      </c>
      <c r="E9" s="987">
        <f t="shared" ref="E9:E13" si="0">(D9/C9)*100</f>
        <v>20.72465915826912</v>
      </c>
      <c r="F9" s="790">
        <v>16738</v>
      </c>
      <c r="G9" s="987">
        <f t="shared" ref="G9:G13" si="1">((C9-F9)/F9)*100</f>
        <v>-19.369100250926035</v>
      </c>
      <c r="I9" s="684">
        <f>C9-F9</f>
        <v>-3242</v>
      </c>
    </row>
    <row r="10" spans="2:11" ht="15" customHeight="1" thickBot="1">
      <c r="B10" s="922" t="s">
        <v>309</v>
      </c>
      <c r="C10" s="791">
        <v>5439</v>
      </c>
      <c r="D10" s="792">
        <v>0</v>
      </c>
      <c r="E10" s="987">
        <f t="shared" si="0"/>
        <v>0</v>
      </c>
      <c r="F10" s="793">
        <v>9178</v>
      </c>
      <c r="G10" s="987">
        <f t="shared" si="1"/>
        <v>-40.738723033340598</v>
      </c>
    </row>
    <row r="11" spans="2:11" ht="17.25" customHeight="1" thickBot="1">
      <c r="B11" s="923" t="s">
        <v>176</v>
      </c>
      <c r="C11" s="794">
        <v>80769.168000000005</v>
      </c>
      <c r="D11" s="795">
        <v>4646.1450000000004</v>
      </c>
      <c r="E11" s="988">
        <f t="shared" si="0"/>
        <v>5.7523744704167319</v>
      </c>
      <c r="F11" s="795">
        <v>101142.754</v>
      </c>
      <c r="G11" s="988">
        <f t="shared" si="1"/>
        <v>-20.14339653041284</v>
      </c>
      <c r="K11" s="917"/>
    </row>
    <row r="12" spans="2:11" ht="15" customHeight="1" thickBot="1">
      <c r="B12" s="920" t="s">
        <v>177</v>
      </c>
      <c r="C12" s="789">
        <v>32759.728999999999</v>
      </c>
      <c r="D12" s="789">
        <v>6448.2430000000004</v>
      </c>
      <c r="E12" s="987">
        <f t="shared" si="0"/>
        <v>19.683444267808202</v>
      </c>
      <c r="F12" s="789">
        <v>28924.446</v>
      </c>
      <c r="G12" s="987">
        <f t="shared" si="1"/>
        <v>13.259659320700557</v>
      </c>
    </row>
    <row r="13" spans="2:11" ht="15" customHeight="1" thickBot="1">
      <c r="B13" s="920" t="s">
        <v>178</v>
      </c>
      <c r="C13" s="789">
        <f t="shared" ref="C13:D13" si="2">C11+C12</f>
        <v>113528.897</v>
      </c>
      <c r="D13" s="789">
        <f t="shared" si="2"/>
        <v>11094.388000000001</v>
      </c>
      <c r="E13" s="989">
        <f t="shared" si="0"/>
        <v>9.7723031696502805</v>
      </c>
      <c r="F13" s="789">
        <f t="shared" ref="F13" si="3">F11+F12</f>
        <v>130067.2</v>
      </c>
      <c r="G13" s="989">
        <f t="shared" si="1"/>
        <v>-12.715198758795454</v>
      </c>
    </row>
    <row r="14" spans="2:11">
      <c r="C14" s="938"/>
      <c r="D14" s="938"/>
    </row>
    <row r="16" spans="2:11" ht="15.75">
      <c r="B16" s="591" t="s">
        <v>310</v>
      </c>
    </row>
    <row r="18" spans="1:13" ht="33" customHeight="1" thickBot="1">
      <c r="B18" s="1213" t="s">
        <v>375</v>
      </c>
      <c r="C18" s="1213"/>
      <c r="D18" s="1213"/>
      <c r="E18" s="1213"/>
      <c r="F18" s="1213"/>
      <c r="G18" s="1213"/>
      <c r="L18" s="122"/>
      <c r="M18" s="122"/>
    </row>
    <row r="19" spans="1:13" ht="24.75" customHeight="1" thickBot="1">
      <c r="B19" s="1209" t="s">
        <v>179</v>
      </c>
      <c r="C19" s="1222" t="s">
        <v>372</v>
      </c>
      <c r="D19" s="1223"/>
      <c r="E19" s="1224"/>
      <c r="F19" s="1225" t="s">
        <v>373</v>
      </c>
      <c r="G19" s="1209" t="s">
        <v>374</v>
      </c>
      <c r="K19" s="122"/>
      <c r="L19" s="122"/>
      <c r="M19" s="122"/>
    </row>
    <row r="20" spans="1:13" ht="21" customHeight="1" thickBot="1">
      <c r="B20" s="1221"/>
      <c r="C20" s="973" t="s">
        <v>317</v>
      </c>
      <c r="D20" s="973" t="s">
        <v>326</v>
      </c>
      <c r="E20" s="973" t="s">
        <v>327</v>
      </c>
      <c r="F20" s="1226"/>
      <c r="G20" s="1210"/>
      <c r="K20" s="122"/>
      <c r="L20" s="122"/>
      <c r="M20" s="990"/>
    </row>
    <row r="21" spans="1:13" ht="15.75" thickBot="1">
      <c r="B21" s="589" t="s">
        <v>173</v>
      </c>
      <c r="C21" s="789">
        <v>11377.562</v>
      </c>
      <c r="D21" s="796">
        <v>0</v>
      </c>
      <c r="E21" s="986">
        <f>(D21/C21)*100</f>
        <v>0</v>
      </c>
      <c r="F21" s="789">
        <v>15600.903</v>
      </c>
      <c r="G21" s="986">
        <f>((C21-F21)/F21)*100</f>
        <v>-27.07113171590132</v>
      </c>
      <c r="I21" s="720" t="s">
        <v>180</v>
      </c>
      <c r="K21" s="122"/>
      <c r="L21" s="122"/>
      <c r="M21" s="122"/>
    </row>
    <row r="22" spans="1:13" ht="15.75" thickBot="1">
      <c r="B22" s="589" t="s">
        <v>175</v>
      </c>
      <c r="C22" s="789">
        <v>51897</v>
      </c>
      <c r="D22" s="796">
        <v>0</v>
      </c>
      <c r="E22" s="987">
        <f t="shared" ref="E22:E26" si="4">(D22/C22)*100</f>
        <v>0</v>
      </c>
      <c r="F22" s="789">
        <v>64943</v>
      </c>
      <c r="G22" s="987">
        <f t="shared" ref="G22:G26" si="5">((C22-F22)/F22)*100</f>
        <v>-20.088385199328641</v>
      </c>
      <c r="I22" s="684">
        <f>C22-F22</f>
        <v>-13046</v>
      </c>
      <c r="L22" s="122"/>
      <c r="M22" s="122"/>
    </row>
    <row r="23" spans="1:13" ht="15.75" thickBot="1">
      <c r="B23" s="590" t="s">
        <v>309</v>
      </c>
      <c r="C23" s="793">
        <v>17081</v>
      </c>
      <c r="D23" s="797">
        <v>0</v>
      </c>
      <c r="E23" s="987">
        <f t="shared" si="4"/>
        <v>0</v>
      </c>
      <c r="F23" s="793">
        <v>21455</v>
      </c>
      <c r="G23" s="987">
        <f t="shared" si="5"/>
        <v>-20.386856210673503</v>
      </c>
    </row>
    <row r="24" spans="1:13" ht="15.75" thickBot="1">
      <c r="B24" s="589" t="s">
        <v>176</v>
      </c>
      <c r="C24" s="789">
        <v>5557.7370000000001</v>
      </c>
      <c r="D24" s="798">
        <v>8.9139999999999997</v>
      </c>
      <c r="E24" s="988">
        <f t="shared" si="4"/>
        <v>0.16038902164676019</v>
      </c>
      <c r="F24" s="789">
        <v>5616.8559999999998</v>
      </c>
      <c r="G24" s="988">
        <f t="shared" si="5"/>
        <v>-1.0525283183332399</v>
      </c>
    </row>
    <row r="25" spans="1:13" ht="15.75" thickBot="1">
      <c r="B25" s="589" t="s">
        <v>177</v>
      </c>
      <c r="C25" s="789">
        <v>1492.4829999999999</v>
      </c>
      <c r="D25" s="798">
        <v>15.518000000000001</v>
      </c>
      <c r="E25" s="987">
        <f t="shared" si="4"/>
        <v>1.0397438362782021</v>
      </c>
      <c r="F25" s="789">
        <v>1736.7919999999999</v>
      </c>
      <c r="G25" s="987">
        <f t="shared" si="5"/>
        <v>-14.066681560025609</v>
      </c>
    </row>
    <row r="26" spans="1:13" ht="15.75" thickBot="1">
      <c r="B26" s="589" t="s">
        <v>178</v>
      </c>
      <c r="C26" s="789">
        <f t="shared" ref="C26:D26" si="6">C24+C25</f>
        <v>7050.22</v>
      </c>
      <c r="D26" s="799">
        <f t="shared" si="6"/>
        <v>24.432000000000002</v>
      </c>
      <c r="E26" s="989">
        <f t="shared" si="4"/>
        <v>0.34654237740098892</v>
      </c>
      <c r="F26" s="789">
        <f>F24+F25</f>
        <v>7353.6479999999992</v>
      </c>
      <c r="G26" s="989">
        <f t="shared" si="5"/>
        <v>-4.1262241543244791</v>
      </c>
    </row>
    <row r="27" spans="1:13" ht="16.5" customHeight="1">
      <c r="B27" s="1211"/>
      <c r="C27" s="1211"/>
      <c r="D27" s="1211"/>
      <c r="E27" s="1211"/>
      <c r="F27" s="1211"/>
      <c r="G27" s="1211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0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12"/>
      <c r="E32" s="1212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0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12"/>
      <c r="D43" s="1212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Y96"/>
  <sheetViews>
    <sheetView workbookViewId="0">
      <selection activeCell="M35" sqref="M35"/>
    </sheetView>
  </sheetViews>
  <sheetFormatPr defaultRowHeight="12.75"/>
  <cols>
    <col min="1" max="1" width="5" style="699" customWidth="1"/>
    <col min="2" max="2" width="21.7109375" style="699" customWidth="1"/>
    <col min="3" max="3" width="11.140625" style="699" customWidth="1"/>
    <col min="4" max="4" width="12.140625" style="699" customWidth="1"/>
    <col min="5" max="5" width="12.28515625" style="699" customWidth="1"/>
    <col min="6" max="6" width="3" style="699" customWidth="1"/>
    <col min="7" max="7" width="20.28515625" style="699" customWidth="1"/>
    <col min="8" max="8" width="10.5703125" style="699" customWidth="1"/>
    <col min="9" max="9" width="9.85546875" style="917" bestFit="1" customWidth="1"/>
    <col min="10" max="10" width="11" style="699" customWidth="1"/>
    <col min="11" max="11" width="2.85546875" style="699" customWidth="1"/>
    <col min="12" max="12" width="19.85546875" style="699" customWidth="1"/>
    <col min="13" max="13" width="18.28515625" style="699" customWidth="1"/>
    <col min="14" max="14" width="14.140625" style="699" customWidth="1"/>
    <col min="15" max="15" width="10.140625" style="699" customWidth="1"/>
    <col min="16" max="16" width="4.42578125" style="699" customWidth="1"/>
    <col min="17" max="17" width="21.85546875" style="699" customWidth="1"/>
    <col min="18" max="18" width="12.42578125" style="699" customWidth="1"/>
    <col min="19" max="19" width="9.85546875" style="699" bestFit="1" customWidth="1"/>
    <col min="20" max="20" width="10.42578125" style="699" customWidth="1"/>
    <col min="21" max="253" width="9.140625" style="699"/>
    <col min="254" max="254" width="5" style="699" customWidth="1"/>
    <col min="255" max="255" width="17.7109375" style="699" customWidth="1"/>
    <col min="256" max="256" width="13.85546875" style="699" customWidth="1"/>
    <col min="257" max="257" width="13.140625" style="699" customWidth="1"/>
    <col min="258" max="258" width="12.28515625" style="699" customWidth="1"/>
    <col min="259" max="259" width="3" style="699" customWidth="1"/>
    <col min="260" max="260" width="20.28515625" style="699" customWidth="1"/>
    <col min="261" max="261" width="12.5703125" style="699" customWidth="1"/>
    <col min="262" max="262" width="11.7109375" style="699" customWidth="1"/>
    <col min="263" max="263" width="9.140625" style="699"/>
    <col min="264" max="264" width="2.85546875" style="699" customWidth="1"/>
    <col min="265" max="265" width="18.5703125" style="699" customWidth="1"/>
    <col min="266" max="266" width="14.42578125" style="699" customWidth="1"/>
    <col min="267" max="267" width="13.7109375" style="699" customWidth="1"/>
    <col min="268" max="268" width="10.140625" style="699" customWidth="1"/>
    <col min="269" max="269" width="4.42578125" style="699" customWidth="1"/>
    <col min="270" max="270" width="24" style="699" customWidth="1"/>
    <col min="271" max="271" width="13.140625" style="699" customWidth="1"/>
    <col min="272" max="272" width="13" style="699" customWidth="1"/>
    <col min="273" max="273" width="10.42578125" style="699" customWidth="1"/>
    <col min="274" max="509" width="9.140625" style="699"/>
    <col min="510" max="510" width="5" style="699" customWidth="1"/>
    <col min="511" max="511" width="17.7109375" style="699" customWidth="1"/>
    <col min="512" max="512" width="13.85546875" style="699" customWidth="1"/>
    <col min="513" max="513" width="13.140625" style="699" customWidth="1"/>
    <col min="514" max="514" width="12.28515625" style="699" customWidth="1"/>
    <col min="515" max="515" width="3" style="699" customWidth="1"/>
    <col min="516" max="516" width="20.28515625" style="699" customWidth="1"/>
    <col min="517" max="517" width="12.5703125" style="699" customWidth="1"/>
    <col min="518" max="518" width="11.7109375" style="699" customWidth="1"/>
    <col min="519" max="519" width="9.140625" style="699"/>
    <col min="520" max="520" width="2.85546875" style="699" customWidth="1"/>
    <col min="521" max="521" width="18.5703125" style="699" customWidth="1"/>
    <col min="522" max="522" width="14.42578125" style="699" customWidth="1"/>
    <col min="523" max="523" width="13.7109375" style="699" customWidth="1"/>
    <col min="524" max="524" width="10.140625" style="699" customWidth="1"/>
    <col min="525" max="525" width="4.42578125" style="699" customWidth="1"/>
    <col min="526" max="526" width="24" style="699" customWidth="1"/>
    <col min="527" max="527" width="13.140625" style="699" customWidth="1"/>
    <col min="528" max="528" width="13" style="699" customWidth="1"/>
    <col min="529" max="529" width="10.42578125" style="699" customWidth="1"/>
    <col min="530" max="765" width="9.140625" style="699"/>
    <col min="766" max="766" width="5" style="699" customWidth="1"/>
    <col min="767" max="767" width="17.7109375" style="699" customWidth="1"/>
    <col min="768" max="768" width="13.85546875" style="699" customWidth="1"/>
    <col min="769" max="769" width="13.140625" style="699" customWidth="1"/>
    <col min="770" max="770" width="12.28515625" style="699" customWidth="1"/>
    <col min="771" max="771" width="3" style="699" customWidth="1"/>
    <col min="772" max="772" width="20.28515625" style="699" customWidth="1"/>
    <col min="773" max="773" width="12.5703125" style="699" customWidth="1"/>
    <col min="774" max="774" width="11.7109375" style="699" customWidth="1"/>
    <col min="775" max="775" width="9.140625" style="699"/>
    <col min="776" max="776" width="2.85546875" style="699" customWidth="1"/>
    <col min="777" max="777" width="18.5703125" style="699" customWidth="1"/>
    <col min="778" max="778" width="14.42578125" style="699" customWidth="1"/>
    <col min="779" max="779" width="13.7109375" style="699" customWidth="1"/>
    <col min="780" max="780" width="10.140625" style="699" customWidth="1"/>
    <col min="781" max="781" width="4.42578125" style="699" customWidth="1"/>
    <col min="782" max="782" width="24" style="699" customWidth="1"/>
    <col min="783" max="783" width="13.140625" style="699" customWidth="1"/>
    <col min="784" max="784" width="13" style="699" customWidth="1"/>
    <col min="785" max="785" width="10.42578125" style="699" customWidth="1"/>
    <col min="786" max="1021" width="9.140625" style="699"/>
    <col min="1022" max="1022" width="5" style="699" customWidth="1"/>
    <col min="1023" max="1023" width="17.7109375" style="699" customWidth="1"/>
    <col min="1024" max="1024" width="13.85546875" style="699" customWidth="1"/>
    <col min="1025" max="1025" width="13.140625" style="699" customWidth="1"/>
    <col min="1026" max="1026" width="12.28515625" style="699" customWidth="1"/>
    <col min="1027" max="1027" width="3" style="699" customWidth="1"/>
    <col min="1028" max="1028" width="20.28515625" style="699" customWidth="1"/>
    <col min="1029" max="1029" width="12.5703125" style="699" customWidth="1"/>
    <col min="1030" max="1030" width="11.7109375" style="699" customWidth="1"/>
    <col min="1031" max="1031" width="9.140625" style="699"/>
    <col min="1032" max="1032" width="2.85546875" style="699" customWidth="1"/>
    <col min="1033" max="1033" width="18.5703125" style="699" customWidth="1"/>
    <col min="1034" max="1034" width="14.42578125" style="699" customWidth="1"/>
    <col min="1035" max="1035" width="13.7109375" style="699" customWidth="1"/>
    <col min="1036" max="1036" width="10.140625" style="699" customWidth="1"/>
    <col min="1037" max="1037" width="4.42578125" style="699" customWidth="1"/>
    <col min="1038" max="1038" width="24" style="699" customWidth="1"/>
    <col min="1039" max="1039" width="13.140625" style="699" customWidth="1"/>
    <col min="1040" max="1040" width="13" style="699" customWidth="1"/>
    <col min="1041" max="1041" width="10.42578125" style="699" customWidth="1"/>
    <col min="1042" max="1277" width="9.140625" style="699"/>
    <col min="1278" max="1278" width="5" style="699" customWidth="1"/>
    <col min="1279" max="1279" width="17.7109375" style="699" customWidth="1"/>
    <col min="1280" max="1280" width="13.85546875" style="699" customWidth="1"/>
    <col min="1281" max="1281" width="13.140625" style="699" customWidth="1"/>
    <col min="1282" max="1282" width="12.28515625" style="699" customWidth="1"/>
    <col min="1283" max="1283" width="3" style="699" customWidth="1"/>
    <col min="1284" max="1284" width="20.28515625" style="699" customWidth="1"/>
    <col min="1285" max="1285" width="12.5703125" style="699" customWidth="1"/>
    <col min="1286" max="1286" width="11.7109375" style="699" customWidth="1"/>
    <col min="1287" max="1287" width="9.140625" style="699"/>
    <col min="1288" max="1288" width="2.85546875" style="699" customWidth="1"/>
    <col min="1289" max="1289" width="18.5703125" style="699" customWidth="1"/>
    <col min="1290" max="1290" width="14.42578125" style="699" customWidth="1"/>
    <col min="1291" max="1291" width="13.7109375" style="699" customWidth="1"/>
    <col min="1292" max="1292" width="10.140625" style="699" customWidth="1"/>
    <col min="1293" max="1293" width="4.42578125" style="699" customWidth="1"/>
    <col min="1294" max="1294" width="24" style="699" customWidth="1"/>
    <col min="1295" max="1295" width="13.140625" style="699" customWidth="1"/>
    <col min="1296" max="1296" width="13" style="699" customWidth="1"/>
    <col min="1297" max="1297" width="10.42578125" style="699" customWidth="1"/>
    <col min="1298" max="1533" width="9.140625" style="699"/>
    <col min="1534" max="1534" width="5" style="699" customWidth="1"/>
    <col min="1535" max="1535" width="17.7109375" style="699" customWidth="1"/>
    <col min="1536" max="1536" width="13.85546875" style="699" customWidth="1"/>
    <col min="1537" max="1537" width="13.140625" style="699" customWidth="1"/>
    <col min="1538" max="1538" width="12.28515625" style="699" customWidth="1"/>
    <col min="1539" max="1539" width="3" style="699" customWidth="1"/>
    <col min="1540" max="1540" width="20.28515625" style="699" customWidth="1"/>
    <col min="1541" max="1541" width="12.5703125" style="699" customWidth="1"/>
    <col min="1542" max="1542" width="11.7109375" style="699" customWidth="1"/>
    <col min="1543" max="1543" width="9.140625" style="699"/>
    <col min="1544" max="1544" width="2.85546875" style="699" customWidth="1"/>
    <col min="1545" max="1545" width="18.5703125" style="699" customWidth="1"/>
    <col min="1546" max="1546" width="14.42578125" style="699" customWidth="1"/>
    <col min="1547" max="1547" width="13.7109375" style="699" customWidth="1"/>
    <col min="1548" max="1548" width="10.140625" style="699" customWidth="1"/>
    <col min="1549" max="1549" width="4.42578125" style="699" customWidth="1"/>
    <col min="1550" max="1550" width="24" style="699" customWidth="1"/>
    <col min="1551" max="1551" width="13.140625" style="699" customWidth="1"/>
    <col min="1552" max="1552" width="13" style="699" customWidth="1"/>
    <col min="1553" max="1553" width="10.42578125" style="699" customWidth="1"/>
    <col min="1554" max="1789" width="9.140625" style="699"/>
    <col min="1790" max="1790" width="5" style="699" customWidth="1"/>
    <col min="1791" max="1791" width="17.7109375" style="699" customWidth="1"/>
    <col min="1792" max="1792" width="13.85546875" style="699" customWidth="1"/>
    <col min="1793" max="1793" width="13.140625" style="699" customWidth="1"/>
    <col min="1794" max="1794" width="12.28515625" style="699" customWidth="1"/>
    <col min="1795" max="1795" width="3" style="699" customWidth="1"/>
    <col min="1796" max="1796" width="20.28515625" style="699" customWidth="1"/>
    <col min="1797" max="1797" width="12.5703125" style="699" customWidth="1"/>
    <col min="1798" max="1798" width="11.7109375" style="699" customWidth="1"/>
    <col min="1799" max="1799" width="9.140625" style="699"/>
    <col min="1800" max="1800" width="2.85546875" style="699" customWidth="1"/>
    <col min="1801" max="1801" width="18.5703125" style="699" customWidth="1"/>
    <col min="1802" max="1802" width="14.42578125" style="699" customWidth="1"/>
    <col min="1803" max="1803" width="13.7109375" style="699" customWidth="1"/>
    <col min="1804" max="1804" width="10.140625" style="699" customWidth="1"/>
    <col min="1805" max="1805" width="4.42578125" style="699" customWidth="1"/>
    <col min="1806" max="1806" width="24" style="699" customWidth="1"/>
    <col min="1807" max="1807" width="13.140625" style="699" customWidth="1"/>
    <col min="1808" max="1808" width="13" style="699" customWidth="1"/>
    <col min="1809" max="1809" width="10.42578125" style="699" customWidth="1"/>
    <col min="1810" max="2045" width="9.140625" style="699"/>
    <col min="2046" max="2046" width="5" style="699" customWidth="1"/>
    <col min="2047" max="2047" width="17.7109375" style="699" customWidth="1"/>
    <col min="2048" max="2048" width="13.85546875" style="699" customWidth="1"/>
    <col min="2049" max="2049" width="13.140625" style="699" customWidth="1"/>
    <col min="2050" max="2050" width="12.28515625" style="699" customWidth="1"/>
    <col min="2051" max="2051" width="3" style="699" customWidth="1"/>
    <col min="2052" max="2052" width="20.28515625" style="699" customWidth="1"/>
    <col min="2053" max="2053" width="12.5703125" style="699" customWidth="1"/>
    <col min="2054" max="2054" width="11.7109375" style="699" customWidth="1"/>
    <col min="2055" max="2055" width="9.140625" style="699"/>
    <col min="2056" max="2056" width="2.85546875" style="699" customWidth="1"/>
    <col min="2057" max="2057" width="18.5703125" style="699" customWidth="1"/>
    <col min="2058" max="2058" width="14.42578125" style="699" customWidth="1"/>
    <col min="2059" max="2059" width="13.7109375" style="699" customWidth="1"/>
    <col min="2060" max="2060" width="10.140625" style="699" customWidth="1"/>
    <col min="2061" max="2061" width="4.42578125" style="699" customWidth="1"/>
    <col min="2062" max="2062" width="24" style="699" customWidth="1"/>
    <col min="2063" max="2063" width="13.140625" style="699" customWidth="1"/>
    <col min="2064" max="2064" width="13" style="699" customWidth="1"/>
    <col min="2065" max="2065" width="10.42578125" style="699" customWidth="1"/>
    <col min="2066" max="2301" width="9.140625" style="699"/>
    <col min="2302" max="2302" width="5" style="699" customWidth="1"/>
    <col min="2303" max="2303" width="17.7109375" style="699" customWidth="1"/>
    <col min="2304" max="2304" width="13.85546875" style="699" customWidth="1"/>
    <col min="2305" max="2305" width="13.140625" style="699" customWidth="1"/>
    <col min="2306" max="2306" width="12.28515625" style="699" customWidth="1"/>
    <col min="2307" max="2307" width="3" style="699" customWidth="1"/>
    <col min="2308" max="2308" width="20.28515625" style="699" customWidth="1"/>
    <col min="2309" max="2309" width="12.5703125" style="699" customWidth="1"/>
    <col min="2310" max="2310" width="11.7109375" style="699" customWidth="1"/>
    <col min="2311" max="2311" width="9.140625" style="699"/>
    <col min="2312" max="2312" width="2.85546875" style="699" customWidth="1"/>
    <col min="2313" max="2313" width="18.5703125" style="699" customWidth="1"/>
    <col min="2314" max="2314" width="14.42578125" style="699" customWidth="1"/>
    <col min="2315" max="2315" width="13.7109375" style="699" customWidth="1"/>
    <col min="2316" max="2316" width="10.140625" style="699" customWidth="1"/>
    <col min="2317" max="2317" width="4.42578125" style="699" customWidth="1"/>
    <col min="2318" max="2318" width="24" style="699" customWidth="1"/>
    <col min="2319" max="2319" width="13.140625" style="699" customWidth="1"/>
    <col min="2320" max="2320" width="13" style="699" customWidth="1"/>
    <col min="2321" max="2321" width="10.42578125" style="699" customWidth="1"/>
    <col min="2322" max="2557" width="9.140625" style="699"/>
    <col min="2558" max="2558" width="5" style="699" customWidth="1"/>
    <col min="2559" max="2559" width="17.7109375" style="699" customWidth="1"/>
    <col min="2560" max="2560" width="13.85546875" style="699" customWidth="1"/>
    <col min="2561" max="2561" width="13.140625" style="699" customWidth="1"/>
    <col min="2562" max="2562" width="12.28515625" style="699" customWidth="1"/>
    <col min="2563" max="2563" width="3" style="699" customWidth="1"/>
    <col min="2564" max="2564" width="20.28515625" style="699" customWidth="1"/>
    <col min="2565" max="2565" width="12.5703125" style="699" customWidth="1"/>
    <col min="2566" max="2566" width="11.7109375" style="699" customWidth="1"/>
    <col min="2567" max="2567" width="9.140625" style="699"/>
    <col min="2568" max="2568" width="2.85546875" style="699" customWidth="1"/>
    <col min="2569" max="2569" width="18.5703125" style="699" customWidth="1"/>
    <col min="2570" max="2570" width="14.42578125" style="699" customWidth="1"/>
    <col min="2571" max="2571" width="13.7109375" style="699" customWidth="1"/>
    <col min="2572" max="2572" width="10.140625" style="699" customWidth="1"/>
    <col min="2573" max="2573" width="4.42578125" style="699" customWidth="1"/>
    <col min="2574" max="2574" width="24" style="699" customWidth="1"/>
    <col min="2575" max="2575" width="13.140625" style="699" customWidth="1"/>
    <col min="2576" max="2576" width="13" style="699" customWidth="1"/>
    <col min="2577" max="2577" width="10.42578125" style="699" customWidth="1"/>
    <col min="2578" max="2813" width="9.140625" style="699"/>
    <col min="2814" max="2814" width="5" style="699" customWidth="1"/>
    <col min="2815" max="2815" width="17.7109375" style="699" customWidth="1"/>
    <col min="2816" max="2816" width="13.85546875" style="699" customWidth="1"/>
    <col min="2817" max="2817" width="13.140625" style="699" customWidth="1"/>
    <col min="2818" max="2818" width="12.28515625" style="699" customWidth="1"/>
    <col min="2819" max="2819" width="3" style="699" customWidth="1"/>
    <col min="2820" max="2820" width="20.28515625" style="699" customWidth="1"/>
    <col min="2821" max="2821" width="12.5703125" style="699" customWidth="1"/>
    <col min="2822" max="2822" width="11.7109375" style="699" customWidth="1"/>
    <col min="2823" max="2823" width="9.140625" style="699"/>
    <col min="2824" max="2824" width="2.85546875" style="699" customWidth="1"/>
    <col min="2825" max="2825" width="18.5703125" style="699" customWidth="1"/>
    <col min="2826" max="2826" width="14.42578125" style="699" customWidth="1"/>
    <col min="2827" max="2827" width="13.7109375" style="699" customWidth="1"/>
    <col min="2828" max="2828" width="10.140625" style="699" customWidth="1"/>
    <col min="2829" max="2829" width="4.42578125" style="699" customWidth="1"/>
    <col min="2830" max="2830" width="24" style="699" customWidth="1"/>
    <col min="2831" max="2831" width="13.140625" style="699" customWidth="1"/>
    <col min="2832" max="2832" width="13" style="699" customWidth="1"/>
    <col min="2833" max="2833" width="10.42578125" style="699" customWidth="1"/>
    <col min="2834" max="3069" width="9.140625" style="699"/>
    <col min="3070" max="3070" width="5" style="699" customWidth="1"/>
    <col min="3071" max="3071" width="17.7109375" style="699" customWidth="1"/>
    <col min="3072" max="3072" width="13.85546875" style="699" customWidth="1"/>
    <col min="3073" max="3073" width="13.140625" style="699" customWidth="1"/>
    <col min="3074" max="3074" width="12.28515625" style="699" customWidth="1"/>
    <col min="3075" max="3075" width="3" style="699" customWidth="1"/>
    <col min="3076" max="3076" width="20.28515625" style="699" customWidth="1"/>
    <col min="3077" max="3077" width="12.5703125" style="699" customWidth="1"/>
    <col min="3078" max="3078" width="11.7109375" style="699" customWidth="1"/>
    <col min="3079" max="3079" width="9.140625" style="699"/>
    <col min="3080" max="3080" width="2.85546875" style="699" customWidth="1"/>
    <col min="3081" max="3081" width="18.5703125" style="699" customWidth="1"/>
    <col min="3082" max="3082" width="14.42578125" style="699" customWidth="1"/>
    <col min="3083" max="3083" width="13.7109375" style="699" customWidth="1"/>
    <col min="3084" max="3084" width="10.140625" style="699" customWidth="1"/>
    <col min="3085" max="3085" width="4.42578125" style="699" customWidth="1"/>
    <col min="3086" max="3086" width="24" style="699" customWidth="1"/>
    <col min="3087" max="3087" width="13.140625" style="699" customWidth="1"/>
    <col min="3088" max="3088" width="13" style="699" customWidth="1"/>
    <col min="3089" max="3089" width="10.42578125" style="699" customWidth="1"/>
    <col min="3090" max="3325" width="9.140625" style="699"/>
    <col min="3326" max="3326" width="5" style="699" customWidth="1"/>
    <col min="3327" max="3327" width="17.7109375" style="699" customWidth="1"/>
    <col min="3328" max="3328" width="13.85546875" style="699" customWidth="1"/>
    <col min="3329" max="3329" width="13.140625" style="699" customWidth="1"/>
    <col min="3330" max="3330" width="12.28515625" style="699" customWidth="1"/>
    <col min="3331" max="3331" width="3" style="699" customWidth="1"/>
    <col min="3332" max="3332" width="20.28515625" style="699" customWidth="1"/>
    <col min="3333" max="3333" width="12.5703125" style="699" customWidth="1"/>
    <col min="3334" max="3334" width="11.7109375" style="699" customWidth="1"/>
    <col min="3335" max="3335" width="9.140625" style="699"/>
    <col min="3336" max="3336" width="2.85546875" style="699" customWidth="1"/>
    <col min="3337" max="3337" width="18.5703125" style="699" customWidth="1"/>
    <col min="3338" max="3338" width="14.42578125" style="699" customWidth="1"/>
    <col min="3339" max="3339" width="13.7109375" style="699" customWidth="1"/>
    <col min="3340" max="3340" width="10.140625" style="699" customWidth="1"/>
    <col min="3341" max="3341" width="4.42578125" style="699" customWidth="1"/>
    <col min="3342" max="3342" width="24" style="699" customWidth="1"/>
    <col min="3343" max="3343" width="13.140625" style="699" customWidth="1"/>
    <col min="3344" max="3344" width="13" style="699" customWidth="1"/>
    <col min="3345" max="3345" width="10.42578125" style="699" customWidth="1"/>
    <col min="3346" max="3581" width="9.140625" style="699"/>
    <col min="3582" max="3582" width="5" style="699" customWidth="1"/>
    <col min="3583" max="3583" width="17.7109375" style="699" customWidth="1"/>
    <col min="3584" max="3584" width="13.85546875" style="699" customWidth="1"/>
    <col min="3585" max="3585" width="13.140625" style="699" customWidth="1"/>
    <col min="3586" max="3586" width="12.28515625" style="699" customWidth="1"/>
    <col min="3587" max="3587" width="3" style="699" customWidth="1"/>
    <col min="3588" max="3588" width="20.28515625" style="699" customWidth="1"/>
    <col min="3589" max="3589" width="12.5703125" style="699" customWidth="1"/>
    <col min="3590" max="3590" width="11.7109375" style="699" customWidth="1"/>
    <col min="3591" max="3591" width="9.140625" style="699"/>
    <col min="3592" max="3592" width="2.85546875" style="699" customWidth="1"/>
    <col min="3593" max="3593" width="18.5703125" style="699" customWidth="1"/>
    <col min="3594" max="3594" width="14.42578125" style="699" customWidth="1"/>
    <col min="3595" max="3595" width="13.7109375" style="699" customWidth="1"/>
    <col min="3596" max="3596" width="10.140625" style="699" customWidth="1"/>
    <col min="3597" max="3597" width="4.42578125" style="699" customWidth="1"/>
    <col min="3598" max="3598" width="24" style="699" customWidth="1"/>
    <col min="3599" max="3599" width="13.140625" style="699" customWidth="1"/>
    <col min="3600" max="3600" width="13" style="699" customWidth="1"/>
    <col min="3601" max="3601" width="10.42578125" style="699" customWidth="1"/>
    <col min="3602" max="3837" width="9.140625" style="699"/>
    <col min="3838" max="3838" width="5" style="699" customWidth="1"/>
    <col min="3839" max="3839" width="17.7109375" style="699" customWidth="1"/>
    <col min="3840" max="3840" width="13.85546875" style="699" customWidth="1"/>
    <col min="3841" max="3841" width="13.140625" style="699" customWidth="1"/>
    <col min="3842" max="3842" width="12.28515625" style="699" customWidth="1"/>
    <col min="3843" max="3843" width="3" style="699" customWidth="1"/>
    <col min="3844" max="3844" width="20.28515625" style="699" customWidth="1"/>
    <col min="3845" max="3845" width="12.5703125" style="699" customWidth="1"/>
    <col min="3846" max="3846" width="11.7109375" style="699" customWidth="1"/>
    <col min="3847" max="3847" width="9.140625" style="699"/>
    <col min="3848" max="3848" width="2.85546875" style="699" customWidth="1"/>
    <col min="3849" max="3849" width="18.5703125" style="699" customWidth="1"/>
    <col min="3850" max="3850" width="14.42578125" style="699" customWidth="1"/>
    <col min="3851" max="3851" width="13.7109375" style="699" customWidth="1"/>
    <col min="3852" max="3852" width="10.140625" style="699" customWidth="1"/>
    <col min="3853" max="3853" width="4.42578125" style="699" customWidth="1"/>
    <col min="3854" max="3854" width="24" style="699" customWidth="1"/>
    <col min="3855" max="3855" width="13.140625" style="699" customWidth="1"/>
    <col min="3856" max="3856" width="13" style="699" customWidth="1"/>
    <col min="3857" max="3857" width="10.42578125" style="699" customWidth="1"/>
    <col min="3858" max="4093" width="9.140625" style="699"/>
    <col min="4094" max="4094" width="5" style="699" customWidth="1"/>
    <col min="4095" max="4095" width="17.7109375" style="699" customWidth="1"/>
    <col min="4096" max="4096" width="13.85546875" style="699" customWidth="1"/>
    <col min="4097" max="4097" width="13.140625" style="699" customWidth="1"/>
    <col min="4098" max="4098" width="12.28515625" style="699" customWidth="1"/>
    <col min="4099" max="4099" width="3" style="699" customWidth="1"/>
    <col min="4100" max="4100" width="20.28515625" style="699" customWidth="1"/>
    <col min="4101" max="4101" width="12.5703125" style="699" customWidth="1"/>
    <col min="4102" max="4102" width="11.7109375" style="699" customWidth="1"/>
    <col min="4103" max="4103" width="9.140625" style="699"/>
    <col min="4104" max="4104" width="2.85546875" style="699" customWidth="1"/>
    <col min="4105" max="4105" width="18.5703125" style="699" customWidth="1"/>
    <col min="4106" max="4106" width="14.42578125" style="699" customWidth="1"/>
    <col min="4107" max="4107" width="13.7109375" style="699" customWidth="1"/>
    <col min="4108" max="4108" width="10.140625" style="699" customWidth="1"/>
    <col min="4109" max="4109" width="4.42578125" style="699" customWidth="1"/>
    <col min="4110" max="4110" width="24" style="699" customWidth="1"/>
    <col min="4111" max="4111" width="13.140625" style="699" customWidth="1"/>
    <col min="4112" max="4112" width="13" style="699" customWidth="1"/>
    <col min="4113" max="4113" width="10.42578125" style="699" customWidth="1"/>
    <col min="4114" max="4349" width="9.140625" style="699"/>
    <col min="4350" max="4350" width="5" style="699" customWidth="1"/>
    <col min="4351" max="4351" width="17.7109375" style="699" customWidth="1"/>
    <col min="4352" max="4352" width="13.85546875" style="699" customWidth="1"/>
    <col min="4353" max="4353" width="13.140625" style="699" customWidth="1"/>
    <col min="4354" max="4354" width="12.28515625" style="699" customWidth="1"/>
    <col min="4355" max="4355" width="3" style="699" customWidth="1"/>
    <col min="4356" max="4356" width="20.28515625" style="699" customWidth="1"/>
    <col min="4357" max="4357" width="12.5703125" style="699" customWidth="1"/>
    <col min="4358" max="4358" width="11.7109375" style="699" customWidth="1"/>
    <col min="4359" max="4359" width="9.140625" style="699"/>
    <col min="4360" max="4360" width="2.85546875" style="699" customWidth="1"/>
    <col min="4361" max="4361" width="18.5703125" style="699" customWidth="1"/>
    <col min="4362" max="4362" width="14.42578125" style="699" customWidth="1"/>
    <col min="4363" max="4363" width="13.7109375" style="699" customWidth="1"/>
    <col min="4364" max="4364" width="10.140625" style="699" customWidth="1"/>
    <col min="4365" max="4365" width="4.42578125" style="699" customWidth="1"/>
    <col min="4366" max="4366" width="24" style="699" customWidth="1"/>
    <col min="4367" max="4367" width="13.140625" style="699" customWidth="1"/>
    <col min="4368" max="4368" width="13" style="699" customWidth="1"/>
    <col min="4369" max="4369" width="10.42578125" style="699" customWidth="1"/>
    <col min="4370" max="4605" width="9.140625" style="699"/>
    <col min="4606" max="4606" width="5" style="699" customWidth="1"/>
    <col min="4607" max="4607" width="17.7109375" style="699" customWidth="1"/>
    <col min="4608" max="4608" width="13.85546875" style="699" customWidth="1"/>
    <col min="4609" max="4609" width="13.140625" style="699" customWidth="1"/>
    <col min="4610" max="4610" width="12.28515625" style="699" customWidth="1"/>
    <col min="4611" max="4611" width="3" style="699" customWidth="1"/>
    <col min="4612" max="4612" width="20.28515625" style="699" customWidth="1"/>
    <col min="4613" max="4613" width="12.5703125" style="699" customWidth="1"/>
    <col min="4614" max="4614" width="11.7109375" style="699" customWidth="1"/>
    <col min="4615" max="4615" width="9.140625" style="699"/>
    <col min="4616" max="4616" width="2.85546875" style="699" customWidth="1"/>
    <col min="4617" max="4617" width="18.5703125" style="699" customWidth="1"/>
    <col min="4618" max="4618" width="14.42578125" style="699" customWidth="1"/>
    <col min="4619" max="4619" width="13.7109375" style="699" customWidth="1"/>
    <col min="4620" max="4620" width="10.140625" style="699" customWidth="1"/>
    <col min="4621" max="4621" width="4.42578125" style="699" customWidth="1"/>
    <col min="4622" max="4622" width="24" style="699" customWidth="1"/>
    <col min="4623" max="4623" width="13.140625" style="699" customWidth="1"/>
    <col min="4624" max="4624" width="13" style="699" customWidth="1"/>
    <col min="4625" max="4625" width="10.42578125" style="699" customWidth="1"/>
    <col min="4626" max="4861" width="9.140625" style="699"/>
    <col min="4862" max="4862" width="5" style="699" customWidth="1"/>
    <col min="4863" max="4863" width="17.7109375" style="699" customWidth="1"/>
    <col min="4864" max="4864" width="13.85546875" style="699" customWidth="1"/>
    <col min="4865" max="4865" width="13.140625" style="699" customWidth="1"/>
    <col min="4866" max="4866" width="12.28515625" style="699" customWidth="1"/>
    <col min="4867" max="4867" width="3" style="699" customWidth="1"/>
    <col min="4868" max="4868" width="20.28515625" style="699" customWidth="1"/>
    <col min="4869" max="4869" width="12.5703125" style="699" customWidth="1"/>
    <col min="4870" max="4870" width="11.7109375" style="699" customWidth="1"/>
    <col min="4871" max="4871" width="9.140625" style="699"/>
    <col min="4872" max="4872" width="2.85546875" style="699" customWidth="1"/>
    <col min="4873" max="4873" width="18.5703125" style="699" customWidth="1"/>
    <col min="4874" max="4874" width="14.42578125" style="699" customWidth="1"/>
    <col min="4875" max="4875" width="13.7109375" style="699" customWidth="1"/>
    <col min="4876" max="4876" width="10.140625" style="699" customWidth="1"/>
    <col min="4877" max="4877" width="4.42578125" style="699" customWidth="1"/>
    <col min="4878" max="4878" width="24" style="699" customWidth="1"/>
    <col min="4879" max="4879" width="13.140625" style="699" customWidth="1"/>
    <col min="4880" max="4880" width="13" style="699" customWidth="1"/>
    <col min="4881" max="4881" width="10.42578125" style="699" customWidth="1"/>
    <col min="4882" max="5117" width="9.140625" style="699"/>
    <col min="5118" max="5118" width="5" style="699" customWidth="1"/>
    <col min="5119" max="5119" width="17.7109375" style="699" customWidth="1"/>
    <col min="5120" max="5120" width="13.85546875" style="699" customWidth="1"/>
    <col min="5121" max="5121" width="13.140625" style="699" customWidth="1"/>
    <col min="5122" max="5122" width="12.28515625" style="699" customWidth="1"/>
    <col min="5123" max="5123" width="3" style="699" customWidth="1"/>
    <col min="5124" max="5124" width="20.28515625" style="699" customWidth="1"/>
    <col min="5125" max="5125" width="12.5703125" style="699" customWidth="1"/>
    <col min="5126" max="5126" width="11.7109375" style="699" customWidth="1"/>
    <col min="5127" max="5127" width="9.140625" style="699"/>
    <col min="5128" max="5128" width="2.85546875" style="699" customWidth="1"/>
    <col min="5129" max="5129" width="18.5703125" style="699" customWidth="1"/>
    <col min="5130" max="5130" width="14.42578125" style="699" customWidth="1"/>
    <col min="5131" max="5131" width="13.7109375" style="699" customWidth="1"/>
    <col min="5132" max="5132" width="10.140625" style="699" customWidth="1"/>
    <col min="5133" max="5133" width="4.42578125" style="699" customWidth="1"/>
    <col min="5134" max="5134" width="24" style="699" customWidth="1"/>
    <col min="5135" max="5135" width="13.140625" style="699" customWidth="1"/>
    <col min="5136" max="5136" width="13" style="699" customWidth="1"/>
    <col min="5137" max="5137" width="10.42578125" style="699" customWidth="1"/>
    <col min="5138" max="5373" width="9.140625" style="699"/>
    <col min="5374" max="5374" width="5" style="699" customWidth="1"/>
    <col min="5375" max="5375" width="17.7109375" style="699" customWidth="1"/>
    <col min="5376" max="5376" width="13.85546875" style="699" customWidth="1"/>
    <col min="5377" max="5377" width="13.140625" style="699" customWidth="1"/>
    <col min="5378" max="5378" width="12.28515625" style="699" customWidth="1"/>
    <col min="5379" max="5379" width="3" style="699" customWidth="1"/>
    <col min="5380" max="5380" width="20.28515625" style="699" customWidth="1"/>
    <col min="5381" max="5381" width="12.5703125" style="699" customWidth="1"/>
    <col min="5382" max="5382" width="11.7109375" style="699" customWidth="1"/>
    <col min="5383" max="5383" width="9.140625" style="699"/>
    <col min="5384" max="5384" width="2.85546875" style="699" customWidth="1"/>
    <col min="5385" max="5385" width="18.5703125" style="699" customWidth="1"/>
    <col min="5386" max="5386" width="14.42578125" style="699" customWidth="1"/>
    <col min="5387" max="5387" width="13.7109375" style="699" customWidth="1"/>
    <col min="5388" max="5388" width="10.140625" style="699" customWidth="1"/>
    <col min="5389" max="5389" width="4.42578125" style="699" customWidth="1"/>
    <col min="5390" max="5390" width="24" style="699" customWidth="1"/>
    <col min="5391" max="5391" width="13.140625" style="699" customWidth="1"/>
    <col min="5392" max="5392" width="13" style="699" customWidth="1"/>
    <col min="5393" max="5393" width="10.42578125" style="699" customWidth="1"/>
    <col min="5394" max="5629" width="9.140625" style="699"/>
    <col min="5630" max="5630" width="5" style="699" customWidth="1"/>
    <col min="5631" max="5631" width="17.7109375" style="699" customWidth="1"/>
    <col min="5632" max="5632" width="13.85546875" style="699" customWidth="1"/>
    <col min="5633" max="5633" width="13.140625" style="699" customWidth="1"/>
    <col min="5634" max="5634" width="12.28515625" style="699" customWidth="1"/>
    <col min="5635" max="5635" width="3" style="699" customWidth="1"/>
    <col min="5636" max="5636" width="20.28515625" style="699" customWidth="1"/>
    <col min="5637" max="5637" width="12.5703125" style="699" customWidth="1"/>
    <col min="5638" max="5638" width="11.7109375" style="699" customWidth="1"/>
    <col min="5639" max="5639" width="9.140625" style="699"/>
    <col min="5640" max="5640" width="2.85546875" style="699" customWidth="1"/>
    <col min="5641" max="5641" width="18.5703125" style="699" customWidth="1"/>
    <col min="5642" max="5642" width="14.42578125" style="699" customWidth="1"/>
    <col min="5643" max="5643" width="13.7109375" style="699" customWidth="1"/>
    <col min="5644" max="5644" width="10.140625" style="699" customWidth="1"/>
    <col min="5645" max="5645" width="4.42578125" style="699" customWidth="1"/>
    <col min="5646" max="5646" width="24" style="699" customWidth="1"/>
    <col min="5647" max="5647" width="13.140625" style="699" customWidth="1"/>
    <col min="5648" max="5648" width="13" style="699" customWidth="1"/>
    <col min="5649" max="5649" width="10.42578125" style="699" customWidth="1"/>
    <col min="5650" max="5885" width="9.140625" style="699"/>
    <col min="5886" max="5886" width="5" style="699" customWidth="1"/>
    <col min="5887" max="5887" width="17.7109375" style="699" customWidth="1"/>
    <col min="5888" max="5888" width="13.85546875" style="699" customWidth="1"/>
    <col min="5889" max="5889" width="13.140625" style="699" customWidth="1"/>
    <col min="5890" max="5890" width="12.28515625" style="699" customWidth="1"/>
    <col min="5891" max="5891" width="3" style="699" customWidth="1"/>
    <col min="5892" max="5892" width="20.28515625" style="699" customWidth="1"/>
    <col min="5893" max="5893" width="12.5703125" style="699" customWidth="1"/>
    <col min="5894" max="5894" width="11.7109375" style="699" customWidth="1"/>
    <col min="5895" max="5895" width="9.140625" style="699"/>
    <col min="5896" max="5896" width="2.85546875" style="699" customWidth="1"/>
    <col min="5897" max="5897" width="18.5703125" style="699" customWidth="1"/>
    <col min="5898" max="5898" width="14.42578125" style="699" customWidth="1"/>
    <col min="5899" max="5899" width="13.7109375" style="699" customWidth="1"/>
    <col min="5900" max="5900" width="10.140625" style="699" customWidth="1"/>
    <col min="5901" max="5901" width="4.42578125" style="699" customWidth="1"/>
    <col min="5902" max="5902" width="24" style="699" customWidth="1"/>
    <col min="5903" max="5903" width="13.140625" style="699" customWidth="1"/>
    <col min="5904" max="5904" width="13" style="699" customWidth="1"/>
    <col min="5905" max="5905" width="10.42578125" style="699" customWidth="1"/>
    <col min="5906" max="6141" width="9.140625" style="699"/>
    <col min="6142" max="6142" width="5" style="699" customWidth="1"/>
    <col min="6143" max="6143" width="17.7109375" style="699" customWidth="1"/>
    <col min="6144" max="6144" width="13.85546875" style="699" customWidth="1"/>
    <col min="6145" max="6145" width="13.140625" style="699" customWidth="1"/>
    <col min="6146" max="6146" width="12.28515625" style="699" customWidth="1"/>
    <col min="6147" max="6147" width="3" style="699" customWidth="1"/>
    <col min="6148" max="6148" width="20.28515625" style="699" customWidth="1"/>
    <col min="6149" max="6149" width="12.5703125" style="699" customWidth="1"/>
    <col min="6150" max="6150" width="11.7109375" style="699" customWidth="1"/>
    <col min="6151" max="6151" width="9.140625" style="699"/>
    <col min="6152" max="6152" width="2.85546875" style="699" customWidth="1"/>
    <col min="6153" max="6153" width="18.5703125" style="699" customWidth="1"/>
    <col min="6154" max="6154" width="14.42578125" style="699" customWidth="1"/>
    <col min="6155" max="6155" width="13.7109375" style="699" customWidth="1"/>
    <col min="6156" max="6156" width="10.140625" style="699" customWidth="1"/>
    <col min="6157" max="6157" width="4.42578125" style="699" customWidth="1"/>
    <col min="6158" max="6158" width="24" style="699" customWidth="1"/>
    <col min="6159" max="6159" width="13.140625" style="699" customWidth="1"/>
    <col min="6160" max="6160" width="13" style="699" customWidth="1"/>
    <col min="6161" max="6161" width="10.42578125" style="699" customWidth="1"/>
    <col min="6162" max="6397" width="9.140625" style="699"/>
    <col min="6398" max="6398" width="5" style="699" customWidth="1"/>
    <col min="6399" max="6399" width="17.7109375" style="699" customWidth="1"/>
    <col min="6400" max="6400" width="13.85546875" style="699" customWidth="1"/>
    <col min="6401" max="6401" width="13.140625" style="699" customWidth="1"/>
    <col min="6402" max="6402" width="12.28515625" style="699" customWidth="1"/>
    <col min="6403" max="6403" width="3" style="699" customWidth="1"/>
    <col min="6404" max="6404" width="20.28515625" style="699" customWidth="1"/>
    <col min="6405" max="6405" width="12.5703125" style="699" customWidth="1"/>
    <col min="6406" max="6406" width="11.7109375" style="699" customWidth="1"/>
    <col min="6407" max="6407" width="9.140625" style="699"/>
    <col min="6408" max="6408" width="2.85546875" style="699" customWidth="1"/>
    <col min="6409" max="6409" width="18.5703125" style="699" customWidth="1"/>
    <col min="6410" max="6410" width="14.42578125" style="699" customWidth="1"/>
    <col min="6411" max="6411" width="13.7109375" style="699" customWidth="1"/>
    <col min="6412" max="6412" width="10.140625" style="699" customWidth="1"/>
    <col min="6413" max="6413" width="4.42578125" style="699" customWidth="1"/>
    <col min="6414" max="6414" width="24" style="699" customWidth="1"/>
    <col min="6415" max="6415" width="13.140625" style="699" customWidth="1"/>
    <col min="6416" max="6416" width="13" style="699" customWidth="1"/>
    <col min="6417" max="6417" width="10.42578125" style="699" customWidth="1"/>
    <col min="6418" max="6653" width="9.140625" style="699"/>
    <col min="6654" max="6654" width="5" style="699" customWidth="1"/>
    <col min="6655" max="6655" width="17.7109375" style="699" customWidth="1"/>
    <col min="6656" max="6656" width="13.85546875" style="699" customWidth="1"/>
    <col min="6657" max="6657" width="13.140625" style="699" customWidth="1"/>
    <col min="6658" max="6658" width="12.28515625" style="699" customWidth="1"/>
    <col min="6659" max="6659" width="3" style="699" customWidth="1"/>
    <col min="6660" max="6660" width="20.28515625" style="699" customWidth="1"/>
    <col min="6661" max="6661" width="12.5703125" style="699" customWidth="1"/>
    <col min="6662" max="6662" width="11.7109375" style="699" customWidth="1"/>
    <col min="6663" max="6663" width="9.140625" style="699"/>
    <col min="6664" max="6664" width="2.85546875" style="699" customWidth="1"/>
    <col min="6665" max="6665" width="18.5703125" style="699" customWidth="1"/>
    <col min="6666" max="6666" width="14.42578125" style="699" customWidth="1"/>
    <col min="6667" max="6667" width="13.7109375" style="699" customWidth="1"/>
    <col min="6668" max="6668" width="10.140625" style="699" customWidth="1"/>
    <col min="6669" max="6669" width="4.42578125" style="699" customWidth="1"/>
    <col min="6670" max="6670" width="24" style="699" customWidth="1"/>
    <col min="6671" max="6671" width="13.140625" style="699" customWidth="1"/>
    <col min="6672" max="6672" width="13" style="699" customWidth="1"/>
    <col min="6673" max="6673" width="10.42578125" style="699" customWidth="1"/>
    <col min="6674" max="6909" width="9.140625" style="699"/>
    <col min="6910" max="6910" width="5" style="699" customWidth="1"/>
    <col min="6911" max="6911" width="17.7109375" style="699" customWidth="1"/>
    <col min="6912" max="6912" width="13.85546875" style="699" customWidth="1"/>
    <col min="6913" max="6913" width="13.140625" style="699" customWidth="1"/>
    <col min="6914" max="6914" width="12.28515625" style="699" customWidth="1"/>
    <col min="6915" max="6915" width="3" style="699" customWidth="1"/>
    <col min="6916" max="6916" width="20.28515625" style="699" customWidth="1"/>
    <col min="6917" max="6917" width="12.5703125" style="699" customWidth="1"/>
    <col min="6918" max="6918" width="11.7109375" style="699" customWidth="1"/>
    <col min="6919" max="6919" width="9.140625" style="699"/>
    <col min="6920" max="6920" width="2.85546875" style="699" customWidth="1"/>
    <col min="6921" max="6921" width="18.5703125" style="699" customWidth="1"/>
    <col min="6922" max="6922" width="14.42578125" style="699" customWidth="1"/>
    <col min="6923" max="6923" width="13.7109375" style="699" customWidth="1"/>
    <col min="6924" max="6924" width="10.140625" style="699" customWidth="1"/>
    <col min="6925" max="6925" width="4.42578125" style="699" customWidth="1"/>
    <col min="6926" max="6926" width="24" style="699" customWidth="1"/>
    <col min="6927" max="6927" width="13.140625" style="699" customWidth="1"/>
    <col min="6928" max="6928" width="13" style="699" customWidth="1"/>
    <col min="6929" max="6929" width="10.42578125" style="699" customWidth="1"/>
    <col min="6930" max="7165" width="9.140625" style="699"/>
    <col min="7166" max="7166" width="5" style="699" customWidth="1"/>
    <col min="7167" max="7167" width="17.7109375" style="699" customWidth="1"/>
    <col min="7168" max="7168" width="13.85546875" style="699" customWidth="1"/>
    <col min="7169" max="7169" width="13.140625" style="699" customWidth="1"/>
    <col min="7170" max="7170" width="12.28515625" style="699" customWidth="1"/>
    <col min="7171" max="7171" width="3" style="699" customWidth="1"/>
    <col min="7172" max="7172" width="20.28515625" style="699" customWidth="1"/>
    <col min="7173" max="7173" width="12.5703125" style="699" customWidth="1"/>
    <col min="7174" max="7174" width="11.7109375" style="699" customWidth="1"/>
    <col min="7175" max="7175" width="9.140625" style="699"/>
    <col min="7176" max="7176" width="2.85546875" style="699" customWidth="1"/>
    <col min="7177" max="7177" width="18.5703125" style="699" customWidth="1"/>
    <col min="7178" max="7178" width="14.42578125" style="699" customWidth="1"/>
    <col min="7179" max="7179" width="13.7109375" style="699" customWidth="1"/>
    <col min="7180" max="7180" width="10.140625" style="699" customWidth="1"/>
    <col min="7181" max="7181" width="4.42578125" style="699" customWidth="1"/>
    <col min="7182" max="7182" width="24" style="699" customWidth="1"/>
    <col min="7183" max="7183" width="13.140625" style="699" customWidth="1"/>
    <col min="7184" max="7184" width="13" style="699" customWidth="1"/>
    <col min="7185" max="7185" width="10.42578125" style="699" customWidth="1"/>
    <col min="7186" max="7421" width="9.140625" style="699"/>
    <col min="7422" max="7422" width="5" style="699" customWidth="1"/>
    <col min="7423" max="7423" width="17.7109375" style="699" customWidth="1"/>
    <col min="7424" max="7424" width="13.85546875" style="699" customWidth="1"/>
    <col min="7425" max="7425" width="13.140625" style="699" customWidth="1"/>
    <col min="7426" max="7426" width="12.28515625" style="699" customWidth="1"/>
    <col min="7427" max="7427" width="3" style="699" customWidth="1"/>
    <col min="7428" max="7428" width="20.28515625" style="699" customWidth="1"/>
    <col min="7429" max="7429" width="12.5703125" style="699" customWidth="1"/>
    <col min="7430" max="7430" width="11.7109375" style="699" customWidth="1"/>
    <col min="7431" max="7431" width="9.140625" style="699"/>
    <col min="7432" max="7432" width="2.85546875" style="699" customWidth="1"/>
    <col min="7433" max="7433" width="18.5703125" style="699" customWidth="1"/>
    <col min="7434" max="7434" width="14.42578125" style="699" customWidth="1"/>
    <col min="7435" max="7435" width="13.7109375" style="699" customWidth="1"/>
    <col min="7436" max="7436" width="10.140625" style="699" customWidth="1"/>
    <col min="7437" max="7437" width="4.42578125" style="699" customWidth="1"/>
    <col min="7438" max="7438" width="24" style="699" customWidth="1"/>
    <col min="7439" max="7439" width="13.140625" style="699" customWidth="1"/>
    <col min="7440" max="7440" width="13" style="699" customWidth="1"/>
    <col min="7441" max="7441" width="10.42578125" style="699" customWidth="1"/>
    <col min="7442" max="7677" width="9.140625" style="699"/>
    <col min="7678" max="7678" width="5" style="699" customWidth="1"/>
    <col min="7679" max="7679" width="17.7109375" style="699" customWidth="1"/>
    <col min="7680" max="7680" width="13.85546875" style="699" customWidth="1"/>
    <col min="7681" max="7681" width="13.140625" style="699" customWidth="1"/>
    <col min="7682" max="7682" width="12.28515625" style="699" customWidth="1"/>
    <col min="7683" max="7683" width="3" style="699" customWidth="1"/>
    <col min="7684" max="7684" width="20.28515625" style="699" customWidth="1"/>
    <col min="7685" max="7685" width="12.5703125" style="699" customWidth="1"/>
    <col min="7686" max="7686" width="11.7109375" style="699" customWidth="1"/>
    <col min="7687" max="7687" width="9.140625" style="699"/>
    <col min="7688" max="7688" width="2.85546875" style="699" customWidth="1"/>
    <col min="7689" max="7689" width="18.5703125" style="699" customWidth="1"/>
    <col min="7690" max="7690" width="14.42578125" style="699" customWidth="1"/>
    <col min="7691" max="7691" width="13.7109375" style="699" customWidth="1"/>
    <col min="7692" max="7692" width="10.140625" style="699" customWidth="1"/>
    <col min="7693" max="7693" width="4.42578125" style="699" customWidth="1"/>
    <col min="7694" max="7694" width="24" style="699" customWidth="1"/>
    <col min="7695" max="7695" width="13.140625" style="699" customWidth="1"/>
    <col min="7696" max="7696" width="13" style="699" customWidth="1"/>
    <col min="7697" max="7697" width="10.42578125" style="699" customWidth="1"/>
    <col min="7698" max="7933" width="9.140625" style="699"/>
    <col min="7934" max="7934" width="5" style="699" customWidth="1"/>
    <col min="7935" max="7935" width="17.7109375" style="699" customWidth="1"/>
    <col min="7936" max="7936" width="13.85546875" style="699" customWidth="1"/>
    <col min="7937" max="7937" width="13.140625" style="699" customWidth="1"/>
    <col min="7938" max="7938" width="12.28515625" style="699" customWidth="1"/>
    <col min="7939" max="7939" width="3" style="699" customWidth="1"/>
    <col min="7940" max="7940" width="20.28515625" style="699" customWidth="1"/>
    <col min="7941" max="7941" width="12.5703125" style="699" customWidth="1"/>
    <col min="7942" max="7942" width="11.7109375" style="699" customWidth="1"/>
    <col min="7943" max="7943" width="9.140625" style="699"/>
    <col min="7944" max="7944" width="2.85546875" style="699" customWidth="1"/>
    <col min="7945" max="7945" width="18.5703125" style="699" customWidth="1"/>
    <col min="7946" max="7946" width="14.42578125" style="699" customWidth="1"/>
    <col min="7947" max="7947" width="13.7109375" style="699" customWidth="1"/>
    <col min="7948" max="7948" width="10.140625" style="699" customWidth="1"/>
    <col min="7949" max="7949" width="4.42578125" style="699" customWidth="1"/>
    <col min="7950" max="7950" width="24" style="699" customWidth="1"/>
    <col min="7951" max="7951" width="13.140625" style="699" customWidth="1"/>
    <col min="7952" max="7952" width="13" style="699" customWidth="1"/>
    <col min="7953" max="7953" width="10.42578125" style="699" customWidth="1"/>
    <col min="7954" max="8189" width="9.140625" style="699"/>
    <col min="8190" max="8190" width="5" style="699" customWidth="1"/>
    <col min="8191" max="8191" width="17.7109375" style="699" customWidth="1"/>
    <col min="8192" max="8192" width="13.85546875" style="699" customWidth="1"/>
    <col min="8193" max="8193" width="13.140625" style="699" customWidth="1"/>
    <col min="8194" max="8194" width="12.28515625" style="699" customWidth="1"/>
    <col min="8195" max="8195" width="3" style="699" customWidth="1"/>
    <col min="8196" max="8196" width="20.28515625" style="699" customWidth="1"/>
    <col min="8197" max="8197" width="12.5703125" style="699" customWidth="1"/>
    <col min="8198" max="8198" width="11.7109375" style="699" customWidth="1"/>
    <col min="8199" max="8199" width="9.140625" style="699"/>
    <col min="8200" max="8200" width="2.85546875" style="699" customWidth="1"/>
    <col min="8201" max="8201" width="18.5703125" style="699" customWidth="1"/>
    <col min="8202" max="8202" width="14.42578125" style="699" customWidth="1"/>
    <col min="8203" max="8203" width="13.7109375" style="699" customWidth="1"/>
    <col min="8204" max="8204" width="10.140625" style="699" customWidth="1"/>
    <col min="8205" max="8205" width="4.42578125" style="699" customWidth="1"/>
    <col min="8206" max="8206" width="24" style="699" customWidth="1"/>
    <col min="8207" max="8207" width="13.140625" style="699" customWidth="1"/>
    <col min="8208" max="8208" width="13" style="699" customWidth="1"/>
    <col min="8209" max="8209" width="10.42578125" style="699" customWidth="1"/>
    <col min="8210" max="8445" width="9.140625" style="699"/>
    <col min="8446" max="8446" width="5" style="699" customWidth="1"/>
    <col min="8447" max="8447" width="17.7109375" style="699" customWidth="1"/>
    <col min="8448" max="8448" width="13.85546875" style="699" customWidth="1"/>
    <col min="8449" max="8449" width="13.140625" style="699" customWidth="1"/>
    <col min="8450" max="8450" width="12.28515625" style="699" customWidth="1"/>
    <col min="8451" max="8451" width="3" style="699" customWidth="1"/>
    <col min="8452" max="8452" width="20.28515625" style="699" customWidth="1"/>
    <col min="8453" max="8453" width="12.5703125" style="699" customWidth="1"/>
    <col min="8454" max="8454" width="11.7109375" style="699" customWidth="1"/>
    <col min="8455" max="8455" width="9.140625" style="699"/>
    <col min="8456" max="8456" width="2.85546875" style="699" customWidth="1"/>
    <col min="8457" max="8457" width="18.5703125" style="699" customWidth="1"/>
    <col min="8458" max="8458" width="14.42578125" style="699" customWidth="1"/>
    <col min="8459" max="8459" width="13.7109375" style="699" customWidth="1"/>
    <col min="8460" max="8460" width="10.140625" style="699" customWidth="1"/>
    <col min="8461" max="8461" width="4.42578125" style="699" customWidth="1"/>
    <col min="8462" max="8462" width="24" style="699" customWidth="1"/>
    <col min="8463" max="8463" width="13.140625" style="699" customWidth="1"/>
    <col min="8464" max="8464" width="13" style="699" customWidth="1"/>
    <col min="8465" max="8465" width="10.42578125" style="699" customWidth="1"/>
    <col min="8466" max="8701" width="9.140625" style="699"/>
    <col min="8702" max="8702" width="5" style="699" customWidth="1"/>
    <col min="8703" max="8703" width="17.7109375" style="699" customWidth="1"/>
    <col min="8704" max="8704" width="13.85546875" style="699" customWidth="1"/>
    <col min="8705" max="8705" width="13.140625" style="699" customWidth="1"/>
    <col min="8706" max="8706" width="12.28515625" style="699" customWidth="1"/>
    <col min="8707" max="8707" width="3" style="699" customWidth="1"/>
    <col min="8708" max="8708" width="20.28515625" style="699" customWidth="1"/>
    <col min="8709" max="8709" width="12.5703125" style="699" customWidth="1"/>
    <col min="8710" max="8710" width="11.7109375" style="699" customWidth="1"/>
    <col min="8711" max="8711" width="9.140625" style="699"/>
    <col min="8712" max="8712" width="2.85546875" style="699" customWidth="1"/>
    <col min="8713" max="8713" width="18.5703125" style="699" customWidth="1"/>
    <col min="8714" max="8714" width="14.42578125" style="699" customWidth="1"/>
    <col min="8715" max="8715" width="13.7109375" style="699" customWidth="1"/>
    <col min="8716" max="8716" width="10.140625" style="699" customWidth="1"/>
    <col min="8717" max="8717" width="4.42578125" style="699" customWidth="1"/>
    <col min="8718" max="8718" width="24" style="699" customWidth="1"/>
    <col min="8719" max="8719" width="13.140625" style="699" customWidth="1"/>
    <col min="8720" max="8720" width="13" style="699" customWidth="1"/>
    <col min="8721" max="8721" width="10.42578125" style="699" customWidth="1"/>
    <col min="8722" max="8957" width="9.140625" style="699"/>
    <col min="8958" max="8958" width="5" style="699" customWidth="1"/>
    <col min="8959" max="8959" width="17.7109375" style="699" customWidth="1"/>
    <col min="8960" max="8960" width="13.85546875" style="699" customWidth="1"/>
    <col min="8961" max="8961" width="13.140625" style="699" customWidth="1"/>
    <col min="8962" max="8962" width="12.28515625" style="699" customWidth="1"/>
    <col min="8963" max="8963" width="3" style="699" customWidth="1"/>
    <col min="8964" max="8964" width="20.28515625" style="699" customWidth="1"/>
    <col min="8965" max="8965" width="12.5703125" style="699" customWidth="1"/>
    <col min="8966" max="8966" width="11.7109375" style="699" customWidth="1"/>
    <col min="8967" max="8967" width="9.140625" style="699"/>
    <col min="8968" max="8968" width="2.85546875" style="699" customWidth="1"/>
    <col min="8969" max="8969" width="18.5703125" style="699" customWidth="1"/>
    <col min="8970" max="8970" width="14.42578125" style="699" customWidth="1"/>
    <col min="8971" max="8971" width="13.7109375" style="699" customWidth="1"/>
    <col min="8972" max="8972" width="10.140625" style="699" customWidth="1"/>
    <col min="8973" max="8973" width="4.42578125" style="699" customWidth="1"/>
    <col min="8974" max="8974" width="24" style="699" customWidth="1"/>
    <col min="8975" max="8975" width="13.140625" style="699" customWidth="1"/>
    <col min="8976" max="8976" width="13" style="699" customWidth="1"/>
    <col min="8977" max="8977" width="10.42578125" style="699" customWidth="1"/>
    <col min="8978" max="9213" width="9.140625" style="699"/>
    <col min="9214" max="9214" width="5" style="699" customWidth="1"/>
    <col min="9215" max="9215" width="17.7109375" style="699" customWidth="1"/>
    <col min="9216" max="9216" width="13.85546875" style="699" customWidth="1"/>
    <col min="9217" max="9217" width="13.140625" style="699" customWidth="1"/>
    <col min="9218" max="9218" width="12.28515625" style="699" customWidth="1"/>
    <col min="9219" max="9219" width="3" style="699" customWidth="1"/>
    <col min="9220" max="9220" width="20.28515625" style="699" customWidth="1"/>
    <col min="9221" max="9221" width="12.5703125" style="699" customWidth="1"/>
    <col min="9222" max="9222" width="11.7109375" style="699" customWidth="1"/>
    <col min="9223" max="9223" width="9.140625" style="699"/>
    <col min="9224" max="9224" width="2.85546875" style="699" customWidth="1"/>
    <col min="9225" max="9225" width="18.5703125" style="699" customWidth="1"/>
    <col min="9226" max="9226" width="14.42578125" style="699" customWidth="1"/>
    <col min="9227" max="9227" width="13.7109375" style="699" customWidth="1"/>
    <col min="9228" max="9228" width="10.140625" style="699" customWidth="1"/>
    <col min="9229" max="9229" width="4.42578125" style="699" customWidth="1"/>
    <col min="9230" max="9230" width="24" style="699" customWidth="1"/>
    <col min="9231" max="9231" width="13.140625" style="699" customWidth="1"/>
    <col min="9232" max="9232" width="13" style="699" customWidth="1"/>
    <col min="9233" max="9233" width="10.42578125" style="699" customWidth="1"/>
    <col min="9234" max="9469" width="9.140625" style="699"/>
    <col min="9470" max="9470" width="5" style="699" customWidth="1"/>
    <col min="9471" max="9471" width="17.7109375" style="699" customWidth="1"/>
    <col min="9472" max="9472" width="13.85546875" style="699" customWidth="1"/>
    <col min="9473" max="9473" width="13.140625" style="699" customWidth="1"/>
    <col min="9474" max="9474" width="12.28515625" style="699" customWidth="1"/>
    <col min="9475" max="9475" width="3" style="699" customWidth="1"/>
    <col min="9476" max="9476" width="20.28515625" style="699" customWidth="1"/>
    <col min="9477" max="9477" width="12.5703125" style="699" customWidth="1"/>
    <col min="9478" max="9478" width="11.7109375" style="699" customWidth="1"/>
    <col min="9479" max="9479" width="9.140625" style="699"/>
    <col min="9480" max="9480" width="2.85546875" style="699" customWidth="1"/>
    <col min="9481" max="9481" width="18.5703125" style="699" customWidth="1"/>
    <col min="9482" max="9482" width="14.42578125" style="699" customWidth="1"/>
    <col min="9483" max="9483" width="13.7109375" style="699" customWidth="1"/>
    <col min="9484" max="9484" width="10.140625" style="699" customWidth="1"/>
    <col min="9485" max="9485" width="4.42578125" style="699" customWidth="1"/>
    <col min="9486" max="9486" width="24" style="699" customWidth="1"/>
    <col min="9487" max="9487" width="13.140625" style="699" customWidth="1"/>
    <col min="9488" max="9488" width="13" style="699" customWidth="1"/>
    <col min="9489" max="9489" width="10.42578125" style="699" customWidth="1"/>
    <col min="9490" max="9725" width="9.140625" style="699"/>
    <col min="9726" max="9726" width="5" style="699" customWidth="1"/>
    <col min="9727" max="9727" width="17.7109375" style="699" customWidth="1"/>
    <col min="9728" max="9728" width="13.85546875" style="699" customWidth="1"/>
    <col min="9729" max="9729" width="13.140625" style="699" customWidth="1"/>
    <col min="9730" max="9730" width="12.28515625" style="699" customWidth="1"/>
    <col min="9731" max="9731" width="3" style="699" customWidth="1"/>
    <col min="9732" max="9732" width="20.28515625" style="699" customWidth="1"/>
    <col min="9733" max="9733" width="12.5703125" style="699" customWidth="1"/>
    <col min="9734" max="9734" width="11.7109375" style="699" customWidth="1"/>
    <col min="9735" max="9735" width="9.140625" style="699"/>
    <col min="9736" max="9736" width="2.85546875" style="699" customWidth="1"/>
    <col min="9737" max="9737" width="18.5703125" style="699" customWidth="1"/>
    <col min="9738" max="9738" width="14.42578125" style="699" customWidth="1"/>
    <col min="9739" max="9739" width="13.7109375" style="699" customWidth="1"/>
    <col min="9740" max="9740" width="10.140625" style="699" customWidth="1"/>
    <col min="9741" max="9741" width="4.42578125" style="699" customWidth="1"/>
    <col min="9742" max="9742" width="24" style="699" customWidth="1"/>
    <col min="9743" max="9743" width="13.140625" style="699" customWidth="1"/>
    <col min="9744" max="9744" width="13" style="699" customWidth="1"/>
    <col min="9745" max="9745" width="10.42578125" style="699" customWidth="1"/>
    <col min="9746" max="9981" width="9.140625" style="699"/>
    <col min="9982" max="9982" width="5" style="699" customWidth="1"/>
    <col min="9983" max="9983" width="17.7109375" style="699" customWidth="1"/>
    <col min="9984" max="9984" width="13.85546875" style="699" customWidth="1"/>
    <col min="9985" max="9985" width="13.140625" style="699" customWidth="1"/>
    <col min="9986" max="9986" width="12.28515625" style="699" customWidth="1"/>
    <col min="9987" max="9987" width="3" style="699" customWidth="1"/>
    <col min="9988" max="9988" width="20.28515625" style="699" customWidth="1"/>
    <col min="9989" max="9989" width="12.5703125" style="699" customWidth="1"/>
    <col min="9990" max="9990" width="11.7109375" style="699" customWidth="1"/>
    <col min="9991" max="9991" width="9.140625" style="699"/>
    <col min="9992" max="9992" width="2.85546875" style="699" customWidth="1"/>
    <col min="9993" max="9993" width="18.5703125" style="699" customWidth="1"/>
    <col min="9994" max="9994" width="14.42578125" style="699" customWidth="1"/>
    <col min="9995" max="9995" width="13.7109375" style="699" customWidth="1"/>
    <col min="9996" max="9996" width="10.140625" style="699" customWidth="1"/>
    <col min="9997" max="9997" width="4.42578125" style="699" customWidth="1"/>
    <col min="9998" max="9998" width="24" style="699" customWidth="1"/>
    <col min="9999" max="9999" width="13.140625" style="699" customWidth="1"/>
    <col min="10000" max="10000" width="13" style="699" customWidth="1"/>
    <col min="10001" max="10001" width="10.42578125" style="699" customWidth="1"/>
    <col min="10002" max="10237" width="9.140625" style="699"/>
    <col min="10238" max="10238" width="5" style="699" customWidth="1"/>
    <col min="10239" max="10239" width="17.7109375" style="699" customWidth="1"/>
    <col min="10240" max="10240" width="13.85546875" style="699" customWidth="1"/>
    <col min="10241" max="10241" width="13.140625" style="699" customWidth="1"/>
    <col min="10242" max="10242" width="12.28515625" style="699" customWidth="1"/>
    <col min="10243" max="10243" width="3" style="699" customWidth="1"/>
    <col min="10244" max="10244" width="20.28515625" style="699" customWidth="1"/>
    <col min="10245" max="10245" width="12.5703125" style="699" customWidth="1"/>
    <col min="10246" max="10246" width="11.7109375" style="699" customWidth="1"/>
    <col min="10247" max="10247" width="9.140625" style="699"/>
    <col min="10248" max="10248" width="2.85546875" style="699" customWidth="1"/>
    <col min="10249" max="10249" width="18.5703125" style="699" customWidth="1"/>
    <col min="10250" max="10250" width="14.42578125" style="699" customWidth="1"/>
    <col min="10251" max="10251" width="13.7109375" style="699" customWidth="1"/>
    <col min="10252" max="10252" width="10.140625" style="699" customWidth="1"/>
    <col min="10253" max="10253" width="4.42578125" style="699" customWidth="1"/>
    <col min="10254" max="10254" width="24" style="699" customWidth="1"/>
    <col min="10255" max="10255" width="13.140625" style="699" customWidth="1"/>
    <col min="10256" max="10256" width="13" style="699" customWidth="1"/>
    <col min="10257" max="10257" width="10.42578125" style="699" customWidth="1"/>
    <col min="10258" max="10493" width="9.140625" style="699"/>
    <col min="10494" max="10494" width="5" style="699" customWidth="1"/>
    <col min="10495" max="10495" width="17.7109375" style="699" customWidth="1"/>
    <col min="10496" max="10496" width="13.85546875" style="699" customWidth="1"/>
    <col min="10497" max="10497" width="13.140625" style="699" customWidth="1"/>
    <col min="10498" max="10498" width="12.28515625" style="699" customWidth="1"/>
    <col min="10499" max="10499" width="3" style="699" customWidth="1"/>
    <col min="10500" max="10500" width="20.28515625" style="699" customWidth="1"/>
    <col min="10501" max="10501" width="12.5703125" style="699" customWidth="1"/>
    <col min="10502" max="10502" width="11.7109375" style="699" customWidth="1"/>
    <col min="10503" max="10503" width="9.140625" style="699"/>
    <col min="10504" max="10504" width="2.85546875" style="699" customWidth="1"/>
    <col min="10505" max="10505" width="18.5703125" style="699" customWidth="1"/>
    <col min="10506" max="10506" width="14.42578125" style="699" customWidth="1"/>
    <col min="10507" max="10507" width="13.7109375" style="699" customWidth="1"/>
    <col min="10508" max="10508" width="10.140625" style="699" customWidth="1"/>
    <col min="10509" max="10509" width="4.42578125" style="699" customWidth="1"/>
    <col min="10510" max="10510" width="24" style="699" customWidth="1"/>
    <col min="10511" max="10511" width="13.140625" style="699" customWidth="1"/>
    <col min="10512" max="10512" width="13" style="699" customWidth="1"/>
    <col min="10513" max="10513" width="10.42578125" style="699" customWidth="1"/>
    <col min="10514" max="10749" width="9.140625" style="699"/>
    <col min="10750" max="10750" width="5" style="699" customWidth="1"/>
    <col min="10751" max="10751" width="17.7109375" style="699" customWidth="1"/>
    <col min="10752" max="10752" width="13.85546875" style="699" customWidth="1"/>
    <col min="10753" max="10753" width="13.140625" style="699" customWidth="1"/>
    <col min="10754" max="10754" width="12.28515625" style="699" customWidth="1"/>
    <col min="10755" max="10755" width="3" style="699" customWidth="1"/>
    <col min="10756" max="10756" width="20.28515625" style="699" customWidth="1"/>
    <col min="10757" max="10757" width="12.5703125" style="699" customWidth="1"/>
    <col min="10758" max="10758" width="11.7109375" style="699" customWidth="1"/>
    <col min="10759" max="10759" width="9.140625" style="699"/>
    <col min="10760" max="10760" width="2.85546875" style="699" customWidth="1"/>
    <col min="10761" max="10761" width="18.5703125" style="699" customWidth="1"/>
    <col min="10762" max="10762" width="14.42578125" style="699" customWidth="1"/>
    <col min="10763" max="10763" width="13.7109375" style="699" customWidth="1"/>
    <col min="10764" max="10764" width="10.140625" style="699" customWidth="1"/>
    <col min="10765" max="10765" width="4.42578125" style="699" customWidth="1"/>
    <col min="10766" max="10766" width="24" style="699" customWidth="1"/>
    <col min="10767" max="10767" width="13.140625" style="699" customWidth="1"/>
    <col min="10768" max="10768" width="13" style="699" customWidth="1"/>
    <col min="10769" max="10769" width="10.42578125" style="699" customWidth="1"/>
    <col min="10770" max="11005" width="9.140625" style="699"/>
    <col min="11006" max="11006" width="5" style="699" customWidth="1"/>
    <col min="11007" max="11007" width="17.7109375" style="699" customWidth="1"/>
    <col min="11008" max="11008" width="13.85546875" style="699" customWidth="1"/>
    <col min="11009" max="11009" width="13.140625" style="699" customWidth="1"/>
    <col min="11010" max="11010" width="12.28515625" style="699" customWidth="1"/>
    <col min="11011" max="11011" width="3" style="699" customWidth="1"/>
    <col min="11012" max="11012" width="20.28515625" style="699" customWidth="1"/>
    <col min="11013" max="11013" width="12.5703125" style="699" customWidth="1"/>
    <col min="11014" max="11014" width="11.7109375" style="699" customWidth="1"/>
    <col min="11015" max="11015" width="9.140625" style="699"/>
    <col min="11016" max="11016" width="2.85546875" style="699" customWidth="1"/>
    <col min="11017" max="11017" width="18.5703125" style="699" customWidth="1"/>
    <col min="11018" max="11018" width="14.42578125" style="699" customWidth="1"/>
    <col min="11019" max="11019" width="13.7109375" style="699" customWidth="1"/>
    <col min="11020" max="11020" width="10.140625" style="699" customWidth="1"/>
    <col min="11021" max="11021" width="4.42578125" style="699" customWidth="1"/>
    <col min="11022" max="11022" width="24" style="699" customWidth="1"/>
    <col min="11023" max="11023" width="13.140625" style="699" customWidth="1"/>
    <col min="11024" max="11024" width="13" style="699" customWidth="1"/>
    <col min="11025" max="11025" width="10.42578125" style="699" customWidth="1"/>
    <col min="11026" max="11261" width="9.140625" style="699"/>
    <col min="11262" max="11262" width="5" style="699" customWidth="1"/>
    <col min="11263" max="11263" width="17.7109375" style="699" customWidth="1"/>
    <col min="11264" max="11264" width="13.85546875" style="699" customWidth="1"/>
    <col min="11265" max="11265" width="13.140625" style="699" customWidth="1"/>
    <col min="11266" max="11266" width="12.28515625" style="699" customWidth="1"/>
    <col min="11267" max="11267" width="3" style="699" customWidth="1"/>
    <col min="11268" max="11268" width="20.28515625" style="699" customWidth="1"/>
    <col min="11269" max="11269" width="12.5703125" style="699" customWidth="1"/>
    <col min="11270" max="11270" width="11.7109375" style="699" customWidth="1"/>
    <col min="11271" max="11271" width="9.140625" style="699"/>
    <col min="11272" max="11272" width="2.85546875" style="699" customWidth="1"/>
    <col min="11273" max="11273" width="18.5703125" style="699" customWidth="1"/>
    <col min="11274" max="11274" width="14.42578125" style="699" customWidth="1"/>
    <col min="11275" max="11275" width="13.7109375" style="699" customWidth="1"/>
    <col min="11276" max="11276" width="10.140625" style="699" customWidth="1"/>
    <col min="11277" max="11277" width="4.42578125" style="699" customWidth="1"/>
    <col min="11278" max="11278" width="24" style="699" customWidth="1"/>
    <col min="11279" max="11279" width="13.140625" style="699" customWidth="1"/>
    <col min="11280" max="11280" width="13" style="699" customWidth="1"/>
    <col min="11281" max="11281" width="10.42578125" style="699" customWidth="1"/>
    <col min="11282" max="11517" width="9.140625" style="699"/>
    <col min="11518" max="11518" width="5" style="699" customWidth="1"/>
    <col min="11519" max="11519" width="17.7109375" style="699" customWidth="1"/>
    <col min="11520" max="11520" width="13.85546875" style="699" customWidth="1"/>
    <col min="11521" max="11521" width="13.140625" style="699" customWidth="1"/>
    <col min="11522" max="11522" width="12.28515625" style="699" customWidth="1"/>
    <col min="11523" max="11523" width="3" style="699" customWidth="1"/>
    <col min="11524" max="11524" width="20.28515625" style="699" customWidth="1"/>
    <col min="11525" max="11525" width="12.5703125" style="699" customWidth="1"/>
    <col min="11526" max="11526" width="11.7109375" style="699" customWidth="1"/>
    <col min="11527" max="11527" width="9.140625" style="699"/>
    <col min="11528" max="11528" width="2.85546875" style="699" customWidth="1"/>
    <col min="11529" max="11529" width="18.5703125" style="699" customWidth="1"/>
    <col min="11530" max="11530" width="14.42578125" style="699" customWidth="1"/>
    <col min="11531" max="11531" width="13.7109375" style="699" customWidth="1"/>
    <col min="11532" max="11532" width="10.140625" style="699" customWidth="1"/>
    <col min="11533" max="11533" width="4.42578125" style="699" customWidth="1"/>
    <col min="11534" max="11534" width="24" style="699" customWidth="1"/>
    <col min="11535" max="11535" width="13.140625" style="699" customWidth="1"/>
    <col min="11536" max="11536" width="13" style="699" customWidth="1"/>
    <col min="11537" max="11537" width="10.42578125" style="699" customWidth="1"/>
    <col min="11538" max="11773" width="9.140625" style="699"/>
    <col min="11774" max="11774" width="5" style="699" customWidth="1"/>
    <col min="11775" max="11775" width="17.7109375" style="699" customWidth="1"/>
    <col min="11776" max="11776" width="13.85546875" style="699" customWidth="1"/>
    <col min="11777" max="11777" width="13.140625" style="699" customWidth="1"/>
    <col min="11778" max="11778" width="12.28515625" style="699" customWidth="1"/>
    <col min="11779" max="11779" width="3" style="699" customWidth="1"/>
    <col min="11780" max="11780" width="20.28515625" style="699" customWidth="1"/>
    <col min="11781" max="11781" width="12.5703125" style="699" customWidth="1"/>
    <col min="11782" max="11782" width="11.7109375" style="699" customWidth="1"/>
    <col min="11783" max="11783" width="9.140625" style="699"/>
    <col min="11784" max="11784" width="2.85546875" style="699" customWidth="1"/>
    <col min="11785" max="11785" width="18.5703125" style="699" customWidth="1"/>
    <col min="11786" max="11786" width="14.42578125" style="699" customWidth="1"/>
    <col min="11787" max="11787" width="13.7109375" style="699" customWidth="1"/>
    <col min="11788" max="11788" width="10.140625" style="699" customWidth="1"/>
    <col min="11789" max="11789" width="4.42578125" style="699" customWidth="1"/>
    <col min="11790" max="11790" width="24" style="699" customWidth="1"/>
    <col min="11791" max="11791" width="13.140625" style="699" customWidth="1"/>
    <col min="11792" max="11792" width="13" style="699" customWidth="1"/>
    <col min="11793" max="11793" width="10.42578125" style="699" customWidth="1"/>
    <col min="11794" max="12029" width="9.140625" style="699"/>
    <col min="12030" max="12030" width="5" style="699" customWidth="1"/>
    <col min="12031" max="12031" width="17.7109375" style="699" customWidth="1"/>
    <col min="12032" max="12032" width="13.85546875" style="699" customWidth="1"/>
    <col min="12033" max="12033" width="13.140625" style="699" customWidth="1"/>
    <col min="12034" max="12034" width="12.28515625" style="699" customWidth="1"/>
    <col min="12035" max="12035" width="3" style="699" customWidth="1"/>
    <col min="12036" max="12036" width="20.28515625" style="699" customWidth="1"/>
    <col min="12037" max="12037" width="12.5703125" style="699" customWidth="1"/>
    <col min="12038" max="12038" width="11.7109375" style="699" customWidth="1"/>
    <col min="12039" max="12039" width="9.140625" style="699"/>
    <col min="12040" max="12040" width="2.85546875" style="699" customWidth="1"/>
    <col min="12041" max="12041" width="18.5703125" style="699" customWidth="1"/>
    <col min="12042" max="12042" width="14.42578125" style="699" customWidth="1"/>
    <col min="12043" max="12043" width="13.7109375" style="699" customWidth="1"/>
    <col min="12044" max="12044" width="10.140625" style="699" customWidth="1"/>
    <col min="12045" max="12045" width="4.42578125" style="699" customWidth="1"/>
    <col min="12046" max="12046" width="24" style="699" customWidth="1"/>
    <col min="12047" max="12047" width="13.140625" style="699" customWidth="1"/>
    <col min="12048" max="12048" width="13" style="699" customWidth="1"/>
    <col min="12049" max="12049" width="10.42578125" style="699" customWidth="1"/>
    <col min="12050" max="12285" width="9.140625" style="699"/>
    <col min="12286" max="12286" width="5" style="699" customWidth="1"/>
    <col min="12287" max="12287" width="17.7109375" style="699" customWidth="1"/>
    <col min="12288" max="12288" width="13.85546875" style="699" customWidth="1"/>
    <col min="12289" max="12289" width="13.140625" style="699" customWidth="1"/>
    <col min="12290" max="12290" width="12.28515625" style="699" customWidth="1"/>
    <col min="12291" max="12291" width="3" style="699" customWidth="1"/>
    <col min="12292" max="12292" width="20.28515625" style="699" customWidth="1"/>
    <col min="12293" max="12293" width="12.5703125" style="699" customWidth="1"/>
    <col min="12294" max="12294" width="11.7109375" style="699" customWidth="1"/>
    <col min="12295" max="12295" width="9.140625" style="699"/>
    <col min="12296" max="12296" width="2.85546875" style="699" customWidth="1"/>
    <col min="12297" max="12297" width="18.5703125" style="699" customWidth="1"/>
    <col min="12298" max="12298" width="14.42578125" style="699" customWidth="1"/>
    <col min="12299" max="12299" width="13.7109375" style="699" customWidth="1"/>
    <col min="12300" max="12300" width="10.140625" style="699" customWidth="1"/>
    <col min="12301" max="12301" width="4.42578125" style="699" customWidth="1"/>
    <col min="12302" max="12302" width="24" style="699" customWidth="1"/>
    <col min="12303" max="12303" width="13.140625" style="699" customWidth="1"/>
    <col min="12304" max="12304" width="13" style="699" customWidth="1"/>
    <col min="12305" max="12305" width="10.42578125" style="699" customWidth="1"/>
    <col min="12306" max="12541" width="9.140625" style="699"/>
    <col min="12542" max="12542" width="5" style="699" customWidth="1"/>
    <col min="12543" max="12543" width="17.7109375" style="699" customWidth="1"/>
    <col min="12544" max="12544" width="13.85546875" style="699" customWidth="1"/>
    <col min="12545" max="12545" width="13.140625" style="699" customWidth="1"/>
    <col min="12546" max="12546" width="12.28515625" style="699" customWidth="1"/>
    <col min="12547" max="12547" width="3" style="699" customWidth="1"/>
    <col min="12548" max="12548" width="20.28515625" style="699" customWidth="1"/>
    <col min="12549" max="12549" width="12.5703125" style="699" customWidth="1"/>
    <col min="12550" max="12550" width="11.7109375" style="699" customWidth="1"/>
    <col min="12551" max="12551" width="9.140625" style="699"/>
    <col min="12552" max="12552" width="2.85546875" style="699" customWidth="1"/>
    <col min="12553" max="12553" width="18.5703125" style="699" customWidth="1"/>
    <col min="12554" max="12554" width="14.42578125" style="699" customWidth="1"/>
    <col min="12555" max="12555" width="13.7109375" style="699" customWidth="1"/>
    <col min="12556" max="12556" width="10.140625" style="699" customWidth="1"/>
    <col min="12557" max="12557" width="4.42578125" style="699" customWidth="1"/>
    <col min="12558" max="12558" width="24" style="699" customWidth="1"/>
    <col min="12559" max="12559" width="13.140625" style="699" customWidth="1"/>
    <col min="12560" max="12560" width="13" style="699" customWidth="1"/>
    <col min="12561" max="12561" width="10.42578125" style="699" customWidth="1"/>
    <col min="12562" max="12797" width="9.140625" style="699"/>
    <col min="12798" max="12798" width="5" style="699" customWidth="1"/>
    <col min="12799" max="12799" width="17.7109375" style="699" customWidth="1"/>
    <col min="12800" max="12800" width="13.85546875" style="699" customWidth="1"/>
    <col min="12801" max="12801" width="13.140625" style="699" customWidth="1"/>
    <col min="12802" max="12802" width="12.28515625" style="699" customWidth="1"/>
    <col min="12803" max="12803" width="3" style="699" customWidth="1"/>
    <col min="12804" max="12804" width="20.28515625" style="699" customWidth="1"/>
    <col min="12805" max="12805" width="12.5703125" style="699" customWidth="1"/>
    <col min="12806" max="12806" width="11.7109375" style="699" customWidth="1"/>
    <col min="12807" max="12807" width="9.140625" style="699"/>
    <col min="12808" max="12808" width="2.85546875" style="699" customWidth="1"/>
    <col min="12809" max="12809" width="18.5703125" style="699" customWidth="1"/>
    <col min="12810" max="12810" width="14.42578125" style="699" customWidth="1"/>
    <col min="12811" max="12811" width="13.7109375" style="699" customWidth="1"/>
    <col min="12812" max="12812" width="10.140625" style="699" customWidth="1"/>
    <col min="12813" max="12813" width="4.42578125" style="699" customWidth="1"/>
    <col min="12814" max="12814" width="24" style="699" customWidth="1"/>
    <col min="12815" max="12815" width="13.140625" style="699" customWidth="1"/>
    <col min="12816" max="12816" width="13" style="699" customWidth="1"/>
    <col min="12817" max="12817" width="10.42578125" style="699" customWidth="1"/>
    <col min="12818" max="13053" width="9.140625" style="699"/>
    <col min="13054" max="13054" width="5" style="699" customWidth="1"/>
    <col min="13055" max="13055" width="17.7109375" style="699" customWidth="1"/>
    <col min="13056" max="13056" width="13.85546875" style="699" customWidth="1"/>
    <col min="13057" max="13057" width="13.140625" style="699" customWidth="1"/>
    <col min="13058" max="13058" width="12.28515625" style="699" customWidth="1"/>
    <col min="13059" max="13059" width="3" style="699" customWidth="1"/>
    <col min="13060" max="13060" width="20.28515625" style="699" customWidth="1"/>
    <col min="13061" max="13061" width="12.5703125" style="699" customWidth="1"/>
    <col min="13062" max="13062" width="11.7109375" style="699" customWidth="1"/>
    <col min="13063" max="13063" width="9.140625" style="699"/>
    <col min="13064" max="13064" width="2.85546875" style="699" customWidth="1"/>
    <col min="13065" max="13065" width="18.5703125" style="699" customWidth="1"/>
    <col min="13066" max="13066" width="14.42578125" style="699" customWidth="1"/>
    <col min="13067" max="13067" width="13.7109375" style="699" customWidth="1"/>
    <col min="13068" max="13068" width="10.140625" style="699" customWidth="1"/>
    <col min="13069" max="13069" width="4.42578125" style="699" customWidth="1"/>
    <col min="13070" max="13070" width="24" style="699" customWidth="1"/>
    <col min="13071" max="13071" width="13.140625" style="699" customWidth="1"/>
    <col min="13072" max="13072" width="13" style="699" customWidth="1"/>
    <col min="13073" max="13073" width="10.42578125" style="699" customWidth="1"/>
    <col min="13074" max="13309" width="9.140625" style="699"/>
    <col min="13310" max="13310" width="5" style="699" customWidth="1"/>
    <col min="13311" max="13311" width="17.7109375" style="699" customWidth="1"/>
    <col min="13312" max="13312" width="13.85546875" style="699" customWidth="1"/>
    <col min="13313" max="13313" width="13.140625" style="699" customWidth="1"/>
    <col min="13314" max="13314" width="12.28515625" style="699" customWidth="1"/>
    <col min="13315" max="13315" width="3" style="699" customWidth="1"/>
    <col min="13316" max="13316" width="20.28515625" style="699" customWidth="1"/>
    <col min="13317" max="13317" width="12.5703125" style="699" customWidth="1"/>
    <col min="13318" max="13318" width="11.7109375" style="699" customWidth="1"/>
    <col min="13319" max="13319" width="9.140625" style="699"/>
    <col min="13320" max="13320" width="2.85546875" style="699" customWidth="1"/>
    <col min="13321" max="13321" width="18.5703125" style="699" customWidth="1"/>
    <col min="13322" max="13322" width="14.42578125" style="699" customWidth="1"/>
    <col min="13323" max="13323" width="13.7109375" style="699" customWidth="1"/>
    <col min="13324" max="13324" width="10.140625" style="699" customWidth="1"/>
    <col min="13325" max="13325" width="4.42578125" style="699" customWidth="1"/>
    <col min="13326" max="13326" width="24" style="699" customWidth="1"/>
    <col min="13327" max="13327" width="13.140625" style="699" customWidth="1"/>
    <col min="13328" max="13328" width="13" style="699" customWidth="1"/>
    <col min="13329" max="13329" width="10.42578125" style="699" customWidth="1"/>
    <col min="13330" max="13565" width="9.140625" style="699"/>
    <col min="13566" max="13566" width="5" style="699" customWidth="1"/>
    <col min="13567" max="13567" width="17.7109375" style="699" customWidth="1"/>
    <col min="13568" max="13568" width="13.85546875" style="699" customWidth="1"/>
    <col min="13569" max="13569" width="13.140625" style="699" customWidth="1"/>
    <col min="13570" max="13570" width="12.28515625" style="699" customWidth="1"/>
    <col min="13571" max="13571" width="3" style="699" customWidth="1"/>
    <col min="13572" max="13572" width="20.28515625" style="699" customWidth="1"/>
    <col min="13573" max="13573" width="12.5703125" style="699" customWidth="1"/>
    <col min="13574" max="13574" width="11.7109375" style="699" customWidth="1"/>
    <col min="13575" max="13575" width="9.140625" style="699"/>
    <col min="13576" max="13576" width="2.85546875" style="699" customWidth="1"/>
    <col min="13577" max="13577" width="18.5703125" style="699" customWidth="1"/>
    <col min="13578" max="13578" width="14.42578125" style="699" customWidth="1"/>
    <col min="13579" max="13579" width="13.7109375" style="699" customWidth="1"/>
    <col min="13580" max="13580" width="10.140625" style="699" customWidth="1"/>
    <col min="13581" max="13581" width="4.42578125" style="699" customWidth="1"/>
    <col min="13582" max="13582" width="24" style="699" customWidth="1"/>
    <col min="13583" max="13583" width="13.140625" style="699" customWidth="1"/>
    <col min="13584" max="13584" width="13" style="699" customWidth="1"/>
    <col min="13585" max="13585" width="10.42578125" style="699" customWidth="1"/>
    <col min="13586" max="13821" width="9.140625" style="699"/>
    <col min="13822" max="13822" width="5" style="699" customWidth="1"/>
    <col min="13823" max="13823" width="17.7109375" style="699" customWidth="1"/>
    <col min="13824" max="13824" width="13.85546875" style="699" customWidth="1"/>
    <col min="13825" max="13825" width="13.140625" style="699" customWidth="1"/>
    <col min="13826" max="13826" width="12.28515625" style="699" customWidth="1"/>
    <col min="13827" max="13827" width="3" style="699" customWidth="1"/>
    <col min="13828" max="13828" width="20.28515625" style="699" customWidth="1"/>
    <col min="13829" max="13829" width="12.5703125" style="699" customWidth="1"/>
    <col min="13830" max="13830" width="11.7109375" style="699" customWidth="1"/>
    <col min="13831" max="13831" width="9.140625" style="699"/>
    <col min="13832" max="13832" width="2.85546875" style="699" customWidth="1"/>
    <col min="13833" max="13833" width="18.5703125" style="699" customWidth="1"/>
    <col min="13834" max="13834" width="14.42578125" style="699" customWidth="1"/>
    <col min="13835" max="13835" width="13.7109375" style="699" customWidth="1"/>
    <col min="13836" max="13836" width="10.140625" style="699" customWidth="1"/>
    <col min="13837" max="13837" width="4.42578125" style="699" customWidth="1"/>
    <col min="13838" max="13838" width="24" style="699" customWidth="1"/>
    <col min="13839" max="13839" width="13.140625" style="699" customWidth="1"/>
    <col min="13840" max="13840" width="13" style="699" customWidth="1"/>
    <col min="13841" max="13841" width="10.42578125" style="699" customWidth="1"/>
    <col min="13842" max="14077" width="9.140625" style="699"/>
    <col min="14078" max="14078" width="5" style="699" customWidth="1"/>
    <col min="14079" max="14079" width="17.7109375" style="699" customWidth="1"/>
    <col min="14080" max="14080" width="13.85546875" style="699" customWidth="1"/>
    <col min="14081" max="14081" width="13.140625" style="699" customWidth="1"/>
    <col min="14082" max="14082" width="12.28515625" style="699" customWidth="1"/>
    <col min="14083" max="14083" width="3" style="699" customWidth="1"/>
    <col min="14084" max="14084" width="20.28515625" style="699" customWidth="1"/>
    <col min="14085" max="14085" width="12.5703125" style="699" customWidth="1"/>
    <col min="14086" max="14086" width="11.7109375" style="699" customWidth="1"/>
    <col min="14087" max="14087" width="9.140625" style="699"/>
    <col min="14088" max="14088" width="2.85546875" style="699" customWidth="1"/>
    <col min="14089" max="14089" width="18.5703125" style="699" customWidth="1"/>
    <col min="14090" max="14090" width="14.42578125" style="699" customWidth="1"/>
    <col min="14091" max="14091" width="13.7109375" style="699" customWidth="1"/>
    <col min="14092" max="14092" width="10.140625" style="699" customWidth="1"/>
    <col min="14093" max="14093" width="4.42578125" style="699" customWidth="1"/>
    <col min="14094" max="14094" width="24" style="699" customWidth="1"/>
    <col min="14095" max="14095" width="13.140625" style="699" customWidth="1"/>
    <col min="14096" max="14096" width="13" style="699" customWidth="1"/>
    <col min="14097" max="14097" width="10.42578125" style="699" customWidth="1"/>
    <col min="14098" max="14333" width="9.140625" style="699"/>
    <col min="14334" max="14334" width="5" style="699" customWidth="1"/>
    <col min="14335" max="14335" width="17.7109375" style="699" customWidth="1"/>
    <col min="14336" max="14336" width="13.85546875" style="699" customWidth="1"/>
    <col min="14337" max="14337" width="13.140625" style="699" customWidth="1"/>
    <col min="14338" max="14338" width="12.28515625" style="699" customWidth="1"/>
    <col min="14339" max="14339" width="3" style="699" customWidth="1"/>
    <col min="14340" max="14340" width="20.28515625" style="699" customWidth="1"/>
    <col min="14341" max="14341" width="12.5703125" style="699" customWidth="1"/>
    <col min="14342" max="14342" width="11.7109375" style="699" customWidth="1"/>
    <col min="14343" max="14343" width="9.140625" style="699"/>
    <col min="14344" max="14344" width="2.85546875" style="699" customWidth="1"/>
    <col min="14345" max="14345" width="18.5703125" style="699" customWidth="1"/>
    <col min="14346" max="14346" width="14.42578125" style="699" customWidth="1"/>
    <col min="14347" max="14347" width="13.7109375" style="699" customWidth="1"/>
    <col min="14348" max="14348" width="10.140625" style="699" customWidth="1"/>
    <col min="14349" max="14349" width="4.42578125" style="699" customWidth="1"/>
    <col min="14350" max="14350" width="24" style="699" customWidth="1"/>
    <col min="14351" max="14351" width="13.140625" style="699" customWidth="1"/>
    <col min="14352" max="14352" width="13" style="699" customWidth="1"/>
    <col min="14353" max="14353" width="10.42578125" style="699" customWidth="1"/>
    <col min="14354" max="14589" width="9.140625" style="699"/>
    <col min="14590" max="14590" width="5" style="699" customWidth="1"/>
    <col min="14591" max="14591" width="17.7109375" style="699" customWidth="1"/>
    <col min="14592" max="14592" width="13.85546875" style="699" customWidth="1"/>
    <col min="14593" max="14593" width="13.140625" style="699" customWidth="1"/>
    <col min="14594" max="14594" width="12.28515625" style="699" customWidth="1"/>
    <col min="14595" max="14595" width="3" style="699" customWidth="1"/>
    <col min="14596" max="14596" width="20.28515625" style="699" customWidth="1"/>
    <col min="14597" max="14597" width="12.5703125" style="699" customWidth="1"/>
    <col min="14598" max="14598" width="11.7109375" style="699" customWidth="1"/>
    <col min="14599" max="14599" width="9.140625" style="699"/>
    <col min="14600" max="14600" width="2.85546875" style="699" customWidth="1"/>
    <col min="14601" max="14601" width="18.5703125" style="699" customWidth="1"/>
    <col min="14602" max="14602" width="14.42578125" style="699" customWidth="1"/>
    <col min="14603" max="14603" width="13.7109375" style="699" customWidth="1"/>
    <col min="14604" max="14604" width="10.140625" style="699" customWidth="1"/>
    <col min="14605" max="14605" width="4.42578125" style="699" customWidth="1"/>
    <col min="14606" max="14606" width="24" style="699" customWidth="1"/>
    <col min="14607" max="14607" width="13.140625" style="699" customWidth="1"/>
    <col min="14608" max="14608" width="13" style="699" customWidth="1"/>
    <col min="14609" max="14609" width="10.42578125" style="699" customWidth="1"/>
    <col min="14610" max="14845" width="9.140625" style="699"/>
    <col min="14846" max="14846" width="5" style="699" customWidth="1"/>
    <col min="14847" max="14847" width="17.7109375" style="699" customWidth="1"/>
    <col min="14848" max="14848" width="13.85546875" style="699" customWidth="1"/>
    <col min="14849" max="14849" width="13.140625" style="699" customWidth="1"/>
    <col min="14850" max="14850" width="12.28515625" style="699" customWidth="1"/>
    <col min="14851" max="14851" width="3" style="699" customWidth="1"/>
    <col min="14852" max="14852" width="20.28515625" style="699" customWidth="1"/>
    <col min="14853" max="14853" width="12.5703125" style="699" customWidth="1"/>
    <col min="14854" max="14854" width="11.7109375" style="699" customWidth="1"/>
    <col min="14855" max="14855" width="9.140625" style="699"/>
    <col min="14856" max="14856" width="2.85546875" style="699" customWidth="1"/>
    <col min="14857" max="14857" width="18.5703125" style="699" customWidth="1"/>
    <col min="14858" max="14858" width="14.42578125" style="699" customWidth="1"/>
    <col min="14859" max="14859" width="13.7109375" style="699" customWidth="1"/>
    <col min="14860" max="14860" width="10.140625" style="699" customWidth="1"/>
    <col min="14861" max="14861" width="4.42578125" style="699" customWidth="1"/>
    <col min="14862" max="14862" width="24" style="699" customWidth="1"/>
    <col min="14863" max="14863" width="13.140625" style="699" customWidth="1"/>
    <col min="14864" max="14864" width="13" style="699" customWidth="1"/>
    <col min="14865" max="14865" width="10.42578125" style="699" customWidth="1"/>
    <col min="14866" max="15101" width="9.140625" style="699"/>
    <col min="15102" max="15102" width="5" style="699" customWidth="1"/>
    <col min="15103" max="15103" width="17.7109375" style="699" customWidth="1"/>
    <col min="15104" max="15104" width="13.85546875" style="699" customWidth="1"/>
    <col min="15105" max="15105" width="13.140625" style="699" customWidth="1"/>
    <col min="15106" max="15106" width="12.28515625" style="699" customWidth="1"/>
    <col min="15107" max="15107" width="3" style="699" customWidth="1"/>
    <col min="15108" max="15108" width="20.28515625" style="699" customWidth="1"/>
    <col min="15109" max="15109" width="12.5703125" style="699" customWidth="1"/>
    <col min="15110" max="15110" width="11.7109375" style="699" customWidth="1"/>
    <col min="15111" max="15111" width="9.140625" style="699"/>
    <col min="15112" max="15112" width="2.85546875" style="699" customWidth="1"/>
    <col min="15113" max="15113" width="18.5703125" style="699" customWidth="1"/>
    <col min="15114" max="15114" width="14.42578125" style="699" customWidth="1"/>
    <col min="15115" max="15115" width="13.7109375" style="699" customWidth="1"/>
    <col min="15116" max="15116" width="10.140625" style="699" customWidth="1"/>
    <col min="15117" max="15117" width="4.42578125" style="699" customWidth="1"/>
    <col min="15118" max="15118" width="24" style="699" customWidth="1"/>
    <col min="15119" max="15119" width="13.140625" style="699" customWidth="1"/>
    <col min="15120" max="15120" width="13" style="699" customWidth="1"/>
    <col min="15121" max="15121" width="10.42578125" style="699" customWidth="1"/>
    <col min="15122" max="15357" width="9.140625" style="699"/>
    <col min="15358" max="15358" width="5" style="699" customWidth="1"/>
    <col min="15359" max="15359" width="17.7109375" style="699" customWidth="1"/>
    <col min="15360" max="15360" width="13.85546875" style="699" customWidth="1"/>
    <col min="15361" max="15361" width="13.140625" style="699" customWidth="1"/>
    <col min="15362" max="15362" width="12.28515625" style="699" customWidth="1"/>
    <col min="15363" max="15363" width="3" style="699" customWidth="1"/>
    <col min="15364" max="15364" width="20.28515625" style="699" customWidth="1"/>
    <col min="15365" max="15365" width="12.5703125" style="699" customWidth="1"/>
    <col min="15366" max="15366" width="11.7109375" style="699" customWidth="1"/>
    <col min="15367" max="15367" width="9.140625" style="699"/>
    <col min="15368" max="15368" width="2.85546875" style="699" customWidth="1"/>
    <col min="15369" max="15369" width="18.5703125" style="699" customWidth="1"/>
    <col min="15370" max="15370" width="14.42578125" style="699" customWidth="1"/>
    <col min="15371" max="15371" width="13.7109375" style="699" customWidth="1"/>
    <col min="15372" max="15372" width="10.140625" style="699" customWidth="1"/>
    <col min="15373" max="15373" width="4.42578125" style="699" customWidth="1"/>
    <col min="15374" max="15374" width="24" style="699" customWidth="1"/>
    <col min="15375" max="15375" width="13.140625" style="699" customWidth="1"/>
    <col min="15376" max="15376" width="13" style="699" customWidth="1"/>
    <col min="15377" max="15377" width="10.42578125" style="699" customWidth="1"/>
    <col min="15378" max="15613" width="9.140625" style="699"/>
    <col min="15614" max="15614" width="5" style="699" customWidth="1"/>
    <col min="15615" max="15615" width="17.7109375" style="699" customWidth="1"/>
    <col min="15616" max="15616" width="13.85546875" style="699" customWidth="1"/>
    <col min="15617" max="15617" width="13.140625" style="699" customWidth="1"/>
    <col min="15618" max="15618" width="12.28515625" style="699" customWidth="1"/>
    <col min="15619" max="15619" width="3" style="699" customWidth="1"/>
    <col min="15620" max="15620" width="20.28515625" style="699" customWidth="1"/>
    <col min="15621" max="15621" width="12.5703125" style="699" customWidth="1"/>
    <col min="15622" max="15622" width="11.7109375" style="699" customWidth="1"/>
    <col min="15623" max="15623" width="9.140625" style="699"/>
    <col min="15624" max="15624" width="2.85546875" style="699" customWidth="1"/>
    <col min="15625" max="15625" width="18.5703125" style="699" customWidth="1"/>
    <col min="15626" max="15626" width="14.42578125" style="699" customWidth="1"/>
    <col min="15627" max="15627" width="13.7109375" style="699" customWidth="1"/>
    <col min="15628" max="15628" width="10.140625" style="699" customWidth="1"/>
    <col min="15629" max="15629" width="4.42578125" style="699" customWidth="1"/>
    <col min="15630" max="15630" width="24" style="699" customWidth="1"/>
    <col min="15631" max="15631" width="13.140625" style="699" customWidth="1"/>
    <col min="15632" max="15632" width="13" style="699" customWidth="1"/>
    <col min="15633" max="15633" width="10.42578125" style="699" customWidth="1"/>
    <col min="15634" max="15869" width="9.140625" style="699"/>
    <col min="15870" max="15870" width="5" style="699" customWidth="1"/>
    <col min="15871" max="15871" width="17.7109375" style="699" customWidth="1"/>
    <col min="15872" max="15872" width="13.85546875" style="699" customWidth="1"/>
    <col min="15873" max="15873" width="13.140625" style="699" customWidth="1"/>
    <col min="15874" max="15874" width="12.28515625" style="699" customWidth="1"/>
    <col min="15875" max="15875" width="3" style="699" customWidth="1"/>
    <col min="15876" max="15876" width="20.28515625" style="699" customWidth="1"/>
    <col min="15877" max="15877" width="12.5703125" style="699" customWidth="1"/>
    <col min="15878" max="15878" width="11.7109375" style="699" customWidth="1"/>
    <col min="15879" max="15879" width="9.140625" style="699"/>
    <col min="15880" max="15880" width="2.85546875" style="699" customWidth="1"/>
    <col min="15881" max="15881" width="18.5703125" style="699" customWidth="1"/>
    <col min="15882" max="15882" width="14.42578125" style="699" customWidth="1"/>
    <col min="15883" max="15883" width="13.7109375" style="699" customWidth="1"/>
    <col min="15884" max="15884" width="10.140625" style="699" customWidth="1"/>
    <col min="15885" max="15885" width="4.42578125" style="699" customWidth="1"/>
    <col min="15886" max="15886" width="24" style="699" customWidth="1"/>
    <col min="15887" max="15887" width="13.140625" style="699" customWidth="1"/>
    <col min="15888" max="15888" width="13" style="699" customWidth="1"/>
    <col min="15889" max="15889" width="10.42578125" style="699" customWidth="1"/>
    <col min="15890" max="16125" width="9.140625" style="699"/>
    <col min="16126" max="16126" width="5" style="699" customWidth="1"/>
    <col min="16127" max="16127" width="17.7109375" style="699" customWidth="1"/>
    <col min="16128" max="16128" width="13.85546875" style="699" customWidth="1"/>
    <col min="16129" max="16129" width="13.140625" style="699" customWidth="1"/>
    <col min="16130" max="16130" width="12.28515625" style="699" customWidth="1"/>
    <col min="16131" max="16131" width="3" style="699" customWidth="1"/>
    <col min="16132" max="16132" width="20.28515625" style="699" customWidth="1"/>
    <col min="16133" max="16133" width="12.5703125" style="699" customWidth="1"/>
    <col min="16134" max="16134" width="11.7109375" style="699" customWidth="1"/>
    <col min="16135" max="16135" width="9.140625" style="699"/>
    <col min="16136" max="16136" width="2.85546875" style="699" customWidth="1"/>
    <col min="16137" max="16137" width="18.5703125" style="699" customWidth="1"/>
    <col min="16138" max="16138" width="14.42578125" style="699" customWidth="1"/>
    <col min="16139" max="16139" width="13.7109375" style="699" customWidth="1"/>
    <col min="16140" max="16140" width="10.140625" style="699" customWidth="1"/>
    <col min="16141" max="16141" width="4.42578125" style="699" customWidth="1"/>
    <col min="16142" max="16142" width="24" style="699" customWidth="1"/>
    <col min="16143" max="16143" width="13.140625" style="699" customWidth="1"/>
    <col min="16144" max="16144" width="13" style="699" customWidth="1"/>
    <col min="16145" max="16145" width="10.42578125" style="699" customWidth="1"/>
    <col min="16146" max="16384" width="9.140625" style="699"/>
  </cols>
  <sheetData>
    <row r="1" spans="2:25" ht="18.75">
      <c r="B1" s="608" t="s">
        <v>307</v>
      </c>
    </row>
    <row r="2" spans="2:25" ht="28.5" customHeight="1">
      <c r="B2" s="1227" t="s">
        <v>376</v>
      </c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  <c r="R2" s="1227"/>
      <c r="S2" s="1227"/>
      <c r="T2" s="1227"/>
      <c r="U2" s="1227"/>
      <c r="V2" s="1227"/>
      <c r="W2" s="1227"/>
      <c r="X2" s="1227"/>
      <c r="Y2" s="1227"/>
    </row>
    <row r="3" spans="2:25" ht="15.75" customHeight="1">
      <c r="B3" s="1228" t="s">
        <v>377</v>
      </c>
      <c r="C3" s="1228"/>
      <c r="D3" s="1228"/>
      <c r="E3" s="1228"/>
      <c r="F3" s="1228"/>
      <c r="G3" s="1228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29" t="s">
        <v>182</v>
      </c>
      <c r="D5" s="1229"/>
      <c r="E5" s="613"/>
      <c r="F5" s="613"/>
      <c r="G5" s="612" t="s">
        <v>183</v>
      </c>
      <c r="H5" s="614" t="s">
        <v>184</v>
      </c>
      <c r="I5" s="1044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5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0" t="s">
        <v>194</v>
      </c>
      <c r="C7" s="624">
        <v>2915.75</v>
      </c>
      <c r="D7" s="624">
        <v>4005</v>
      </c>
      <c r="E7" s="956">
        <v>2.5843761245570462</v>
      </c>
      <c r="G7" s="627" t="s">
        <v>196</v>
      </c>
      <c r="H7" s="628">
        <v>404.11599999999999</v>
      </c>
      <c r="I7" s="628">
        <v>1857</v>
      </c>
      <c r="J7" s="924">
        <v>3.0223093088825896</v>
      </c>
      <c r="L7" s="800" t="s">
        <v>194</v>
      </c>
      <c r="M7" s="624">
        <v>91486.475999999995</v>
      </c>
      <c r="N7" s="624">
        <v>24466.565999999999</v>
      </c>
      <c r="O7" s="785">
        <v>3.7392446492082296</v>
      </c>
      <c r="Q7" s="625" t="s">
        <v>195</v>
      </c>
      <c r="R7" s="626">
        <v>15651.116</v>
      </c>
      <c r="S7" s="626">
        <v>4317.6270000000004</v>
      </c>
      <c r="T7" s="688">
        <v>3.6249347152961566</v>
      </c>
    </row>
    <row r="8" spans="2:25" ht="15.75">
      <c r="B8" s="627" t="s">
        <v>206</v>
      </c>
      <c r="C8" s="628">
        <v>2518.67</v>
      </c>
      <c r="D8" s="628">
        <v>1637</v>
      </c>
      <c r="E8" s="924">
        <v>2.3965923774761211</v>
      </c>
      <c r="G8" s="627" t="s">
        <v>194</v>
      </c>
      <c r="H8" s="628">
        <v>188.01599999999999</v>
      </c>
      <c r="I8" s="628">
        <v>798</v>
      </c>
      <c r="J8" s="924">
        <v>3.3477440262098925</v>
      </c>
      <c r="L8" s="627" t="s">
        <v>197</v>
      </c>
      <c r="M8" s="628">
        <v>46251.906000000003</v>
      </c>
      <c r="N8" s="628">
        <v>12964.338</v>
      </c>
      <c r="O8" s="686">
        <v>3.5676257437903889</v>
      </c>
      <c r="Q8" s="627" t="s">
        <v>201</v>
      </c>
      <c r="R8" s="628">
        <v>13002.486999999999</v>
      </c>
      <c r="S8" s="628">
        <v>2348.1590000000001</v>
      </c>
      <c r="T8" s="688">
        <v>5.5373111446030689</v>
      </c>
    </row>
    <row r="9" spans="2:25" ht="16.5" thickBot="1">
      <c r="B9" s="627" t="s">
        <v>204</v>
      </c>
      <c r="C9" s="628">
        <v>1659.798</v>
      </c>
      <c r="D9" s="628">
        <v>1233</v>
      </c>
      <c r="E9" s="924">
        <v>2.3734693906734181</v>
      </c>
      <c r="G9" s="627" t="s">
        <v>214</v>
      </c>
      <c r="H9" s="628">
        <v>164.64400000000001</v>
      </c>
      <c r="I9" s="628">
        <v>596</v>
      </c>
      <c r="J9" s="924">
        <v>3.4051829331347854</v>
      </c>
      <c r="L9" s="627" t="s">
        <v>196</v>
      </c>
      <c r="M9" s="628">
        <v>27859.829000000002</v>
      </c>
      <c r="N9" s="628">
        <v>6968.9690000000001</v>
      </c>
      <c r="O9" s="686">
        <v>3.9976973638424855</v>
      </c>
      <c r="Q9" s="627" t="s">
        <v>197</v>
      </c>
      <c r="R9" s="628">
        <v>12236.156000000001</v>
      </c>
      <c r="S9" s="628">
        <v>2883.8910000000001</v>
      </c>
      <c r="T9" s="688">
        <v>4.2429328986428407</v>
      </c>
    </row>
    <row r="10" spans="2:25" ht="16.5" thickBot="1">
      <c r="B10" s="627" t="s">
        <v>202</v>
      </c>
      <c r="C10" s="628">
        <v>756.65099999999995</v>
      </c>
      <c r="D10" s="628">
        <v>1280</v>
      </c>
      <c r="E10" s="924">
        <v>2.9228091997002448</v>
      </c>
      <c r="G10" s="1048" t="s">
        <v>328</v>
      </c>
      <c r="H10" s="631">
        <v>756.77599999999995</v>
      </c>
      <c r="I10" s="631">
        <v>3251</v>
      </c>
      <c r="J10" s="1049">
        <v>3.1767412183491168</v>
      </c>
      <c r="L10" s="627" t="s">
        <v>311</v>
      </c>
      <c r="M10" s="628">
        <v>25254.138999999999</v>
      </c>
      <c r="N10" s="628">
        <v>7904.5770000000002</v>
      </c>
      <c r="O10" s="686">
        <v>3.1948754500082672</v>
      </c>
      <c r="Q10" s="627" t="s">
        <v>196</v>
      </c>
      <c r="R10" s="628">
        <v>6903.8680000000004</v>
      </c>
      <c r="S10" s="628">
        <v>1927.9680000000001</v>
      </c>
      <c r="T10" s="688">
        <v>3.5809038324287541</v>
      </c>
    </row>
    <row r="11" spans="2:25" ht="15.75">
      <c r="B11" s="627" t="s">
        <v>196</v>
      </c>
      <c r="C11" s="628">
        <v>578.71400000000006</v>
      </c>
      <c r="D11" s="628">
        <v>2693</v>
      </c>
      <c r="E11" s="924">
        <v>2.9688146061939866</v>
      </c>
      <c r="L11" s="627" t="s">
        <v>203</v>
      </c>
      <c r="M11" s="628">
        <v>18089.061000000002</v>
      </c>
      <c r="N11" s="628">
        <v>3986.2710000000002</v>
      </c>
      <c r="O11" s="686">
        <v>4.5378402522056334</v>
      </c>
      <c r="Q11" s="627" t="s">
        <v>198</v>
      </c>
      <c r="R11" s="628">
        <v>5741.6750000000002</v>
      </c>
      <c r="S11" s="628">
        <v>1338.067</v>
      </c>
      <c r="T11" s="688">
        <v>4.2910220489706417</v>
      </c>
    </row>
    <row r="12" spans="2:25" ht="16.5" thickBot="1">
      <c r="B12" s="1046" t="s">
        <v>200</v>
      </c>
      <c r="C12" s="1047">
        <v>532.44799999999998</v>
      </c>
      <c r="D12" s="1047">
        <v>1029</v>
      </c>
      <c r="E12" s="1057">
        <v>2.6505246809103764</v>
      </c>
      <c r="I12" s="699"/>
      <c r="L12" s="627" t="s">
        <v>201</v>
      </c>
      <c r="M12" s="628">
        <v>16420.423999999999</v>
      </c>
      <c r="N12" s="628">
        <v>2587.2660000000001</v>
      </c>
      <c r="O12" s="686">
        <v>6.3466315407847507</v>
      </c>
      <c r="Q12" s="627" t="s">
        <v>311</v>
      </c>
      <c r="R12" s="628">
        <v>4796.9409999999998</v>
      </c>
      <c r="S12" s="628">
        <v>1893.2080000000001</v>
      </c>
      <c r="T12" s="688">
        <v>2.5337633265864077</v>
      </c>
    </row>
    <row r="13" spans="2:25" ht="16.5" thickBot="1">
      <c r="B13" s="1048" t="s">
        <v>328</v>
      </c>
      <c r="C13" s="631">
        <v>9677.625</v>
      </c>
      <c r="D13" s="631">
        <v>13496</v>
      </c>
      <c r="E13" s="1049">
        <v>2.6064657830877502</v>
      </c>
      <c r="L13" s="627" t="s">
        <v>195</v>
      </c>
      <c r="M13" s="628">
        <v>10740.699000000001</v>
      </c>
      <c r="N13" s="628">
        <v>2570.7130000000002</v>
      </c>
      <c r="O13" s="686">
        <v>4.1781011727096722</v>
      </c>
      <c r="Q13" s="627" t="s">
        <v>203</v>
      </c>
      <c r="R13" s="628">
        <v>3824.5520000000001</v>
      </c>
      <c r="S13" s="628">
        <v>999.27200000000005</v>
      </c>
      <c r="T13" s="688">
        <v>3.8273383022840628</v>
      </c>
    </row>
    <row r="14" spans="2:25" ht="15.75">
      <c r="B14" s="122"/>
      <c r="C14" s="122"/>
      <c r="D14" s="122"/>
      <c r="E14" s="122"/>
      <c r="G14" s="700"/>
      <c r="L14" s="627" t="s">
        <v>204</v>
      </c>
      <c r="M14" s="628">
        <v>10540.493</v>
      </c>
      <c r="N14" s="628">
        <v>3006.8519999999999</v>
      </c>
      <c r="O14" s="686">
        <v>3.50549112493731</v>
      </c>
      <c r="Q14" s="627" t="s">
        <v>194</v>
      </c>
      <c r="R14" s="628">
        <v>2801.6309999999999</v>
      </c>
      <c r="S14" s="628">
        <v>850.89700000000005</v>
      </c>
      <c r="T14" s="688">
        <v>3.2925618494365354</v>
      </c>
    </row>
    <row r="15" spans="2:25" ht="15.75">
      <c r="B15" s="122"/>
      <c r="C15" s="122"/>
      <c r="D15" s="122"/>
      <c r="E15" s="122"/>
      <c r="F15" s="894"/>
      <c r="G15" s="700"/>
      <c r="L15" s="627" t="s">
        <v>199</v>
      </c>
      <c r="M15" s="628">
        <v>8774.2980000000007</v>
      </c>
      <c r="N15" s="628">
        <v>2311.0540000000001</v>
      </c>
      <c r="O15" s="686">
        <v>3.7966650714349384</v>
      </c>
      <c r="Q15" s="627" t="s">
        <v>215</v>
      </c>
      <c r="R15" s="628">
        <v>2124.4839999999999</v>
      </c>
      <c r="S15" s="628">
        <v>528.82299999999998</v>
      </c>
      <c r="T15" s="688">
        <v>4.0173819973790854</v>
      </c>
    </row>
    <row r="16" spans="2:25" ht="15.75">
      <c r="B16" s="122"/>
      <c r="C16" s="122"/>
      <c r="D16" s="122"/>
      <c r="E16" s="122"/>
      <c r="F16" s="700"/>
      <c r="L16" s="627" t="s">
        <v>210</v>
      </c>
      <c r="M16" s="628">
        <v>8403.3070000000007</v>
      </c>
      <c r="N16" s="628">
        <v>1464.5060000000001</v>
      </c>
      <c r="O16" s="686">
        <v>5.7379805886763187</v>
      </c>
      <c r="Q16" s="627" t="s">
        <v>211</v>
      </c>
      <c r="R16" s="628">
        <v>1963.702</v>
      </c>
      <c r="S16" s="628">
        <v>681.58100000000002</v>
      </c>
      <c r="T16" s="688">
        <v>2.8810985047998696</v>
      </c>
    </row>
    <row r="17" spans="2:20" ht="15.75">
      <c r="B17" s="122"/>
      <c r="C17" s="122"/>
      <c r="D17" s="122"/>
      <c r="E17" s="122"/>
      <c r="L17" s="627" t="s">
        <v>208</v>
      </c>
      <c r="M17" s="628">
        <v>6863.1949999999997</v>
      </c>
      <c r="N17" s="628">
        <v>1879.98</v>
      </c>
      <c r="O17" s="686">
        <v>3.650674475260375</v>
      </c>
      <c r="Q17" s="627" t="s">
        <v>204</v>
      </c>
      <c r="R17" s="628">
        <v>1835.7449999999999</v>
      </c>
      <c r="S17" s="628">
        <v>531.87400000000002</v>
      </c>
      <c r="T17" s="688">
        <v>3.4514659487021357</v>
      </c>
    </row>
    <row r="18" spans="2:20" ht="15.75">
      <c r="L18" s="627" t="s">
        <v>212</v>
      </c>
      <c r="M18" s="628">
        <v>6513.9880000000003</v>
      </c>
      <c r="N18" s="628">
        <v>1935.4929999999999</v>
      </c>
      <c r="O18" s="686">
        <v>3.3655445925146723</v>
      </c>
      <c r="Q18" s="627" t="s">
        <v>205</v>
      </c>
      <c r="R18" s="628">
        <v>1474.723</v>
      </c>
      <c r="S18" s="628">
        <v>843.76300000000003</v>
      </c>
      <c r="T18" s="688">
        <v>1.7477929228942248</v>
      </c>
    </row>
    <row r="19" spans="2:20" ht="15.75">
      <c r="B19" s="122"/>
      <c r="C19" s="122"/>
      <c r="D19" s="122"/>
      <c r="E19" s="122"/>
      <c r="L19" s="627" t="s">
        <v>209</v>
      </c>
      <c r="M19" s="628">
        <v>4350.7070000000003</v>
      </c>
      <c r="N19" s="628">
        <v>1155.55</v>
      </c>
      <c r="O19" s="686">
        <v>3.7650530050625246</v>
      </c>
      <c r="Q19" s="627" t="s">
        <v>216</v>
      </c>
      <c r="R19" s="628">
        <v>1416.309</v>
      </c>
      <c r="S19" s="628">
        <v>526.16300000000001</v>
      </c>
      <c r="T19" s="688">
        <v>2.6917685204014723</v>
      </c>
    </row>
    <row r="20" spans="2:20" ht="15.75">
      <c r="B20" s="122"/>
      <c r="C20" s="122"/>
      <c r="D20" s="122"/>
      <c r="E20" s="122"/>
      <c r="L20" s="627" t="s">
        <v>198</v>
      </c>
      <c r="M20" s="628">
        <v>3558.2269999999999</v>
      </c>
      <c r="N20" s="628">
        <v>794.899</v>
      </c>
      <c r="O20" s="686">
        <v>4.4763259231675976</v>
      </c>
      <c r="Q20" s="627" t="s">
        <v>348</v>
      </c>
      <c r="R20" s="628">
        <v>1404.125</v>
      </c>
      <c r="S20" s="628">
        <v>331.274</v>
      </c>
      <c r="T20" s="688">
        <v>4.2385608288003285</v>
      </c>
    </row>
    <row r="21" spans="2:20" ht="16.5" thickBot="1">
      <c r="B21" s="122"/>
      <c r="C21" s="122"/>
      <c r="D21" s="122"/>
      <c r="E21" s="122"/>
      <c r="L21" s="627" t="s">
        <v>202</v>
      </c>
      <c r="M21" s="628">
        <v>3473.0129999999999</v>
      </c>
      <c r="N21" s="628">
        <v>1275.54</v>
      </c>
      <c r="O21" s="686">
        <v>2.7227785878921869</v>
      </c>
      <c r="Q21" s="627" t="s">
        <v>208</v>
      </c>
      <c r="R21" s="628">
        <v>1053.549</v>
      </c>
      <c r="S21" s="628">
        <v>268.58300000000003</v>
      </c>
      <c r="T21" s="688">
        <v>3.922619823294847</v>
      </c>
    </row>
    <row r="22" spans="2:20" ht="16.5" thickBot="1">
      <c r="B22" s="122"/>
      <c r="C22" s="122"/>
      <c r="D22" s="122"/>
      <c r="E22" s="122"/>
      <c r="F22" s="122"/>
      <c r="G22" s="122"/>
      <c r="H22" s="122"/>
      <c r="I22" s="1050"/>
      <c r="L22" s="1048" t="s">
        <v>328</v>
      </c>
      <c r="M22" s="631">
        <v>306549.00300000003</v>
      </c>
      <c r="N22" s="631">
        <v>80769.168000000005</v>
      </c>
      <c r="O22" s="1049">
        <v>3.7953715581173251</v>
      </c>
      <c r="Q22" s="627" t="s">
        <v>214</v>
      </c>
      <c r="R22" s="628">
        <v>1018.336</v>
      </c>
      <c r="S22" s="628">
        <v>343.90300000000002</v>
      </c>
      <c r="T22" s="688">
        <v>2.961114035062212</v>
      </c>
    </row>
    <row r="23" spans="2:20" ht="16.5" thickBot="1">
      <c r="B23" s="122"/>
      <c r="C23" s="122"/>
      <c r="D23" s="122"/>
      <c r="E23" s="122"/>
      <c r="F23" s="122"/>
      <c r="G23" s="122"/>
      <c r="H23" s="122"/>
      <c r="I23" s="1050"/>
      <c r="L23" s="122"/>
      <c r="M23" s="122"/>
      <c r="N23" s="122"/>
      <c r="O23" s="122"/>
      <c r="Q23" s="1048" t="s">
        <v>328</v>
      </c>
      <c r="R23" s="631">
        <v>87419.622000000003</v>
      </c>
      <c r="S23" s="631">
        <v>23993.739000000001</v>
      </c>
      <c r="T23" s="784">
        <v>3.6434347310354589</v>
      </c>
    </row>
    <row r="24" spans="2:20">
      <c r="F24" s="122"/>
      <c r="G24" s="122"/>
      <c r="H24" s="122"/>
      <c r="I24" s="1050"/>
      <c r="L24" s="122"/>
      <c r="M24" s="122"/>
      <c r="N24" s="122"/>
      <c r="O24" s="122"/>
      <c r="Q24" s="122"/>
      <c r="R24" s="122"/>
      <c r="S24" s="122"/>
      <c r="T24" s="122"/>
    </row>
    <row r="25" spans="2:20">
      <c r="B25" s="122"/>
      <c r="C25" s="122"/>
      <c r="D25" s="122"/>
      <c r="E25" s="122"/>
      <c r="F25" s="122"/>
      <c r="G25" s="122"/>
      <c r="H25" s="122"/>
      <c r="I25" s="1050"/>
      <c r="J25" s="122"/>
      <c r="L25" s="122"/>
      <c r="M25" s="122"/>
      <c r="N25" s="122"/>
      <c r="O25" s="122"/>
      <c r="Q25" s="122"/>
      <c r="R25" s="122"/>
      <c r="S25" s="122"/>
      <c r="T25" s="122"/>
    </row>
    <row r="26" spans="2:20">
      <c r="B26" s="122"/>
      <c r="C26" s="122"/>
      <c r="D26" s="122"/>
      <c r="E26" s="122"/>
      <c r="F26" s="122"/>
      <c r="G26" s="122"/>
      <c r="H26" s="122"/>
      <c r="I26" s="1050"/>
      <c r="J26" s="122"/>
      <c r="K26" s="122"/>
      <c r="L26" s="122"/>
      <c r="M26" s="122"/>
      <c r="N26" s="122"/>
      <c r="O26" s="122"/>
      <c r="Q26" s="122"/>
      <c r="R26" s="122"/>
      <c r="S26" s="122"/>
      <c r="T26" s="122"/>
    </row>
    <row r="27" spans="2:20"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Q51" s="122"/>
      <c r="R51" s="122"/>
      <c r="S51" s="122"/>
      <c r="T51" s="122"/>
    </row>
    <row r="52" spans="2:20"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Q52" s="122"/>
      <c r="R52" s="122"/>
      <c r="S52" s="122"/>
      <c r="T52" s="122"/>
    </row>
    <row r="53" spans="2:20"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</row>
    <row r="65" spans="2:20"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9" tint="0.59999389629810485"/>
  </sheetPr>
  <dimension ref="B1:AB85"/>
  <sheetViews>
    <sheetView zoomScaleNormal="100" workbookViewId="0">
      <selection activeCell="W6" sqref="W6"/>
    </sheetView>
  </sheetViews>
  <sheetFormatPr defaultRowHeight="12.75"/>
  <cols>
    <col min="1" max="1" width="4" style="699" customWidth="1"/>
    <col min="2" max="2" width="16.85546875" style="699" customWidth="1"/>
    <col min="3" max="3" width="12.28515625" style="699" bestFit="1" customWidth="1"/>
    <col min="4" max="4" width="10.140625" style="699" customWidth="1"/>
    <col min="5" max="5" width="9.140625" style="699"/>
    <col min="6" max="6" width="6" style="699" customWidth="1"/>
    <col min="7" max="7" width="16.7109375" style="699" customWidth="1"/>
    <col min="8" max="8" width="11.28515625" style="699" customWidth="1"/>
    <col min="9" max="9" width="10.42578125" style="699" customWidth="1"/>
    <col min="10" max="10" width="9.140625" style="699"/>
    <col min="11" max="11" width="3.5703125" style="699" customWidth="1"/>
    <col min="12" max="12" width="18" style="699" customWidth="1"/>
    <col min="13" max="13" width="11.7109375" style="699" customWidth="1"/>
    <col min="14" max="14" width="12.28515625" style="699" customWidth="1"/>
    <col min="15" max="15" width="10.42578125" style="699" customWidth="1"/>
    <col min="16" max="16" width="3.85546875" style="699" customWidth="1"/>
    <col min="17" max="17" width="31.85546875" style="699" customWidth="1"/>
    <col min="18" max="18" width="11.28515625" style="699" customWidth="1"/>
    <col min="19" max="19" width="10.28515625" style="699" customWidth="1"/>
    <col min="20" max="20" width="10" style="699" customWidth="1"/>
    <col min="21" max="256" width="9.140625" style="699"/>
    <col min="257" max="257" width="4" style="699" customWidth="1"/>
    <col min="258" max="258" width="15.140625" style="699" customWidth="1"/>
    <col min="259" max="259" width="13.85546875" style="699" customWidth="1"/>
    <col min="260" max="260" width="10.140625" style="699" customWidth="1"/>
    <col min="261" max="261" width="9.140625" style="699"/>
    <col min="262" max="262" width="3.42578125" style="699" customWidth="1"/>
    <col min="263" max="263" width="19.5703125" style="699" customWidth="1"/>
    <col min="264" max="264" width="12.28515625" style="699" customWidth="1"/>
    <col min="265" max="265" width="10.42578125" style="699" customWidth="1"/>
    <col min="266" max="266" width="9.140625" style="699"/>
    <col min="267" max="267" width="3.5703125" style="699" customWidth="1"/>
    <col min="268" max="268" width="16.42578125" style="699" customWidth="1"/>
    <col min="269" max="269" width="11.7109375" style="699" customWidth="1"/>
    <col min="270" max="270" width="10.140625" style="699" customWidth="1"/>
    <col min="271" max="271" width="15.85546875" style="699" customWidth="1"/>
    <col min="272" max="272" width="3.85546875" style="699" customWidth="1"/>
    <col min="273" max="273" width="16.42578125" style="699" customWidth="1"/>
    <col min="274" max="274" width="11.28515625" style="699" customWidth="1"/>
    <col min="275" max="275" width="10.28515625" style="699" customWidth="1"/>
    <col min="276" max="276" width="10" style="699" customWidth="1"/>
    <col min="277" max="512" width="9.140625" style="699"/>
    <col min="513" max="513" width="4" style="699" customWidth="1"/>
    <col min="514" max="514" width="15.140625" style="699" customWidth="1"/>
    <col min="515" max="515" width="13.85546875" style="699" customWidth="1"/>
    <col min="516" max="516" width="10.140625" style="699" customWidth="1"/>
    <col min="517" max="517" width="9.140625" style="699"/>
    <col min="518" max="518" width="3.42578125" style="699" customWidth="1"/>
    <col min="519" max="519" width="19.5703125" style="699" customWidth="1"/>
    <col min="520" max="520" width="12.28515625" style="699" customWidth="1"/>
    <col min="521" max="521" width="10.42578125" style="699" customWidth="1"/>
    <col min="522" max="522" width="9.140625" style="699"/>
    <col min="523" max="523" width="3.5703125" style="699" customWidth="1"/>
    <col min="524" max="524" width="16.42578125" style="699" customWidth="1"/>
    <col min="525" max="525" width="11.7109375" style="699" customWidth="1"/>
    <col min="526" max="526" width="10.140625" style="699" customWidth="1"/>
    <col min="527" max="527" width="15.85546875" style="699" customWidth="1"/>
    <col min="528" max="528" width="3.85546875" style="699" customWidth="1"/>
    <col min="529" max="529" width="16.42578125" style="699" customWidth="1"/>
    <col min="530" max="530" width="11.28515625" style="699" customWidth="1"/>
    <col min="531" max="531" width="10.28515625" style="699" customWidth="1"/>
    <col min="532" max="532" width="10" style="699" customWidth="1"/>
    <col min="533" max="768" width="9.140625" style="699"/>
    <col min="769" max="769" width="4" style="699" customWidth="1"/>
    <col min="770" max="770" width="15.140625" style="699" customWidth="1"/>
    <col min="771" max="771" width="13.85546875" style="699" customWidth="1"/>
    <col min="772" max="772" width="10.140625" style="699" customWidth="1"/>
    <col min="773" max="773" width="9.140625" style="699"/>
    <col min="774" max="774" width="3.42578125" style="699" customWidth="1"/>
    <col min="775" max="775" width="19.5703125" style="699" customWidth="1"/>
    <col min="776" max="776" width="12.28515625" style="699" customWidth="1"/>
    <col min="777" max="777" width="10.42578125" style="699" customWidth="1"/>
    <col min="778" max="778" width="9.140625" style="699"/>
    <col min="779" max="779" width="3.5703125" style="699" customWidth="1"/>
    <col min="780" max="780" width="16.42578125" style="699" customWidth="1"/>
    <col min="781" max="781" width="11.7109375" style="699" customWidth="1"/>
    <col min="782" max="782" width="10.140625" style="699" customWidth="1"/>
    <col min="783" max="783" width="15.85546875" style="699" customWidth="1"/>
    <col min="784" max="784" width="3.85546875" style="699" customWidth="1"/>
    <col min="785" max="785" width="16.42578125" style="699" customWidth="1"/>
    <col min="786" max="786" width="11.28515625" style="699" customWidth="1"/>
    <col min="787" max="787" width="10.28515625" style="699" customWidth="1"/>
    <col min="788" max="788" width="10" style="699" customWidth="1"/>
    <col min="789" max="1024" width="9.140625" style="699"/>
    <col min="1025" max="1025" width="4" style="699" customWidth="1"/>
    <col min="1026" max="1026" width="15.140625" style="699" customWidth="1"/>
    <col min="1027" max="1027" width="13.85546875" style="699" customWidth="1"/>
    <col min="1028" max="1028" width="10.140625" style="699" customWidth="1"/>
    <col min="1029" max="1029" width="9.140625" style="699"/>
    <col min="1030" max="1030" width="3.42578125" style="699" customWidth="1"/>
    <col min="1031" max="1031" width="19.5703125" style="699" customWidth="1"/>
    <col min="1032" max="1032" width="12.28515625" style="699" customWidth="1"/>
    <col min="1033" max="1033" width="10.42578125" style="699" customWidth="1"/>
    <col min="1034" max="1034" width="9.140625" style="699"/>
    <col min="1035" max="1035" width="3.5703125" style="699" customWidth="1"/>
    <col min="1036" max="1036" width="16.42578125" style="699" customWidth="1"/>
    <col min="1037" max="1037" width="11.7109375" style="699" customWidth="1"/>
    <col min="1038" max="1038" width="10.140625" style="699" customWidth="1"/>
    <col min="1039" max="1039" width="15.85546875" style="699" customWidth="1"/>
    <col min="1040" max="1040" width="3.85546875" style="699" customWidth="1"/>
    <col min="1041" max="1041" width="16.42578125" style="699" customWidth="1"/>
    <col min="1042" max="1042" width="11.28515625" style="699" customWidth="1"/>
    <col min="1043" max="1043" width="10.28515625" style="699" customWidth="1"/>
    <col min="1044" max="1044" width="10" style="699" customWidth="1"/>
    <col min="1045" max="1280" width="9.140625" style="699"/>
    <col min="1281" max="1281" width="4" style="699" customWidth="1"/>
    <col min="1282" max="1282" width="15.140625" style="699" customWidth="1"/>
    <col min="1283" max="1283" width="13.85546875" style="699" customWidth="1"/>
    <col min="1284" max="1284" width="10.140625" style="699" customWidth="1"/>
    <col min="1285" max="1285" width="9.140625" style="699"/>
    <col min="1286" max="1286" width="3.42578125" style="699" customWidth="1"/>
    <col min="1287" max="1287" width="19.5703125" style="699" customWidth="1"/>
    <col min="1288" max="1288" width="12.28515625" style="699" customWidth="1"/>
    <col min="1289" max="1289" width="10.42578125" style="699" customWidth="1"/>
    <col min="1290" max="1290" width="9.140625" style="699"/>
    <col min="1291" max="1291" width="3.5703125" style="699" customWidth="1"/>
    <col min="1292" max="1292" width="16.42578125" style="699" customWidth="1"/>
    <col min="1293" max="1293" width="11.7109375" style="699" customWidth="1"/>
    <col min="1294" max="1294" width="10.140625" style="699" customWidth="1"/>
    <col min="1295" max="1295" width="15.85546875" style="699" customWidth="1"/>
    <col min="1296" max="1296" width="3.85546875" style="699" customWidth="1"/>
    <col min="1297" max="1297" width="16.42578125" style="699" customWidth="1"/>
    <col min="1298" max="1298" width="11.28515625" style="699" customWidth="1"/>
    <col min="1299" max="1299" width="10.28515625" style="699" customWidth="1"/>
    <col min="1300" max="1300" width="10" style="699" customWidth="1"/>
    <col min="1301" max="1536" width="9.140625" style="699"/>
    <col min="1537" max="1537" width="4" style="699" customWidth="1"/>
    <col min="1538" max="1538" width="15.140625" style="699" customWidth="1"/>
    <col min="1539" max="1539" width="13.85546875" style="699" customWidth="1"/>
    <col min="1540" max="1540" width="10.140625" style="699" customWidth="1"/>
    <col min="1541" max="1541" width="9.140625" style="699"/>
    <col min="1542" max="1542" width="3.42578125" style="699" customWidth="1"/>
    <col min="1543" max="1543" width="19.5703125" style="699" customWidth="1"/>
    <col min="1544" max="1544" width="12.28515625" style="699" customWidth="1"/>
    <col min="1545" max="1545" width="10.42578125" style="699" customWidth="1"/>
    <col min="1546" max="1546" width="9.140625" style="699"/>
    <col min="1547" max="1547" width="3.5703125" style="699" customWidth="1"/>
    <col min="1548" max="1548" width="16.42578125" style="699" customWidth="1"/>
    <col min="1549" max="1549" width="11.7109375" style="699" customWidth="1"/>
    <col min="1550" max="1550" width="10.140625" style="699" customWidth="1"/>
    <col min="1551" max="1551" width="15.85546875" style="699" customWidth="1"/>
    <col min="1552" max="1552" width="3.85546875" style="699" customWidth="1"/>
    <col min="1553" max="1553" width="16.42578125" style="699" customWidth="1"/>
    <col min="1554" max="1554" width="11.28515625" style="699" customWidth="1"/>
    <col min="1555" max="1555" width="10.28515625" style="699" customWidth="1"/>
    <col min="1556" max="1556" width="10" style="699" customWidth="1"/>
    <col min="1557" max="1792" width="9.140625" style="699"/>
    <col min="1793" max="1793" width="4" style="699" customWidth="1"/>
    <col min="1794" max="1794" width="15.140625" style="699" customWidth="1"/>
    <col min="1795" max="1795" width="13.85546875" style="699" customWidth="1"/>
    <col min="1796" max="1796" width="10.140625" style="699" customWidth="1"/>
    <col min="1797" max="1797" width="9.140625" style="699"/>
    <col min="1798" max="1798" width="3.42578125" style="699" customWidth="1"/>
    <col min="1799" max="1799" width="19.5703125" style="699" customWidth="1"/>
    <col min="1800" max="1800" width="12.28515625" style="699" customWidth="1"/>
    <col min="1801" max="1801" width="10.42578125" style="699" customWidth="1"/>
    <col min="1802" max="1802" width="9.140625" style="699"/>
    <col min="1803" max="1803" width="3.5703125" style="699" customWidth="1"/>
    <col min="1804" max="1804" width="16.42578125" style="699" customWidth="1"/>
    <col min="1805" max="1805" width="11.7109375" style="699" customWidth="1"/>
    <col min="1806" max="1806" width="10.140625" style="699" customWidth="1"/>
    <col min="1807" max="1807" width="15.85546875" style="699" customWidth="1"/>
    <col min="1808" max="1808" width="3.85546875" style="699" customWidth="1"/>
    <col min="1809" max="1809" width="16.42578125" style="699" customWidth="1"/>
    <col min="1810" max="1810" width="11.28515625" style="699" customWidth="1"/>
    <col min="1811" max="1811" width="10.28515625" style="699" customWidth="1"/>
    <col min="1812" max="1812" width="10" style="699" customWidth="1"/>
    <col min="1813" max="2048" width="9.140625" style="699"/>
    <col min="2049" max="2049" width="4" style="699" customWidth="1"/>
    <col min="2050" max="2050" width="15.140625" style="699" customWidth="1"/>
    <col min="2051" max="2051" width="13.85546875" style="699" customWidth="1"/>
    <col min="2052" max="2052" width="10.140625" style="699" customWidth="1"/>
    <col min="2053" max="2053" width="9.140625" style="699"/>
    <col min="2054" max="2054" width="3.42578125" style="699" customWidth="1"/>
    <col min="2055" max="2055" width="19.5703125" style="699" customWidth="1"/>
    <col min="2056" max="2056" width="12.28515625" style="699" customWidth="1"/>
    <col min="2057" max="2057" width="10.42578125" style="699" customWidth="1"/>
    <col min="2058" max="2058" width="9.140625" style="699"/>
    <col min="2059" max="2059" width="3.5703125" style="699" customWidth="1"/>
    <col min="2060" max="2060" width="16.42578125" style="699" customWidth="1"/>
    <col min="2061" max="2061" width="11.7109375" style="699" customWidth="1"/>
    <col min="2062" max="2062" width="10.140625" style="699" customWidth="1"/>
    <col min="2063" max="2063" width="15.85546875" style="699" customWidth="1"/>
    <col min="2064" max="2064" width="3.85546875" style="699" customWidth="1"/>
    <col min="2065" max="2065" width="16.42578125" style="699" customWidth="1"/>
    <col min="2066" max="2066" width="11.28515625" style="699" customWidth="1"/>
    <col min="2067" max="2067" width="10.28515625" style="699" customWidth="1"/>
    <col min="2068" max="2068" width="10" style="699" customWidth="1"/>
    <col min="2069" max="2304" width="9.140625" style="699"/>
    <col min="2305" max="2305" width="4" style="699" customWidth="1"/>
    <col min="2306" max="2306" width="15.140625" style="699" customWidth="1"/>
    <col min="2307" max="2307" width="13.85546875" style="699" customWidth="1"/>
    <col min="2308" max="2308" width="10.140625" style="699" customWidth="1"/>
    <col min="2309" max="2309" width="9.140625" style="699"/>
    <col min="2310" max="2310" width="3.42578125" style="699" customWidth="1"/>
    <col min="2311" max="2311" width="19.5703125" style="699" customWidth="1"/>
    <col min="2312" max="2312" width="12.28515625" style="699" customWidth="1"/>
    <col min="2313" max="2313" width="10.42578125" style="699" customWidth="1"/>
    <col min="2314" max="2314" width="9.140625" style="699"/>
    <col min="2315" max="2315" width="3.5703125" style="699" customWidth="1"/>
    <col min="2316" max="2316" width="16.42578125" style="699" customWidth="1"/>
    <col min="2317" max="2317" width="11.7109375" style="699" customWidth="1"/>
    <col min="2318" max="2318" width="10.140625" style="699" customWidth="1"/>
    <col min="2319" max="2319" width="15.85546875" style="699" customWidth="1"/>
    <col min="2320" max="2320" width="3.85546875" style="699" customWidth="1"/>
    <col min="2321" max="2321" width="16.42578125" style="699" customWidth="1"/>
    <col min="2322" max="2322" width="11.28515625" style="699" customWidth="1"/>
    <col min="2323" max="2323" width="10.28515625" style="699" customWidth="1"/>
    <col min="2324" max="2324" width="10" style="699" customWidth="1"/>
    <col min="2325" max="2560" width="9.140625" style="699"/>
    <col min="2561" max="2561" width="4" style="699" customWidth="1"/>
    <col min="2562" max="2562" width="15.140625" style="699" customWidth="1"/>
    <col min="2563" max="2563" width="13.85546875" style="699" customWidth="1"/>
    <col min="2564" max="2564" width="10.140625" style="699" customWidth="1"/>
    <col min="2565" max="2565" width="9.140625" style="699"/>
    <col min="2566" max="2566" width="3.42578125" style="699" customWidth="1"/>
    <col min="2567" max="2567" width="19.5703125" style="699" customWidth="1"/>
    <col min="2568" max="2568" width="12.28515625" style="699" customWidth="1"/>
    <col min="2569" max="2569" width="10.42578125" style="699" customWidth="1"/>
    <col min="2570" max="2570" width="9.140625" style="699"/>
    <col min="2571" max="2571" width="3.5703125" style="699" customWidth="1"/>
    <col min="2572" max="2572" width="16.42578125" style="699" customWidth="1"/>
    <col min="2573" max="2573" width="11.7109375" style="699" customWidth="1"/>
    <col min="2574" max="2574" width="10.140625" style="699" customWidth="1"/>
    <col min="2575" max="2575" width="15.85546875" style="699" customWidth="1"/>
    <col min="2576" max="2576" width="3.85546875" style="699" customWidth="1"/>
    <col min="2577" max="2577" width="16.42578125" style="699" customWidth="1"/>
    <col min="2578" max="2578" width="11.28515625" style="699" customWidth="1"/>
    <col min="2579" max="2579" width="10.28515625" style="699" customWidth="1"/>
    <col min="2580" max="2580" width="10" style="699" customWidth="1"/>
    <col min="2581" max="2816" width="9.140625" style="699"/>
    <col min="2817" max="2817" width="4" style="699" customWidth="1"/>
    <col min="2818" max="2818" width="15.140625" style="699" customWidth="1"/>
    <col min="2819" max="2819" width="13.85546875" style="699" customWidth="1"/>
    <col min="2820" max="2820" width="10.140625" style="699" customWidth="1"/>
    <col min="2821" max="2821" width="9.140625" style="699"/>
    <col min="2822" max="2822" width="3.42578125" style="699" customWidth="1"/>
    <col min="2823" max="2823" width="19.5703125" style="699" customWidth="1"/>
    <col min="2824" max="2824" width="12.28515625" style="699" customWidth="1"/>
    <col min="2825" max="2825" width="10.42578125" style="699" customWidth="1"/>
    <col min="2826" max="2826" width="9.140625" style="699"/>
    <col min="2827" max="2827" width="3.5703125" style="699" customWidth="1"/>
    <col min="2828" max="2828" width="16.42578125" style="699" customWidth="1"/>
    <col min="2829" max="2829" width="11.7109375" style="699" customWidth="1"/>
    <col min="2830" max="2830" width="10.140625" style="699" customWidth="1"/>
    <col min="2831" max="2831" width="15.85546875" style="699" customWidth="1"/>
    <col min="2832" max="2832" width="3.85546875" style="699" customWidth="1"/>
    <col min="2833" max="2833" width="16.42578125" style="699" customWidth="1"/>
    <col min="2834" max="2834" width="11.28515625" style="699" customWidth="1"/>
    <col min="2835" max="2835" width="10.28515625" style="699" customWidth="1"/>
    <col min="2836" max="2836" width="10" style="699" customWidth="1"/>
    <col min="2837" max="3072" width="9.140625" style="699"/>
    <col min="3073" max="3073" width="4" style="699" customWidth="1"/>
    <col min="3074" max="3074" width="15.140625" style="699" customWidth="1"/>
    <col min="3075" max="3075" width="13.85546875" style="699" customWidth="1"/>
    <col min="3076" max="3076" width="10.140625" style="699" customWidth="1"/>
    <col min="3077" max="3077" width="9.140625" style="699"/>
    <col min="3078" max="3078" width="3.42578125" style="699" customWidth="1"/>
    <col min="3079" max="3079" width="19.5703125" style="699" customWidth="1"/>
    <col min="3080" max="3080" width="12.28515625" style="699" customWidth="1"/>
    <col min="3081" max="3081" width="10.42578125" style="699" customWidth="1"/>
    <col min="3082" max="3082" width="9.140625" style="699"/>
    <col min="3083" max="3083" width="3.5703125" style="699" customWidth="1"/>
    <col min="3084" max="3084" width="16.42578125" style="699" customWidth="1"/>
    <col min="3085" max="3085" width="11.7109375" style="699" customWidth="1"/>
    <col min="3086" max="3086" width="10.140625" style="699" customWidth="1"/>
    <col min="3087" max="3087" width="15.85546875" style="699" customWidth="1"/>
    <col min="3088" max="3088" width="3.85546875" style="699" customWidth="1"/>
    <col min="3089" max="3089" width="16.42578125" style="699" customWidth="1"/>
    <col min="3090" max="3090" width="11.28515625" style="699" customWidth="1"/>
    <col min="3091" max="3091" width="10.28515625" style="699" customWidth="1"/>
    <col min="3092" max="3092" width="10" style="699" customWidth="1"/>
    <col min="3093" max="3328" width="9.140625" style="699"/>
    <col min="3329" max="3329" width="4" style="699" customWidth="1"/>
    <col min="3330" max="3330" width="15.140625" style="699" customWidth="1"/>
    <col min="3331" max="3331" width="13.85546875" style="699" customWidth="1"/>
    <col min="3332" max="3332" width="10.140625" style="699" customWidth="1"/>
    <col min="3333" max="3333" width="9.140625" style="699"/>
    <col min="3334" max="3334" width="3.42578125" style="699" customWidth="1"/>
    <col min="3335" max="3335" width="19.5703125" style="699" customWidth="1"/>
    <col min="3336" max="3336" width="12.28515625" style="699" customWidth="1"/>
    <col min="3337" max="3337" width="10.42578125" style="699" customWidth="1"/>
    <col min="3338" max="3338" width="9.140625" style="699"/>
    <col min="3339" max="3339" width="3.5703125" style="699" customWidth="1"/>
    <col min="3340" max="3340" width="16.42578125" style="699" customWidth="1"/>
    <col min="3341" max="3341" width="11.7109375" style="699" customWidth="1"/>
    <col min="3342" max="3342" width="10.140625" style="699" customWidth="1"/>
    <col min="3343" max="3343" width="15.85546875" style="699" customWidth="1"/>
    <col min="3344" max="3344" width="3.85546875" style="699" customWidth="1"/>
    <col min="3345" max="3345" width="16.42578125" style="699" customWidth="1"/>
    <col min="3346" max="3346" width="11.28515625" style="699" customWidth="1"/>
    <col min="3347" max="3347" width="10.28515625" style="699" customWidth="1"/>
    <col min="3348" max="3348" width="10" style="699" customWidth="1"/>
    <col min="3349" max="3584" width="9.140625" style="699"/>
    <col min="3585" max="3585" width="4" style="699" customWidth="1"/>
    <col min="3586" max="3586" width="15.140625" style="699" customWidth="1"/>
    <col min="3587" max="3587" width="13.85546875" style="699" customWidth="1"/>
    <col min="3588" max="3588" width="10.140625" style="699" customWidth="1"/>
    <col min="3589" max="3589" width="9.140625" style="699"/>
    <col min="3590" max="3590" width="3.42578125" style="699" customWidth="1"/>
    <col min="3591" max="3591" width="19.5703125" style="699" customWidth="1"/>
    <col min="3592" max="3592" width="12.28515625" style="699" customWidth="1"/>
    <col min="3593" max="3593" width="10.42578125" style="699" customWidth="1"/>
    <col min="3594" max="3594" width="9.140625" style="699"/>
    <col min="3595" max="3595" width="3.5703125" style="699" customWidth="1"/>
    <col min="3596" max="3596" width="16.42578125" style="699" customWidth="1"/>
    <col min="3597" max="3597" width="11.7109375" style="699" customWidth="1"/>
    <col min="3598" max="3598" width="10.140625" style="699" customWidth="1"/>
    <col min="3599" max="3599" width="15.85546875" style="699" customWidth="1"/>
    <col min="3600" max="3600" width="3.85546875" style="699" customWidth="1"/>
    <col min="3601" max="3601" width="16.42578125" style="699" customWidth="1"/>
    <col min="3602" max="3602" width="11.28515625" style="699" customWidth="1"/>
    <col min="3603" max="3603" width="10.28515625" style="699" customWidth="1"/>
    <col min="3604" max="3604" width="10" style="699" customWidth="1"/>
    <col min="3605" max="3840" width="9.140625" style="699"/>
    <col min="3841" max="3841" width="4" style="699" customWidth="1"/>
    <col min="3842" max="3842" width="15.140625" style="699" customWidth="1"/>
    <col min="3843" max="3843" width="13.85546875" style="699" customWidth="1"/>
    <col min="3844" max="3844" width="10.140625" style="699" customWidth="1"/>
    <col min="3845" max="3845" width="9.140625" style="699"/>
    <col min="3846" max="3846" width="3.42578125" style="699" customWidth="1"/>
    <col min="3847" max="3847" width="19.5703125" style="699" customWidth="1"/>
    <col min="3848" max="3848" width="12.28515625" style="699" customWidth="1"/>
    <col min="3849" max="3849" width="10.42578125" style="699" customWidth="1"/>
    <col min="3850" max="3850" width="9.140625" style="699"/>
    <col min="3851" max="3851" width="3.5703125" style="699" customWidth="1"/>
    <col min="3852" max="3852" width="16.42578125" style="699" customWidth="1"/>
    <col min="3853" max="3853" width="11.7109375" style="699" customWidth="1"/>
    <col min="3854" max="3854" width="10.140625" style="699" customWidth="1"/>
    <col min="3855" max="3855" width="15.85546875" style="699" customWidth="1"/>
    <col min="3856" max="3856" width="3.85546875" style="699" customWidth="1"/>
    <col min="3857" max="3857" width="16.42578125" style="699" customWidth="1"/>
    <col min="3858" max="3858" width="11.28515625" style="699" customWidth="1"/>
    <col min="3859" max="3859" width="10.28515625" style="699" customWidth="1"/>
    <col min="3860" max="3860" width="10" style="699" customWidth="1"/>
    <col min="3861" max="4096" width="9.140625" style="699"/>
    <col min="4097" max="4097" width="4" style="699" customWidth="1"/>
    <col min="4098" max="4098" width="15.140625" style="699" customWidth="1"/>
    <col min="4099" max="4099" width="13.85546875" style="699" customWidth="1"/>
    <col min="4100" max="4100" width="10.140625" style="699" customWidth="1"/>
    <col min="4101" max="4101" width="9.140625" style="699"/>
    <col min="4102" max="4102" width="3.42578125" style="699" customWidth="1"/>
    <col min="4103" max="4103" width="19.5703125" style="699" customWidth="1"/>
    <col min="4104" max="4104" width="12.28515625" style="699" customWidth="1"/>
    <col min="4105" max="4105" width="10.42578125" style="699" customWidth="1"/>
    <col min="4106" max="4106" width="9.140625" style="699"/>
    <col min="4107" max="4107" width="3.5703125" style="699" customWidth="1"/>
    <col min="4108" max="4108" width="16.42578125" style="699" customWidth="1"/>
    <col min="4109" max="4109" width="11.7109375" style="699" customWidth="1"/>
    <col min="4110" max="4110" width="10.140625" style="699" customWidth="1"/>
    <col min="4111" max="4111" width="15.85546875" style="699" customWidth="1"/>
    <col min="4112" max="4112" width="3.85546875" style="699" customWidth="1"/>
    <col min="4113" max="4113" width="16.42578125" style="699" customWidth="1"/>
    <col min="4114" max="4114" width="11.28515625" style="699" customWidth="1"/>
    <col min="4115" max="4115" width="10.28515625" style="699" customWidth="1"/>
    <col min="4116" max="4116" width="10" style="699" customWidth="1"/>
    <col min="4117" max="4352" width="9.140625" style="699"/>
    <col min="4353" max="4353" width="4" style="699" customWidth="1"/>
    <col min="4354" max="4354" width="15.140625" style="699" customWidth="1"/>
    <col min="4355" max="4355" width="13.85546875" style="699" customWidth="1"/>
    <col min="4356" max="4356" width="10.140625" style="699" customWidth="1"/>
    <col min="4357" max="4357" width="9.140625" style="699"/>
    <col min="4358" max="4358" width="3.42578125" style="699" customWidth="1"/>
    <col min="4359" max="4359" width="19.5703125" style="699" customWidth="1"/>
    <col min="4360" max="4360" width="12.28515625" style="699" customWidth="1"/>
    <col min="4361" max="4361" width="10.42578125" style="699" customWidth="1"/>
    <col min="4362" max="4362" width="9.140625" style="699"/>
    <col min="4363" max="4363" width="3.5703125" style="699" customWidth="1"/>
    <col min="4364" max="4364" width="16.42578125" style="699" customWidth="1"/>
    <col min="4365" max="4365" width="11.7109375" style="699" customWidth="1"/>
    <col min="4366" max="4366" width="10.140625" style="699" customWidth="1"/>
    <col min="4367" max="4367" width="15.85546875" style="699" customWidth="1"/>
    <col min="4368" max="4368" width="3.85546875" style="699" customWidth="1"/>
    <col min="4369" max="4369" width="16.42578125" style="699" customWidth="1"/>
    <col min="4370" max="4370" width="11.28515625" style="699" customWidth="1"/>
    <col min="4371" max="4371" width="10.28515625" style="699" customWidth="1"/>
    <col min="4372" max="4372" width="10" style="699" customWidth="1"/>
    <col min="4373" max="4608" width="9.140625" style="699"/>
    <col min="4609" max="4609" width="4" style="699" customWidth="1"/>
    <col min="4610" max="4610" width="15.140625" style="699" customWidth="1"/>
    <col min="4611" max="4611" width="13.85546875" style="699" customWidth="1"/>
    <col min="4612" max="4612" width="10.140625" style="699" customWidth="1"/>
    <col min="4613" max="4613" width="9.140625" style="699"/>
    <col min="4614" max="4614" width="3.42578125" style="699" customWidth="1"/>
    <col min="4615" max="4615" width="19.5703125" style="699" customWidth="1"/>
    <col min="4616" max="4616" width="12.28515625" style="699" customWidth="1"/>
    <col min="4617" max="4617" width="10.42578125" style="699" customWidth="1"/>
    <col min="4618" max="4618" width="9.140625" style="699"/>
    <col min="4619" max="4619" width="3.5703125" style="699" customWidth="1"/>
    <col min="4620" max="4620" width="16.42578125" style="699" customWidth="1"/>
    <col min="4621" max="4621" width="11.7109375" style="699" customWidth="1"/>
    <col min="4622" max="4622" width="10.140625" style="699" customWidth="1"/>
    <col min="4623" max="4623" width="15.85546875" style="699" customWidth="1"/>
    <col min="4624" max="4624" width="3.85546875" style="699" customWidth="1"/>
    <col min="4625" max="4625" width="16.42578125" style="699" customWidth="1"/>
    <col min="4626" max="4626" width="11.28515625" style="699" customWidth="1"/>
    <col min="4627" max="4627" width="10.28515625" style="699" customWidth="1"/>
    <col min="4628" max="4628" width="10" style="699" customWidth="1"/>
    <col min="4629" max="4864" width="9.140625" style="699"/>
    <col min="4865" max="4865" width="4" style="699" customWidth="1"/>
    <col min="4866" max="4866" width="15.140625" style="699" customWidth="1"/>
    <col min="4867" max="4867" width="13.85546875" style="699" customWidth="1"/>
    <col min="4868" max="4868" width="10.140625" style="699" customWidth="1"/>
    <col min="4869" max="4869" width="9.140625" style="699"/>
    <col min="4870" max="4870" width="3.42578125" style="699" customWidth="1"/>
    <col min="4871" max="4871" width="19.5703125" style="699" customWidth="1"/>
    <col min="4872" max="4872" width="12.28515625" style="699" customWidth="1"/>
    <col min="4873" max="4873" width="10.42578125" style="699" customWidth="1"/>
    <col min="4874" max="4874" width="9.140625" style="699"/>
    <col min="4875" max="4875" width="3.5703125" style="699" customWidth="1"/>
    <col min="4876" max="4876" width="16.42578125" style="699" customWidth="1"/>
    <col min="4877" max="4877" width="11.7109375" style="699" customWidth="1"/>
    <col min="4878" max="4878" width="10.140625" style="699" customWidth="1"/>
    <col min="4879" max="4879" width="15.85546875" style="699" customWidth="1"/>
    <col min="4880" max="4880" width="3.85546875" style="699" customWidth="1"/>
    <col min="4881" max="4881" width="16.42578125" style="699" customWidth="1"/>
    <col min="4882" max="4882" width="11.28515625" style="699" customWidth="1"/>
    <col min="4883" max="4883" width="10.28515625" style="699" customWidth="1"/>
    <col min="4884" max="4884" width="10" style="699" customWidth="1"/>
    <col min="4885" max="5120" width="9.140625" style="699"/>
    <col min="5121" max="5121" width="4" style="699" customWidth="1"/>
    <col min="5122" max="5122" width="15.140625" style="699" customWidth="1"/>
    <col min="5123" max="5123" width="13.85546875" style="699" customWidth="1"/>
    <col min="5124" max="5124" width="10.140625" style="699" customWidth="1"/>
    <col min="5125" max="5125" width="9.140625" style="699"/>
    <col min="5126" max="5126" width="3.42578125" style="699" customWidth="1"/>
    <col min="5127" max="5127" width="19.5703125" style="699" customWidth="1"/>
    <col min="5128" max="5128" width="12.28515625" style="699" customWidth="1"/>
    <col min="5129" max="5129" width="10.42578125" style="699" customWidth="1"/>
    <col min="5130" max="5130" width="9.140625" style="699"/>
    <col min="5131" max="5131" width="3.5703125" style="699" customWidth="1"/>
    <col min="5132" max="5132" width="16.42578125" style="699" customWidth="1"/>
    <col min="5133" max="5133" width="11.7109375" style="699" customWidth="1"/>
    <col min="5134" max="5134" width="10.140625" style="699" customWidth="1"/>
    <col min="5135" max="5135" width="15.85546875" style="699" customWidth="1"/>
    <col min="5136" max="5136" width="3.85546875" style="699" customWidth="1"/>
    <col min="5137" max="5137" width="16.42578125" style="699" customWidth="1"/>
    <col min="5138" max="5138" width="11.28515625" style="699" customWidth="1"/>
    <col min="5139" max="5139" width="10.28515625" style="699" customWidth="1"/>
    <col min="5140" max="5140" width="10" style="699" customWidth="1"/>
    <col min="5141" max="5376" width="9.140625" style="699"/>
    <col min="5377" max="5377" width="4" style="699" customWidth="1"/>
    <col min="5378" max="5378" width="15.140625" style="699" customWidth="1"/>
    <col min="5379" max="5379" width="13.85546875" style="699" customWidth="1"/>
    <col min="5380" max="5380" width="10.140625" style="699" customWidth="1"/>
    <col min="5381" max="5381" width="9.140625" style="699"/>
    <col min="5382" max="5382" width="3.42578125" style="699" customWidth="1"/>
    <col min="5383" max="5383" width="19.5703125" style="699" customWidth="1"/>
    <col min="5384" max="5384" width="12.28515625" style="699" customWidth="1"/>
    <col min="5385" max="5385" width="10.42578125" style="699" customWidth="1"/>
    <col min="5386" max="5386" width="9.140625" style="699"/>
    <col min="5387" max="5387" width="3.5703125" style="699" customWidth="1"/>
    <col min="5388" max="5388" width="16.42578125" style="699" customWidth="1"/>
    <col min="5389" max="5389" width="11.7109375" style="699" customWidth="1"/>
    <col min="5390" max="5390" width="10.140625" style="699" customWidth="1"/>
    <col min="5391" max="5391" width="15.85546875" style="699" customWidth="1"/>
    <col min="5392" max="5392" width="3.85546875" style="699" customWidth="1"/>
    <col min="5393" max="5393" width="16.42578125" style="699" customWidth="1"/>
    <col min="5394" max="5394" width="11.28515625" style="699" customWidth="1"/>
    <col min="5395" max="5395" width="10.28515625" style="699" customWidth="1"/>
    <col min="5396" max="5396" width="10" style="699" customWidth="1"/>
    <col min="5397" max="5632" width="9.140625" style="699"/>
    <col min="5633" max="5633" width="4" style="699" customWidth="1"/>
    <col min="5634" max="5634" width="15.140625" style="699" customWidth="1"/>
    <col min="5635" max="5635" width="13.85546875" style="699" customWidth="1"/>
    <col min="5636" max="5636" width="10.140625" style="699" customWidth="1"/>
    <col min="5637" max="5637" width="9.140625" style="699"/>
    <col min="5638" max="5638" width="3.42578125" style="699" customWidth="1"/>
    <col min="5639" max="5639" width="19.5703125" style="699" customWidth="1"/>
    <col min="5640" max="5640" width="12.28515625" style="699" customWidth="1"/>
    <col min="5641" max="5641" width="10.42578125" style="699" customWidth="1"/>
    <col min="5642" max="5642" width="9.140625" style="699"/>
    <col min="5643" max="5643" width="3.5703125" style="699" customWidth="1"/>
    <col min="5644" max="5644" width="16.42578125" style="699" customWidth="1"/>
    <col min="5645" max="5645" width="11.7109375" style="699" customWidth="1"/>
    <col min="5646" max="5646" width="10.140625" style="699" customWidth="1"/>
    <col min="5647" max="5647" width="15.85546875" style="699" customWidth="1"/>
    <col min="5648" max="5648" width="3.85546875" style="699" customWidth="1"/>
    <col min="5649" max="5649" width="16.42578125" style="699" customWidth="1"/>
    <col min="5650" max="5650" width="11.28515625" style="699" customWidth="1"/>
    <col min="5651" max="5651" width="10.28515625" style="699" customWidth="1"/>
    <col min="5652" max="5652" width="10" style="699" customWidth="1"/>
    <col min="5653" max="5888" width="9.140625" style="699"/>
    <col min="5889" max="5889" width="4" style="699" customWidth="1"/>
    <col min="5890" max="5890" width="15.140625" style="699" customWidth="1"/>
    <col min="5891" max="5891" width="13.85546875" style="699" customWidth="1"/>
    <col min="5892" max="5892" width="10.140625" style="699" customWidth="1"/>
    <col min="5893" max="5893" width="9.140625" style="699"/>
    <col min="5894" max="5894" width="3.42578125" style="699" customWidth="1"/>
    <col min="5895" max="5895" width="19.5703125" style="699" customWidth="1"/>
    <col min="5896" max="5896" width="12.28515625" style="699" customWidth="1"/>
    <col min="5897" max="5897" width="10.42578125" style="699" customWidth="1"/>
    <col min="5898" max="5898" width="9.140625" style="699"/>
    <col min="5899" max="5899" width="3.5703125" style="699" customWidth="1"/>
    <col min="5900" max="5900" width="16.42578125" style="699" customWidth="1"/>
    <col min="5901" max="5901" width="11.7109375" style="699" customWidth="1"/>
    <col min="5902" max="5902" width="10.140625" style="699" customWidth="1"/>
    <col min="5903" max="5903" width="15.85546875" style="699" customWidth="1"/>
    <col min="5904" max="5904" width="3.85546875" style="699" customWidth="1"/>
    <col min="5905" max="5905" width="16.42578125" style="699" customWidth="1"/>
    <col min="5906" max="5906" width="11.28515625" style="699" customWidth="1"/>
    <col min="5907" max="5907" width="10.28515625" style="699" customWidth="1"/>
    <col min="5908" max="5908" width="10" style="699" customWidth="1"/>
    <col min="5909" max="6144" width="9.140625" style="699"/>
    <col min="6145" max="6145" width="4" style="699" customWidth="1"/>
    <col min="6146" max="6146" width="15.140625" style="699" customWidth="1"/>
    <col min="6147" max="6147" width="13.85546875" style="699" customWidth="1"/>
    <col min="6148" max="6148" width="10.140625" style="699" customWidth="1"/>
    <col min="6149" max="6149" width="9.140625" style="699"/>
    <col min="6150" max="6150" width="3.42578125" style="699" customWidth="1"/>
    <col min="6151" max="6151" width="19.5703125" style="699" customWidth="1"/>
    <col min="6152" max="6152" width="12.28515625" style="699" customWidth="1"/>
    <col min="6153" max="6153" width="10.42578125" style="699" customWidth="1"/>
    <col min="6154" max="6154" width="9.140625" style="699"/>
    <col min="6155" max="6155" width="3.5703125" style="699" customWidth="1"/>
    <col min="6156" max="6156" width="16.42578125" style="699" customWidth="1"/>
    <col min="6157" max="6157" width="11.7109375" style="699" customWidth="1"/>
    <col min="6158" max="6158" width="10.140625" style="699" customWidth="1"/>
    <col min="6159" max="6159" width="15.85546875" style="699" customWidth="1"/>
    <col min="6160" max="6160" width="3.85546875" style="699" customWidth="1"/>
    <col min="6161" max="6161" width="16.42578125" style="699" customWidth="1"/>
    <col min="6162" max="6162" width="11.28515625" style="699" customWidth="1"/>
    <col min="6163" max="6163" width="10.28515625" style="699" customWidth="1"/>
    <col min="6164" max="6164" width="10" style="699" customWidth="1"/>
    <col min="6165" max="6400" width="9.140625" style="699"/>
    <col min="6401" max="6401" width="4" style="699" customWidth="1"/>
    <col min="6402" max="6402" width="15.140625" style="699" customWidth="1"/>
    <col min="6403" max="6403" width="13.85546875" style="699" customWidth="1"/>
    <col min="6404" max="6404" width="10.140625" style="699" customWidth="1"/>
    <col min="6405" max="6405" width="9.140625" style="699"/>
    <col min="6406" max="6406" width="3.42578125" style="699" customWidth="1"/>
    <col min="6407" max="6407" width="19.5703125" style="699" customWidth="1"/>
    <col min="6408" max="6408" width="12.28515625" style="699" customWidth="1"/>
    <col min="6409" max="6409" width="10.42578125" style="699" customWidth="1"/>
    <col min="6410" max="6410" width="9.140625" style="699"/>
    <col min="6411" max="6411" width="3.5703125" style="699" customWidth="1"/>
    <col min="6412" max="6412" width="16.42578125" style="699" customWidth="1"/>
    <col min="6413" max="6413" width="11.7109375" style="699" customWidth="1"/>
    <col min="6414" max="6414" width="10.140625" style="699" customWidth="1"/>
    <col min="6415" max="6415" width="15.85546875" style="699" customWidth="1"/>
    <col min="6416" max="6416" width="3.85546875" style="699" customWidth="1"/>
    <col min="6417" max="6417" width="16.42578125" style="699" customWidth="1"/>
    <col min="6418" max="6418" width="11.28515625" style="699" customWidth="1"/>
    <col min="6419" max="6419" width="10.28515625" style="699" customWidth="1"/>
    <col min="6420" max="6420" width="10" style="699" customWidth="1"/>
    <col min="6421" max="6656" width="9.140625" style="699"/>
    <col min="6657" max="6657" width="4" style="699" customWidth="1"/>
    <col min="6658" max="6658" width="15.140625" style="699" customWidth="1"/>
    <col min="6659" max="6659" width="13.85546875" style="699" customWidth="1"/>
    <col min="6660" max="6660" width="10.140625" style="699" customWidth="1"/>
    <col min="6661" max="6661" width="9.140625" style="699"/>
    <col min="6662" max="6662" width="3.42578125" style="699" customWidth="1"/>
    <col min="6663" max="6663" width="19.5703125" style="699" customWidth="1"/>
    <col min="6664" max="6664" width="12.28515625" style="699" customWidth="1"/>
    <col min="6665" max="6665" width="10.42578125" style="699" customWidth="1"/>
    <col min="6666" max="6666" width="9.140625" style="699"/>
    <col min="6667" max="6667" width="3.5703125" style="699" customWidth="1"/>
    <col min="6668" max="6668" width="16.42578125" style="699" customWidth="1"/>
    <col min="6669" max="6669" width="11.7109375" style="699" customWidth="1"/>
    <col min="6670" max="6670" width="10.140625" style="699" customWidth="1"/>
    <col min="6671" max="6671" width="15.85546875" style="699" customWidth="1"/>
    <col min="6672" max="6672" width="3.85546875" style="699" customWidth="1"/>
    <col min="6673" max="6673" width="16.42578125" style="699" customWidth="1"/>
    <col min="6674" max="6674" width="11.28515625" style="699" customWidth="1"/>
    <col min="6675" max="6675" width="10.28515625" style="699" customWidth="1"/>
    <col min="6676" max="6676" width="10" style="699" customWidth="1"/>
    <col min="6677" max="6912" width="9.140625" style="699"/>
    <col min="6913" max="6913" width="4" style="699" customWidth="1"/>
    <col min="6914" max="6914" width="15.140625" style="699" customWidth="1"/>
    <col min="6915" max="6915" width="13.85546875" style="699" customWidth="1"/>
    <col min="6916" max="6916" width="10.140625" style="699" customWidth="1"/>
    <col min="6917" max="6917" width="9.140625" style="699"/>
    <col min="6918" max="6918" width="3.42578125" style="699" customWidth="1"/>
    <col min="6919" max="6919" width="19.5703125" style="699" customWidth="1"/>
    <col min="6920" max="6920" width="12.28515625" style="699" customWidth="1"/>
    <col min="6921" max="6921" width="10.42578125" style="699" customWidth="1"/>
    <col min="6922" max="6922" width="9.140625" style="699"/>
    <col min="6923" max="6923" width="3.5703125" style="699" customWidth="1"/>
    <col min="6924" max="6924" width="16.42578125" style="699" customWidth="1"/>
    <col min="6925" max="6925" width="11.7109375" style="699" customWidth="1"/>
    <col min="6926" max="6926" width="10.140625" style="699" customWidth="1"/>
    <col min="6927" max="6927" width="15.85546875" style="699" customWidth="1"/>
    <col min="6928" max="6928" width="3.85546875" style="699" customWidth="1"/>
    <col min="6929" max="6929" width="16.42578125" style="699" customWidth="1"/>
    <col min="6930" max="6930" width="11.28515625" style="699" customWidth="1"/>
    <col min="6931" max="6931" width="10.28515625" style="699" customWidth="1"/>
    <col min="6932" max="6932" width="10" style="699" customWidth="1"/>
    <col min="6933" max="7168" width="9.140625" style="699"/>
    <col min="7169" max="7169" width="4" style="699" customWidth="1"/>
    <col min="7170" max="7170" width="15.140625" style="699" customWidth="1"/>
    <col min="7171" max="7171" width="13.85546875" style="699" customWidth="1"/>
    <col min="7172" max="7172" width="10.140625" style="699" customWidth="1"/>
    <col min="7173" max="7173" width="9.140625" style="699"/>
    <col min="7174" max="7174" width="3.42578125" style="699" customWidth="1"/>
    <col min="7175" max="7175" width="19.5703125" style="699" customWidth="1"/>
    <col min="7176" max="7176" width="12.28515625" style="699" customWidth="1"/>
    <col min="7177" max="7177" width="10.42578125" style="699" customWidth="1"/>
    <col min="7178" max="7178" width="9.140625" style="699"/>
    <col min="7179" max="7179" width="3.5703125" style="699" customWidth="1"/>
    <col min="7180" max="7180" width="16.42578125" style="699" customWidth="1"/>
    <col min="7181" max="7181" width="11.7109375" style="699" customWidth="1"/>
    <col min="7182" max="7182" width="10.140625" style="699" customWidth="1"/>
    <col min="7183" max="7183" width="15.85546875" style="699" customWidth="1"/>
    <col min="7184" max="7184" width="3.85546875" style="699" customWidth="1"/>
    <col min="7185" max="7185" width="16.42578125" style="699" customWidth="1"/>
    <col min="7186" max="7186" width="11.28515625" style="699" customWidth="1"/>
    <col min="7187" max="7187" width="10.28515625" style="699" customWidth="1"/>
    <col min="7188" max="7188" width="10" style="699" customWidth="1"/>
    <col min="7189" max="7424" width="9.140625" style="699"/>
    <col min="7425" max="7425" width="4" style="699" customWidth="1"/>
    <col min="7426" max="7426" width="15.140625" style="699" customWidth="1"/>
    <col min="7427" max="7427" width="13.85546875" style="699" customWidth="1"/>
    <col min="7428" max="7428" width="10.140625" style="699" customWidth="1"/>
    <col min="7429" max="7429" width="9.140625" style="699"/>
    <col min="7430" max="7430" width="3.42578125" style="699" customWidth="1"/>
    <col min="7431" max="7431" width="19.5703125" style="699" customWidth="1"/>
    <col min="7432" max="7432" width="12.28515625" style="699" customWidth="1"/>
    <col min="7433" max="7433" width="10.42578125" style="699" customWidth="1"/>
    <col min="7434" max="7434" width="9.140625" style="699"/>
    <col min="7435" max="7435" width="3.5703125" style="699" customWidth="1"/>
    <col min="7436" max="7436" width="16.42578125" style="699" customWidth="1"/>
    <col min="7437" max="7437" width="11.7109375" style="699" customWidth="1"/>
    <col min="7438" max="7438" width="10.140625" style="699" customWidth="1"/>
    <col min="7439" max="7439" width="15.85546875" style="699" customWidth="1"/>
    <col min="7440" max="7440" width="3.85546875" style="699" customWidth="1"/>
    <col min="7441" max="7441" width="16.42578125" style="699" customWidth="1"/>
    <col min="7442" max="7442" width="11.28515625" style="699" customWidth="1"/>
    <col min="7443" max="7443" width="10.28515625" style="699" customWidth="1"/>
    <col min="7444" max="7444" width="10" style="699" customWidth="1"/>
    <col min="7445" max="7680" width="9.140625" style="699"/>
    <col min="7681" max="7681" width="4" style="699" customWidth="1"/>
    <col min="7682" max="7682" width="15.140625" style="699" customWidth="1"/>
    <col min="7683" max="7683" width="13.85546875" style="699" customWidth="1"/>
    <col min="7684" max="7684" width="10.140625" style="699" customWidth="1"/>
    <col min="7685" max="7685" width="9.140625" style="699"/>
    <col min="7686" max="7686" width="3.42578125" style="699" customWidth="1"/>
    <col min="7687" max="7687" width="19.5703125" style="699" customWidth="1"/>
    <col min="7688" max="7688" width="12.28515625" style="699" customWidth="1"/>
    <col min="7689" max="7689" width="10.42578125" style="699" customWidth="1"/>
    <col min="7690" max="7690" width="9.140625" style="699"/>
    <col min="7691" max="7691" width="3.5703125" style="699" customWidth="1"/>
    <col min="7692" max="7692" width="16.42578125" style="699" customWidth="1"/>
    <col min="7693" max="7693" width="11.7109375" style="699" customWidth="1"/>
    <col min="7694" max="7694" width="10.140625" style="699" customWidth="1"/>
    <col min="7695" max="7695" width="15.85546875" style="699" customWidth="1"/>
    <col min="7696" max="7696" width="3.85546875" style="699" customWidth="1"/>
    <col min="7697" max="7697" width="16.42578125" style="699" customWidth="1"/>
    <col min="7698" max="7698" width="11.28515625" style="699" customWidth="1"/>
    <col min="7699" max="7699" width="10.28515625" style="699" customWidth="1"/>
    <col min="7700" max="7700" width="10" style="699" customWidth="1"/>
    <col min="7701" max="7936" width="9.140625" style="699"/>
    <col min="7937" max="7937" width="4" style="699" customWidth="1"/>
    <col min="7938" max="7938" width="15.140625" style="699" customWidth="1"/>
    <col min="7939" max="7939" width="13.85546875" style="699" customWidth="1"/>
    <col min="7940" max="7940" width="10.140625" style="699" customWidth="1"/>
    <col min="7941" max="7941" width="9.140625" style="699"/>
    <col min="7942" max="7942" width="3.42578125" style="699" customWidth="1"/>
    <col min="7943" max="7943" width="19.5703125" style="699" customWidth="1"/>
    <col min="7944" max="7944" width="12.28515625" style="699" customWidth="1"/>
    <col min="7945" max="7945" width="10.42578125" style="699" customWidth="1"/>
    <col min="7946" max="7946" width="9.140625" style="699"/>
    <col min="7947" max="7947" width="3.5703125" style="699" customWidth="1"/>
    <col min="7948" max="7948" width="16.42578125" style="699" customWidth="1"/>
    <col min="7949" max="7949" width="11.7109375" style="699" customWidth="1"/>
    <col min="7950" max="7950" width="10.140625" style="699" customWidth="1"/>
    <col min="7951" max="7951" width="15.85546875" style="699" customWidth="1"/>
    <col min="7952" max="7952" width="3.85546875" style="699" customWidth="1"/>
    <col min="7953" max="7953" width="16.42578125" style="699" customWidth="1"/>
    <col min="7954" max="7954" width="11.28515625" style="699" customWidth="1"/>
    <col min="7955" max="7955" width="10.28515625" style="699" customWidth="1"/>
    <col min="7956" max="7956" width="10" style="699" customWidth="1"/>
    <col min="7957" max="8192" width="9.140625" style="699"/>
    <col min="8193" max="8193" width="4" style="699" customWidth="1"/>
    <col min="8194" max="8194" width="15.140625" style="699" customWidth="1"/>
    <col min="8195" max="8195" width="13.85546875" style="699" customWidth="1"/>
    <col min="8196" max="8196" width="10.140625" style="699" customWidth="1"/>
    <col min="8197" max="8197" width="9.140625" style="699"/>
    <col min="8198" max="8198" width="3.42578125" style="699" customWidth="1"/>
    <col min="8199" max="8199" width="19.5703125" style="699" customWidth="1"/>
    <col min="8200" max="8200" width="12.28515625" style="699" customWidth="1"/>
    <col min="8201" max="8201" width="10.42578125" style="699" customWidth="1"/>
    <col min="8202" max="8202" width="9.140625" style="699"/>
    <col min="8203" max="8203" width="3.5703125" style="699" customWidth="1"/>
    <col min="8204" max="8204" width="16.42578125" style="699" customWidth="1"/>
    <col min="8205" max="8205" width="11.7109375" style="699" customWidth="1"/>
    <col min="8206" max="8206" width="10.140625" style="699" customWidth="1"/>
    <col min="8207" max="8207" width="15.85546875" style="699" customWidth="1"/>
    <col min="8208" max="8208" width="3.85546875" style="699" customWidth="1"/>
    <col min="8209" max="8209" width="16.42578125" style="699" customWidth="1"/>
    <col min="8210" max="8210" width="11.28515625" style="699" customWidth="1"/>
    <col min="8211" max="8211" width="10.28515625" style="699" customWidth="1"/>
    <col min="8212" max="8212" width="10" style="699" customWidth="1"/>
    <col min="8213" max="8448" width="9.140625" style="699"/>
    <col min="8449" max="8449" width="4" style="699" customWidth="1"/>
    <col min="8450" max="8450" width="15.140625" style="699" customWidth="1"/>
    <col min="8451" max="8451" width="13.85546875" style="699" customWidth="1"/>
    <col min="8452" max="8452" width="10.140625" style="699" customWidth="1"/>
    <col min="8453" max="8453" width="9.140625" style="699"/>
    <col min="8454" max="8454" width="3.42578125" style="699" customWidth="1"/>
    <col min="8455" max="8455" width="19.5703125" style="699" customWidth="1"/>
    <col min="8456" max="8456" width="12.28515625" style="699" customWidth="1"/>
    <col min="8457" max="8457" width="10.42578125" style="699" customWidth="1"/>
    <col min="8458" max="8458" width="9.140625" style="699"/>
    <col min="8459" max="8459" width="3.5703125" style="699" customWidth="1"/>
    <col min="8460" max="8460" width="16.42578125" style="699" customWidth="1"/>
    <col min="8461" max="8461" width="11.7109375" style="699" customWidth="1"/>
    <col min="8462" max="8462" width="10.140625" style="699" customWidth="1"/>
    <col min="8463" max="8463" width="15.85546875" style="699" customWidth="1"/>
    <col min="8464" max="8464" width="3.85546875" style="699" customWidth="1"/>
    <col min="8465" max="8465" width="16.42578125" style="699" customWidth="1"/>
    <col min="8466" max="8466" width="11.28515625" style="699" customWidth="1"/>
    <col min="8467" max="8467" width="10.28515625" style="699" customWidth="1"/>
    <col min="8468" max="8468" width="10" style="699" customWidth="1"/>
    <col min="8469" max="8704" width="9.140625" style="699"/>
    <col min="8705" max="8705" width="4" style="699" customWidth="1"/>
    <col min="8706" max="8706" width="15.140625" style="699" customWidth="1"/>
    <col min="8707" max="8707" width="13.85546875" style="699" customWidth="1"/>
    <col min="8708" max="8708" width="10.140625" style="699" customWidth="1"/>
    <col min="8709" max="8709" width="9.140625" style="699"/>
    <col min="8710" max="8710" width="3.42578125" style="699" customWidth="1"/>
    <col min="8711" max="8711" width="19.5703125" style="699" customWidth="1"/>
    <col min="8712" max="8712" width="12.28515625" style="699" customWidth="1"/>
    <col min="8713" max="8713" width="10.42578125" style="699" customWidth="1"/>
    <col min="8714" max="8714" width="9.140625" style="699"/>
    <col min="8715" max="8715" width="3.5703125" style="699" customWidth="1"/>
    <col min="8716" max="8716" width="16.42578125" style="699" customWidth="1"/>
    <col min="8717" max="8717" width="11.7109375" style="699" customWidth="1"/>
    <col min="8718" max="8718" width="10.140625" style="699" customWidth="1"/>
    <col min="8719" max="8719" width="15.85546875" style="699" customWidth="1"/>
    <col min="8720" max="8720" width="3.85546875" style="699" customWidth="1"/>
    <col min="8721" max="8721" width="16.42578125" style="699" customWidth="1"/>
    <col min="8722" max="8722" width="11.28515625" style="699" customWidth="1"/>
    <col min="8723" max="8723" width="10.28515625" style="699" customWidth="1"/>
    <col min="8724" max="8724" width="10" style="699" customWidth="1"/>
    <col min="8725" max="8960" width="9.140625" style="699"/>
    <col min="8961" max="8961" width="4" style="699" customWidth="1"/>
    <col min="8962" max="8962" width="15.140625" style="699" customWidth="1"/>
    <col min="8963" max="8963" width="13.85546875" style="699" customWidth="1"/>
    <col min="8964" max="8964" width="10.140625" style="699" customWidth="1"/>
    <col min="8965" max="8965" width="9.140625" style="699"/>
    <col min="8966" max="8966" width="3.42578125" style="699" customWidth="1"/>
    <col min="8967" max="8967" width="19.5703125" style="699" customWidth="1"/>
    <col min="8968" max="8968" width="12.28515625" style="699" customWidth="1"/>
    <col min="8969" max="8969" width="10.42578125" style="699" customWidth="1"/>
    <col min="8970" max="8970" width="9.140625" style="699"/>
    <col min="8971" max="8971" width="3.5703125" style="699" customWidth="1"/>
    <col min="8972" max="8972" width="16.42578125" style="699" customWidth="1"/>
    <col min="8973" max="8973" width="11.7109375" style="699" customWidth="1"/>
    <col min="8974" max="8974" width="10.140625" style="699" customWidth="1"/>
    <col min="8975" max="8975" width="15.85546875" style="699" customWidth="1"/>
    <col min="8976" max="8976" width="3.85546875" style="699" customWidth="1"/>
    <col min="8977" max="8977" width="16.42578125" style="699" customWidth="1"/>
    <col min="8978" max="8978" width="11.28515625" style="699" customWidth="1"/>
    <col min="8979" max="8979" width="10.28515625" style="699" customWidth="1"/>
    <col min="8980" max="8980" width="10" style="699" customWidth="1"/>
    <col min="8981" max="9216" width="9.140625" style="699"/>
    <col min="9217" max="9217" width="4" style="699" customWidth="1"/>
    <col min="9218" max="9218" width="15.140625" style="699" customWidth="1"/>
    <col min="9219" max="9219" width="13.85546875" style="699" customWidth="1"/>
    <col min="9220" max="9220" width="10.140625" style="699" customWidth="1"/>
    <col min="9221" max="9221" width="9.140625" style="699"/>
    <col min="9222" max="9222" width="3.42578125" style="699" customWidth="1"/>
    <col min="9223" max="9223" width="19.5703125" style="699" customWidth="1"/>
    <col min="9224" max="9224" width="12.28515625" style="699" customWidth="1"/>
    <col min="9225" max="9225" width="10.42578125" style="699" customWidth="1"/>
    <col min="9226" max="9226" width="9.140625" style="699"/>
    <col min="9227" max="9227" width="3.5703125" style="699" customWidth="1"/>
    <col min="9228" max="9228" width="16.42578125" style="699" customWidth="1"/>
    <col min="9229" max="9229" width="11.7109375" style="699" customWidth="1"/>
    <col min="9230" max="9230" width="10.140625" style="699" customWidth="1"/>
    <col min="9231" max="9231" width="15.85546875" style="699" customWidth="1"/>
    <col min="9232" max="9232" width="3.85546875" style="699" customWidth="1"/>
    <col min="9233" max="9233" width="16.42578125" style="699" customWidth="1"/>
    <col min="9234" max="9234" width="11.28515625" style="699" customWidth="1"/>
    <col min="9235" max="9235" width="10.28515625" style="699" customWidth="1"/>
    <col min="9236" max="9236" width="10" style="699" customWidth="1"/>
    <col min="9237" max="9472" width="9.140625" style="699"/>
    <col min="9473" max="9473" width="4" style="699" customWidth="1"/>
    <col min="9474" max="9474" width="15.140625" style="699" customWidth="1"/>
    <col min="9475" max="9475" width="13.85546875" style="699" customWidth="1"/>
    <col min="9476" max="9476" width="10.140625" style="699" customWidth="1"/>
    <col min="9477" max="9477" width="9.140625" style="699"/>
    <col min="9478" max="9478" width="3.42578125" style="699" customWidth="1"/>
    <col min="9479" max="9479" width="19.5703125" style="699" customWidth="1"/>
    <col min="9480" max="9480" width="12.28515625" style="699" customWidth="1"/>
    <col min="9481" max="9481" width="10.42578125" style="699" customWidth="1"/>
    <col min="9482" max="9482" width="9.140625" style="699"/>
    <col min="9483" max="9483" width="3.5703125" style="699" customWidth="1"/>
    <col min="9484" max="9484" width="16.42578125" style="699" customWidth="1"/>
    <col min="9485" max="9485" width="11.7109375" style="699" customWidth="1"/>
    <col min="9486" max="9486" width="10.140625" style="699" customWidth="1"/>
    <col min="9487" max="9487" width="15.85546875" style="699" customWidth="1"/>
    <col min="9488" max="9488" width="3.85546875" style="699" customWidth="1"/>
    <col min="9489" max="9489" width="16.42578125" style="699" customWidth="1"/>
    <col min="9490" max="9490" width="11.28515625" style="699" customWidth="1"/>
    <col min="9491" max="9491" width="10.28515625" style="699" customWidth="1"/>
    <col min="9492" max="9492" width="10" style="699" customWidth="1"/>
    <col min="9493" max="9728" width="9.140625" style="699"/>
    <col min="9729" max="9729" width="4" style="699" customWidth="1"/>
    <col min="9730" max="9730" width="15.140625" style="699" customWidth="1"/>
    <col min="9731" max="9731" width="13.85546875" style="699" customWidth="1"/>
    <col min="9732" max="9732" width="10.140625" style="699" customWidth="1"/>
    <col min="9733" max="9733" width="9.140625" style="699"/>
    <col min="9734" max="9734" width="3.42578125" style="699" customWidth="1"/>
    <col min="9735" max="9735" width="19.5703125" style="699" customWidth="1"/>
    <col min="9736" max="9736" width="12.28515625" style="699" customWidth="1"/>
    <col min="9737" max="9737" width="10.42578125" style="699" customWidth="1"/>
    <col min="9738" max="9738" width="9.140625" style="699"/>
    <col min="9739" max="9739" width="3.5703125" style="699" customWidth="1"/>
    <col min="9740" max="9740" width="16.42578125" style="699" customWidth="1"/>
    <col min="9741" max="9741" width="11.7109375" style="699" customWidth="1"/>
    <col min="9742" max="9742" width="10.140625" style="699" customWidth="1"/>
    <col min="9743" max="9743" width="15.85546875" style="699" customWidth="1"/>
    <col min="9744" max="9744" width="3.85546875" style="699" customWidth="1"/>
    <col min="9745" max="9745" width="16.42578125" style="699" customWidth="1"/>
    <col min="9746" max="9746" width="11.28515625" style="699" customWidth="1"/>
    <col min="9747" max="9747" width="10.28515625" style="699" customWidth="1"/>
    <col min="9748" max="9748" width="10" style="699" customWidth="1"/>
    <col min="9749" max="9984" width="9.140625" style="699"/>
    <col min="9985" max="9985" width="4" style="699" customWidth="1"/>
    <col min="9986" max="9986" width="15.140625" style="699" customWidth="1"/>
    <col min="9987" max="9987" width="13.85546875" style="699" customWidth="1"/>
    <col min="9988" max="9988" width="10.140625" style="699" customWidth="1"/>
    <col min="9989" max="9989" width="9.140625" style="699"/>
    <col min="9990" max="9990" width="3.42578125" style="699" customWidth="1"/>
    <col min="9991" max="9991" width="19.5703125" style="699" customWidth="1"/>
    <col min="9992" max="9992" width="12.28515625" style="699" customWidth="1"/>
    <col min="9993" max="9993" width="10.42578125" style="699" customWidth="1"/>
    <col min="9994" max="9994" width="9.140625" style="699"/>
    <col min="9995" max="9995" width="3.5703125" style="699" customWidth="1"/>
    <col min="9996" max="9996" width="16.42578125" style="699" customWidth="1"/>
    <col min="9997" max="9997" width="11.7109375" style="699" customWidth="1"/>
    <col min="9998" max="9998" width="10.140625" style="699" customWidth="1"/>
    <col min="9999" max="9999" width="15.85546875" style="699" customWidth="1"/>
    <col min="10000" max="10000" width="3.85546875" style="699" customWidth="1"/>
    <col min="10001" max="10001" width="16.42578125" style="699" customWidth="1"/>
    <col min="10002" max="10002" width="11.28515625" style="699" customWidth="1"/>
    <col min="10003" max="10003" width="10.28515625" style="699" customWidth="1"/>
    <col min="10004" max="10004" width="10" style="699" customWidth="1"/>
    <col min="10005" max="10240" width="9.140625" style="699"/>
    <col min="10241" max="10241" width="4" style="699" customWidth="1"/>
    <col min="10242" max="10242" width="15.140625" style="699" customWidth="1"/>
    <col min="10243" max="10243" width="13.85546875" style="699" customWidth="1"/>
    <col min="10244" max="10244" width="10.140625" style="699" customWidth="1"/>
    <col min="10245" max="10245" width="9.140625" style="699"/>
    <col min="10246" max="10246" width="3.42578125" style="699" customWidth="1"/>
    <col min="10247" max="10247" width="19.5703125" style="699" customWidth="1"/>
    <col min="10248" max="10248" width="12.28515625" style="699" customWidth="1"/>
    <col min="10249" max="10249" width="10.42578125" style="699" customWidth="1"/>
    <col min="10250" max="10250" width="9.140625" style="699"/>
    <col min="10251" max="10251" width="3.5703125" style="699" customWidth="1"/>
    <col min="10252" max="10252" width="16.42578125" style="699" customWidth="1"/>
    <col min="10253" max="10253" width="11.7109375" style="699" customWidth="1"/>
    <col min="10254" max="10254" width="10.140625" style="699" customWidth="1"/>
    <col min="10255" max="10255" width="15.85546875" style="699" customWidth="1"/>
    <col min="10256" max="10256" width="3.85546875" style="699" customWidth="1"/>
    <col min="10257" max="10257" width="16.42578125" style="699" customWidth="1"/>
    <col min="10258" max="10258" width="11.28515625" style="699" customWidth="1"/>
    <col min="10259" max="10259" width="10.28515625" style="699" customWidth="1"/>
    <col min="10260" max="10260" width="10" style="699" customWidth="1"/>
    <col min="10261" max="10496" width="9.140625" style="699"/>
    <col min="10497" max="10497" width="4" style="699" customWidth="1"/>
    <col min="10498" max="10498" width="15.140625" style="699" customWidth="1"/>
    <col min="10499" max="10499" width="13.85546875" style="699" customWidth="1"/>
    <col min="10500" max="10500" width="10.140625" style="699" customWidth="1"/>
    <col min="10501" max="10501" width="9.140625" style="699"/>
    <col min="10502" max="10502" width="3.42578125" style="699" customWidth="1"/>
    <col min="10503" max="10503" width="19.5703125" style="699" customWidth="1"/>
    <col min="10504" max="10504" width="12.28515625" style="699" customWidth="1"/>
    <col min="10505" max="10505" width="10.42578125" style="699" customWidth="1"/>
    <col min="10506" max="10506" width="9.140625" style="699"/>
    <col min="10507" max="10507" width="3.5703125" style="699" customWidth="1"/>
    <col min="10508" max="10508" width="16.42578125" style="699" customWidth="1"/>
    <col min="10509" max="10509" width="11.7109375" style="699" customWidth="1"/>
    <col min="10510" max="10510" width="10.140625" style="699" customWidth="1"/>
    <col min="10511" max="10511" width="15.85546875" style="699" customWidth="1"/>
    <col min="10512" max="10512" width="3.85546875" style="699" customWidth="1"/>
    <col min="10513" max="10513" width="16.42578125" style="699" customWidth="1"/>
    <col min="10514" max="10514" width="11.28515625" style="699" customWidth="1"/>
    <col min="10515" max="10515" width="10.28515625" style="699" customWidth="1"/>
    <col min="10516" max="10516" width="10" style="699" customWidth="1"/>
    <col min="10517" max="10752" width="9.140625" style="699"/>
    <col min="10753" max="10753" width="4" style="699" customWidth="1"/>
    <col min="10754" max="10754" width="15.140625" style="699" customWidth="1"/>
    <col min="10755" max="10755" width="13.85546875" style="699" customWidth="1"/>
    <col min="10756" max="10756" width="10.140625" style="699" customWidth="1"/>
    <col min="10757" max="10757" width="9.140625" style="699"/>
    <col min="10758" max="10758" width="3.42578125" style="699" customWidth="1"/>
    <col min="10759" max="10759" width="19.5703125" style="699" customWidth="1"/>
    <col min="10760" max="10760" width="12.28515625" style="699" customWidth="1"/>
    <col min="10761" max="10761" width="10.42578125" style="699" customWidth="1"/>
    <col min="10762" max="10762" width="9.140625" style="699"/>
    <col min="10763" max="10763" width="3.5703125" style="699" customWidth="1"/>
    <col min="10764" max="10764" width="16.42578125" style="699" customWidth="1"/>
    <col min="10765" max="10765" width="11.7109375" style="699" customWidth="1"/>
    <col min="10766" max="10766" width="10.140625" style="699" customWidth="1"/>
    <col min="10767" max="10767" width="15.85546875" style="699" customWidth="1"/>
    <col min="10768" max="10768" width="3.85546875" style="699" customWidth="1"/>
    <col min="10769" max="10769" width="16.42578125" style="699" customWidth="1"/>
    <col min="10770" max="10770" width="11.28515625" style="699" customWidth="1"/>
    <col min="10771" max="10771" width="10.28515625" style="699" customWidth="1"/>
    <col min="10772" max="10772" width="10" style="699" customWidth="1"/>
    <col min="10773" max="11008" width="9.140625" style="699"/>
    <col min="11009" max="11009" width="4" style="699" customWidth="1"/>
    <col min="11010" max="11010" width="15.140625" style="699" customWidth="1"/>
    <col min="11011" max="11011" width="13.85546875" style="699" customWidth="1"/>
    <col min="11012" max="11012" width="10.140625" style="699" customWidth="1"/>
    <col min="11013" max="11013" width="9.140625" style="699"/>
    <col min="11014" max="11014" width="3.42578125" style="699" customWidth="1"/>
    <col min="11015" max="11015" width="19.5703125" style="699" customWidth="1"/>
    <col min="11016" max="11016" width="12.28515625" style="699" customWidth="1"/>
    <col min="11017" max="11017" width="10.42578125" style="699" customWidth="1"/>
    <col min="11018" max="11018" width="9.140625" style="699"/>
    <col min="11019" max="11019" width="3.5703125" style="699" customWidth="1"/>
    <col min="11020" max="11020" width="16.42578125" style="699" customWidth="1"/>
    <col min="11021" max="11021" width="11.7109375" style="699" customWidth="1"/>
    <col min="11022" max="11022" width="10.140625" style="699" customWidth="1"/>
    <col min="11023" max="11023" width="15.85546875" style="699" customWidth="1"/>
    <col min="11024" max="11024" width="3.85546875" style="699" customWidth="1"/>
    <col min="11025" max="11025" width="16.42578125" style="699" customWidth="1"/>
    <col min="11026" max="11026" width="11.28515625" style="699" customWidth="1"/>
    <col min="11027" max="11027" width="10.28515625" style="699" customWidth="1"/>
    <col min="11028" max="11028" width="10" style="699" customWidth="1"/>
    <col min="11029" max="11264" width="9.140625" style="699"/>
    <col min="11265" max="11265" width="4" style="699" customWidth="1"/>
    <col min="11266" max="11266" width="15.140625" style="699" customWidth="1"/>
    <col min="11267" max="11267" width="13.85546875" style="699" customWidth="1"/>
    <col min="11268" max="11268" width="10.140625" style="699" customWidth="1"/>
    <col min="11269" max="11269" width="9.140625" style="699"/>
    <col min="11270" max="11270" width="3.42578125" style="699" customWidth="1"/>
    <col min="11271" max="11271" width="19.5703125" style="699" customWidth="1"/>
    <col min="11272" max="11272" width="12.28515625" style="699" customWidth="1"/>
    <col min="11273" max="11273" width="10.42578125" style="699" customWidth="1"/>
    <col min="11274" max="11274" width="9.140625" style="699"/>
    <col min="11275" max="11275" width="3.5703125" style="699" customWidth="1"/>
    <col min="11276" max="11276" width="16.42578125" style="699" customWidth="1"/>
    <col min="11277" max="11277" width="11.7109375" style="699" customWidth="1"/>
    <col min="11278" max="11278" width="10.140625" style="699" customWidth="1"/>
    <col min="11279" max="11279" width="15.85546875" style="699" customWidth="1"/>
    <col min="11280" max="11280" width="3.85546875" style="699" customWidth="1"/>
    <col min="11281" max="11281" width="16.42578125" style="699" customWidth="1"/>
    <col min="11282" max="11282" width="11.28515625" style="699" customWidth="1"/>
    <col min="11283" max="11283" width="10.28515625" style="699" customWidth="1"/>
    <col min="11284" max="11284" width="10" style="699" customWidth="1"/>
    <col min="11285" max="11520" width="9.140625" style="699"/>
    <col min="11521" max="11521" width="4" style="699" customWidth="1"/>
    <col min="11522" max="11522" width="15.140625" style="699" customWidth="1"/>
    <col min="11523" max="11523" width="13.85546875" style="699" customWidth="1"/>
    <col min="11524" max="11524" width="10.140625" style="699" customWidth="1"/>
    <col min="11525" max="11525" width="9.140625" style="699"/>
    <col min="11526" max="11526" width="3.42578125" style="699" customWidth="1"/>
    <col min="11527" max="11527" width="19.5703125" style="699" customWidth="1"/>
    <col min="11528" max="11528" width="12.28515625" style="699" customWidth="1"/>
    <col min="11529" max="11529" width="10.42578125" style="699" customWidth="1"/>
    <col min="11530" max="11530" width="9.140625" style="699"/>
    <col min="11531" max="11531" width="3.5703125" style="699" customWidth="1"/>
    <col min="11532" max="11532" width="16.42578125" style="699" customWidth="1"/>
    <col min="11533" max="11533" width="11.7109375" style="699" customWidth="1"/>
    <col min="11534" max="11534" width="10.140625" style="699" customWidth="1"/>
    <col min="11535" max="11535" width="15.85546875" style="699" customWidth="1"/>
    <col min="11536" max="11536" width="3.85546875" style="699" customWidth="1"/>
    <col min="11537" max="11537" width="16.42578125" style="699" customWidth="1"/>
    <col min="11538" max="11538" width="11.28515625" style="699" customWidth="1"/>
    <col min="11539" max="11539" width="10.28515625" style="699" customWidth="1"/>
    <col min="11540" max="11540" width="10" style="699" customWidth="1"/>
    <col min="11541" max="11776" width="9.140625" style="699"/>
    <col min="11777" max="11777" width="4" style="699" customWidth="1"/>
    <col min="11778" max="11778" width="15.140625" style="699" customWidth="1"/>
    <col min="11779" max="11779" width="13.85546875" style="699" customWidth="1"/>
    <col min="11780" max="11780" width="10.140625" style="699" customWidth="1"/>
    <col min="11781" max="11781" width="9.140625" style="699"/>
    <col min="11782" max="11782" width="3.42578125" style="699" customWidth="1"/>
    <col min="11783" max="11783" width="19.5703125" style="699" customWidth="1"/>
    <col min="11784" max="11784" width="12.28515625" style="699" customWidth="1"/>
    <col min="11785" max="11785" width="10.42578125" style="699" customWidth="1"/>
    <col min="11786" max="11786" width="9.140625" style="699"/>
    <col min="11787" max="11787" width="3.5703125" style="699" customWidth="1"/>
    <col min="11788" max="11788" width="16.42578125" style="699" customWidth="1"/>
    <col min="11789" max="11789" width="11.7109375" style="699" customWidth="1"/>
    <col min="11790" max="11790" width="10.140625" style="699" customWidth="1"/>
    <col min="11791" max="11791" width="15.85546875" style="699" customWidth="1"/>
    <col min="11792" max="11792" width="3.85546875" style="699" customWidth="1"/>
    <col min="11793" max="11793" width="16.42578125" style="699" customWidth="1"/>
    <col min="11794" max="11794" width="11.28515625" style="699" customWidth="1"/>
    <col min="11795" max="11795" width="10.28515625" style="699" customWidth="1"/>
    <col min="11796" max="11796" width="10" style="699" customWidth="1"/>
    <col min="11797" max="12032" width="9.140625" style="699"/>
    <col min="12033" max="12033" width="4" style="699" customWidth="1"/>
    <col min="12034" max="12034" width="15.140625" style="699" customWidth="1"/>
    <col min="12035" max="12035" width="13.85546875" style="699" customWidth="1"/>
    <col min="12036" max="12036" width="10.140625" style="699" customWidth="1"/>
    <col min="12037" max="12037" width="9.140625" style="699"/>
    <col min="12038" max="12038" width="3.42578125" style="699" customWidth="1"/>
    <col min="12039" max="12039" width="19.5703125" style="699" customWidth="1"/>
    <col min="12040" max="12040" width="12.28515625" style="699" customWidth="1"/>
    <col min="12041" max="12041" width="10.42578125" style="699" customWidth="1"/>
    <col min="12042" max="12042" width="9.140625" style="699"/>
    <col min="12043" max="12043" width="3.5703125" style="699" customWidth="1"/>
    <col min="12044" max="12044" width="16.42578125" style="699" customWidth="1"/>
    <col min="12045" max="12045" width="11.7109375" style="699" customWidth="1"/>
    <col min="12046" max="12046" width="10.140625" style="699" customWidth="1"/>
    <col min="12047" max="12047" width="15.85546875" style="699" customWidth="1"/>
    <col min="12048" max="12048" width="3.85546875" style="699" customWidth="1"/>
    <col min="12049" max="12049" width="16.42578125" style="699" customWidth="1"/>
    <col min="12050" max="12050" width="11.28515625" style="699" customWidth="1"/>
    <col min="12051" max="12051" width="10.28515625" style="699" customWidth="1"/>
    <col min="12052" max="12052" width="10" style="699" customWidth="1"/>
    <col min="12053" max="12288" width="9.140625" style="699"/>
    <col min="12289" max="12289" width="4" style="699" customWidth="1"/>
    <col min="12290" max="12290" width="15.140625" style="699" customWidth="1"/>
    <col min="12291" max="12291" width="13.85546875" style="699" customWidth="1"/>
    <col min="12292" max="12292" width="10.140625" style="699" customWidth="1"/>
    <col min="12293" max="12293" width="9.140625" style="699"/>
    <col min="12294" max="12294" width="3.42578125" style="699" customWidth="1"/>
    <col min="12295" max="12295" width="19.5703125" style="699" customWidth="1"/>
    <col min="12296" max="12296" width="12.28515625" style="699" customWidth="1"/>
    <col min="12297" max="12297" width="10.42578125" style="699" customWidth="1"/>
    <col min="12298" max="12298" width="9.140625" style="699"/>
    <col min="12299" max="12299" width="3.5703125" style="699" customWidth="1"/>
    <col min="12300" max="12300" width="16.42578125" style="699" customWidth="1"/>
    <col min="12301" max="12301" width="11.7109375" style="699" customWidth="1"/>
    <col min="12302" max="12302" width="10.140625" style="699" customWidth="1"/>
    <col min="12303" max="12303" width="15.85546875" style="699" customWidth="1"/>
    <col min="12304" max="12304" width="3.85546875" style="699" customWidth="1"/>
    <col min="12305" max="12305" width="16.42578125" style="699" customWidth="1"/>
    <col min="12306" max="12306" width="11.28515625" style="699" customWidth="1"/>
    <col min="12307" max="12307" width="10.28515625" style="699" customWidth="1"/>
    <col min="12308" max="12308" width="10" style="699" customWidth="1"/>
    <col min="12309" max="12544" width="9.140625" style="699"/>
    <col min="12545" max="12545" width="4" style="699" customWidth="1"/>
    <col min="12546" max="12546" width="15.140625" style="699" customWidth="1"/>
    <col min="12547" max="12547" width="13.85546875" style="699" customWidth="1"/>
    <col min="12548" max="12548" width="10.140625" style="699" customWidth="1"/>
    <col min="12549" max="12549" width="9.140625" style="699"/>
    <col min="12550" max="12550" width="3.42578125" style="699" customWidth="1"/>
    <col min="12551" max="12551" width="19.5703125" style="699" customWidth="1"/>
    <col min="12552" max="12552" width="12.28515625" style="699" customWidth="1"/>
    <col min="12553" max="12553" width="10.42578125" style="699" customWidth="1"/>
    <col min="12554" max="12554" width="9.140625" style="699"/>
    <col min="12555" max="12555" width="3.5703125" style="699" customWidth="1"/>
    <col min="12556" max="12556" width="16.42578125" style="699" customWidth="1"/>
    <col min="12557" max="12557" width="11.7109375" style="699" customWidth="1"/>
    <col min="12558" max="12558" width="10.140625" style="699" customWidth="1"/>
    <col min="12559" max="12559" width="15.85546875" style="699" customWidth="1"/>
    <col min="12560" max="12560" width="3.85546875" style="699" customWidth="1"/>
    <col min="12561" max="12561" width="16.42578125" style="699" customWidth="1"/>
    <col min="12562" max="12562" width="11.28515625" style="699" customWidth="1"/>
    <col min="12563" max="12563" width="10.28515625" style="699" customWidth="1"/>
    <col min="12564" max="12564" width="10" style="699" customWidth="1"/>
    <col min="12565" max="12800" width="9.140625" style="699"/>
    <col min="12801" max="12801" width="4" style="699" customWidth="1"/>
    <col min="12802" max="12802" width="15.140625" style="699" customWidth="1"/>
    <col min="12803" max="12803" width="13.85546875" style="699" customWidth="1"/>
    <col min="12804" max="12804" width="10.140625" style="699" customWidth="1"/>
    <col min="12805" max="12805" width="9.140625" style="699"/>
    <col min="12806" max="12806" width="3.42578125" style="699" customWidth="1"/>
    <col min="12807" max="12807" width="19.5703125" style="699" customWidth="1"/>
    <col min="12808" max="12808" width="12.28515625" style="699" customWidth="1"/>
    <col min="12809" max="12809" width="10.42578125" style="699" customWidth="1"/>
    <col min="12810" max="12810" width="9.140625" style="699"/>
    <col min="12811" max="12811" width="3.5703125" style="699" customWidth="1"/>
    <col min="12812" max="12812" width="16.42578125" style="699" customWidth="1"/>
    <col min="12813" max="12813" width="11.7109375" style="699" customWidth="1"/>
    <col min="12814" max="12814" width="10.140625" style="699" customWidth="1"/>
    <col min="12815" max="12815" width="15.85546875" style="699" customWidth="1"/>
    <col min="12816" max="12816" width="3.85546875" style="699" customWidth="1"/>
    <col min="12817" max="12817" width="16.42578125" style="699" customWidth="1"/>
    <col min="12818" max="12818" width="11.28515625" style="699" customWidth="1"/>
    <col min="12819" max="12819" width="10.28515625" style="699" customWidth="1"/>
    <col min="12820" max="12820" width="10" style="699" customWidth="1"/>
    <col min="12821" max="13056" width="9.140625" style="699"/>
    <col min="13057" max="13057" width="4" style="699" customWidth="1"/>
    <col min="13058" max="13058" width="15.140625" style="699" customWidth="1"/>
    <col min="13059" max="13059" width="13.85546875" style="699" customWidth="1"/>
    <col min="13060" max="13060" width="10.140625" style="699" customWidth="1"/>
    <col min="13061" max="13061" width="9.140625" style="699"/>
    <col min="13062" max="13062" width="3.42578125" style="699" customWidth="1"/>
    <col min="13063" max="13063" width="19.5703125" style="699" customWidth="1"/>
    <col min="13064" max="13064" width="12.28515625" style="699" customWidth="1"/>
    <col min="13065" max="13065" width="10.42578125" style="699" customWidth="1"/>
    <col min="13066" max="13066" width="9.140625" style="699"/>
    <col min="13067" max="13067" width="3.5703125" style="699" customWidth="1"/>
    <col min="13068" max="13068" width="16.42578125" style="699" customWidth="1"/>
    <col min="13069" max="13069" width="11.7109375" style="699" customWidth="1"/>
    <col min="13070" max="13070" width="10.140625" style="699" customWidth="1"/>
    <col min="13071" max="13071" width="15.85546875" style="699" customWidth="1"/>
    <col min="13072" max="13072" width="3.85546875" style="699" customWidth="1"/>
    <col min="13073" max="13073" width="16.42578125" style="699" customWidth="1"/>
    <col min="13074" max="13074" width="11.28515625" style="699" customWidth="1"/>
    <col min="13075" max="13075" width="10.28515625" style="699" customWidth="1"/>
    <col min="13076" max="13076" width="10" style="699" customWidth="1"/>
    <col min="13077" max="13312" width="9.140625" style="699"/>
    <col min="13313" max="13313" width="4" style="699" customWidth="1"/>
    <col min="13314" max="13314" width="15.140625" style="699" customWidth="1"/>
    <col min="13315" max="13315" width="13.85546875" style="699" customWidth="1"/>
    <col min="13316" max="13316" width="10.140625" style="699" customWidth="1"/>
    <col min="13317" max="13317" width="9.140625" style="699"/>
    <col min="13318" max="13318" width="3.42578125" style="699" customWidth="1"/>
    <col min="13319" max="13319" width="19.5703125" style="699" customWidth="1"/>
    <col min="13320" max="13320" width="12.28515625" style="699" customWidth="1"/>
    <col min="13321" max="13321" width="10.42578125" style="699" customWidth="1"/>
    <col min="13322" max="13322" width="9.140625" style="699"/>
    <col min="13323" max="13323" width="3.5703125" style="699" customWidth="1"/>
    <col min="13324" max="13324" width="16.42578125" style="699" customWidth="1"/>
    <col min="13325" max="13325" width="11.7109375" style="699" customWidth="1"/>
    <col min="13326" max="13326" width="10.140625" style="699" customWidth="1"/>
    <col min="13327" max="13327" width="15.85546875" style="699" customWidth="1"/>
    <col min="13328" max="13328" width="3.85546875" style="699" customWidth="1"/>
    <col min="13329" max="13329" width="16.42578125" style="699" customWidth="1"/>
    <col min="13330" max="13330" width="11.28515625" style="699" customWidth="1"/>
    <col min="13331" max="13331" width="10.28515625" style="699" customWidth="1"/>
    <col min="13332" max="13332" width="10" style="699" customWidth="1"/>
    <col min="13333" max="13568" width="9.140625" style="699"/>
    <col min="13569" max="13569" width="4" style="699" customWidth="1"/>
    <col min="13570" max="13570" width="15.140625" style="699" customWidth="1"/>
    <col min="13571" max="13571" width="13.85546875" style="699" customWidth="1"/>
    <col min="13572" max="13572" width="10.140625" style="699" customWidth="1"/>
    <col min="13573" max="13573" width="9.140625" style="699"/>
    <col min="13574" max="13574" width="3.42578125" style="699" customWidth="1"/>
    <col min="13575" max="13575" width="19.5703125" style="699" customWidth="1"/>
    <col min="13576" max="13576" width="12.28515625" style="699" customWidth="1"/>
    <col min="13577" max="13577" width="10.42578125" style="699" customWidth="1"/>
    <col min="13578" max="13578" width="9.140625" style="699"/>
    <col min="13579" max="13579" width="3.5703125" style="699" customWidth="1"/>
    <col min="13580" max="13580" width="16.42578125" style="699" customWidth="1"/>
    <col min="13581" max="13581" width="11.7109375" style="699" customWidth="1"/>
    <col min="13582" max="13582" width="10.140625" style="699" customWidth="1"/>
    <col min="13583" max="13583" width="15.85546875" style="699" customWidth="1"/>
    <col min="13584" max="13584" width="3.85546875" style="699" customWidth="1"/>
    <col min="13585" max="13585" width="16.42578125" style="699" customWidth="1"/>
    <col min="13586" max="13586" width="11.28515625" style="699" customWidth="1"/>
    <col min="13587" max="13587" width="10.28515625" style="699" customWidth="1"/>
    <col min="13588" max="13588" width="10" style="699" customWidth="1"/>
    <col min="13589" max="13824" width="9.140625" style="699"/>
    <col min="13825" max="13825" width="4" style="699" customWidth="1"/>
    <col min="13826" max="13826" width="15.140625" style="699" customWidth="1"/>
    <col min="13827" max="13827" width="13.85546875" style="699" customWidth="1"/>
    <col min="13828" max="13828" width="10.140625" style="699" customWidth="1"/>
    <col min="13829" max="13829" width="9.140625" style="699"/>
    <col min="13830" max="13830" width="3.42578125" style="699" customWidth="1"/>
    <col min="13831" max="13831" width="19.5703125" style="699" customWidth="1"/>
    <col min="13832" max="13832" width="12.28515625" style="699" customWidth="1"/>
    <col min="13833" max="13833" width="10.42578125" style="699" customWidth="1"/>
    <col min="13834" max="13834" width="9.140625" style="699"/>
    <col min="13835" max="13835" width="3.5703125" style="699" customWidth="1"/>
    <col min="13836" max="13836" width="16.42578125" style="699" customWidth="1"/>
    <col min="13837" max="13837" width="11.7109375" style="699" customWidth="1"/>
    <col min="13838" max="13838" width="10.140625" style="699" customWidth="1"/>
    <col min="13839" max="13839" width="15.85546875" style="699" customWidth="1"/>
    <col min="13840" max="13840" width="3.85546875" style="699" customWidth="1"/>
    <col min="13841" max="13841" width="16.42578125" style="699" customWidth="1"/>
    <col min="13842" max="13842" width="11.28515625" style="699" customWidth="1"/>
    <col min="13843" max="13843" width="10.28515625" style="699" customWidth="1"/>
    <col min="13844" max="13844" width="10" style="699" customWidth="1"/>
    <col min="13845" max="14080" width="9.140625" style="699"/>
    <col min="14081" max="14081" width="4" style="699" customWidth="1"/>
    <col min="14082" max="14082" width="15.140625" style="699" customWidth="1"/>
    <col min="14083" max="14083" width="13.85546875" style="699" customWidth="1"/>
    <col min="14084" max="14084" width="10.140625" style="699" customWidth="1"/>
    <col min="14085" max="14085" width="9.140625" style="699"/>
    <col min="14086" max="14086" width="3.42578125" style="699" customWidth="1"/>
    <col min="14087" max="14087" width="19.5703125" style="699" customWidth="1"/>
    <col min="14088" max="14088" width="12.28515625" style="699" customWidth="1"/>
    <col min="14089" max="14089" width="10.42578125" style="699" customWidth="1"/>
    <col min="14090" max="14090" width="9.140625" style="699"/>
    <col min="14091" max="14091" width="3.5703125" style="699" customWidth="1"/>
    <col min="14092" max="14092" width="16.42578125" style="699" customWidth="1"/>
    <col min="14093" max="14093" width="11.7109375" style="699" customWidth="1"/>
    <col min="14094" max="14094" width="10.140625" style="699" customWidth="1"/>
    <col min="14095" max="14095" width="15.85546875" style="699" customWidth="1"/>
    <col min="14096" max="14096" width="3.85546875" style="699" customWidth="1"/>
    <col min="14097" max="14097" width="16.42578125" style="699" customWidth="1"/>
    <col min="14098" max="14098" width="11.28515625" style="699" customWidth="1"/>
    <col min="14099" max="14099" width="10.28515625" style="699" customWidth="1"/>
    <col min="14100" max="14100" width="10" style="699" customWidth="1"/>
    <col min="14101" max="14336" width="9.140625" style="699"/>
    <col min="14337" max="14337" width="4" style="699" customWidth="1"/>
    <col min="14338" max="14338" width="15.140625" style="699" customWidth="1"/>
    <col min="14339" max="14339" width="13.85546875" style="699" customWidth="1"/>
    <col min="14340" max="14340" width="10.140625" style="699" customWidth="1"/>
    <col min="14341" max="14341" width="9.140625" style="699"/>
    <col min="14342" max="14342" width="3.42578125" style="699" customWidth="1"/>
    <col min="14343" max="14343" width="19.5703125" style="699" customWidth="1"/>
    <col min="14344" max="14344" width="12.28515625" style="699" customWidth="1"/>
    <col min="14345" max="14345" width="10.42578125" style="699" customWidth="1"/>
    <col min="14346" max="14346" width="9.140625" style="699"/>
    <col min="14347" max="14347" width="3.5703125" style="699" customWidth="1"/>
    <col min="14348" max="14348" width="16.42578125" style="699" customWidth="1"/>
    <col min="14349" max="14349" width="11.7109375" style="699" customWidth="1"/>
    <col min="14350" max="14350" width="10.140625" style="699" customWidth="1"/>
    <col min="14351" max="14351" width="15.85546875" style="699" customWidth="1"/>
    <col min="14352" max="14352" width="3.85546875" style="699" customWidth="1"/>
    <col min="14353" max="14353" width="16.42578125" style="699" customWidth="1"/>
    <col min="14354" max="14354" width="11.28515625" style="699" customWidth="1"/>
    <col min="14355" max="14355" width="10.28515625" style="699" customWidth="1"/>
    <col min="14356" max="14356" width="10" style="699" customWidth="1"/>
    <col min="14357" max="14592" width="9.140625" style="699"/>
    <col min="14593" max="14593" width="4" style="699" customWidth="1"/>
    <col min="14594" max="14594" width="15.140625" style="699" customWidth="1"/>
    <col min="14595" max="14595" width="13.85546875" style="699" customWidth="1"/>
    <col min="14596" max="14596" width="10.140625" style="699" customWidth="1"/>
    <col min="14597" max="14597" width="9.140625" style="699"/>
    <col min="14598" max="14598" width="3.42578125" style="699" customWidth="1"/>
    <col min="14599" max="14599" width="19.5703125" style="699" customWidth="1"/>
    <col min="14600" max="14600" width="12.28515625" style="699" customWidth="1"/>
    <col min="14601" max="14601" width="10.42578125" style="699" customWidth="1"/>
    <col min="14602" max="14602" width="9.140625" style="699"/>
    <col min="14603" max="14603" width="3.5703125" style="699" customWidth="1"/>
    <col min="14604" max="14604" width="16.42578125" style="699" customWidth="1"/>
    <col min="14605" max="14605" width="11.7109375" style="699" customWidth="1"/>
    <col min="14606" max="14606" width="10.140625" style="699" customWidth="1"/>
    <col min="14607" max="14607" width="15.85546875" style="699" customWidth="1"/>
    <col min="14608" max="14608" width="3.85546875" style="699" customWidth="1"/>
    <col min="14609" max="14609" width="16.42578125" style="699" customWidth="1"/>
    <col min="14610" max="14610" width="11.28515625" style="699" customWidth="1"/>
    <col min="14611" max="14611" width="10.28515625" style="699" customWidth="1"/>
    <col min="14612" max="14612" width="10" style="699" customWidth="1"/>
    <col min="14613" max="14848" width="9.140625" style="699"/>
    <col min="14849" max="14849" width="4" style="699" customWidth="1"/>
    <col min="14850" max="14850" width="15.140625" style="699" customWidth="1"/>
    <col min="14851" max="14851" width="13.85546875" style="699" customWidth="1"/>
    <col min="14852" max="14852" width="10.140625" style="699" customWidth="1"/>
    <col min="14853" max="14853" width="9.140625" style="699"/>
    <col min="14854" max="14854" width="3.42578125" style="699" customWidth="1"/>
    <col min="14855" max="14855" width="19.5703125" style="699" customWidth="1"/>
    <col min="14856" max="14856" width="12.28515625" style="699" customWidth="1"/>
    <col min="14857" max="14857" width="10.42578125" style="699" customWidth="1"/>
    <col min="14858" max="14858" width="9.140625" style="699"/>
    <col min="14859" max="14859" width="3.5703125" style="699" customWidth="1"/>
    <col min="14860" max="14860" width="16.42578125" style="699" customWidth="1"/>
    <col min="14861" max="14861" width="11.7109375" style="699" customWidth="1"/>
    <col min="14862" max="14862" width="10.140625" style="699" customWidth="1"/>
    <col min="14863" max="14863" width="15.85546875" style="699" customWidth="1"/>
    <col min="14864" max="14864" width="3.85546875" style="699" customWidth="1"/>
    <col min="14865" max="14865" width="16.42578125" style="699" customWidth="1"/>
    <col min="14866" max="14866" width="11.28515625" style="699" customWidth="1"/>
    <col min="14867" max="14867" width="10.28515625" style="699" customWidth="1"/>
    <col min="14868" max="14868" width="10" style="699" customWidth="1"/>
    <col min="14869" max="15104" width="9.140625" style="699"/>
    <col min="15105" max="15105" width="4" style="699" customWidth="1"/>
    <col min="15106" max="15106" width="15.140625" style="699" customWidth="1"/>
    <col min="15107" max="15107" width="13.85546875" style="699" customWidth="1"/>
    <col min="15108" max="15108" width="10.140625" style="699" customWidth="1"/>
    <col min="15109" max="15109" width="9.140625" style="699"/>
    <col min="15110" max="15110" width="3.42578125" style="699" customWidth="1"/>
    <col min="15111" max="15111" width="19.5703125" style="699" customWidth="1"/>
    <col min="15112" max="15112" width="12.28515625" style="699" customWidth="1"/>
    <col min="15113" max="15113" width="10.42578125" style="699" customWidth="1"/>
    <col min="15114" max="15114" width="9.140625" style="699"/>
    <col min="15115" max="15115" width="3.5703125" style="699" customWidth="1"/>
    <col min="15116" max="15116" width="16.42578125" style="699" customWidth="1"/>
    <col min="15117" max="15117" width="11.7109375" style="699" customWidth="1"/>
    <col min="15118" max="15118" width="10.140625" style="699" customWidth="1"/>
    <col min="15119" max="15119" width="15.85546875" style="699" customWidth="1"/>
    <col min="15120" max="15120" width="3.85546875" style="699" customWidth="1"/>
    <col min="15121" max="15121" width="16.42578125" style="699" customWidth="1"/>
    <col min="15122" max="15122" width="11.28515625" style="699" customWidth="1"/>
    <col min="15123" max="15123" width="10.28515625" style="699" customWidth="1"/>
    <col min="15124" max="15124" width="10" style="699" customWidth="1"/>
    <col min="15125" max="15360" width="9.140625" style="699"/>
    <col min="15361" max="15361" width="4" style="699" customWidth="1"/>
    <col min="15362" max="15362" width="15.140625" style="699" customWidth="1"/>
    <col min="15363" max="15363" width="13.85546875" style="699" customWidth="1"/>
    <col min="15364" max="15364" width="10.140625" style="699" customWidth="1"/>
    <col min="15365" max="15365" width="9.140625" style="699"/>
    <col min="15366" max="15366" width="3.42578125" style="699" customWidth="1"/>
    <col min="15367" max="15367" width="19.5703125" style="699" customWidth="1"/>
    <col min="15368" max="15368" width="12.28515625" style="699" customWidth="1"/>
    <col min="15369" max="15369" width="10.42578125" style="699" customWidth="1"/>
    <col min="15370" max="15370" width="9.140625" style="699"/>
    <col min="15371" max="15371" width="3.5703125" style="699" customWidth="1"/>
    <col min="15372" max="15372" width="16.42578125" style="699" customWidth="1"/>
    <col min="15373" max="15373" width="11.7109375" style="699" customWidth="1"/>
    <col min="15374" max="15374" width="10.140625" style="699" customWidth="1"/>
    <col min="15375" max="15375" width="15.85546875" style="699" customWidth="1"/>
    <col min="15376" max="15376" width="3.85546875" style="699" customWidth="1"/>
    <col min="15377" max="15377" width="16.42578125" style="699" customWidth="1"/>
    <col min="15378" max="15378" width="11.28515625" style="699" customWidth="1"/>
    <col min="15379" max="15379" width="10.28515625" style="699" customWidth="1"/>
    <col min="15380" max="15380" width="10" style="699" customWidth="1"/>
    <col min="15381" max="15616" width="9.140625" style="699"/>
    <col min="15617" max="15617" width="4" style="699" customWidth="1"/>
    <col min="15618" max="15618" width="15.140625" style="699" customWidth="1"/>
    <col min="15619" max="15619" width="13.85546875" style="699" customWidth="1"/>
    <col min="15620" max="15620" width="10.140625" style="699" customWidth="1"/>
    <col min="15621" max="15621" width="9.140625" style="699"/>
    <col min="15622" max="15622" width="3.42578125" style="699" customWidth="1"/>
    <col min="15623" max="15623" width="19.5703125" style="699" customWidth="1"/>
    <col min="15624" max="15624" width="12.28515625" style="699" customWidth="1"/>
    <col min="15625" max="15625" width="10.42578125" style="699" customWidth="1"/>
    <col min="15626" max="15626" width="9.140625" style="699"/>
    <col min="15627" max="15627" width="3.5703125" style="699" customWidth="1"/>
    <col min="15628" max="15628" width="16.42578125" style="699" customWidth="1"/>
    <col min="15629" max="15629" width="11.7109375" style="699" customWidth="1"/>
    <col min="15630" max="15630" width="10.140625" style="699" customWidth="1"/>
    <col min="15631" max="15631" width="15.85546875" style="699" customWidth="1"/>
    <col min="15632" max="15632" width="3.85546875" style="699" customWidth="1"/>
    <col min="15633" max="15633" width="16.42578125" style="699" customWidth="1"/>
    <col min="15634" max="15634" width="11.28515625" style="699" customWidth="1"/>
    <col min="15635" max="15635" width="10.28515625" style="699" customWidth="1"/>
    <col min="15636" max="15636" width="10" style="699" customWidth="1"/>
    <col min="15637" max="15872" width="9.140625" style="699"/>
    <col min="15873" max="15873" width="4" style="699" customWidth="1"/>
    <col min="15874" max="15874" width="15.140625" style="699" customWidth="1"/>
    <col min="15875" max="15875" width="13.85546875" style="699" customWidth="1"/>
    <col min="15876" max="15876" width="10.140625" style="699" customWidth="1"/>
    <col min="15877" max="15877" width="9.140625" style="699"/>
    <col min="15878" max="15878" width="3.42578125" style="699" customWidth="1"/>
    <col min="15879" max="15879" width="19.5703125" style="699" customWidth="1"/>
    <col min="15880" max="15880" width="12.28515625" style="699" customWidth="1"/>
    <col min="15881" max="15881" width="10.42578125" style="699" customWidth="1"/>
    <col min="15882" max="15882" width="9.140625" style="699"/>
    <col min="15883" max="15883" width="3.5703125" style="699" customWidth="1"/>
    <col min="15884" max="15884" width="16.42578125" style="699" customWidth="1"/>
    <col min="15885" max="15885" width="11.7109375" style="699" customWidth="1"/>
    <col min="15886" max="15886" width="10.140625" style="699" customWidth="1"/>
    <col min="15887" max="15887" width="15.85546875" style="699" customWidth="1"/>
    <col min="15888" max="15888" width="3.85546875" style="699" customWidth="1"/>
    <col min="15889" max="15889" width="16.42578125" style="699" customWidth="1"/>
    <col min="15890" max="15890" width="11.28515625" style="699" customWidth="1"/>
    <col min="15891" max="15891" width="10.28515625" style="699" customWidth="1"/>
    <col min="15892" max="15892" width="10" style="699" customWidth="1"/>
    <col min="15893" max="16128" width="9.140625" style="699"/>
    <col min="16129" max="16129" width="4" style="699" customWidth="1"/>
    <col min="16130" max="16130" width="15.140625" style="699" customWidth="1"/>
    <col min="16131" max="16131" width="13.85546875" style="699" customWidth="1"/>
    <col min="16132" max="16132" width="10.140625" style="699" customWidth="1"/>
    <col min="16133" max="16133" width="9.140625" style="699"/>
    <col min="16134" max="16134" width="3.42578125" style="699" customWidth="1"/>
    <col min="16135" max="16135" width="19.5703125" style="699" customWidth="1"/>
    <col min="16136" max="16136" width="12.28515625" style="699" customWidth="1"/>
    <col min="16137" max="16137" width="10.42578125" style="699" customWidth="1"/>
    <col min="16138" max="16138" width="9.140625" style="699"/>
    <col min="16139" max="16139" width="3.5703125" style="699" customWidth="1"/>
    <col min="16140" max="16140" width="16.42578125" style="699" customWidth="1"/>
    <col min="16141" max="16141" width="11.7109375" style="699" customWidth="1"/>
    <col min="16142" max="16142" width="10.140625" style="699" customWidth="1"/>
    <col min="16143" max="16143" width="15.85546875" style="699" customWidth="1"/>
    <col min="16144" max="16144" width="3.85546875" style="699" customWidth="1"/>
    <col min="16145" max="16145" width="16.42578125" style="699" customWidth="1"/>
    <col min="16146" max="16146" width="11.28515625" style="699" customWidth="1"/>
    <col min="16147" max="16147" width="10.28515625" style="699" customWidth="1"/>
    <col min="16148" max="16148" width="10" style="699" customWidth="1"/>
    <col min="16149" max="16384" width="9.140625" style="699"/>
  </cols>
  <sheetData>
    <row r="1" spans="2:28" ht="18.75">
      <c r="B1" s="608" t="s">
        <v>307</v>
      </c>
    </row>
    <row r="2" spans="2:28" ht="18" customHeight="1">
      <c r="B2" s="1227" t="s">
        <v>378</v>
      </c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  <c r="R2" s="1227"/>
      <c r="S2" s="1227"/>
      <c r="T2" s="1227"/>
      <c r="U2" s="1227"/>
      <c r="V2" s="1227"/>
      <c r="W2" s="1227"/>
      <c r="X2" s="1227"/>
      <c r="Y2" s="1227"/>
      <c r="Z2" s="1227"/>
      <c r="AA2" s="1227"/>
      <c r="AB2" s="1227"/>
    </row>
    <row r="3" spans="2:28" ht="18" customHeight="1">
      <c r="B3" s="1230" t="s">
        <v>379</v>
      </c>
      <c r="C3" s="1230"/>
      <c r="D3" s="1230"/>
      <c r="E3" s="1230"/>
      <c r="F3" s="1230"/>
      <c r="G3" s="1230"/>
      <c r="H3" s="1230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1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5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6" t="s">
        <v>209</v>
      </c>
      <c r="C8" s="624">
        <v>5811.1239999999998</v>
      </c>
      <c r="D8" s="991">
        <v>9252</v>
      </c>
      <c r="E8" s="992">
        <v>2.2791474421224209</v>
      </c>
      <c r="F8" s="897"/>
      <c r="G8" s="896" t="s">
        <v>213</v>
      </c>
      <c r="H8" s="624">
        <v>2001.0550000000001</v>
      </c>
      <c r="I8" s="991">
        <v>8795</v>
      </c>
      <c r="J8" s="992">
        <v>3.2074254426317803</v>
      </c>
      <c r="K8" s="700"/>
      <c r="L8" s="800" t="s">
        <v>203</v>
      </c>
      <c r="M8" s="624">
        <v>3337.5830000000001</v>
      </c>
      <c r="N8" s="624">
        <v>1099.847</v>
      </c>
      <c r="O8" s="785">
        <v>3.034588447302216</v>
      </c>
      <c r="P8" s="700"/>
      <c r="Q8" s="800" t="s">
        <v>311</v>
      </c>
      <c r="R8" s="624">
        <v>1766.4390000000001</v>
      </c>
      <c r="S8" s="624">
        <v>364.54599999999999</v>
      </c>
      <c r="T8" s="785">
        <v>4.845586016579527</v>
      </c>
    </row>
    <row r="9" spans="2:28" ht="15.75">
      <c r="B9" s="629" t="s">
        <v>213</v>
      </c>
      <c r="C9" s="628">
        <v>4783.1760000000004</v>
      </c>
      <c r="D9" s="630">
        <v>14417</v>
      </c>
      <c r="E9" s="687">
        <v>2.3236830113590545</v>
      </c>
      <c r="F9" s="898"/>
      <c r="G9" s="629" t="s">
        <v>311</v>
      </c>
      <c r="H9" s="628">
        <v>560.34500000000003</v>
      </c>
      <c r="I9" s="630">
        <v>4035</v>
      </c>
      <c r="J9" s="687">
        <v>2.0905119346968015</v>
      </c>
      <c r="K9" s="700"/>
      <c r="L9" s="627" t="s">
        <v>197</v>
      </c>
      <c r="M9" s="628">
        <v>3114.8339999999998</v>
      </c>
      <c r="N9" s="628">
        <v>811.64800000000002</v>
      </c>
      <c r="O9" s="686">
        <v>3.8376660818482886</v>
      </c>
      <c r="P9" s="700"/>
      <c r="Q9" s="627" t="s">
        <v>199</v>
      </c>
      <c r="R9" s="628">
        <v>1379.588</v>
      </c>
      <c r="S9" s="628">
        <v>421.53300000000002</v>
      </c>
      <c r="T9" s="686">
        <v>3.2727876583802451</v>
      </c>
    </row>
    <row r="10" spans="2:28" ht="15.75">
      <c r="B10" s="629" t="s">
        <v>208</v>
      </c>
      <c r="C10" s="628">
        <v>3178.51</v>
      </c>
      <c r="D10" s="628">
        <v>2067</v>
      </c>
      <c r="E10" s="686">
        <v>3.0175794693216096</v>
      </c>
      <c r="F10" s="897"/>
      <c r="G10" s="1058" t="s">
        <v>217</v>
      </c>
      <c r="H10" s="1047">
        <v>251.62799999999999</v>
      </c>
      <c r="I10" s="1059">
        <v>1751</v>
      </c>
      <c r="J10" s="1060">
        <v>2.118490953635805</v>
      </c>
      <c r="K10" s="700"/>
      <c r="L10" s="627" t="s">
        <v>199</v>
      </c>
      <c r="M10" s="628">
        <v>2387.317</v>
      </c>
      <c r="N10" s="628">
        <v>722.88800000000003</v>
      </c>
      <c r="O10" s="686">
        <v>3.3024714755259459</v>
      </c>
      <c r="P10" s="700"/>
      <c r="Q10" s="627" t="s">
        <v>197</v>
      </c>
      <c r="R10" s="628">
        <v>774.51700000000005</v>
      </c>
      <c r="S10" s="628">
        <v>195.99600000000001</v>
      </c>
      <c r="T10" s="686">
        <v>3.9516979938366088</v>
      </c>
    </row>
    <row r="11" spans="2:28" ht="16.5" thickBot="1">
      <c r="B11" s="629" t="s">
        <v>217</v>
      </c>
      <c r="C11" s="628">
        <v>2774.1869999999999</v>
      </c>
      <c r="D11" s="630">
        <v>6374</v>
      </c>
      <c r="E11" s="687">
        <v>1.8923216075054758</v>
      </c>
      <c r="F11" s="898"/>
      <c r="G11" s="629" t="s">
        <v>209</v>
      </c>
      <c r="H11" s="628">
        <v>230.38399999999999</v>
      </c>
      <c r="I11" s="630">
        <v>1465</v>
      </c>
      <c r="J11" s="687">
        <v>2.8975474783046153</v>
      </c>
      <c r="K11" s="700"/>
      <c r="L11" s="627" t="s">
        <v>216</v>
      </c>
      <c r="M11" s="628">
        <v>2045.104</v>
      </c>
      <c r="N11" s="628">
        <v>771.00900000000001</v>
      </c>
      <c r="O11" s="686">
        <v>2.6525034078720222</v>
      </c>
      <c r="P11" s="700"/>
      <c r="Q11" s="627" t="s">
        <v>215</v>
      </c>
      <c r="R11" s="628">
        <v>460.43099999999998</v>
      </c>
      <c r="S11" s="628">
        <v>88.608000000000004</v>
      </c>
      <c r="T11" s="686">
        <v>5.1962689599133256</v>
      </c>
    </row>
    <row r="12" spans="2:28" ht="16.5" thickBot="1">
      <c r="B12" s="629" t="s">
        <v>311</v>
      </c>
      <c r="C12" s="628">
        <v>2234.9459999999999</v>
      </c>
      <c r="D12" s="630">
        <v>6894</v>
      </c>
      <c r="E12" s="687">
        <v>2.9446859979762205</v>
      </c>
      <c r="F12" s="898"/>
      <c r="G12" s="1048" t="s">
        <v>328</v>
      </c>
      <c r="H12" s="631">
        <v>3238.511</v>
      </c>
      <c r="I12" s="631">
        <v>17081</v>
      </c>
      <c r="J12" s="784">
        <v>2.8169906100631938</v>
      </c>
      <c r="K12" s="700"/>
      <c r="L12" s="627" t="s">
        <v>215</v>
      </c>
      <c r="M12" s="628">
        <v>1582.1980000000001</v>
      </c>
      <c r="N12" s="628">
        <v>361.173</v>
      </c>
      <c r="O12" s="686">
        <v>4.3807205965008462</v>
      </c>
      <c r="P12" s="700"/>
      <c r="Q12" s="627" t="s">
        <v>208</v>
      </c>
      <c r="R12" s="628">
        <v>457.899</v>
      </c>
      <c r="S12" s="628">
        <v>156.01599999999999</v>
      </c>
      <c r="T12" s="686">
        <v>2.9349489795918369</v>
      </c>
    </row>
    <row r="13" spans="2:28" ht="15.75">
      <c r="B13" s="629" t="s">
        <v>199</v>
      </c>
      <c r="C13" s="628">
        <v>2086.7689999999998</v>
      </c>
      <c r="D13" s="628">
        <v>2097</v>
      </c>
      <c r="E13" s="686">
        <v>1.602988633421903</v>
      </c>
      <c r="F13" s="898"/>
      <c r="G13" s="122"/>
      <c r="H13" s="122"/>
      <c r="I13" s="122"/>
      <c r="J13" s="122"/>
      <c r="K13" s="700"/>
      <c r="L13" s="627" t="s">
        <v>311</v>
      </c>
      <c r="M13" s="628">
        <v>1568.518</v>
      </c>
      <c r="N13" s="628">
        <v>207.96</v>
      </c>
      <c r="O13" s="686">
        <v>7.5424023850740527</v>
      </c>
      <c r="P13" s="700"/>
      <c r="Q13" s="627" t="s">
        <v>203</v>
      </c>
      <c r="R13" s="628">
        <v>373.49799999999999</v>
      </c>
      <c r="S13" s="628">
        <v>109.25700000000001</v>
      </c>
      <c r="T13" s="686">
        <v>3.4185269593710239</v>
      </c>
    </row>
    <row r="14" spans="2:28" ht="15.75">
      <c r="B14" s="629" t="s">
        <v>214</v>
      </c>
      <c r="C14" s="628">
        <v>1269.165</v>
      </c>
      <c r="D14" s="630">
        <v>2128</v>
      </c>
      <c r="E14" s="687">
        <v>2.0366893417486294</v>
      </c>
      <c r="F14" s="898"/>
      <c r="G14" s="122"/>
      <c r="H14" s="122"/>
      <c r="I14" s="122"/>
      <c r="J14" s="122"/>
      <c r="K14" s="700"/>
      <c r="L14" s="627" t="s">
        <v>194</v>
      </c>
      <c r="M14" s="628">
        <v>1427.144</v>
      </c>
      <c r="N14" s="628">
        <v>560.04700000000003</v>
      </c>
      <c r="O14" s="686">
        <v>2.5482575569550412</v>
      </c>
      <c r="P14" s="700"/>
      <c r="Q14" s="627" t="s">
        <v>380</v>
      </c>
      <c r="R14" s="628">
        <v>345.6</v>
      </c>
      <c r="S14" s="628">
        <v>54.29</v>
      </c>
      <c r="T14" s="686">
        <v>6.3658132252716895</v>
      </c>
    </row>
    <row r="15" spans="2:28" ht="15.75">
      <c r="B15" s="629" t="s">
        <v>207</v>
      </c>
      <c r="C15" s="628">
        <v>1263.8920000000001</v>
      </c>
      <c r="D15" s="628">
        <v>1335</v>
      </c>
      <c r="E15" s="686">
        <v>2.2914194961347123</v>
      </c>
      <c r="F15" s="898"/>
      <c r="K15" s="700"/>
      <c r="L15" s="627" t="s">
        <v>207</v>
      </c>
      <c r="M15" s="628">
        <v>849.50400000000002</v>
      </c>
      <c r="N15" s="628">
        <v>340.64400000000001</v>
      </c>
      <c r="O15" s="686">
        <v>2.4938175925599748</v>
      </c>
      <c r="P15" s="700"/>
      <c r="Q15" s="627" t="s">
        <v>212</v>
      </c>
      <c r="R15" s="628">
        <v>147.32300000000001</v>
      </c>
      <c r="S15" s="628">
        <v>38.283000000000001</v>
      </c>
      <c r="T15" s="686">
        <v>3.8482616304887287</v>
      </c>
    </row>
    <row r="16" spans="2:28" ht="16.5" thickBot="1">
      <c r="B16" s="629" t="s">
        <v>194</v>
      </c>
      <c r="C16" s="628">
        <v>1043.7619999999999</v>
      </c>
      <c r="D16" s="630">
        <v>4118</v>
      </c>
      <c r="E16" s="687">
        <v>3.1077941837649208</v>
      </c>
      <c r="F16" s="898"/>
      <c r="K16" s="700"/>
      <c r="L16" s="627" t="s">
        <v>217</v>
      </c>
      <c r="M16" s="628">
        <v>660.44</v>
      </c>
      <c r="N16" s="628">
        <v>256.21300000000002</v>
      </c>
      <c r="O16" s="686">
        <v>2.5776990238590547</v>
      </c>
      <c r="P16" s="700"/>
      <c r="Q16" s="627" t="s">
        <v>381</v>
      </c>
      <c r="R16" s="628">
        <v>119.505</v>
      </c>
      <c r="S16" s="628">
        <v>15.42</v>
      </c>
      <c r="T16" s="686">
        <v>7.75</v>
      </c>
    </row>
    <row r="17" spans="2:21" ht="16.5" thickBot="1">
      <c r="B17" s="1048" t="s">
        <v>328</v>
      </c>
      <c r="C17" s="631">
        <v>26290.822</v>
      </c>
      <c r="D17" s="631">
        <v>51897</v>
      </c>
      <c r="E17" s="784">
        <v>2.3107606005574834</v>
      </c>
      <c r="F17" s="897"/>
      <c r="K17" s="700"/>
      <c r="L17" s="1048" t="s">
        <v>328</v>
      </c>
      <c r="M17" s="631">
        <v>18696.002</v>
      </c>
      <c r="N17" s="631">
        <v>5557.7370000000001</v>
      </c>
      <c r="O17" s="784">
        <v>3.3639594676754228</v>
      </c>
      <c r="P17" s="700"/>
      <c r="Q17" s="1048" t="s">
        <v>328</v>
      </c>
      <c r="R17" s="631">
        <v>6094.8440000000001</v>
      </c>
      <c r="S17" s="631">
        <v>1492.4829999999999</v>
      </c>
      <c r="T17" s="784">
        <v>4.0836940856277764</v>
      </c>
      <c r="U17" s="122"/>
    </row>
    <row r="18" spans="2:21" ht="15.75">
      <c r="B18" s="122"/>
      <c r="C18" s="122"/>
      <c r="D18" s="122"/>
      <c r="E18" s="122"/>
      <c r="F18" s="899"/>
      <c r="H18" s="122"/>
      <c r="I18" s="122"/>
      <c r="J18" s="122"/>
      <c r="K18" s="122"/>
      <c r="L18" s="122"/>
      <c r="M18" s="122"/>
      <c r="N18" s="122"/>
      <c r="O18" s="122"/>
      <c r="P18" s="700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0"/>
      <c r="K19" s="700"/>
      <c r="L19" s="122"/>
      <c r="M19" s="122"/>
      <c r="N19" s="122"/>
      <c r="O19" s="122"/>
      <c r="P19" s="700"/>
      <c r="Q19" s="122"/>
      <c r="R19" s="122"/>
      <c r="S19" s="122"/>
      <c r="T19" s="122"/>
      <c r="U19" s="122"/>
    </row>
    <row r="20" spans="2:21" ht="15" customHeight="1">
      <c r="B20" s="122"/>
      <c r="C20" s="122"/>
      <c r="D20" s="122"/>
      <c r="E20" s="122"/>
      <c r="F20" s="900"/>
      <c r="K20" s="700"/>
      <c r="L20" s="122"/>
      <c r="M20" s="122"/>
      <c r="N20" s="122"/>
      <c r="O20" s="122"/>
      <c r="P20" s="700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1"/>
      <c r="K21" s="700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22"/>
      <c r="J37" s="122"/>
      <c r="K37" s="122"/>
    </row>
    <row r="38" spans="2:20">
      <c r="B38" s="122"/>
      <c r="C38" s="122"/>
      <c r="D38" s="122"/>
      <c r="E38" s="122"/>
      <c r="F38" s="122"/>
      <c r="G38" s="122"/>
      <c r="H38" s="122"/>
      <c r="I38" s="122"/>
      <c r="J38" s="122"/>
      <c r="K38" s="122"/>
    </row>
    <row r="39" spans="2:20"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  <row r="40" spans="2:20">
      <c r="B40" s="122"/>
      <c r="C40" s="122"/>
      <c r="D40" s="122"/>
      <c r="E40" s="122"/>
      <c r="F40" s="122"/>
      <c r="G40" s="122"/>
      <c r="H40" s="122"/>
      <c r="I40" s="122"/>
      <c r="J40" s="122"/>
      <c r="K40" s="122"/>
    </row>
    <row r="41" spans="2:20">
      <c r="B41" s="122"/>
      <c r="C41" s="122"/>
      <c r="D41" s="122"/>
      <c r="E41" s="122"/>
      <c r="F41" s="122"/>
      <c r="G41" s="122"/>
      <c r="H41" s="122"/>
      <c r="I41" s="122"/>
      <c r="J41" s="122"/>
      <c r="K41" s="122"/>
    </row>
    <row r="42" spans="2:20">
      <c r="B42" s="122"/>
      <c r="C42" s="122"/>
      <c r="D42" s="122"/>
      <c r="E42" s="122"/>
      <c r="F42" s="122"/>
      <c r="G42" s="122"/>
      <c r="H42" s="122"/>
      <c r="I42" s="122"/>
      <c r="J42" s="122"/>
      <c r="K42" s="122"/>
    </row>
    <row r="43" spans="2:20">
      <c r="B43" s="122"/>
      <c r="C43" s="122"/>
      <c r="D43" s="122"/>
      <c r="E43" s="122"/>
      <c r="F43" s="122"/>
      <c r="G43" s="122"/>
      <c r="H43" s="122"/>
      <c r="I43" s="122"/>
      <c r="J43" s="122"/>
      <c r="K43" s="122"/>
    </row>
    <row r="44" spans="2:20">
      <c r="B44" s="122"/>
      <c r="C44" s="122"/>
      <c r="D44" s="122"/>
      <c r="E44" s="122"/>
      <c r="F44" s="122"/>
      <c r="G44" s="122"/>
      <c r="H44" s="122"/>
      <c r="I44" s="122"/>
      <c r="J44" s="122"/>
      <c r="K44" s="122"/>
    </row>
    <row r="45" spans="2:20">
      <c r="B45" s="122"/>
      <c r="C45" s="122"/>
      <c r="D45" s="122"/>
      <c r="E45" s="122"/>
      <c r="F45" s="122"/>
      <c r="G45" s="122"/>
      <c r="H45" s="122"/>
      <c r="I45" s="122"/>
      <c r="J45" s="122"/>
      <c r="K45" s="122"/>
    </row>
    <row r="46" spans="2:20">
      <c r="B46" s="122"/>
      <c r="C46" s="122"/>
      <c r="D46" s="122"/>
      <c r="E46" s="122"/>
      <c r="F46" s="122"/>
      <c r="G46" s="122"/>
      <c r="H46" s="122"/>
      <c r="I46" s="122"/>
      <c r="J46" s="122"/>
      <c r="K46" s="122"/>
    </row>
    <row r="47" spans="2:20">
      <c r="B47" s="122"/>
      <c r="C47" s="122"/>
      <c r="D47" s="122"/>
      <c r="E47" s="122"/>
      <c r="F47" s="122"/>
      <c r="G47" s="122"/>
      <c r="H47" s="122"/>
      <c r="I47" s="122"/>
      <c r="J47" s="122"/>
      <c r="K47" s="122"/>
    </row>
    <row r="48" spans="2:20">
      <c r="B48" s="122"/>
      <c r="C48" s="122"/>
      <c r="D48" s="122"/>
      <c r="E48" s="122"/>
      <c r="F48" s="122"/>
      <c r="G48" s="122"/>
      <c r="H48" s="122"/>
      <c r="I48" s="122"/>
      <c r="J48" s="122"/>
      <c r="K48" s="122"/>
    </row>
    <row r="49" spans="2:11">
      <c r="B49" s="122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2:11"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2:11"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  <row r="52" spans="2:11">
      <c r="B52" s="122"/>
      <c r="C52" s="122"/>
      <c r="D52" s="122"/>
      <c r="E52" s="122"/>
      <c r="F52" s="122"/>
      <c r="G52" s="122"/>
      <c r="H52" s="122"/>
      <c r="I52" s="122"/>
      <c r="J52" s="122"/>
      <c r="K52" s="122"/>
    </row>
    <row r="53" spans="2:11"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2:11">
      <c r="B54" s="122"/>
      <c r="C54" s="122"/>
      <c r="D54" s="122"/>
      <c r="E54" s="122"/>
      <c r="F54" s="122"/>
      <c r="G54" s="122"/>
      <c r="H54" s="122"/>
      <c r="I54" s="122"/>
      <c r="J54" s="122"/>
      <c r="K54" s="122"/>
    </row>
    <row r="55" spans="2:11">
      <c r="B55" s="122"/>
      <c r="C55" s="122"/>
      <c r="D55" s="122"/>
      <c r="E55" s="122"/>
      <c r="F55" s="122"/>
      <c r="G55" s="122"/>
      <c r="H55" s="122"/>
      <c r="I55" s="122"/>
      <c r="J55" s="122"/>
      <c r="K55" s="122"/>
    </row>
    <row r="56" spans="2:11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1">
      <c r="B57" s="122"/>
      <c r="C57" s="122"/>
      <c r="D57" s="122"/>
      <c r="E57" s="122"/>
      <c r="F57" s="122"/>
      <c r="G57" s="122"/>
      <c r="H57" s="122"/>
      <c r="I57" s="122"/>
      <c r="J57" s="122"/>
    </row>
    <row r="58" spans="2:11">
      <c r="B58" s="122"/>
      <c r="C58" s="122"/>
      <c r="D58" s="122"/>
      <c r="E58" s="122"/>
      <c r="F58" s="122"/>
      <c r="G58" s="122"/>
      <c r="H58" s="122"/>
      <c r="I58" s="122"/>
      <c r="J58" s="122"/>
    </row>
    <row r="59" spans="2:11">
      <c r="B59" s="122"/>
      <c r="C59" s="122"/>
      <c r="D59" s="122"/>
      <c r="E59" s="122"/>
      <c r="F59" s="122"/>
      <c r="G59" s="122"/>
      <c r="H59" s="122"/>
      <c r="I59" s="122"/>
      <c r="J59" s="122"/>
    </row>
    <row r="60" spans="2:11">
      <c r="B60" s="122"/>
      <c r="C60" s="122"/>
      <c r="D60" s="122"/>
      <c r="E60" s="122"/>
      <c r="F60" s="122"/>
      <c r="G60" s="122"/>
      <c r="H60" s="122"/>
      <c r="I60" s="122"/>
      <c r="J60" s="122"/>
    </row>
    <row r="61" spans="2:11">
      <c r="B61" s="122"/>
      <c r="C61" s="122"/>
      <c r="D61" s="122"/>
      <c r="E61" s="122"/>
      <c r="F61" s="122"/>
      <c r="G61" s="122"/>
      <c r="H61" s="122"/>
      <c r="I61" s="122"/>
      <c r="J61" s="122"/>
    </row>
    <row r="62" spans="2:11">
      <c r="B62" s="122"/>
      <c r="C62" s="122"/>
      <c r="D62" s="122"/>
      <c r="E62" s="122"/>
      <c r="F62" s="122"/>
      <c r="G62" s="122"/>
      <c r="H62" s="122"/>
      <c r="I62" s="122"/>
      <c r="J62" s="122"/>
    </row>
    <row r="63" spans="2:11">
      <c r="B63" s="122"/>
      <c r="C63" s="122"/>
      <c r="D63" s="122"/>
      <c r="E63" s="122"/>
      <c r="F63" s="122"/>
      <c r="G63" s="122"/>
      <c r="H63" s="122"/>
      <c r="I63" s="122"/>
      <c r="J63" s="122"/>
    </row>
    <row r="64" spans="2:11">
      <c r="B64" s="122"/>
      <c r="C64" s="122"/>
      <c r="D64" s="122"/>
      <c r="E64" s="122"/>
      <c r="F64" s="122"/>
      <c r="G64" s="122"/>
      <c r="H64" s="122"/>
      <c r="I64" s="122"/>
      <c r="J64" s="122"/>
    </row>
    <row r="65" spans="2:10">
      <c r="B65" s="122"/>
      <c r="C65" s="122"/>
      <c r="D65" s="122"/>
      <c r="E65" s="122"/>
      <c r="F65" s="122"/>
      <c r="G65" s="122"/>
      <c r="H65" s="122"/>
      <c r="I65" s="122"/>
      <c r="J65" s="122"/>
    </row>
    <row r="66" spans="2:10">
      <c r="B66" s="122"/>
      <c r="C66" s="122"/>
      <c r="D66" s="122"/>
      <c r="E66" s="122"/>
      <c r="F66" s="122"/>
      <c r="G66" s="122"/>
      <c r="H66" s="122"/>
      <c r="I66" s="122"/>
      <c r="J66" s="122"/>
    </row>
    <row r="67" spans="2:10">
      <c r="B67" s="122"/>
      <c r="C67" s="122"/>
      <c r="D67" s="122"/>
      <c r="E67" s="122"/>
      <c r="F67" s="122"/>
      <c r="G67" s="122"/>
      <c r="H67" s="122"/>
      <c r="I67" s="122"/>
      <c r="J67" s="122"/>
    </row>
    <row r="68" spans="2:10">
      <c r="B68" s="122"/>
      <c r="C68" s="122"/>
      <c r="D68" s="122"/>
      <c r="E68" s="122"/>
      <c r="F68" s="122"/>
      <c r="G68" s="122"/>
      <c r="H68" s="122"/>
      <c r="I68" s="122"/>
      <c r="J68" s="122"/>
    </row>
    <row r="69" spans="2:10">
      <c r="B69" s="122"/>
      <c r="C69" s="122"/>
      <c r="D69" s="122"/>
      <c r="E69" s="122"/>
      <c r="F69" s="122"/>
      <c r="G69" s="122"/>
      <c r="H69" s="122"/>
      <c r="I69" s="122"/>
      <c r="J69" s="122"/>
    </row>
    <row r="70" spans="2:10">
      <c r="B70" s="122"/>
      <c r="C70" s="122"/>
      <c r="D70" s="122"/>
      <c r="E70" s="122"/>
      <c r="F70" s="122"/>
      <c r="G70" s="122"/>
      <c r="H70" s="122"/>
      <c r="I70" s="122"/>
      <c r="J70" s="122"/>
    </row>
    <row r="71" spans="2:10">
      <c r="B71" s="122"/>
      <c r="C71" s="122"/>
      <c r="D71" s="122"/>
      <c r="E71" s="122"/>
      <c r="F71" s="122"/>
      <c r="G71" s="122"/>
      <c r="H71" s="122"/>
      <c r="I71" s="122"/>
      <c r="J71" s="122"/>
    </row>
    <row r="72" spans="2:10">
      <c r="B72" s="122"/>
      <c r="C72" s="122"/>
      <c r="D72" s="122"/>
      <c r="E72" s="122"/>
      <c r="F72" s="122"/>
      <c r="G72" s="122"/>
      <c r="H72" s="122"/>
      <c r="I72" s="122"/>
      <c r="J72" s="122"/>
    </row>
    <row r="73" spans="2:10">
      <c r="B73" s="122"/>
      <c r="C73" s="122"/>
      <c r="D73" s="122"/>
      <c r="E73" s="122"/>
      <c r="F73" s="122"/>
      <c r="G73" s="122"/>
      <c r="H73" s="122"/>
      <c r="I73" s="122"/>
      <c r="J73" s="122"/>
    </row>
    <row r="74" spans="2:10">
      <c r="B74" s="122"/>
      <c r="C74" s="122"/>
      <c r="D74" s="122"/>
      <c r="E74" s="122"/>
      <c r="F74" s="122"/>
      <c r="G74" s="122"/>
      <c r="H74" s="122"/>
      <c r="I74" s="122"/>
      <c r="J74" s="122"/>
    </row>
    <row r="75" spans="2:10">
      <c r="B75" s="122"/>
      <c r="C75" s="122"/>
      <c r="D75" s="122"/>
      <c r="E75" s="122"/>
      <c r="F75" s="122"/>
      <c r="G75" s="122"/>
      <c r="H75" s="122"/>
      <c r="I75" s="122"/>
      <c r="J75" s="122"/>
    </row>
    <row r="76" spans="2:10">
      <c r="B76" s="122"/>
      <c r="C76" s="122"/>
      <c r="D76" s="122"/>
      <c r="E76" s="122"/>
      <c r="F76" s="122"/>
      <c r="G76" s="122"/>
      <c r="H76" s="122"/>
      <c r="I76" s="122"/>
      <c r="J76" s="122"/>
    </row>
    <row r="77" spans="2:10">
      <c r="B77" s="122"/>
      <c r="C77" s="122"/>
      <c r="D77" s="122"/>
      <c r="E77" s="122"/>
      <c r="F77" s="122"/>
      <c r="G77" s="122"/>
      <c r="H77" s="122"/>
      <c r="I77" s="122"/>
      <c r="J77" s="122"/>
    </row>
    <row r="78" spans="2:10">
      <c r="B78" s="122"/>
      <c r="C78" s="122"/>
      <c r="D78" s="122"/>
      <c r="E78" s="122"/>
      <c r="F78" s="122"/>
      <c r="G78" s="122"/>
      <c r="H78" s="122"/>
      <c r="I78" s="122"/>
      <c r="J78" s="122"/>
    </row>
    <row r="79" spans="2:10">
      <c r="B79" s="122"/>
      <c r="C79" s="122"/>
      <c r="D79" s="122"/>
      <c r="E79" s="122"/>
      <c r="F79" s="122"/>
      <c r="G79" s="122"/>
      <c r="H79" s="122"/>
      <c r="I79" s="122"/>
      <c r="J79" s="122"/>
    </row>
    <row r="80" spans="2:10">
      <c r="B80" s="122"/>
      <c r="C80" s="122"/>
      <c r="D80" s="122"/>
      <c r="E80" s="122"/>
      <c r="F80" s="122"/>
      <c r="G80" s="122"/>
      <c r="H80" s="122"/>
      <c r="I80" s="122"/>
      <c r="J80" s="122"/>
    </row>
    <row r="81" spans="2:10">
      <c r="B81" s="122"/>
      <c r="C81" s="122"/>
      <c r="D81" s="122"/>
      <c r="E81" s="122"/>
      <c r="F81" s="122"/>
      <c r="G81" s="122"/>
      <c r="H81" s="122"/>
      <c r="I81" s="122"/>
      <c r="J81" s="122"/>
    </row>
    <row r="82" spans="2:10">
      <c r="B82" s="122"/>
      <c r="C82" s="122"/>
      <c r="D82" s="122"/>
      <c r="E82" s="122"/>
      <c r="F82" s="122"/>
      <c r="G82" s="122"/>
      <c r="H82" s="122"/>
      <c r="I82" s="122"/>
      <c r="J82" s="122"/>
    </row>
    <row r="83" spans="2:10">
      <c r="B83" s="122"/>
      <c r="C83" s="122"/>
      <c r="D83" s="122"/>
      <c r="E83" s="122"/>
      <c r="F83" s="122"/>
      <c r="G83" s="122"/>
      <c r="H83" s="122"/>
      <c r="I83" s="122"/>
      <c r="J83" s="122"/>
    </row>
    <row r="84" spans="2:10">
      <c r="B84" s="122"/>
      <c r="C84" s="122"/>
      <c r="D84" s="122"/>
      <c r="E84" s="122"/>
      <c r="F84" s="122"/>
      <c r="G84" s="122"/>
      <c r="H84" s="122"/>
      <c r="I84" s="122"/>
      <c r="J84" s="122"/>
    </row>
    <row r="85" spans="2:10">
      <c r="B85" s="122"/>
      <c r="C85" s="122"/>
      <c r="D85" s="122"/>
      <c r="E85" s="122"/>
      <c r="F85" s="122"/>
      <c r="G85" s="122"/>
      <c r="H85" s="122"/>
      <c r="I85" s="122"/>
      <c r="J85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1"/>
  <sheetViews>
    <sheetView topLeftCell="A586" zoomScale="80" zoomScaleNormal="80" workbookViewId="0">
      <selection activeCell="P629" sqref="P629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236" t="s">
        <v>261</v>
      </c>
      <c r="C5" s="1236"/>
      <c r="D5" s="1236"/>
      <c r="E5" s="1236"/>
      <c r="F5" s="1236"/>
      <c r="G5" s="1236"/>
      <c r="H5" s="1236"/>
      <c r="I5" s="1236"/>
      <c r="J5" s="1236"/>
      <c r="K5" s="1236"/>
      <c r="L5" s="1236"/>
    </row>
    <row r="6" spans="2:13" ht="18">
      <c r="B6" s="706"/>
      <c r="C6" s="706"/>
      <c r="D6" s="706"/>
      <c r="E6" s="706"/>
      <c r="F6" s="460" t="s">
        <v>262</v>
      </c>
      <c r="G6" s="706"/>
      <c r="H6" s="706"/>
      <c r="I6" s="706"/>
      <c r="J6" s="706"/>
      <c r="K6" s="706"/>
      <c r="L6" s="706"/>
    </row>
    <row r="7" spans="2:13" s="461" customFormat="1" ht="15">
      <c r="B7" s="1237" t="s">
        <v>263</v>
      </c>
      <c r="C7" s="1239" t="s">
        <v>22</v>
      </c>
      <c r="D7" s="1239" t="s">
        <v>264</v>
      </c>
      <c r="E7" s="1241" t="s">
        <v>265</v>
      </c>
      <c r="F7" s="1242"/>
      <c r="G7" s="1243"/>
      <c r="H7" s="1244" t="s">
        <v>266</v>
      </c>
      <c r="I7" s="1246" t="s">
        <v>267</v>
      </c>
      <c r="J7" s="1247"/>
      <c r="K7" s="1247"/>
      <c r="L7" s="1237"/>
    </row>
    <row r="8" spans="2:13">
      <c r="B8" s="1238"/>
      <c r="C8" s="1240"/>
      <c r="D8" s="1240"/>
      <c r="E8" s="1248" t="s">
        <v>268</v>
      </c>
      <c r="F8" s="1239" t="s">
        <v>269</v>
      </c>
      <c r="G8" s="1239" t="s">
        <v>270</v>
      </c>
      <c r="H8" s="1245"/>
      <c r="I8" s="1248" t="s">
        <v>271</v>
      </c>
      <c r="J8" s="1248" t="s">
        <v>24</v>
      </c>
      <c r="K8" s="1239" t="s">
        <v>272</v>
      </c>
      <c r="L8" s="1248" t="s">
        <v>273</v>
      </c>
    </row>
    <row r="9" spans="2:13">
      <c r="B9" s="1238"/>
      <c r="C9" s="1240"/>
      <c r="D9" s="1240"/>
      <c r="E9" s="1249"/>
      <c r="F9" s="1240"/>
      <c r="G9" s="1240"/>
      <c r="H9" s="1245"/>
      <c r="I9" s="1249"/>
      <c r="J9" s="1249"/>
      <c r="K9" s="1264"/>
      <c r="L9" s="1249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6"/>
      <c r="D29" s="480"/>
      <c r="E29" s="706"/>
      <c r="F29" s="706"/>
      <c r="H29" s="706"/>
      <c r="I29" s="706"/>
      <c r="J29" s="706"/>
      <c r="K29" s="706"/>
      <c r="L29" s="706"/>
    </row>
    <row r="30" spans="2:13" s="461" customFormat="1" ht="18.75" customHeight="1">
      <c r="B30" s="706"/>
      <c r="C30" s="706"/>
      <c r="D30" s="706"/>
      <c r="E30" s="706"/>
      <c r="F30" s="460" t="s">
        <v>262</v>
      </c>
      <c r="G30" s="706"/>
      <c r="H30" s="706"/>
      <c r="I30" s="706"/>
      <c r="J30" s="706"/>
      <c r="K30" s="706"/>
      <c r="L30" s="706"/>
    </row>
    <row r="31" spans="2:13" ht="30">
      <c r="B31" s="707" t="s">
        <v>263</v>
      </c>
      <c r="C31" s="709" t="s">
        <v>22</v>
      </c>
      <c r="D31" s="709" t="s">
        <v>264</v>
      </c>
      <c r="E31" s="711" t="s">
        <v>265</v>
      </c>
      <c r="F31" s="712"/>
      <c r="G31" s="713"/>
      <c r="H31" s="714" t="s">
        <v>266</v>
      </c>
      <c r="I31" s="711" t="s">
        <v>267</v>
      </c>
      <c r="J31" s="712"/>
      <c r="K31" s="712"/>
      <c r="L31" s="712"/>
      <c r="M31" s="466"/>
    </row>
    <row r="32" spans="2:13" ht="15">
      <c r="B32" s="708"/>
      <c r="C32" s="710"/>
      <c r="D32" s="710"/>
      <c r="E32" s="717" t="s">
        <v>268</v>
      </c>
      <c r="F32" s="709" t="s">
        <v>269</v>
      </c>
      <c r="G32" s="709" t="s">
        <v>270</v>
      </c>
      <c r="H32" s="715"/>
      <c r="I32" s="717" t="s">
        <v>271</v>
      </c>
      <c r="J32" s="717" t="s">
        <v>24</v>
      </c>
      <c r="K32" s="709" t="s">
        <v>272</v>
      </c>
      <c r="L32" s="716" t="s">
        <v>273</v>
      </c>
      <c r="M32" s="466"/>
    </row>
    <row r="33" spans="2:13" ht="15">
      <c r="B33" s="708"/>
      <c r="C33" s="710"/>
      <c r="D33" s="710"/>
      <c r="E33" s="718"/>
      <c r="F33" s="710"/>
      <c r="G33" s="710"/>
      <c r="H33" s="715"/>
      <c r="I33" s="718"/>
      <c r="J33" s="718"/>
      <c r="K33" s="719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5"/>
      <c r="E36" s="705"/>
      <c r="G36" s="705" t="s">
        <v>274</v>
      </c>
      <c r="H36" s="705"/>
      <c r="I36" s="705"/>
      <c r="J36" s="705"/>
      <c r="K36" s="705"/>
      <c r="L36" s="705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6"/>
      <c r="D53" s="480"/>
      <c r="E53" s="706"/>
      <c r="F53" s="706"/>
      <c r="H53" s="706"/>
      <c r="I53" s="706"/>
      <c r="J53" s="706"/>
      <c r="K53" s="706"/>
      <c r="L53" s="706"/>
    </row>
    <row r="54" spans="2:13" ht="18">
      <c r="B54" s="706"/>
      <c r="C54" s="706"/>
      <c r="D54" s="706"/>
      <c r="E54" s="706"/>
      <c r="F54" s="460" t="s">
        <v>262</v>
      </c>
      <c r="G54" s="706"/>
      <c r="H54" s="706"/>
      <c r="I54" s="706"/>
      <c r="J54" s="706"/>
      <c r="K54" s="706"/>
      <c r="L54" s="706"/>
    </row>
    <row r="55" spans="2:13" ht="30">
      <c r="B55" s="707" t="s">
        <v>263</v>
      </c>
      <c r="C55" s="709" t="s">
        <v>22</v>
      </c>
      <c r="D55" s="709" t="s">
        <v>264</v>
      </c>
      <c r="E55" s="711" t="s">
        <v>265</v>
      </c>
      <c r="F55" s="712"/>
      <c r="G55" s="713"/>
      <c r="H55" s="714" t="s">
        <v>266</v>
      </c>
      <c r="I55" s="711" t="s">
        <v>267</v>
      </c>
      <c r="J55" s="712"/>
      <c r="K55" s="712"/>
      <c r="L55" s="712"/>
      <c r="M55" s="466"/>
    </row>
    <row r="56" spans="2:13" ht="15" customHeight="1">
      <c r="B56" s="708"/>
      <c r="C56" s="710"/>
      <c r="D56" s="710"/>
      <c r="E56" s="717" t="s">
        <v>268</v>
      </c>
      <c r="F56" s="709" t="s">
        <v>269</v>
      </c>
      <c r="G56" s="709" t="s">
        <v>270</v>
      </c>
      <c r="H56" s="715"/>
      <c r="I56" s="717" t="s">
        <v>271</v>
      </c>
      <c r="J56" s="717" t="s">
        <v>24</v>
      </c>
      <c r="K56" s="709" t="s">
        <v>272</v>
      </c>
      <c r="L56" s="716" t="s">
        <v>273</v>
      </c>
      <c r="M56" s="466"/>
    </row>
    <row r="57" spans="2:13" ht="15">
      <c r="B57" s="708"/>
      <c r="C57" s="710"/>
      <c r="D57" s="710"/>
      <c r="E57" s="718"/>
      <c r="F57" s="710"/>
      <c r="G57" s="710"/>
      <c r="H57" s="715"/>
      <c r="I57" s="718"/>
      <c r="J57" s="718"/>
      <c r="K57" s="719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5"/>
      <c r="E60" s="705"/>
      <c r="G60" s="705" t="s">
        <v>274</v>
      </c>
      <c r="H60" s="705"/>
      <c r="I60" s="705"/>
      <c r="J60" s="705"/>
      <c r="K60" s="705"/>
      <c r="L60" s="705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6"/>
      <c r="D78" s="480"/>
      <c r="E78" s="706"/>
      <c r="F78" s="706"/>
      <c r="H78" s="706"/>
      <c r="I78" s="706"/>
      <c r="J78" s="706"/>
      <c r="K78" s="706"/>
      <c r="L78" s="706"/>
    </row>
    <row r="79" spans="2:13" ht="18">
      <c r="B79" s="706"/>
      <c r="C79" s="706"/>
      <c r="D79" s="706"/>
      <c r="E79" s="706"/>
      <c r="F79" s="460" t="s">
        <v>262</v>
      </c>
      <c r="G79" s="706"/>
      <c r="H79" s="706"/>
      <c r="I79" s="706"/>
      <c r="J79" s="706"/>
      <c r="K79" s="706"/>
      <c r="L79" s="706"/>
    </row>
    <row r="80" spans="2:13" ht="30">
      <c r="B80" s="707" t="s">
        <v>263</v>
      </c>
      <c r="C80" s="709" t="s">
        <v>22</v>
      </c>
      <c r="D80" s="709" t="s">
        <v>264</v>
      </c>
      <c r="E80" s="711" t="s">
        <v>265</v>
      </c>
      <c r="F80" s="712"/>
      <c r="G80" s="713"/>
      <c r="H80" s="714" t="s">
        <v>266</v>
      </c>
      <c r="I80" s="711" t="s">
        <v>267</v>
      </c>
      <c r="J80" s="712"/>
      <c r="K80" s="712"/>
      <c r="L80" s="712"/>
      <c r="M80" s="466"/>
    </row>
    <row r="81" spans="2:13" ht="15">
      <c r="B81" s="708"/>
      <c r="C81" s="710"/>
      <c r="D81" s="710"/>
      <c r="E81" s="717" t="s">
        <v>268</v>
      </c>
      <c r="F81" s="709" t="s">
        <v>269</v>
      </c>
      <c r="G81" s="709" t="s">
        <v>270</v>
      </c>
      <c r="H81" s="715"/>
      <c r="I81" s="717" t="s">
        <v>271</v>
      </c>
      <c r="J81" s="717" t="s">
        <v>24</v>
      </c>
      <c r="K81" s="709" t="s">
        <v>272</v>
      </c>
      <c r="L81" s="716" t="s">
        <v>273</v>
      </c>
      <c r="M81" s="466"/>
    </row>
    <row r="82" spans="2:13" ht="15">
      <c r="B82" s="708"/>
      <c r="C82" s="710"/>
      <c r="D82" s="710"/>
      <c r="E82" s="718"/>
      <c r="F82" s="710"/>
      <c r="G82" s="710"/>
      <c r="H82" s="715"/>
      <c r="I82" s="718"/>
      <c r="J82" s="718"/>
      <c r="K82" s="719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5"/>
      <c r="E85" s="705"/>
      <c r="G85" s="705" t="s">
        <v>274</v>
      </c>
      <c r="H85" s="705"/>
      <c r="I85" s="705"/>
      <c r="J85" s="705"/>
      <c r="K85" s="705"/>
      <c r="L85" s="705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6"/>
      <c r="D103" s="480"/>
      <c r="E103" s="706"/>
      <c r="F103" s="706"/>
      <c r="H103" s="706"/>
      <c r="I103" s="706"/>
      <c r="J103" s="706"/>
      <c r="K103" s="706"/>
      <c r="L103" s="706"/>
    </row>
    <row r="104" spans="2:15" ht="18">
      <c r="B104" s="706"/>
      <c r="C104" s="706"/>
      <c r="D104" s="706"/>
      <c r="E104" s="706"/>
      <c r="F104" s="460" t="s">
        <v>262</v>
      </c>
      <c r="G104" s="706"/>
      <c r="H104" s="706"/>
      <c r="I104" s="706"/>
      <c r="J104" s="706"/>
      <c r="K104" s="706"/>
      <c r="L104" s="706"/>
    </row>
    <row r="105" spans="2:15" ht="30">
      <c r="B105" s="707" t="s">
        <v>263</v>
      </c>
      <c r="C105" s="709" t="s">
        <v>22</v>
      </c>
      <c r="D105" s="709" t="s">
        <v>264</v>
      </c>
      <c r="E105" s="711" t="s">
        <v>265</v>
      </c>
      <c r="F105" s="712"/>
      <c r="G105" s="713"/>
      <c r="H105" s="714" t="s">
        <v>266</v>
      </c>
      <c r="I105" s="711" t="s">
        <v>267</v>
      </c>
      <c r="J105" s="712"/>
      <c r="K105" s="712"/>
      <c r="L105" s="712"/>
      <c r="N105" s="1235"/>
      <c r="O105" s="1235"/>
    </row>
    <row r="106" spans="2:15" ht="15">
      <c r="B106" s="708"/>
      <c r="C106" s="710"/>
      <c r="D106" s="710"/>
      <c r="E106" s="717" t="s">
        <v>268</v>
      </c>
      <c r="F106" s="709" t="s">
        <v>269</v>
      </c>
      <c r="G106" s="709" t="s">
        <v>270</v>
      </c>
      <c r="H106" s="715"/>
      <c r="I106" s="717" t="s">
        <v>271</v>
      </c>
      <c r="J106" s="717" t="s">
        <v>24</v>
      </c>
      <c r="K106" s="709" t="s">
        <v>272</v>
      </c>
      <c r="L106" s="716" t="s">
        <v>273</v>
      </c>
    </row>
    <row r="107" spans="2:15" ht="15">
      <c r="B107" s="708"/>
      <c r="C107" s="710"/>
      <c r="D107" s="710"/>
      <c r="E107" s="718"/>
      <c r="F107" s="710"/>
      <c r="G107" s="710"/>
      <c r="H107" s="715"/>
      <c r="I107" s="718"/>
      <c r="J107" s="718"/>
      <c r="K107" s="719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5"/>
      <c r="E110" s="705"/>
      <c r="G110" s="705" t="s">
        <v>274</v>
      </c>
      <c r="H110" s="705"/>
      <c r="I110" s="705"/>
      <c r="J110" s="705"/>
      <c r="K110" s="705"/>
      <c r="L110" s="705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35"/>
      <c r="O121" s="1235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6"/>
      <c r="D128" s="480"/>
      <c r="E128" s="706"/>
      <c r="F128" s="706"/>
      <c r="H128" s="706"/>
      <c r="I128" s="706"/>
      <c r="J128" s="706"/>
      <c r="K128" s="706"/>
      <c r="L128" s="706"/>
    </row>
    <row r="129" spans="2:12" ht="18">
      <c r="B129" s="706"/>
      <c r="C129" s="706"/>
      <c r="D129" s="706"/>
      <c r="E129" s="706"/>
      <c r="F129" s="460" t="s">
        <v>262</v>
      </c>
      <c r="G129" s="706"/>
      <c r="H129" s="706"/>
      <c r="I129" s="706"/>
      <c r="J129" s="706"/>
      <c r="K129" s="706"/>
      <c r="L129" s="706"/>
    </row>
    <row r="130" spans="2:12" ht="30">
      <c r="B130" s="707" t="s">
        <v>263</v>
      </c>
      <c r="C130" s="709" t="s">
        <v>22</v>
      </c>
      <c r="D130" s="709" t="s">
        <v>264</v>
      </c>
      <c r="E130" s="711" t="s">
        <v>265</v>
      </c>
      <c r="F130" s="712"/>
      <c r="G130" s="713"/>
      <c r="H130" s="714" t="s">
        <v>266</v>
      </c>
      <c r="I130" s="711" t="s">
        <v>267</v>
      </c>
      <c r="J130" s="712"/>
      <c r="K130" s="712"/>
      <c r="L130" s="712"/>
    </row>
    <row r="131" spans="2:12" ht="15">
      <c r="B131" s="708"/>
      <c r="C131" s="710"/>
      <c r="D131" s="710"/>
      <c r="E131" s="717" t="s">
        <v>268</v>
      </c>
      <c r="F131" s="709" t="s">
        <v>269</v>
      </c>
      <c r="G131" s="709" t="s">
        <v>270</v>
      </c>
      <c r="H131" s="715"/>
      <c r="I131" s="717" t="s">
        <v>271</v>
      </c>
      <c r="J131" s="717" t="s">
        <v>24</v>
      </c>
      <c r="K131" s="709" t="s">
        <v>272</v>
      </c>
      <c r="L131" s="716" t="s">
        <v>273</v>
      </c>
    </row>
    <row r="132" spans="2:12" ht="15">
      <c r="B132" s="708"/>
      <c r="C132" s="710"/>
      <c r="D132" s="710"/>
      <c r="E132" s="718"/>
      <c r="F132" s="710"/>
      <c r="G132" s="710"/>
      <c r="H132" s="715"/>
      <c r="I132" s="718"/>
      <c r="J132" s="718"/>
      <c r="K132" s="719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5"/>
      <c r="E135" s="705"/>
      <c r="G135" s="705" t="s">
        <v>274</v>
      </c>
      <c r="H135" s="705"/>
      <c r="I135" s="705"/>
      <c r="J135" s="705"/>
      <c r="K135" s="705"/>
      <c r="L135" s="705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35"/>
      <c r="O145" s="1235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6"/>
      <c r="D154" s="706"/>
      <c r="E154" s="706"/>
      <c r="F154" s="460" t="s">
        <v>262</v>
      </c>
      <c r="G154" s="706"/>
      <c r="H154" s="706"/>
      <c r="I154" s="706"/>
      <c r="J154" s="706"/>
      <c r="K154" s="706"/>
      <c r="L154" s="508"/>
    </row>
    <row r="155" spans="2:15" ht="30">
      <c r="B155" s="509" t="s">
        <v>263</v>
      </c>
      <c r="C155" s="709" t="s">
        <v>22</v>
      </c>
      <c r="D155" s="709" t="s">
        <v>264</v>
      </c>
      <c r="E155" s="711" t="s">
        <v>265</v>
      </c>
      <c r="F155" s="712"/>
      <c r="G155" s="713"/>
      <c r="H155" s="714" t="s">
        <v>266</v>
      </c>
      <c r="I155" s="711" t="s">
        <v>267</v>
      </c>
      <c r="J155" s="712"/>
      <c r="K155" s="712"/>
      <c r="L155" s="510"/>
    </row>
    <row r="156" spans="2:15" ht="15">
      <c r="B156" s="511"/>
      <c r="C156" s="710"/>
      <c r="D156" s="710"/>
      <c r="E156" s="717" t="s">
        <v>268</v>
      </c>
      <c r="F156" s="709" t="s">
        <v>269</v>
      </c>
      <c r="G156" s="709" t="s">
        <v>270</v>
      </c>
      <c r="H156" s="715"/>
      <c r="I156" s="717" t="s">
        <v>271</v>
      </c>
      <c r="J156" s="717" t="s">
        <v>24</v>
      </c>
      <c r="K156" s="709" t="s">
        <v>272</v>
      </c>
      <c r="L156" s="512" t="s">
        <v>273</v>
      </c>
    </row>
    <row r="157" spans="2:15" ht="15">
      <c r="B157" s="511"/>
      <c r="C157" s="710"/>
      <c r="D157" s="710"/>
      <c r="E157" s="718"/>
      <c r="F157" s="710"/>
      <c r="G157" s="710"/>
      <c r="H157" s="715"/>
      <c r="I157" s="718"/>
      <c r="J157" s="718"/>
      <c r="K157" s="719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5"/>
      <c r="E160" s="705"/>
      <c r="F160" s="519"/>
      <c r="G160" s="705" t="s">
        <v>274</v>
      </c>
      <c r="H160" s="705"/>
      <c r="I160" s="705"/>
      <c r="J160" s="705"/>
      <c r="K160" s="705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35"/>
      <c r="O171" s="1235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9" t="s">
        <v>299</v>
      </c>
      <c r="D177" s="1269"/>
      <c r="E177" s="1269"/>
      <c r="F177" s="1269"/>
      <c r="G177" s="1269"/>
      <c r="H177" s="1269"/>
      <c r="I177" s="1269"/>
      <c r="J177" s="1269"/>
      <c r="K177" s="1269"/>
      <c r="L177" s="1270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250" t="s">
        <v>263</v>
      </c>
      <c r="C194" s="1252" t="s">
        <v>22</v>
      </c>
      <c r="D194" s="1252" t="s">
        <v>264</v>
      </c>
      <c r="E194" s="1254" t="s">
        <v>265</v>
      </c>
      <c r="F194" s="1255"/>
      <c r="G194" s="1256"/>
      <c r="H194" s="1257" t="s">
        <v>266</v>
      </c>
      <c r="I194" s="1259" t="s">
        <v>267</v>
      </c>
      <c r="J194" s="1260"/>
      <c r="K194" s="1260"/>
      <c r="L194" s="1261"/>
    </row>
    <row r="195" spans="2:12" ht="12.75" customHeight="1">
      <c r="B195" s="1251"/>
      <c r="C195" s="1253"/>
      <c r="D195" s="1253"/>
      <c r="E195" s="1262" t="s">
        <v>268</v>
      </c>
      <c r="F195" s="1252" t="s">
        <v>269</v>
      </c>
      <c r="G195" s="1252" t="s">
        <v>270</v>
      </c>
      <c r="H195" s="1258"/>
      <c r="I195" s="1262" t="s">
        <v>271</v>
      </c>
      <c r="J195" s="1262" t="s">
        <v>24</v>
      </c>
      <c r="K195" s="1252" t="s">
        <v>272</v>
      </c>
      <c r="L195" s="1267" t="s">
        <v>273</v>
      </c>
    </row>
    <row r="196" spans="2:12" ht="12.75" customHeight="1">
      <c r="B196" s="1251"/>
      <c r="C196" s="1253"/>
      <c r="D196" s="1253"/>
      <c r="E196" s="1263"/>
      <c r="F196" s="1253"/>
      <c r="G196" s="1253"/>
      <c r="H196" s="1258"/>
      <c r="I196" s="1265"/>
      <c r="J196" s="1265"/>
      <c r="K196" s="1266"/>
      <c r="L196" s="1268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9" t="s">
        <v>300</v>
      </c>
      <c r="D199" s="1269"/>
      <c r="E199" s="1269"/>
      <c r="F199" s="1269"/>
      <c r="G199" s="1269"/>
      <c r="H199" s="1269"/>
      <c r="I199" s="1269"/>
      <c r="J199" s="1269"/>
      <c r="K199" s="1269"/>
      <c r="L199" s="1270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6"/>
      <c r="D232" s="480"/>
      <c r="E232" s="706"/>
      <c r="F232" s="706"/>
      <c r="H232" s="706"/>
      <c r="I232" s="706"/>
      <c r="J232" s="706"/>
      <c r="K232" s="706"/>
      <c r="L232" s="706"/>
    </row>
    <row r="233" spans="2:12" ht="18">
      <c r="B233" s="706"/>
      <c r="C233" s="706"/>
      <c r="D233" s="706"/>
      <c r="E233" s="706"/>
      <c r="F233" s="460" t="s">
        <v>262</v>
      </c>
      <c r="G233" s="706"/>
      <c r="H233" s="706"/>
      <c r="I233" s="706"/>
      <c r="J233" s="706"/>
      <c r="K233" s="706"/>
      <c r="L233" s="706"/>
    </row>
    <row r="234" spans="2:12" ht="12.75">
      <c r="B234" s="1273" t="s">
        <v>263</v>
      </c>
      <c r="C234" s="1252" t="s">
        <v>22</v>
      </c>
      <c r="D234" s="1252" t="s">
        <v>264</v>
      </c>
      <c r="E234" s="1254" t="s">
        <v>265</v>
      </c>
      <c r="F234" s="1255"/>
      <c r="G234" s="1256"/>
      <c r="H234" s="1257" t="s">
        <v>266</v>
      </c>
      <c r="I234" s="1254" t="s">
        <v>267</v>
      </c>
      <c r="J234" s="1255"/>
      <c r="K234" s="1255"/>
      <c r="L234" s="1255"/>
    </row>
    <row r="235" spans="2:12">
      <c r="B235" s="1274"/>
      <c r="C235" s="1253"/>
      <c r="D235" s="1253"/>
      <c r="E235" s="1262" t="s">
        <v>268</v>
      </c>
      <c r="F235" s="1252" t="s">
        <v>269</v>
      </c>
      <c r="G235" s="1252" t="s">
        <v>270</v>
      </c>
      <c r="H235" s="1258"/>
      <c r="I235" s="1262" t="s">
        <v>271</v>
      </c>
      <c r="J235" s="1262" t="s">
        <v>24</v>
      </c>
      <c r="K235" s="1252" t="s">
        <v>272</v>
      </c>
      <c r="L235" s="1259" t="s">
        <v>273</v>
      </c>
    </row>
    <row r="236" spans="2:12">
      <c r="B236" s="1274"/>
      <c r="C236" s="1253"/>
      <c r="D236" s="1253"/>
      <c r="E236" s="1263"/>
      <c r="F236" s="1253"/>
      <c r="G236" s="1253"/>
      <c r="H236" s="1258"/>
      <c r="I236" s="1263"/>
      <c r="J236" s="1263"/>
      <c r="K236" s="1253"/>
      <c r="L236" s="1271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72" t="s">
        <v>274</v>
      </c>
      <c r="D239" s="1272"/>
      <c r="E239" s="1272"/>
      <c r="F239" s="1272"/>
      <c r="G239" s="1272"/>
      <c r="H239" s="1272"/>
      <c r="I239" s="1272"/>
      <c r="J239" s="1272"/>
      <c r="K239" s="1272"/>
      <c r="L239" s="1272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9" t="s">
        <v>299</v>
      </c>
      <c r="D256" s="1269"/>
      <c r="E256" s="1269"/>
      <c r="F256" s="1269"/>
      <c r="G256" s="1269"/>
      <c r="H256" s="1269"/>
      <c r="I256" s="1269"/>
      <c r="J256" s="1269"/>
      <c r="K256" s="1269"/>
      <c r="L256" s="1269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75" t="s">
        <v>263</v>
      </c>
      <c r="C273" s="1252" t="s">
        <v>22</v>
      </c>
      <c r="D273" s="1252" t="s">
        <v>264</v>
      </c>
      <c r="E273" s="1254" t="s">
        <v>265</v>
      </c>
      <c r="F273" s="1255"/>
      <c r="G273" s="1256"/>
      <c r="H273" s="1257" t="s">
        <v>266</v>
      </c>
      <c r="I273" s="1259" t="s">
        <v>267</v>
      </c>
      <c r="J273" s="1260"/>
      <c r="K273" s="1260"/>
      <c r="L273" s="1260"/>
    </row>
    <row r="274" spans="2:12" ht="11.25" customHeight="1">
      <c r="B274" s="1276"/>
      <c r="C274" s="1253"/>
      <c r="D274" s="1253"/>
      <c r="E274" s="1262" t="s">
        <v>268</v>
      </c>
      <c r="F274" s="1252" t="s">
        <v>269</v>
      </c>
      <c r="G274" s="1252" t="s">
        <v>270</v>
      </c>
      <c r="H274" s="1258"/>
      <c r="I274" s="1262" t="s">
        <v>271</v>
      </c>
      <c r="J274" s="1262" t="s">
        <v>24</v>
      </c>
      <c r="K274" s="1252" t="s">
        <v>272</v>
      </c>
      <c r="L274" s="1259" t="s">
        <v>273</v>
      </c>
    </row>
    <row r="275" spans="2:12" ht="11.25" customHeight="1">
      <c r="B275" s="1276"/>
      <c r="C275" s="1253"/>
      <c r="D275" s="1253"/>
      <c r="E275" s="1263"/>
      <c r="F275" s="1253"/>
      <c r="G275" s="1253"/>
      <c r="H275" s="1258"/>
      <c r="I275" s="1265"/>
      <c r="J275" s="1265"/>
      <c r="K275" s="1266"/>
      <c r="L275" s="1271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9" t="s">
        <v>300</v>
      </c>
      <c r="D278" s="1269"/>
      <c r="E278" s="1269"/>
      <c r="F278" s="1269"/>
      <c r="G278" s="1269"/>
      <c r="H278" s="1269"/>
      <c r="I278" s="1269"/>
      <c r="J278" s="1269"/>
      <c r="K278" s="1269"/>
      <c r="L278" s="1269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6"/>
      <c r="D311" s="480"/>
      <c r="E311" s="706"/>
      <c r="F311" s="706"/>
      <c r="H311" s="706"/>
      <c r="I311" s="706"/>
      <c r="J311" s="706"/>
      <c r="K311" s="706"/>
      <c r="L311" s="706"/>
    </row>
    <row r="312" spans="2:12" ht="18">
      <c r="B312" s="706"/>
      <c r="C312" s="706"/>
      <c r="D312" s="706"/>
      <c r="E312" s="706"/>
      <c r="F312" s="460" t="s">
        <v>262</v>
      </c>
      <c r="G312" s="706"/>
      <c r="H312" s="706"/>
      <c r="I312" s="706"/>
      <c r="J312" s="706"/>
      <c r="K312" s="706"/>
      <c r="L312" s="706"/>
    </row>
    <row r="313" spans="2:12" ht="12.75" customHeight="1">
      <c r="B313" s="1262" t="s">
        <v>263</v>
      </c>
      <c r="C313" s="1252" t="s">
        <v>22</v>
      </c>
      <c r="D313" s="1252" t="s">
        <v>264</v>
      </c>
      <c r="E313" s="1254" t="s">
        <v>265</v>
      </c>
      <c r="F313" s="1255"/>
      <c r="G313" s="1256"/>
      <c r="H313" s="1252" t="s">
        <v>266</v>
      </c>
      <c r="I313" s="1254" t="s">
        <v>267</v>
      </c>
      <c r="J313" s="1255"/>
      <c r="K313" s="1255"/>
      <c r="L313" s="1256"/>
    </row>
    <row r="314" spans="2:12" ht="11.25" customHeight="1">
      <c r="B314" s="1263"/>
      <c r="C314" s="1253"/>
      <c r="D314" s="1253"/>
      <c r="E314" s="1279" t="s">
        <v>304</v>
      </c>
      <c r="F314" s="1282" t="s">
        <v>305</v>
      </c>
      <c r="G314" s="1282" t="s">
        <v>306</v>
      </c>
      <c r="H314" s="1253"/>
      <c r="I314" s="1262" t="s">
        <v>271</v>
      </c>
      <c r="J314" s="1262" t="s">
        <v>24</v>
      </c>
      <c r="K314" s="1252" t="s">
        <v>272</v>
      </c>
      <c r="L314" s="1262" t="s">
        <v>273</v>
      </c>
    </row>
    <row r="315" spans="2:12" ht="11.25" customHeight="1">
      <c r="B315" s="1265"/>
      <c r="C315" s="1266"/>
      <c r="D315" s="1266"/>
      <c r="E315" s="1281"/>
      <c r="F315" s="1283"/>
      <c r="G315" s="1283"/>
      <c r="H315" s="1266"/>
      <c r="I315" s="1265"/>
      <c r="J315" s="1265"/>
      <c r="K315" s="1266"/>
      <c r="L315" s="1265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5"/>
      <c r="C317" s="467"/>
      <c r="D317" s="467"/>
      <c r="E317" s="467"/>
      <c r="F317" s="467"/>
      <c r="G317" s="467"/>
      <c r="H317" s="467"/>
      <c r="I317" s="467"/>
      <c r="J317" s="467"/>
      <c r="K317" s="467"/>
      <c r="L317" s="760"/>
    </row>
    <row r="318" spans="2:12" ht="14.25">
      <c r="B318" s="766"/>
      <c r="C318" s="1272" t="s">
        <v>274</v>
      </c>
      <c r="D318" s="1272"/>
      <c r="E318" s="1272"/>
      <c r="F318" s="1272"/>
      <c r="G318" s="1272"/>
      <c r="H318" s="1272"/>
      <c r="I318" s="1272"/>
      <c r="J318" s="1272"/>
      <c r="K318" s="1272"/>
      <c r="L318" s="1285"/>
    </row>
    <row r="319" spans="2:12" ht="12.75">
      <c r="B319" s="765"/>
      <c r="C319" s="467"/>
      <c r="D319" s="467"/>
      <c r="E319" s="467"/>
      <c r="F319" s="467"/>
      <c r="G319" s="467"/>
      <c r="H319" s="467"/>
      <c r="I319" s="467"/>
      <c r="J319" s="467"/>
      <c r="K319" s="467"/>
      <c r="L319" s="760"/>
    </row>
    <row r="320" spans="2:12" ht="15">
      <c r="B320" s="767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7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7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7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7" t="s">
        <v>279</v>
      </c>
      <c r="C324" s="522">
        <v>139590</v>
      </c>
      <c r="D324" s="761">
        <v>4908</v>
      </c>
      <c r="E324" s="581">
        <v>2031</v>
      </c>
      <c r="F324" s="582">
        <v>2587</v>
      </c>
      <c r="G324" s="582">
        <v>290</v>
      </c>
      <c r="H324" s="761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7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7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7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7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8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8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8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69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0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6"/>
      <c r="C334" s="535"/>
      <c r="D334" s="535"/>
      <c r="E334" s="535"/>
      <c r="F334" s="535"/>
      <c r="G334" s="535"/>
      <c r="H334" s="535"/>
      <c r="I334" s="535"/>
      <c r="J334" s="535"/>
      <c r="K334" s="535"/>
      <c r="L334" s="762"/>
    </row>
    <row r="335" spans="2:12" ht="12.75">
      <c r="B335" s="766"/>
      <c r="C335" s="1269" t="s">
        <v>299</v>
      </c>
      <c r="D335" s="1269"/>
      <c r="E335" s="1269"/>
      <c r="F335" s="1269"/>
      <c r="G335" s="1269"/>
      <c r="H335" s="1269"/>
      <c r="I335" s="1269"/>
      <c r="J335" s="1269"/>
      <c r="K335" s="1269"/>
      <c r="L335" s="1286"/>
    </row>
    <row r="336" spans="2:12" ht="12.75">
      <c r="B336" s="765"/>
      <c r="C336" s="535"/>
      <c r="D336" s="535"/>
      <c r="E336" s="535"/>
      <c r="F336" s="535"/>
      <c r="G336" s="535"/>
      <c r="H336" s="535"/>
      <c r="I336" s="535"/>
      <c r="J336" s="535"/>
      <c r="K336" s="535"/>
      <c r="L336" s="762"/>
    </row>
    <row r="337" spans="2:12" ht="12.75">
      <c r="B337" s="771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1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1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1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1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1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1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1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1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1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1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1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6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0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2"/>
      <c r="C351" s="540"/>
      <c r="D351" s="540"/>
      <c r="E351" s="540"/>
      <c r="F351" s="540"/>
      <c r="G351" s="540"/>
      <c r="H351" s="540"/>
      <c r="I351" s="540"/>
      <c r="J351" s="540"/>
      <c r="K351" s="540"/>
      <c r="L351" s="763"/>
    </row>
    <row r="352" spans="2:12" ht="12.75" customHeight="1">
      <c r="B352" s="1277" t="s">
        <v>263</v>
      </c>
      <c r="C352" s="1252" t="s">
        <v>22</v>
      </c>
      <c r="D352" s="1252" t="s">
        <v>264</v>
      </c>
      <c r="E352" s="1254" t="s">
        <v>265</v>
      </c>
      <c r="F352" s="1255"/>
      <c r="G352" s="1256"/>
      <c r="H352" s="1257" t="s">
        <v>266</v>
      </c>
      <c r="I352" s="1259" t="s">
        <v>267</v>
      </c>
      <c r="J352" s="1260"/>
      <c r="K352" s="1260"/>
      <c r="L352" s="1273"/>
    </row>
    <row r="353" spans="2:12" ht="11.25" customHeight="1">
      <c r="B353" s="1278"/>
      <c r="C353" s="1253"/>
      <c r="D353" s="1253"/>
      <c r="E353" s="1279" t="s">
        <v>304</v>
      </c>
      <c r="F353" s="1282" t="s">
        <v>305</v>
      </c>
      <c r="G353" s="1282" t="s">
        <v>306</v>
      </c>
      <c r="H353" s="1258"/>
      <c r="I353" s="1262" t="s">
        <v>271</v>
      </c>
      <c r="J353" s="1262" t="s">
        <v>24</v>
      </c>
      <c r="K353" s="1252" t="s">
        <v>272</v>
      </c>
      <c r="L353" s="1262" t="s">
        <v>273</v>
      </c>
    </row>
    <row r="354" spans="2:12" ht="11.25" customHeight="1">
      <c r="B354" s="1278"/>
      <c r="C354" s="1253"/>
      <c r="D354" s="1253"/>
      <c r="E354" s="1280"/>
      <c r="F354" s="1284"/>
      <c r="G354" s="1284"/>
      <c r="H354" s="1258"/>
      <c r="I354" s="1265"/>
      <c r="J354" s="1265"/>
      <c r="K354" s="1266"/>
      <c r="L354" s="1265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5"/>
      <c r="C356" s="535"/>
      <c r="D356" s="535"/>
      <c r="E356" s="535"/>
      <c r="F356" s="535"/>
      <c r="G356" s="535"/>
      <c r="H356" s="535"/>
      <c r="I356" s="535"/>
      <c r="J356" s="535"/>
      <c r="K356" s="535"/>
      <c r="L356" s="762"/>
    </row>
    <row r="357" spans="2:12" ht="12.75">
      <c r="B357" s="766"/>
      <c r="C357" s="1269" t="s">
        <v>300</v>
      </c>
      <c r="D357" s="1269"/>
      <c r="E357" s="1269"/>
      <c r="F357" s="1269"/>
      <c r="G357" s="1269"/>
      <c r="H357" s="1269"/>
      <c r="I357" s="1269"/>
      <c r="J357" s="1269"/>
      <c r="K357" s="1269"/>
      <c r="L357" s="1286"/>
    </row>
    <row r="358" spans="2:12" ht="12.75">
      <c r="B358" s="766"/>
      <c r="C358" s="545"/>
      <c r="D358" s="545"/>
      <c r="E358" s="545"/>
      <c r="F358" s="545"/>
      <c r="G358" s="545"/>
      <c r="H358" s="545"/>
      <c r="I358" s="545"/>
      <c r="J358" s="545"/>
      <c r="K358" s="545"/>
      <c r="L358" s="764"/>
    </row>
    <row r="359" spans="2:12" ht="12.75">
      <c r="B359" s="771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1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1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1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1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1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1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1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1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1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1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1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6"/>
    </row>
    <row r="371" spans="2:16" ht="12.75">
      <c r="B371" s="771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0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33" t="s">
        <v>263</v>
      </c>
      <c r="C393" s="1231" t="s">
        <v>22</v>
      </c>
      <c r="D393" s="1231" t="s">
        <v>264</v>
      </c>
      <c r="E393" s="1290" t="s">
        <v>265</v>
      </c>
      <c r="F393" s="1291"/>
      <c r="G393" s="1292"/>
      <c r="H393" s="1293" t="s">
        <v>266</v>
      </c>
      <c r="I393" s="1290" t="s">
        <v>267</v>
      </c>
      <c r="J393" s="1291"/>
      <c r="K393" s="1291"/>
      <c r="L393" s="1292"/>
    </row>
    <row r="394" spans="2:12" ht="11.25" customHeight="1">
      <c r="B394" s="1234"/>
      <c r="C394" s="1232"/>
      <c r="D394" s="1232"/>
      <c r="E394" s="1295" t="s">
        <v>304</v>
      </c>
      <c r="F394" s="1297" t="s">
        <v>305</v>
      </c>
      <c r="G394" s="1297" t="s">
        <v>306</v>
      </c>
      <c r="H394" s="1294"/>
      <c r="I394" s="1233" t="s">
        <v>271</v>
      </c>
      <c r="J394" s="1233" t="s">
        <v>24</v>
      </c>
      <c r="K394" s="1231" t="s">
        <v>272</v>
      </c>
      <c r="L394" s="1233" t="s">
        <v>273</v>
      </c>
    </row>
    <row r="395" spans="2:12" ht="11.25" customHeight="1">
      <c r="B395" s="1234"/>
      <c r="C395" s="1232"/>
      <c r="D395" s="1232"/>
      <c r="E395" s="1296"/>
      <c r="F395" s="1298"/>
      <c r="G395" s="1298"/>
      <c r="H395" s="1294"/>
      <c r="I395" s="1234"/>
      <c r="J395" s="1234"/>
      <c r="K395" s="1232"/>
      <c r="L395" s="1287"/>
    </row>
    <row r="396" spans="2:12" ht="12.75">
      <c r="B396" s="730">
        <v>0</v>
      </c>
      <c r="C396" s="729">
        <v>1</v>
      </c>
      <c r="D396" s="729">
        <v>2</v>
      </c>
      <c r="E396" s="730">
        <v>3</v>
      </c>
      <c r="F396" s="730">
        <v>4</v>
      </c>
      <c r="G396" s="729">
        <v>5</v>
      </c>
      <c r="H396" s="729">
        <v>6</v>
      </c>
      <c r="I396" s="729">
        <v>7</v>
      </c>
      <c r="J396" s="729">
        <v>8</v>
      </c>
      <c r="K396" s="731">
        <v>9</v>
      </c>
      <c r="L396" s="729">
        <v>10</v>
      </c>
    </row>
    <row r="397" spans="2:12" ht="12.75">
      <c r="B397" s="752"/>
      <c r="C397" s="732"/>
      <c r="D397" s="732"/>
      <c r="E397" s="732"/>
      <c r="F397" s="732"/>
      <c r="G397" s="732"/>
      <c r="H397" s="732"/>
      <c r="I397" s="732"/>
      <c r="J397" s="732"/>
      <c r="K397" s="732"/>
      <c r="L397" s="757"/>
    </row>
    <row r="398" spans="2:12" ht="14.25">
      <c r="B398" s="753"/>
      <c r="C398" s="1288" t="s">
        <v>274</v>
      </c>
      <c r="D398" s="1288"/>
      <c r="E398" s="1288"/>
      <c r="F398" s="1288"/>
      <c r="G398" s="1288"/>
      <c r="H398" s="1288"/>
      <c r="I398" s="1288"/>
      <c r="J398" s="1288"/>
      <c r="K398" s="1288"/>
      <c r="L398" s="1289"/>
    </row>
    <row r="399" spans="2:12" ht="12.75">
      <c r="B399" s="752"/>
      <c r="C399" s="732"/>
      <c r="D399" s="732"/>
      <c r="E399" s="732"/>
      <c r="F399" s="732"/>
      <c r="G399" s="732"/>
      <c r="H399" s="732"/>
      <c r="I399" s="732"/>
      <c r="J399" s="732"/>
      <c r="K399" s="732"/>
      <c r="L399" s="757"/>
    </row>
    <row r="400" spans="2:12" ht="12.75">
      <c r="B400" s="754" t="s">
        <v>275</v>
      </c>
      <c r="C400" s="733">
        <f>SUM(D400+H400)</f>
        <v>142019</v>
      </c>
      <c r="D400" s="733">
        <v>5112</v>
      </c>
      <c r="E400" s="733">
        <v>2410</v>
      </c>
      <c r="F400" s="733">
        <v>2274</v>
      </c>
      <c r="G400" s="733">
        <v>428</v>
      </c>
      <c r="H400" s="733">
        <v>136907</v>
      </c>
      <c r="I400" s="733">
        <v>21885</v>
      </c>
      <c r="J400" s="733">
        <v>43909</v>
      </c>
      <c r="K400" s="733">
        <v>71113</v>
      </c>
      <c r="L400" s="736">
        <v>0</v>
      </c>
    </row>
    <row r="401" spans="2:15" ht="12.75">
      <c r="B401" s="754" t="s">
        <v>276</v>
      </c>
      <c r="C401" s="733">
        <f t="shared" ref="C401:C405" si="10">SUM(D401+H401)</f>
        <v>137800</v>
      </c>
      <c r="D401" s="733">
        <v>4709</v>
      </c>
      <c r="E401" s="733">
        <v>2035</v>
      </c>
      <c r="F401" s="733">
        <v>2318</v>
      </c>
      <c r="G401" s="733">
        <v>356</v>
      </c>
      <c r="H401" s="733">
        <v>133091</v>
      </c>
      <c r="I401" s="733">
        <v>22712</v>
      </c>
      <c r="J401" s="733">
        <v>41741</v>
      </c>
      <c r="K401" s="733">
        <v>68638</v>
      </c>
      <c r="L401" s="736">
        <v>0</v>
      </c>
    </row>
    <row r="402" spans="2:15" ht="12.75">
      <c r="B402" s="754" t="s">
        <v>277</v>
      </c>
      <c r="C402" s="733">
        <f t="shared" si="10"/>
        <v>169805</v>
      </c>
      <c r="D402" s="734">
        <v>5406</v>
      </c>
      <c r="E402" s="734">
        <v>2609</v>
      </c>
      <c r="F402" s="734">
        <v>2592</v>
      </c>
      <c r="G402" s="735">
        <v>205</v>
      </c>
      <c r="H402" s="733">
        <v>164399</v>
      </c>
      <c r="I402" s="734">
        <v>28402</v>
      </c>
      <c r="J402" s="734">
        <v>50847</v>
      </c>
      <c r="K402" s="734">
        <v>85150</v>
      </c>
      <c r="L402" s="735">
        <v>0</v>
      </c>
      <c r="N402" s="733"/>
      <c r="O402" s="733"/>
    </row>
    <row r="403" spans="2:15" ht="12.75">
      <c r="B403" s="754" t="s">
        <v>278</v>
      </c>
      <c r="C403" s="733">
        <f>SUM(D403+H403)</f>
        <v>143826</v>
      </c>
      <c r="D403" s="733">
        <v>5957</v>
      </c>
      <c r="E403" s="736">
        <v>3079</v>
      </c>
      <c r="F403" s="736">
        <v>2627</v>
      </c>
      <c r="G403" s="733">
        <v>251</v>
      </c>
      <c r="H403" s="733">
        <v>137869</v>
      </c>
      <c r="I403" s="733">
        <v>21774</v>
      </c>
      <c r="J403" s="733">
        <v>43335</v>
      </c>
      <c r="K403" s="733">
        <v>72760</v>
      </c>
      <c r="L403" s="736">
        <v>0</v>
      </c>
      <c r="N403" s="733"/>
      <c r="O403" s="733"/>
    </row>
    <row r="404" spans="2:15" ht="12.75">
      <c r="B404" s="754" t="s">
        <v>279</v>
      </c>
      <c r="C404" s="733">
        <f>SUM(D404+H404)</f>
        <v>157519</v>
      </c>
      <c r="D404" s="758">
        <v>4757</v>
      </c>
      <c r="E404" s="701">
        <v>2322</v>
      </c>
      <c r="F404" s="703">
        <v>2142</v>
      </c>
      <c r="G404" s="703">
        <v>293</v>
      </c>
      <c r="H404" s="758">
        <v>152762</v>
      </c>
      <c r="I404" s="701">
        <v>24428</v>
      </c>
      <c r="J404" s="701">
        <v>42846</v>
      </c>
      <c r="K404" s="703">
        <v>85488</v>
      </c>
      <c r="L404" s="736">
        <v>0</v>
      </c>
      <c r="N404" s="786"/>
      <c r="O404" s="786"/>
    </row>
    <row r="405" spans="2:15" ht="12.75">
      <c r="B405" s="754" t="s">
        <v>280</v>
      </c>
      <c r="C405" s="733">
        <f t="shared" si="10"/>
        <v>167380</v>
      </c>
      <c r="D405" s="733">
        <v>5640</v>
      </c>
      <c r="E405" s="736">
        <v>2230</v>
      </c>
      <c r="F405" s="736">
        <v>3183</v>
      </c>
      <c r="G405" s="733">
        <v>227</v>
      </c>
      <c r="H405" s="733">
        <v>161740</v>
      </c>
      <c r="I405" s="733">
        <v>29820</v>
      </c>
      <c r="J405" s="733">
        <v>51196</v>
      </c>
      <c r="K405" s="733">
        <v>80724</v>
      </c>
      <c r="L405" s="736">
        <v>0</v>
      </c>
    </row>
    <row r="406" spans="2:15" ht="12.75">
      <c r="B406" s="754" t="s">
        <v>281</v>
      </c>
      <c r="C406" s="733">
        <f>SUM(D406+H406)</f>
        <v>171735</v>
      </c>
      <c r="D406" s="759">
        <v>5424</v>
      </c>
      <c r="E406" s="734">
        <v>2254</v>
      </c>
      <c r="F406" s="735">
        <v>2901</v>
      </c>
      <c r="G406" s="735">
        <v>269</v>
      </c>
      <c r="H406" s="733">
        <v>166311</v>
      </c>
      <c r="I406" s="734">
        <v>29103</v>
      </c>
      <c r="J406" s="734">
        <v>53333</v>
      </c>
      <c r="K406" s="734">
        <v>83875</v>
      </c>
      <c r="L406" s="735">
        <v>0</v>
      </c>
    </row>
    <row r="407" spans="2:15" ht="12.75">
      <c r="B407" s="754" t="s">
        <v>282</v>
      </c>
      <c r="C407" s="733">
        <v>169404</v>
      </c>
      <c r="D407" s="759">
        <v>5064</v>
      </c>
      <c r="E407" s="734">
        <v>2316</v>
      </c>
      <c r="F407" s="734">
        <v>2611</v>
      </c>
      <c r="G407" s="735">
        <v>137</v>
      </c>
      <c r="H407" s="733">
        <v>164340</v>
      </c>
      <c r="I407" s="734">
        <v>25228</v>
      </c>
      <c r="J407" s="734">
        <v>52498</v>
      </c>
      <c r="K407" s="734">
        <v>86614</v>
      </c>
      <c r="L407" s="735">
        <v>0</v>
      </c>
    </row>
    <row r="408" spans="2:15" ht="12.75">
      <c r="B408" s="754" t="s">
        <v>283</v>
      </c>
      <c r="C408" s="733">
        <v>172982</v>
      </c>
      <c r="D408" s="733">
        <v>6274</v>
      </c>
      <c r="E408" s="736">
        <v>2518</v>
      </c>
      <c r="F408" s="736">
        <v>3121</v>
      </c>
      <c r="G408" s="733">
        <v>635</v>
      </c>
      <c r="H408" s="733">
        <v>166708</v>
      </c>
      <c r="I408" s="733">
        <v>26444</v>
      </c>
      <c r="J408" s="733">
        <v>56017</v>
      </c>
      <c r="K408" s="733">
        <v>84247</v>
      </c>
      <c r="L408" s="736">
        <v>0</v>
      </c>
    </row>
    <row r="409" spans="2:15" ht="12.75">
      <c r="B409" s="754" t="s">
        <v>284</v>
      </c>
      <c r="C409" s="733">
        <v>178724</v>
      </c>
      <c r="D409" s="759">
        <v>5649</v>
      </c>
      <c r="E409" s="734">
        <v>2339</v>
      </c>
      <c r="F409" s="734">
        <v>2939</v>
      </c>
      <c r="G409" s="734">
        <v>371</v>
      </c>
      <c r="H409" s="736">
        <v>173075</v>
      </c>
      <c r="I409" s="734">
        <v>27983</v>
      </c>
      <c r="J409" s="734">
        <v>60272</v>
      </c>
      <c r="K409" s="734">
        <v>84820</v>
      </c>
      <c r="L409" s="735">
        <v>0</v>
      </c>
    </row>
    <row r="410" spans="2:15" ht="12.75">
      <c r="B410" s="754" t="s">
        <v>285</v>
      </c>
      <c r="C410" s="733">
        <f>SUM(D410+H410)</f>
        <v>169376</v>
      </c>
      <c r="D410" s="734">
        <v>4663</v>
      </c>
      <c r="E410" s="734">
        <v>2074</v>
      </c>
      <c r="F410" s="734">
        <v>2336</v>
      </c>
      <c r="G410" s="734">
        <v>253</v>
      </c>
      <c r="H410" s="734">
        <v>164713</v>
      </c>
      <c r="I410" s="734">
        <v>26084</v>
      </c>
      <c r="J410" s="734">
        <v>57837</v>
      </c>
      <c r="K410" s="734">
        <v>80792</v>
      </c>
      <c r="L410" s="734">
        <v>0</v>
      </c>
    </row>
    <row r="411" spans="2:15" ht="12.75">
      <c r="B411" s="754" t="s">
        <v>286</v>
      </c>
      <c r="C411" s="733">
        <f t="shared" ref="C411" si="11">SUM(D411+H411)</f>
        <v>152498</v>
      </c>
      <c r="D411" s="734">
        <v>5089</v>
      </c>
      <c r="E411" s="734">
        <v>2321</v>
      </c>
      <c r="F411" s="734">
        <v>2452</v>
      </c>
      <c r="G411" s="734">
        <v>316</v>
      </c>
      <c r="H411" s="734">
        <v>147409</v>
      </c>
      <c r="I411" s="734">
        <v>22785</v>
      </c>
      <c r="J411" s="734">
        <v>48292</v>
      </c>
      <c r="K411" s="734">
        <v>76332</v>
      </c>
      <c r="L411" s="734">
        <v>0</v>
      </c>
    </row>
    <row r="412" spans="2:15" ht="15">
      <c r="B412" s="756"/>
      <c r="C412" s="736"/>
      <c r="D412" s="736"/>
      <c r="E412" s="736"/>
      <c r="F412" s="736"/>
      <c r="G412" s="736"/>
      <c r="H412" s="736"/>
      <c r="I412" s="736"/>
      <c r="J412" s="736"/>
      <c r="K412" s="736"/>
      <c r="L412" s="749"/>
    </row>
    <row r="413" spans="2:15" ht="12.75">
      <c r="B413" s="755">
        <v>2017</v>
      </c>
      <c r="C413" s="737">
        <f t="shared" ref="C413:K413" si="12">SUM(C400:C411)</f>
        <v>1933068</v>
      </c>
      <c r="D413" s="737">
        <f>SUM(D400:D411)</f>
        <v>63744</v>
      </c>
      <c r="E413" s="737">
        <f t="shared" si="12"/>
        <v>28507</v>
      </c>
      <c r="F413" s="737">
        <f t="shared" si="12"/>
        <v>31496</v>
      </c>
      <c r="G413" s="737">
        <f>SUM(G400:G411)</f>
        <v>3741</v>
      </c>
      <c r="H413" s="737">
        <f t="shared" si="12"/>
        <v>1869324</v>
      </c>
      <c r="I413" s="737">
        <f t="shared" si="12"/>
        <v>306648</v>
      </c>
      <c r="J413" s="737">
        <f t="shared" si="12"/>
        <v>602123</v>
      </c>
      <c r="K413" s="737">
        <f t="shared" si="12"/>
        <v>960553</v>
      </c>
      <c r="L413" s="737">
        <f>SUM(L400:L411)</f>
        <v>0</v>
      </c>
    </row>
    <row r="414" spans="2:15" ht="12.75">
      <c r="B414" s="753"/>
      <c r="C414" s="738"/>
      <c r="D414" s="738"/>
      <c r="E414" s="738"/>
      <c r="F414" s="738"/>
      <c r="G414" s="738"/>
      <c r="H414" s="738"/>
      <c r="I414" s="738"/>
      <c r="J414" s="738"/>
      <c r="K414" s="738"/>
      <c r="L414" s="750"/>
    </row>
    <row r="415" spans="2:15" ht="12.75">
      <c r="B415" s="753"/>
      <c r="C415" s="1299" t="s">
        <v>299</v>
      </c>
      <c r="D415" s="1299"/>
      <c r="E415" s="1299"/>
      <c r="F415" s="1299"/>
      <c r="G415" s="1299"/>
      <c r="H415" s="1299"/>
      <c r="I415" s="1299"/>
      <c r="J415" s="1299"/>
      <c r="K415" s="1299"/>
      <c r="L415" s="1300"/>
    </row>
    <row r="416" spans="2:15" ht="12.75">
      <c r="B416" s="752"/>
      <c r="C416" s="738"/>
      <c r="D416" s="738"/>
      <c r="E416" s="738"/>
      <c r="F416" s="738"/>
      <c r="G416" s="738"/>
      <c r="H416" s="738"/>
      <c r="I416" s="738"/>
      <c r="J416" s="738"/>
      <c r="K416" s="738"/>
      <c r="L416" s="750"/>
    </row>
    <row r="417" spans="2:12" ht="12.75">
      <c r="B417" s="754" t="s">
        <v>275</v>
      </c>
      <c r="C417" s="733">
        <f t="shared" ref="C417:C423" si="13">SUM(D417+H417)</f>
        <v>41284749</v>
      </c>
      <c r="D417" s="733">
        <v>258614</v>
      </c>
      <c r="E417" s="733">
        <v>82064</v>
      </c>
      <c r="F417" s="733">
        <v>124018</v>
      </c>
      <c r="G417" s="733">
        <v>52532</v>
      </c>
      <c r="H417" s="733">
        <v>41026135</v>
      </c>
      <c r="I417" s="733">
        <v>5754367</v>
      </c>
      <c r="J417" s="733">
        <v>11777688</v>
      </c>
      <c r="K417" s="733">
        <v>23494080</v>
      </c>
      <c r="L417" s="733">
        <v>0</v>
      </c>
    </row>
    <row r="418" spans="2:12" ht="12.75">
      <c r="B418" s="754" t="s">
        <v>276</v>
      </c>
      <c r="C418" s="733">
        <f t="shared" si="13"/>
        <v>39885929</v>
      </c>
      <c r="D418" s="733">
        <v>248053</v>
      </c>
      <c r="E418" s="733">
        <v>69467</v>
      </c>
      <c r="F418" s="733">
        <v>130095</v>
      </c>
      <c r="G418" s="733">
        <v>48491</v>
      </c>
      <c r="H418" s="733">
        <v>39637876</v>
      </c>
      <c r="I418" s="733">
        <v>5869144</v>
      </c>
      <c r="J418" s="733">
        <v>11348293</v>
      </c>
      <c r="K418" s="733">
        <v>22420439</v>
      </c>
      <c r="L418" s="733">
        <v>0</v>
      </c>
    </row>
    <row r="419" spans="2:12" ht="12.75">
      <c r="B419" s="754" t="s">
        <v>277</v>
      </c>
      <c r="C419" s="733">
        <f t="shared" si="13"/>
        <v>49565417</v>
      </c>
      <c r="D419" s="734">
        <v>279950</v>
      </c>
      <c r="E419" s="734">
        <v>90328</v>
      </c>
      <c r="F419" s="734">
        <v>159641</v>
      </c>
      <c r="G419" s="735">
        <v>29981</v>
      </c>
      <c r="H419" s="733">
        <v>49285467</v>
      </c>
      <c r="I419" s="734">
        <v>7544830</v>
      </c>
      <c r="J419" s="734">
        <v>13676720</v>
      </c>
      <c r="K419" s="734">
        <v>28063917</v>
      </c>
      <c r="L419" s="735">
        <v>0</v>
      </c>
    </row>
    <row r="420" spans="2:12" ht="12.75">
      <c r="B420" s="754" t="s">
        <v>278</v>
      </c>
      <c r="C420" s="733">
        <f t="shared" si="13"/>
        <v>41822512</v>
      </c>
      <c r="D420" s="733">
        <v>297950</v>
      </c>
      <c r="E420" s="736">
        <v>106177</v>
      </c>
      <c r="F420" s="736">
        <v>154822</v>
      </c>
      <c r="G420" s="733">
        <v>36951</v>
      </c>
      <c r="H420" s="733">
        <v>41524562</v>
      </c>
      <c r="I420" s="733">
        <v>5781070</v>
      </c>
      <c r="J420" s="733">
        <v>11588848</v>
      </c>
      <c r="K420" s="733">
        <v>24154644</v>
      </c>
      <c r="L420" s="733">
        <v>0</v>
      </c>
    </row>
    <row r="421" spans="2:12" ht="12.75">
      <c r="B421" s="754" t="s">
        <v>279</v>
      </c>
      <c r="C421" s="733">
        <f t="shared" si="13"/>
        <v>47073682</v>
      </c>
      <c r="D421" s="701">
        <v>258829</v>
      </c>
      <c r="E421" s="701">
        <v>84615</v>
      </c>
      <c r="F421" s="701">
        <v>129240</v>
      </c>
      <c r="G421" s="701">
        <v>44974</v>
      </c>
      <c r="H421" s="701">
        <v>46814853</v>
      </c>
      <c r="I421" s="701">
        <v>6502594</v>
      </c>
      <c r="J421" s="701">
        <v>11727296</v>
      </c>
      <c r="K421" s="701">
        <v>28584963</v>
      </c>
      <c r="L421" s="733">
        <v>0</v>
      </c>
    </row>
    <row r="422" spans="2:12" ht="12.75">
      <c r="B422" s="754" t="s">
        <v>280</v>
      </c>
      <c r="C422" s="733">
        <f t="shared" si="13"/>
        <v>48420690</v>
      </c>
      <c r="D422" s="733">
        <v>290566</v>
      </c>
      <c r="E422" s="736">
        <v>79673</v>
      </c>
      <c r="F422" s="736">
        <v>178876</v>
      </c>
      <c r="G422" s="733">
        <v>32017</v>
      </c>
      <c r="H422" s="733">
        <v>48130124</v>
      </c>
      <c r="I422" s="733">
        <v>7982252</v>
      </c>
      <c r="J422" s="733">
        <v>13825867</v>
      </c>
      <c r="K422" s="733">
        <v>26322005</v>
      </c>
      <c r="L422" s="733">
        <v>0</v>
      </c>
    </row>
    <row r="423" spans="2:12" ht="12.75">
      <c r="B423" s="754" t="s">
        <v>281</v>
      </c>
      <c r="C423" s="733">
        <f t="shared" si="13"/>
        <v>49583982</v>
      </c>
      <c r="D423" s="734">
        <v>288103</v>
      </c>
      <c r="E423" s="734">
        <v>81207</v>
      </c>
      <c r="F423" s="734">
        <v>167580</v>
      </c>
      <c r="G423" s="735">
        <v>39316</v>
      </c>
      <c r="H423" s="733">
        <v>49295879</v>
      </c>
      <c r="I423" s="734">
        <v>7692900</v>
      </c>
      <c r="J423" s="734">
        <v>14162171</v>
      </c>
      <c r="K423" s="734">
        <v>27440808</v>
      </c>
      <c r="L423" s="735">
        <v>0</v>
      </c>
    </row>
    <row r="424" spans="2:12" ht="12.75">
      <c r="B424" s="754" t="s">
        <v>282</v>
      </c>
      <c r="C424" s="733">
        <v>49308554</v>
      </c>
      <c r="D424" s="734">
        <v>248689</v>
      </c>
      <c r="E424" s="734">
        <v>84427</v>
      </c>
      <c r="F424" s="734">
        <v>146773</v>
      </c>
      <c r="G424" s="735">
        <v>17489</v>
      </c>
      <c r="H424" s="733">
        <v>49059865</v>
      </c>
      <c r="I424" s="734">
        <v>6595512</v>
      </c>
      <c r="J424" s="734">
        <v>13787237</v>
      </c>
      <c r="K424" s="734">
        <v>28677116</v>
      </c>
      <c r="L424" s="735">
        <v>0</v>
      </c>
    </row>
    <row r="425" spans="2:12" ht="12.75">
      <c r="B425" s="754" t="s">
        <v>283</v>
      </c>
      <c r="C425" s="733">
        <v>49438456</v>
      </c>
      <c r="D425" s="734">
        <v>345800</v>
      </c>
      <c r="E425" s="734">
        <v>89061</v>
      </c>
      <c r="F425" s="734">
        <v>167893</v>
      </c>
      <c r="G425" s="735">
        <v>88846</v>
      </c>
      <c r="H425" s="733">
        <v>49092656</v>
      </c>
      <c r="I425" s="734">
        <v>6815830</v>
      </c>
      <c r="J425" s="734">
        <v>14849864</v>
      </c>
      <c r="K425" s="734">
        <v>27426962</v>
      </c>
      <c r="L425" s="735">
        <v>0</v>
      </c>
    </row>
    <row r="426" spans="2:12" ht="12.75">
      <c r="B426" s="754" t="s">
        <v>284</v>
      </c>
      <c r="C426" s="733">
        <v>50346027</v>
      </c>
      <c r="D426" s="734">
        <v>295352</v>
      </c>
      <c r="E426" s="734">
        <v>84726</v>
      </c>
      <c r="F426" s="734">
        <v>167445</v>
      </c>
      <c r="G426" s="734">
        <v>43181</v>
      </c>
      <c r="H426" s="736">
        <v>50050675</v>
      </c>
      <c r="I426" s="734">
        <v>7132124</v>
      </c>
      <c r="J426" s="734">
        <v>15718038</v>
      </c>
      <c r="K426" s="734">
        <v>27200513</v>
      </c>
      <c r="L426" s="735">
        <v>0</v>
      </c>
    </row>
    <row r="427" spans="2:12" ht="12.75">
      <c r="B427" s="754" t="s">
        <v>285</v>
      </c>
      <c r="C427" s="733">
        <f t="shared" ref="C427:C428" si="14">SUM(D427+H427)</f>
        <v>48798626</v>
      </c>
      <c r="D427" s="734">
        <v>261198</v>
      </c>
      <c r="E427" s="734">
        <v>70669</v>
      </c>
      <c r="F427" s="734">
        <v>148982</v>
      </c>
      <c r="G427" s="734">
        <v>41547</v>
      </c>
      <c r="H427" s="734">
        <v>48537428</v>
      </c>
      <c r="I427" s="734">
        <v>6751971</v>
      </c>
      <c r="J427" s="734">
        <v>15640889</v>
      </c>
      <c r="K427" s="734">
        <v>26144568</v>
      </c>
      <c r="L427" s="734">
        <v>0</v>
      </c>
    </row>
    <row r="428" spans="2:12" ht="12.75">
      <c r="B428" s="754" t="s">
        <v>286</v>
      </c>
      <c r="C428" s="733">
        <f t="shared" si="14"/>
        <v>43494618</v>
      </c>
      <c r="D428" s="734">
        <v>256297</v>
      </c>
      <c r="E428" s="734">
        <v>77163</v>
      </c>
      <c r="F428" s="734">
        <v>143113</v>
      </c>
      <c r="G428" s="734">
        <v>36021</v>
      </c>
      <c r="H428" s="734">
        <v>43238321</v>
      </c>
      <c r="I428" s="734">
        <v>5912817</v>
      </c>
      <c r="J428" s="734">
        <v>12978598</v>
      </c>
      <c r="K428" s="734">
        <v>24346906</v>
      </c>
      <c r="L428" s="734">
        <v>0</v>
      </c>
    </row>
    <row r="429" spans="2:12" ht="12.75">
      <c r="B429" s="753"/>
      <c r="C429" s="736"/>
      <c r="D429" s="736"/>
      <c r="E429" s="736"/>
      <c r="F429" s="736"/>
      <c r="G429" s="736"/>
      <c r="H429" s="736"/>
      <c r="I429" s="736"/>
      <c r="J429" s="736"/>
      <c r="K429" s="736"/>
      <c r="L429" s="733"/>
    </row>
    <row r="430" spans="2:12" ht="12.75">
      <c r="B430" s="755">
        <v>2017</v>
      </c>
      <c r="C430" s="737">
        <f t="shared" ref="C430:L430" si="15">SUM(C417:C428)</f>
        <v>559023242</v>
      </c>
      <c r="D430" s="737">
        <f t="shared" si="15"/>
        <v>3329401</v>
      </c>
      <c r="E430" s="737">
        <f t="shared" si="15"/>
        <v>999577</v>
      </c>
      <c r="F430" s="737">
        <f t="shared" si="15"/>
        <v>1818478</v>
      </c>
      <c r="G430" s="737">
        <f t="shared" si="15"/>
        <v>511346</v>
      </c>
      <c r="H430" s="737">
        <f t="shared" si="15"/>
        <v>555693841</v>
      </c>
      <c r="I430" s="737">
        <f t="shared" si="15"/>
        <v>80335411</v>
      </c>
      <c r="J430" s="737">
        <f t="shared" si="15"/>
        <v>161081509</v>
      </c>
      <c r="K430" s="737">
        <f t="shared" si="15"/>
        <v>314276921</v>
      </c>
      <c r="L430" s="737">
        <f t="shared" si="15"/>
        <v>0</v>
      </c>
    </row>
    <row r="431" spans="2:12" ht="12.75">
      <c r="B431" s="739"/>
      <c r="C431" s="740"/>
      <c r="D431" s="740"/>
      <c r="E431" s="740"/>
      <c r="F431" s="740"/>
      <c r="G431" s="740"/>
      <c r="H431" s="740"/>
      <c r="I431" s="740"/>
      <c r="J431" s="740"/>
      <c r="K431" s="740"/>
      <c r="L431" s="740"/>
    </row>
    <row r="432" spans="2:12" ht="12.75" customHeight="1">
      <c r="B432" s="1301" t="s">
        <v>263</v>
      </c>
      <c r="C432" s="1231" t="s">
        <v>22</v>
      </c>
      <c r="D432" s="1231" t="s">
        <v>264</v>
      </c>
      <c r="E432" s="1290" t="s">
        <v>265</v>
      </c>
      <c r="F432" s="1291"/>
      <c r="G432" s="1292"/>
      <c r="H432" s="1293" t="s">
        <v>266</v>
      </c>
      <c r="I432" s="1303" t="s">
        <v>267</v>
      </c>
      <c r="J432" s="1304"/>
      <c r="K432" s="1304"/>
      <c r="L432" s="1305"/>
    </row>
    <row r="433" spans="2:12" ht="11.25" customHeight="1">
      <c r="B433" s="1302"/>
      <c r="C433" s="1232"/>
      <c r="D433" s="1232"/>
      <c r="E433" s="1295" t="s">
        <v>304</v>
      </c>
      <c r="F433" s="1297" t="s">
        <v>305</v>
      </c>
      <c r="G433" s="1297" t="s">
        <v>306</v>
      </c>
      <c r="H433" s="1294"/>
      <c r="I433" s="1233" t="s">
        <v>271</v>
      </c>
      <c r="J433" s="1233" t="s">
        <v>24</v>
      </c>
      <c r="K433" s="1231" t="s">
        <v>272</v>
      </c>
      <c r="L433" s="1233" t="s">
        <v>273</v>
      </c>
    </row>
    <row r="434" spans="2:12" ht="11.25" customHeight="1">
      <c r="B434" s="1302"/>
      <c r="C434" s="1232"/>
      <c r="D434" s="1232"/>
      <c r="E434" s="1296"/>
      <c r="F434" s="1298"/>
      <c r="G434" s="1298"/>
      <c r="H434" s="1294"/>
      <c r="I434" s="1287"/>
      <c r="J434" s="1287"/>
      <c r="K434" s="1306"/>
      <c r="L434" s="1287"/>
    </row>
    <row r="435" spans="2:12" ht="12.75">
      <c r="B435" s="730">
        <v>0</v>
      </c>
      <c r="C435" s="741">
        <v>1</v>
      </c>
      <c r="D435" s="741">
        <v>2</v>
      </c>
      <c r="E435" s="742">
        <v>3</v>
      </c>
      <c r="F435" s="742">
        <v>4</v>
      </c>
      <c r="G435" s="741">
        <v>5</v>
      </c>
      <c r="H435" s="741">
        <v>6</v>
      </c>
      <c r="I435" s="741">
        <v>7</v>
      </c>
      <c r="J435" s="741">
        <v>8</v>
      </c>
      <c r="K435" s="741">
        <v>9</v>
      </c>
      <c r="L435" s="741">
        <v>10</v>
      </c>
    </row>
    <row r="436" spans="2:12" ht="12.75">
      <c r="B436" s="752"/>
      <c r="C436" s="738"/>
      <c r="D436" s="738"/>
      <c r="E436" s="738"/>
      <c r="F436" s="738"/>
      <c r="G436" s="738"/>
      <c r="H436" s="738"/>
      <c r="I436" s="738"/>
      <c r="J436" s="738"/>
      <c r="K436" s="738"/>
      <c r="L436" s="750"/>
    </row>
    <row r="437" spans="2:12" ht="12.75">
      <c r="B437" s="753"/>
      <c r="C437" s="1299" t="s">
        <v>300</v>
      </c>
      <c r="D437" s="1299"/>
      <c r="E437" s="1299"/>
      <c r="F437" s="1299"/>
      <c r="G437" s="1299"/>
      <c r="H437" s="1299"/>
      <c r="I437" s="1299"/>
      <c r="J437" s="1299"/>
      <c r="K437" s="1299"/>
      <c r="L437" s="1300"/>
    </row>
    <row r="438" spans="2:12" ht="12.75">
      <c r="B438" s="753"/>
      <c r="C438" s="743"/>
      <c r="D438" s="743"/>
      <c r="E438" s="743"/>
      <c r="F438" s="743"/>
      <c r="G438" s="743"/>
      <c r="H438" s="743"/>
      <c r="I438" s="743"/>
      <c r="J438" s="743"/>
      <c r="K438" s="743"/>
      <c r="L438" s="751"/>
    </row>
    <row r="439" spans="2:12" ht="12.75">
      <c r="B439" s="754" t="s">
        <v>275</v>
      </c>
      <c r="C439" s="733">
        <f>SUM(D439+H439)</f>
        <v>82047763</v>
      </c>
      <c r="D439" s="733">
        <v>445114</v>
      </c>
      <c r="E439" s="733">
        <v>144107</v>
      </c>
      <c r="F439" s="733">
        <v>212420</v>
      </c>
      <c r="G439" s="733">
        <v>88587</v>
      </c>
      <c r="H439" s="733">
        <v>81602649</v>
      </c>
      <c r="I439" s="733">
        <v>11433324</v>
      </c>
      <c r="J439" s="733">
        <v>24279425</v>
      </c>
      <c r="K439" s="733">
        <v>45889900</v>
      </c>
      <c r="L439" s="733">
        <v>0</v>
      </c>
    </row>
    <row r="440" spans="2:12" ht="12.75">
      <c r="B440" s="754" t="s">
        <v>276</v>
      </c>
      <c r="C440" s="733">
        <f t="shared" ref="C440:C444" si="16">SUM(D440+H440)</f>
        <v>79287813</v>
      </c>
      <c r="D440" s="733">
        <v>431200</v>
      </c>
      <c r="E440" s="733">
        <v>121487</v>
      </c>
      <c r="F440" s="733">
        <v>225727</v>
      </c>
      <c r="G440" s="733">
        <v>83986</v>
      </c>
      <c r="H440" s="733">
        <v>78856613</v>
      </c>
      <c r="I440" s="733">
        <v>11712359</v>
      </c>
      <c r="J440" s="733">
        <v>23159515</v>
      </c>
      <c r="K440" s="733">
        <v>43984739</v>
      </c>
      <c r="L440" s="733">
        <v>0</v>
      </c>
    </row>
    <row r="441" spans="2:12" ht="12.75">
      <c r="B441" s="754" t="s">
        <v>277</v>
      </c>
      <c r="C441" s="733">
        <f t="shared" si="16"/>
        <v>98808454</v>
      </c>
      <c r="D441" s="734">
        <v>475895</v>
      </c>
      <c r="E441" s="734">
        <v>153902</v>
      </c>
      <c r="F441" s="734">
        <v>271849</v>
      </c>
      <c r="G441" s="735">
        <v>50144</v>
      </c>
      <c r="H441" s="733">
        <v>98332559</v>
      </c>
      <c r="I441" s="734">
        <v>15012576</v>
      </c>
      <c r="J441" s="734">
        <v>28202934</v>
      </c>
      <c r="K441" s="734">
        <v>55117049</v>
      </c>
      <c r="L441" s="735">
        <v>0</v>
      </c>
    </row>
    <row r="442" spans="2:12" ht="12.75">
      <c r="B442" s="754" t="s">
        <v>278</v>
      </c>
      <c r="C442" s="733">
        <f t="shared" si="16"/>
        <v>83378440</v>
      </c>
      <c r="D442" s="733">
        <v>506953</v>
      </c>
      <c r="E442" s="736">
        <v>180973</v>
      </c>
      <c r="F442" s="736">
        <v>263009</v>
      </c>
      <c r="G442" s="736">
        <v>62971</v>
      </c>
      <c r="H442" s="733">
        <v>82871487</v>
      </c>
      <c r="I442" s="736">
        <v>11495417</v>
      </c>
      <c r="J442" s="736">
        <v>23956645</v>
      </c>
      <c r="K442" s="736">
        <v>47419425</v>
      </c>
      <c r="L442" s="736">
        <v>0</v>
      </c>
    </row>
    <row r="443" spans="2:12" ht="12.75">
      <c r="B443" s="754" t="s">
        <v>279</v>
      </c>
      <c r="C443" s="733">
        <f t="shared" si="16"/>
        <v>93901078</v>
      </c>
      <c r="D443" s="701">
        <v>444824</v>
      </c>
      <c r="E443" s="701">
        <v>145798</v>
      </c>
      <c r="F443" s="701">
        <v>221921</v>
      </c>
      <c r="G443" s="701">
        <v>77105</v>
      </c>
      <c r="H443" s="701">
        <v>93456254</v>
      </c>
      <c r="I443" s="702">
        <v>12989301</v>
      </c>
      <c r="J443" s="701">
        <v>24252314</v>
      </c>
      <c r="K443" s="701">
        <v>56214639</v>
      </c>
      <c r="L443" s="703">
        <v>0</v>
      </c>
    </row>
    <row r="444" spans="2:12" ht="12.75">
      <c r="B444" s="754" t="s">
        <v>280</v>
      </c>
      <c r="C444" s="733">
        <f t="shared" si="16"/>
        <v>97715871</v>
      </c>
      <c r="D444" s="733">
        <v>501090</v>
      </c>
      <c r="E444" s="736">
        <v>136122</v>
      </c>
      <c r="F444" s="736">
        <v>308716</v>
      </c>
      <c r="G444" s="736">
        <v>56252</v>
      </c>
      <c r="H444" s="733">
        <v>97214781</v>
      </c>
      <c r="I444" s="736">
        <v>15895397</v>
      </c>
      <c r="J444" s="736">
        <v>28478797</v>
      </c>
      <c r="K444" s="736">
        <v>52840587</v>
      </c>
      <c r="L444" s="736">
        <v>0</v>
      </c>
    </row>
    <row r="445" spans="2:12" ht="12.75">
      <c r="B445" s="754" t="s">
        <v>281</v>
      </c>
      <c r="C445" s="733">
        <f>SUM(D445+H445)</f>
        <v>99467079</v>
      </c>
      <c r="D445" s="734">
        <v>496753</v>
      </c>
      <c r="E445" s="734">
        <v>139368</v>
      </c>
      <c r="F445" s="734">
        <v>288296</v>
      </c>
      <c r="G445" s="735">
        <v>69089</v>
      </c>
      <c r="H445" s="733">
        <v>98970326</v>
      </c>
      <c r="I445" s="734">
        <v>15406513</v>
      </c>
      <c r="J445" s="734">
        <v>29584265</v>
      </c>
      <c r="K445" s="734">
        <v>53979548</v>
      </c>
      <c r="L445" s="735">
        <v>0</v>
      </c>
    </row>
    <row r="446" spans="2:12" ht="12.75">
      <c r="B446" s="754" t="s">
        <v>282</v>
      </c>
      <c r="C446" s="733">
        <v>98783442</v>
      </c>
      <c r="D446" s="734">
        <v>431889</v>
      </c>
      <c r="E446" s="734">
        <v>146917</v>
      </c>
      <c r="F446" s="734">
        <v>253926</v>
      </c>
      <c r="G446" s="735">
        <v>31046</v>
      </c>
      <c r="H446" s="733">
        <v>98351553</v>
      </c>
      <c r="I446" s="734">
        <v>13211629</v>
      </c>
      <c r="J446" s="734">
        <v>28906546</v>
      </c>
      <c r="K446" s="734">
        <v>56233378</v>
      </c>
      <c r="L446" s="735">
        <v>0</v>
      </c>
    </row>
    <row r="447" spans="2:12" ht="12.75">
      <c r="B447" s="754" t="s">
        <v>283</v>
      </c>
      <c r="C447" s="733">
        <v>99441068</v>
      </c>
      <c r="D447" s="733">
        <v>604779</v>
      </c>
      <c r="E447" s="736">
        <v>156559</v>
      </c>
      <c r="F447" s="736">
        <v>296235</v>
      </c>
      <c r="G447" s="736">
        <v>151985</v>
      </c>
      <c r="H447" s="733">
        <v>98836289</v>
      </c>
      <c r="I447" s="736">
        <v>13738070</v>
      </c>
      <c r="J447" s="736">
        <v>31047650</v>
      </c>
      <c r="K447" s="736">
        <v>54050569</v>
      </c>
      <c r="L447" s="736">
        <v>0</v>
      </c>
    </row>
    <row r="448" spans="2:12" ht="12.75">
      <c r="B448" s="754" t="s">
        <v>284</v>
      </c>
      <c r="C448" s="733">
        <v>100815036</v>
      </c>
      <c r="D448" s="734">
        <v>512334</v>
      </c>
      <c r="E448" s="734">
        <v>145829</v>
      </c>
      <c r="F448" s="734">
        <v>290888</v>
      </c>
      <c r="G448" s="734">
        <v>75617</v>
      </c>
      <c r="H448" s="736">
        <v>100302702</v>
      </c>
      <c r="I448" s="734">
        <v>14244388</v>
      </c>
      <c r="J448" s="734">
        <v>32756234</v>
      </c>
      <c r="K448" s="734">
        <v>53302080</v>
      </c>
      <c r="L448" s="735">
        <v>0</v>
      </c>
    </row>
    <row r="449" spans="2:12" ht="12.75">
      <c r="B449" s="754" t="s">
        <v>285</v>
      </c>
      <c r="C449" s="733">
        <f t="shared" ref="C449:C450" si="17">SUM(D449+H449)</f>
        <v>97522278</v>
      </c>
      <c r="D449" s="734">
        <v>455737</v>
      </c>
      <c r="E449" s="734">
        <v>125370</v>
      </c>
      <c r="F449" s="734">
        <v>259194</v>
      </c>
      <c r="G449" s="735">
        <v>71173</v>
      </c>
      <c r="H449" s="744">
        <v>97066541</v>
      </c>
      <c r="I449" s="734">
        <v>13496180</v>
      </c>
      <c r="J449" s="734">
        <v>32357917</v>
      </c>
      <c r="K449" s="734">
        <v>51212444</v>
      </c>
      <c r="L449" s="734">
        <v>0</v>
      </c>
    </row>
    <row r="450" spans="2:12" ht="12.75">
      <c r="B450" s="754" t="s">
        <v>286</v>
      </c>
      <c r="C450" s="733">
        <f t="shared" si="17"/>
        <v>87972319</v>
      </c>
      <c r="D450" s="734">
        <v>449241</v>
      </c>
      <c r="E450" s="734">
        <v>137836</v>
      </c>
      <c r="F450" s="734">
        <v>249036</v>
      </c>
      <c r="G450" s="735">
        <v>62369</v>
      </c>
      <c r="H450" s="744">
        <v>87523078</v>
      </c>
      <c r="I450" s="734">
        <v>11823830</v>
      </c>
      <c r="J450" s="734">
        <v>26806394</v>
      </c>
      <c r="K450" s="734">
        <v>48892854</v>
      </c>
      <c r="L450" s="734">
        <v>0</v>
      </c>
    </row>
    <row r="451" spans="2:12" ht="12.75">
      <c r="B451" s="754"/>
      <c r="C451" s="745"/>
      <c r="D451" s="746"/>
      <c r="E451" s="747"/>
      <c r="F451" s="747"/>
      <c r="G451" s="747"/>
      <c r="H451" s="746"/>
      <c r="I451" s="747"/>
      <c r="J451" s="747"/>
      <c r="K451" s="747"/>
      <c r="L451" s="747"/>
    </row>
    <row r="452" spans="2:12" ht="12.75">
      <c r="B452" s="755">
        <v>2017</v>
      </c>
      <c r="C452" s="748">
        <f t="shared" ref="C452:K452" si="18">SUM(C439:C450)</f>
        <v>1119140641</v>
      </c>
      <c r="D452" s="748">
        <f t="shared" si="18"/>
        <v>5755809</v>
      </c>
      <c r="E452" s="748">
        <f t="shared" si="18"/>
        <v>1734268</v>
      </c>
      <c r="F452" s="748">
        <f t="shared" si="18"/>
        <v>3141217</v>
      </c>
      <c r="G452" s="748">
        <f t="shared" si="18"/>
        <v>880324</v>
      </c>
      <c r="H452" s="748">
        <f t="shared" si="18"/>
        <v>1113384832</v>
      </c>
      <c r="I452" s="748">
        <f t="shared" si="18"/>
        <v>160458984</v>
      </c>
      <c r="J452" s="748">
        <f t="shared" si="18"/>
        <v>333788636</v>
      </c>
      <c r="K452" s="748">
        <f t="shared" si="18"/>
        <v>619137212</v>
      </c>
      <c r="L452" s="748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347</v>
      </c>
    </row>
    <row r="474" spans="2:12" ht="18">
      <c r="B474" s="881"/>
      <c r="C474" s="881"/>
      <c r="D474" s="881"/>
      <c r="E474" s="881"/>
      <c r="F474" s="882" t="s">
        <v>262</v>
      </c>
      <c r="G474" s="881"/>
      <c r="H474" s="881"/>
      <c r="I474" s="881"/>
      <c r="J474" s="881"/>
      <c r="K474" s="881"/>
      <c r="L474" s="881"/>
    </row>
    <row r="475" spans="2:12" ht="12.75" customHeight="1">
      <c r="B475" s="1233" t="s">
        <v>263</v>
      </c>
      <c r="C475" s="1231" t="s">
        <v>22</v>
      </c>
      <c r="D475" s="1231" t="s">
        <v>264</v>
      </c>
      <c r="E475" s="1290" t="s">
        <v>265</v>
      </c>
      <c r="F475" s="1291"/>
      <c r="G475" s="1292"/>
      <c r="H475" s="1293" t="s">
        <v>266</v>
      </c>
      <c r="I475" s="1290" t="s">
        <v>267</v>
      </c>
      <c r="J475" s="1291"/>
      <c r="K475" s="1291"/>
      <c r="L475" s="1292"/>
    </row>
    <row r="476" spans="2:12" ht="11.25" customHeight="1">
      <c r="B476" s="1234"/>
      <c r="C476" s="1232"/>
      <c r="D476" s="1232"/>
      <c r="E476" s="1295" t="s">
        <v>304</v>
      </c>
      <c r="F476" s="1297" t="s">
        <v>305</v>
      </c>
      <c r="G476" s="1297" t="s">
        <v>306</v>
      </c>
      <c r="H476" s="1294"/>
      <c r="I476" s="1233" t="s">
        <v>271</v>
      </c>
      <c r="J476" s="1233" t="s">
        <v>24</v>
      </c>
      <c r="K476" s="1231" t="s">
        <v>272</v>
      </c>
      <c r="L476" s="1233" t="s">
        <v>273</v>
      </c>
    </row>
    <row r="477" spans="2:12" ht="11.25" customHeight="1">
      <c r="B477" s="1234"/>
      <c r="C477" s="1232"/>
      <c r="D477" s="1232"/>
      <c r="E477" s="1296"/>
      <c r="F477" s="1298"/>
      <c r="G477" s="1298"/>
      <c r="H477" s="1294"/>
      <c r="I477" s="1234"/>
      <c r="J477" s="1234"/>
      <c r="K477" s="1232"/>
      <c r="L477" s="1287"/>
    </row>
    <row r="478" spans="2:12" ht="12.75">
      <c r="B478" s="730">
        <v>0</v>
      </c>
      <c r="C478" s="729">
        <v>1</v>
      </c>
      <c r="D478" s="729">
        <v>2</v>
      </c>
      <c r="E478" s="730">
        <v>3</v>
      </c>
      <c r="F478" s="730">
        <v>4</v>
      </c>
      <c r="G478" s="729">
        <v>5</v>
      </c>
      <c r="H478" s="729">
        <v>6</v>
      </c>
      <c r="I478" s="729">
        <v>7</v>
      </c>
      <c r="J478" s="729">
        <v>8</v>
      </c>
      <c r="K478" s="731">
        <v>9</v>
      </c>
      <c r="L478" s="729">
        <v>10</v>
      </c>
    </row>
    <row r="479" spans="2:12" ht="12.75">
      <c r="B479" s="752"/>
      <c r="C479" s="732"/>
      <c r="D479" s="732"/>
      <c r="E479" s="732"/>
      <c r="F479" s="732"/>
      <c r="G479" s="732"/>
      <c r="H479" s="732"/>
      <c r="I479" s="732"/>
      <c r="J479" s="732"/>
      <c r="K479" s="732"/>
      <c r="L479" s="757"/>
    </row>
    <row r="480" spans="2:12" ht="14.25">
      <c r="B480" s="753"/>
      <c r="C480" s="1288" t="s">
        <v>274</v>
      </c>
      <c r="D480" s="1288"/>
      <c r="E480" s="1288"/>
      <c r="F480" s="1288"/>
      <c r="G480" s="1288"/>
      <c r="H480" s="1288"/>
      <c r="I480" s="1288"/>
      <c r="J480" s="1288"/>
      <c r="K480" s="1288"/>
      <c r="L480" s="1289"/>
    </row>
    <row r="481" spans="2:12" ht="12.75">
      <c r="B481" s="752"/>
      <c r="C481" s="732"/>
      <c r="D481" s="732"/>
      <c r="E481" s="732"/>
      <c r="F481" s="732"/>
      <c r="G481" s="732"/>
      <c r="H481" s="732"/>
      <c r="I481" s="732"/>
      <c r="J481" s="732"/>
      <c r="K481" s="732"/>
      <c r="L481" s="757"/>
    </row>
    <row r="482" spans="2:12" ht="15">
      <c r="B482" s="883" t="s">
        <v>275</v>
      </c>
      <c r="C482" s="733">
        <f>SUM(D482+H482)</f>
        <v>153311</v>
      </c>
      <c r="D482" s="733">
        <v>4907</v>
      </c>
      <c r="E482" s="733">
        <v>2376</v>
      </c>
      <c r="F482" s="733">
        <v>2183</v>
      </c>
      <c r="G482" s="733">
        <v>348</v>
      </c>
      <c r="H482" s="733">
        <v>148404</v>
      </c>
      <c r="I482" s="733">
        <v>23209</v>
      </c>
      <c r="J482" s="733">
        <v>48538</v>
      </c>
      <c r="K482" s="733">
        <v>76657</v>
      </c>
      <c r="L482" s="733">
        <v>0</v>
      </c>
    </row>
    <row r="483" spans="2:12" ht="15">
      <c r="B483" s="883" t="s">
        <v>276</v>
      </c>
      <c r="C483" s="733">
        <f t="shared" ref="C483:C487" si="21">SUM(D483+H483)</f>
        <v>149700</v>
      </c>
      <c r="D483" s="733">
        <v>4276</v>
      </c>
      <c r="E483" s="733">
        <v>1971</v>
      </c>
      <c r="F483" s="733">
        <v>2099</v>
      </c>
      <c r="G483" s="733">
        <v>206</v>
      </c>
      <c r="H483" s="733">
        <v>145424</v>
      </c>
      <c r="I483" s="733">
        <v>23853</v>
      </c>
      <c r="J483" s="733">
        <v>43685</v>
      </c>
      <c r="K483" s="733">
        <v>77886</v>
      </c>
      <c r="L483" s="733">
        <v>0</v>
      </c>
    </row>
    <row r="484" spans="2:12" ht="15">
      <c r="B484" s="883" t="s">
        <v>277</v>
      </c>
      <c r="C484" s="733">
        <f t="shared" si="21"/>
        <v>176360</v>
      </c>
      <c r="D484" s="734">
        <v>5618</v>
      </c>
      <c r="E484" s="734">
        <v>2663</v>
      </c>
      <c r="F484" s="734">
        <v>2694</v>
      </c>
      <c r="G484" s="735">
        <v>261</v>
      </c>
      <c r="H484" s="733">
        <v>170742</v>
      </c>
      <c r="I484" s="734">
        <v>27174</v>
      </c>
      <c r="J484" s="734">
        <v>52139</v>
      </c>
      <c r="K484" s="734">
        <v>91429</v>
      </c>
      <c r="L484" s="735">
        <v>0</v>
      </c>
    </row>
    <row r="485" spans="2:12" ht="15">
      <c r="B485" s="883" t="s">
        <v>278</v>
      </c>
      <c r="C485" s="733">
        <f>SUM(D485+H485)</f>
        <v>152257</v>
      </c>
      <c r="D485" s="733">
        <v>4644</v>
      </c>
      <c r="E485" s="736">
        <v>2428</v>
      </c>
      <c r="F485" s="736">
        <v>2008</v>
      </c>
      <c r="G485" s="733">
        <v>208</v>
      </c>
      <c r="H485" s="733">
        <v>147613</v>
      </c>
      <c r="I485" s="733">
        <v>23760</v>
      </c>
      <c r="J485" s="733">
        <v>44089</v>
      </c>
      <c r="K485" s="733">
        <v>79764</v>
      </c>
      <c r="L485" s="733">
        <v>0</v>
      </c>
    </row>
    <row r="486" spans="2:12" ht="15">
      <c r="B486" s="883" t="s">
        <v>279</v>
      </c>
      <c r="C486" s="733">
        <f>SUM(D486+H486)</f>
        <v>162957</v>
      </c>
      <c r="D486" s="758">
        <v>4436</v>
      </c>
      <c r="E486" s="701">
        <v>1879</v>
      </c>
      <c r="F486" s="703">
        <v>2351</v>
      </c>
      <c r="G486" s="703">
        <v>206</v>
      </c>
      <c r="H486" s="758">
        <v>158521</v>
      </c>
      <c r="I486" s="701">
        <v>25665</v>
      </c>
      <c r="J486" s="701">
        <v>43148</v>
      </c>
      <c r="K486" s="703">
        <v>89708</v>
      </c>
      <c r="L486" s="733">
        <v>0</v>
      </c>
    </row>
    <row r="487" spans="2:12" ht="15">
      <c r="B487" s="883" t="s">
        <v>280</v>
      </c>
      <c r="C487" s="733">
        <f t="shared" si="21"/>
        <v>181713</v>
      </c>
      <c r="D487" s="733">
        <v>5439</v>
      </c>
      <c r="E487" s="736">
        <v>2129</v>
      </c>
      <c r="F487" s="736">
        <v>3088</v>
      </c>
      <c r="G487" s="733">
        <v>222</v>
      </c>
      <c r="H487" s="733">
        <v>176274</v>
      </c>
      <c r="I487" s="733">
        <v>31296</v>
      </c>
      <c r="J487" s="733">
        <v>51302</v>
      </c>
      <c r="K487" s="733">
        <v>93676</v>
      </c>
      <c r="L487" s="733">
        <v>0</v>
      </c>
    </row>
    <row r="488" spans="2:12" ht="15">
      <c r="B488" s="883" t="s">
        <v>281</v>
      </c>
      <c r="C488" s="733">
        <f>SUM(D488+H488)</f>
        <v>167840</v>
      </c>
      <c r="D488" s="759">
        <v>5002</v>
      </c>
      <c r="E488" s="734">
        <v>2060</v>
      </c>
      <c r="F488" s="735">
        <v>2632</v>
      </c>
      <c r="G488" s="735">
        <v>310</v>
      </c>
      <c r="H488" s="733">
        <v>162838</v>
      </c>
      <c r="I488" s="734">
        <v>28780</v>
      </c>
      <c r="J488" s="734">
        <v>54814</v>
      </c>
      <c r="K488" s="734">
        <v>79244</v>
      </c>
      <c r="L488" s="735">
        <v>0</v>
      </c>
    </row>
    <row r="489" spans="2:12" ht="15">
      <c r="B489" s="883" t="s">
        <v>282</v>
      </c>
      <c r="C489" s="733">
        <v>172228</v>
      </c>
      <c r="D489" s="759">
        <v>4825</v>
      </c>
      <c r="E489" s="734">
        <v>1907</v>
      </c>
      <c r="F489" s="734">
        <v>2589</v>
      </c>
      <c r="G489" s="735">
        <v>329</v>
      </c>
      <c r="H489" s="733">
        <v>167403</v>
      </c>
      <c r="I489" s="734">
        <v>26432</v>
      </c>
      <c r="J489" s="734">
        <v>56705</v>
      </c>
      <c r="K489" s="734">
        <v>84266</v>
      </c>
      <c r="L489" s="735">
        <v>0</v>
      </c>
    </row>
    <row r="490" spans="2:12" ht="15">
      <c r="B490" s="883" t="s">
        <v>283</v>
      </c>
      <c r="C490" s="733">
        <v>160101</v>
      </c>
      <c r="D490" s="733">
        <v>5229</v>
      </c>
      <c r="E490" s="736">
        <v>1936</v>
      </c>
      <c r="F490" s="736">
        <v>2930</v>
      </c>
      <c r="G490" s="733">
        <v>363</v>
      </c>
      <c r="H490" s="733">
        <v>154872</v>
      </c>
      <c r="I490" s="733">
        <v>25855</v>
      </c>
      <c r="J490" s="733">
        <v>53933</v>
      </c>
      <c r="K490" s="733">
        <v>75084</v>
      </c>
      <c r="L490" s="733">
        <v>0</v>
      </c>
    </row>
    <row r="491" spans="2:12" ht="15">
      <c r="B491" s="884" t="s">
        <v>284</v>
      </c>
      <c r="C491" s="994">
        <v>176881</v>
      </c>
      <c r="D491" s="996">
        <v>4941</v>
      </c>
      <c r="E491" s="997">
        <v>1899</v>
      </c>
      <c r="F491" s="997">
        <v>2767</v>
      </c>
      <c r="G491" s="997">
        <v>275</v>
      </c>
      <c r="H491" s="995">
        <v>171940</v>
      </c>
      <c r="I491" s="997">
        <v>28983</v>
      </c>
      <c r="J491" s="997">
        <v>60425</v>
      </c>
      <c r="K491" s="997">
        <v>82532</v>
      </c>
      <c r="L491" s="735"/>
    </row>
    <row r="492" spans="2:12" ht="15">
      <c r="B492" s="884" t="s">
        <v>285</v>
      </c>
      <c r="C492" s="994">
        <v>157650</v>
      </c>
      <c r="D492" s="997">
        <v>4336</v>
      </c>
      <c r="E492" s="997">
        <v>1814</v>
      </c>
      <c r="F492" s="997">
        <v>2017</v>
      </c>
      <c r="G492" s="997">
        <v>505</v>
      </c>
      <c r="H492" s="997">
        <v>153314</v>
      </c>
      <c r="I492" s="997">
        <v>26176</v>
      </c>
      <c r="J492" s="997">
        <v>53316</v>
      </c>
      <c r="K492" s="997">
        <v>73822</v>
      </c>
      <c r="L492" s="735"/>
    </row>
    <row r="493" spans="2:12" ht="15">
      <c r="B493" s="884" t="s">
        <v>286</v>
      </c>
      <c r="C493" s="733">
        <v>133310</v>
      </c>
      <c r="D493" s="734">
        <v>4231</v>
      </c>
      <c r="E493" s="734">
        <v>2037</v>
      </c>
      <c r="F493" s="734">
        <v>1869</v>
      </c>
      <c r="G493" s="734">
        <v>325</v>
      </c>
      <c r="H493" s="734">
        <v>129079</v>
      </c>
      <c r="I493" s="734">
        <v>21017</v>
      </c>
      <c r="J493" s="734">
        <v>43426</v>
      </c>
      <c r="K493" s="734">
        <v>64636</v>
      </c>
      <c r="L493" s="735"/>
    </row>
    <row r="494" spans="2:12" ht="15">
      <c r="B494" s="756"/>
      <c r="C494" s="736"/>
      <c r="D494" s="736"/>
      <c r="E494" s="736"/>
      <c r="F494" s="736"/>
      <c r="G494" s="736"/>
      <c r="H494" s="736"/>
      <c r="I494" s="736"/>
      <c r="J494" s="736"/>
      <c r="K494" s="736"/>
      <c r="L494" s="733"/>
    </row>
    <row r="495" spans="2:12" ht="12.75">
      <c r="B495" s="755">
        <v>2018</v>
      </c>
      <c r="C495" s="737">
        <f t="shared" ref="C495:K495" si="22">SUM(C482:C493)</f>
        <v>1944308</v>
      </c>
      <c r="D495" s="737">
        <f>SUM(D482:D493)</f>
        <v>57884</v>
      </c>
      <c r="E495" s="737">
        <f t="shared" si="22"/>
        <v>25099</v>
      </c>
      <c r="F495" s="737">
        <f t="shared" si="22"/>
        <v>29227</v>
      </c>
      <c r="G495" s="737">
        <f>SUM(G482:G493)</f>
        <v>3558</v>
      </c>
      <c r="H495" s="737">
        <f t="shared" si="22"/>
        <v>1886424</v>
      </c>
      <c r="I495" s="737">
        <f t="shared" si="22"/>
        <v>312200</v>
      </c>
      <c r="J495" s="737">
        <f t="shared" si="22"/>
        <v>605520</v>
      </c>
      <c r="K495" s="737">
        <f t="shared" si="22"/>
        <v>968704</v>
      </c>
      <c r="L495" s="737">
        <f>SUM(L482:L493)</f>
        <v>0</v>
      </c>
    </row>
    <row r="496" spans="2:12" ht="12.75">
      <c r="B496" s="753"/>
      <c r="C496" s="738"/>
      <c r="D496" s="738"/>
      <c r="E496" s="738"/>
      <c r="F496" s="738"/>
      <c r="G496" s="738"/>
      <c r="H496" s="738"/>
      <c r="I496" s="738"/>
      <c r="J496" s="738"/>
      <c r="K496" s="738"/>
      <c r="L496" s="750"/>
    </row>
    <row r="497" spans="2:12" ht="12.75">
      <c r="B497" s="753"/>
      <c r="C497" s="1299" t="s">
        <v>299</v>
      </c>
      <c r="D497" s="1299"/>
      <c r="E497" s="1299"/>
      <c r="F497" s="1299"/>
      <c r="G497" s="1299"/>
      <c r="H497" s="1299"/>
      <c r="I497" s="1299"/>
      <c r="J497" s="1299"/>
      <c r="K497" s="1299"/>
      <c r="L497" s="1300"/>
    </row>
    <row r="498" spans="2:12" ht="12.75">
      <c r="B498" s="752"/>
      <c r="C498" s="738"/>
      <c r="D498" s="738"/>
      <c r="E498" s="738"/>
      <c r="F498" s="738"/>
      <c r="G498" s="738"/>
      <c r="H498" s="738"/>
      <c r="I498" s="738"/>
      <c r="J498" s="738"/>
      <c r="K498" s="738"/>
      <c r="L498" s="750"/>
    </row>
    <row r="499" spans="2:12" ht="12.75">
      <c r="B499" s="754" t="s">
        <v>275</v>
      </c>
      <c r="C499" s="733">
        <f t="shared" ref="C499:C505" si="23">SUM(D499+H499)</f>
        <v>45099890</v>
      </c>
      <c r="D499" s="733">
        <v>252878</v>
      </c>
      <c r="E499" s="733">
        <v>84059</v>
      </c>
      <c r="F499" s="733">
        <v>124324</v>
      </c>
      <c r="G499" s="733">
        <v>44495</v>
      </c>
      <c r="H499" s="733">
        <v>44847012</v>
      </c>
      <c r="I499" s="733">
        <v>6130268</v>
      </c>
      <c r="J499" s="733">
        <v>13150822</v>
      </c>
      <c r="K499" s="733">
        <v>25565922</v>
      </c>
      <c r="L499" s="733">
        <v>0</v>
      </c>
    </row>
    <row r="500" spans="2:12" ht="12.75">
      <c r="B500" s="754" t="s">
        <v>276</v>
      </c>
      <c r="C500" s="733">
        <f t="shared" si="23"/>
        <v>44003287</v>
      </c>
      <c r="D500" s="733">
        <v>212882</v>
      </c>
      <c r="E500" s="733">
        <v>66858</v>
      </c>
      <c r="F500" s="733">
        <v>119964</v>
      </c>
      <c r="G500" s="733">
        <v>26060</v>
      </c>
      <c r="H500" s="733">
        <v>43790405</v>
      </c>
      <c r="I500" s="733">
        <v>6249605</v>
      </c>
      <c r="J500" s="733">
        <v>11767910</v>
      </c>
      <c r="K500" s="733">
        <v>25772890</v>
      </c>
      <c r="L500" s="733">
        <v>0</v>
      </c>
    </row>
    <row r="501" spans="2:12" ht="12.75">
      <c r="B501" s="754" t="s">
        <v>277</v>
      </c>
      <c r="C501" s="733">
        <f t="shared" si="23"/>
        <v>51532662</v>
      </c>
      <c r="D501" s="734">
        <v>276186</v>
      </c>
      <c r="E501" s="734">
        <v>92377</v>
      </c>
      <c r="F501" s="734">
        <v>149908</v>
      </c>
      <c r="G501" s="735">
        <v>33901</v>
      </c>
      <c r="H501" s="733">
        <v>51256476</v>
      </c>
      <c r="I501" s="734">
        <v>7135756</v>
      </c>
      <c r="J501" s="734">
        <v>13997142</v>
      </c>
      <c r="K501" s="734">
        <v>30123578</v>
      </c>
      <c r="L501" s="735">
        <v>0</v>
      </c>
    </row>
    <row r="502" spans="2:12" ht="12.75">
      <c r="B502" s="754" t="s">
        <v>278</v>
      </c>
      <c r="C502" s="733">
        <f t="shared" si="23"/>
        <v>45189937</v>
      </c>
      <c r="D502" s="733">
        <v>208679</v>
      </c>
      <c r="E502" s="736">
        <v>67024</v>
      </c>
      <c r="F502" s="736">
        <v>110501</v>
      </c>
      <c r="G502" s="733">
        <v>31154</v>
      </c>
      <c r="H502" s="733">
        <v>44981258</v>
      </c>
      <c r="I502" s="733">
        <v>6355996</v>
      </c>
      <c r="J502" s="733">
        <v>11909326</v>
      </c>
      <c r="K502" s="733">
        <v>26715936</v>
      </c>
      <c r="L502" s="733">
        <v>0</v>
      </c>
    </row>
    <row r="503" spans="2:12" ht="12.75">
      <c r="B503" s="754" t="s">
        <v>279</v>
      </c>
      <c r="C503" s="733">
        <f t="shared" si="23"/>
        <v>48304474</v>
      </c>
      <c r="D503" s="701">
        <v>222782</v>
      </c>
      <c r="E503" s="701">
        <v>65617</v>
      </c>
      <c r="F503" s="701">
        <v>131166</v>
      </c>
      <c r="G503" s="701">
        <v>25999</v>
      </c>
      <c r="H503" s="701">
        <v>48081692</v>
      </c>
      <c r="I503" s="701">
        <v>6862169</v>
      </c>
      <c r="J503" s="701">
        <v>11707521</v>
      </c>
      <c r="K503" s="703">
        <v>29512002</v>
      </c>
      <c r="L503" s="733">
        <v>0</v>
      </c>
    </row>
    <row r="504" spans="2:12" ht="12.75">
      <c r="B504" s="754" t="s">
        <v>280</v>
      </c>
      <c r="C504" s="733">
        <f t="shared" si="23"/>
        <v>51811853</v>
      </c>
      <c r="D504" s="733">
        <v>282004</v>
      </c>
      <c r="E504" s="736">
        <v>76688</v>
      </c>
      <c r="F504" s="736">
        <v>177674</v>
      </c>
      <c r="G504" s="733">
        <v>27642</v>
      </c>
      <c r="H504" s="733">
        <v>51529849</v>
      </c>
      <c r="I504" s="733">
        <v>8016005</v>
      </c>
      <c r="J504" s="733">
        <v>13339077</v>
      </c>
      <c r="K504" s="733">
        <v>30174767</v>
      </c>
      <c r="L504" s="733">
        <v>0</v>
      </c>
    </row>
    <row r="505" spans="2:12" ht="12.75">
      <c r="B505" s="754" t="s">
        <v>281</v>
      </c>
      <c r="C505" s="733">
        <f t="shared" si="23"/>
        <v>48842758</v>
      </c>
      <c r="D505" s="734">
        <v>265436</v>
      </c>
      <c r="E505" s="734">
        <v>71941</v>
      </c>
      <c r="F505" s="734">
        <v>155048</v>
      </c>
      <c r="G505" s="735">
        <v>38447</v>
      </c>
      <c r="H505" s="733">
        <v>48577322</v>
      </c>
      <c r="I505" s="734">
        <v>7658442</v>
      </c>
      <c r="J505" s="734">
        <v>14565252</v>
      </c>
      <c r="K505" s="734">
        <v>26353628</v>
      </c>
      <c r="L505" s="735">
        <v>0</v>
      </c>
    </row>
    <row r="506" spans="2:12" ht="12.75">
      <c r="B506" s="754" t="s">
        <v>282</v>
      </c>
      <c r="C506" s="733">
        <v>48263436</v>
      </c>
      <c r="D506" s="734">
        <v>256924</v>
      </c>
      <c r="E506" s="734">
        <v>69078</v>
      </c>
      <c r="F506" s="734">
        <v>147163</v>
      </c>
      <c r="G506" s="735">
        <v>40683</v>
      </c>
      <c r="H506" s="733">
        <v>48006512</v>
      </c>
      <c r="I506" s="734">
        <v>6609994</v>
      </c>
      <c r="J506" s="734">
        <v>14348975</v>
      </c>
      <c r="K506" s="734">
        <v>27047543</v>
      </c>
      <c r="L506" s="735">
        <v>0</v>
      </c>
    </row>
    <row r="507" spans="2:12" ht="12.75">
      <c r="B507" s="754" t="s">
        <v>283</v>
      </c>
      <c r="C507" s="733">
        <v>45286151</v>
      </c>
      <c r="D507" s="734">
        <v>278053</v>
      </c>
      <c r="E507" s="734">
        <v>69043</v>
      </c>
      <c r="F507" s="734">
        <v>162479</v>
      </c>
      <c r="G507" s="735">
        <v>46531</v>
      </c>
      <c r="H507" s="733">
        <v>45008098</v>
      </c>
      <c r="I507" s="734">
        <v>6477502</v>
      </c>
      <c r="J507" s="734">
        <v>13766890</v>
      </c>
      <c r="K507" s="734">
        <v>24763706</v>
      </c>
      <c r="L507" s="735">
        <v>0</v>
      </c>
    </row>
    <row r="508" spans="2:12" ht="12.75">
      <c r="B508" s="754" t="s">
        <v>284</v>
      </c>
      <c r="C508" s="998">
        <v>51567073</v>
      </c>
      <c r="D508" s="1000">
        <v>269087</v>
      </c>
      <c r="E508" s="1000">
        <v>66984</v>
      </c>
      <c r="F508" s="1000">
        <v>160926</v>
      </c>
      <c r="G508" s="1000">
        <v>41177</v>
      </c>
      <c r="H508" s="999">
        <v>51297986</v>
      </c>
      <c r="I508" s="1000">
        <v>7715024</v>
      </c>
      <c r="J508" s="1000">
        <v>16353050</v>
      </c>
      <c r="K508" s="1000">
        <v>27229912</v>
      </c>
      <c r="L508" s="735"/>
    </row>
    <row r="509" spans="2:12" ht="12.75">
      <c r="B509" s="754" t="s">
        <v>285</v>
      </c>
      <c r="C509" s="998">
        <v>46086574</v>
      </c>
      <c r="D509" s="1000">
        <v>232053</v>
      </c>
      <c r="E509" s="1000">
        <v>58546</v>
      </c>
      <c r="F509" s="1000">
        <v>113020</v>
      </c>
      <c r="G509" s="1000">
        <v>60487</v>
      </c>
      <c r="H509" s="1000">
        <v>45854521</v>
      </c>
      <c r="I509" s="1000">
        <v>6971766</v>
      </c>
      <c r="J509" s="1000">
        <v>14390917</v>
      </c>
      <c r="K509" s="1000">
        <v>24491838</v>
      </c>
      <c r="L509" s="735"/>
    </row>
    <row r="510" spans="2:12" ht="12.75">
      <c r="B510" s="754" t="s">
        <v>286</v>
      </c>
      <c r="C510" s="733">
        <v>39184758</v>
      </c>
      <c r="D510" s="734">
        <v>228472</v>
      </c>
      <c r="E510" s="734">
        <v>69809</v>
      </c>
      <c r="F510" s="734">
        <v>111392</v>
      </c>
      <c r="G510" s="734">
        <v>47271</v>
      </c>
      <c r="H510" s="734">
        <v>38956286</v>
      </c>
      <c r="I510" s="734">
        <v>5576516</v>
      </c>
      <c r="J510" s="734">
        <v>11693522</v>
      </c>
      <c r="K510" s="734">
        <v>21686248</v>
      </c>
      <c r="L510" s="735"/>
    </row>
    <row r="511" spans="2:12" ht="12.75">
      <c r="B511" s="753"/>
      <c r="C511" s="736"/>
      <c r="D511" s="736"/>
      <c r="E511" s="736"/>
      <c r="F511" s="736"/>
      <c r="G511" s="736"/>
      <c r="H511" s="736"/>
      <c r="I511" s="736"/>
      <c r="J511" s="736"/>
      <c r="K511" s="736"/>
      <c r="L511" s="733"/>
    </row>
    <row r="512" spans="2:12" ht="12.75">
      <c r="B512" s="755">
        <v>2018</v>
      </c>
      <c r="C512" s="737">
        <f t="shared" ref="C512:L512" si="24">SUM(C499:C510)</f>
        <v>565172853</v>
      </c>
      <c r="D512" s="737">
        <f t="shared" si="24"/>
        <v>2985436</v>
      </c>
      <c r="E512" s="737">
        <f t="shared" si="24"/>
        <v>858024</v>
      </c>
      <c r="F512" s="737">
        <f t="shared" si="24"/>
        <v>1663565</v>
      </c>
      <c r="G512" s="737">
        <f t="shared" si="24"/>
        <v>463847</v>
      </c>
      <c r="H512" s="737">
        <f t="shared" si="24"/>
        <v>562187417</v>
      </c>
      <c r="I512" s="737">
        <f t="shared" si="24"/>
        <v>81759043</v>
      </c>
      <c r="J512" s="737">
        <f t="shared" si="24"/>
        <v>160990404</v>
      </c>
      <c r="K512" s="737">
        <f t="shared" si="24"/>
        <v>319437970</v>
      </c>
      <c r="L512" s="737">
        <f t="shared" si="24"/>
        <v>0</v>
      </c>
    </row>
    <row r="513" spans="2:12" ht="12.75">
      <c r="B513" s="964"/>
      <c r="C513" s="740"/>
      <c r="D513" s="740"/>
      <c r="E513" s="740"/>
      <c r="F513" s="740"/>
      <c r="G513" s="740"/>
      <c r="H513" s="740"/>
      <c r="I513" s="740"/>
      <c r="J513" s="740"/>
      <c r="K513" s="740"/>
      <c r="L513" s="965"/>
    </row>
    <row r="514" spans="2:12" ht="12.75" customHeight="1">
      <c r="B514" s="1301" t="s">
        <v>263</v>
      </c>
      <c r="C514" s="1231" t="s">
        <v>22</v>
      </c>
      <c r="D514" s="1231" t="s">
        <v>264</v>
      </c>
      <c r="E514" s="1290" t="s">
        <v>265</v>
      </c>
      <c r="F514" s="1291"/>
      <c r="G514" s="1292"/>
      <c r="H514" s="1293" t="s">
        <v>266</v>
      </c>
      <c r="I514" s="1303" t="s">
        <v>267</v>
      </c>
      <c r="J514" s="1304"/>
      <c r="K514" s="1304"/>
      <c r="L514" s="1305"/>
    </row>
    <row r="515" spans="2:12" ht="11.25" customHeight="1">
      <c r="B515" s="1302"/>
      <c r="C515" s="1232"/>
      <c r="D515" s="1232"/>
      <c r="E515" s="1295" t="s">
        <v>304</v>
      </c>
      <c r="F515" s="1297" t="s">
        <v>305</v>
      </c>
      <c r="G515" s="1297" t="s">
        <v>306</v>
      </c>
      <c r="H515" s="1294"/>
      <c r="I515" s="1233" t="s">
        <v>271</v>
      </c>
      <c r="J515" s="1233" t="s">
        <v>24</v>
      </c>
      <c r="K515" s="1231" t="s">
        <v>272</v>
      </c>
      <c r="L515" s="1233" t="s">
        <v>273</v>
      </c>
    </row>
    <row r="516" spans="2:12" ht="11.25" customHeight="1">
      <c r="B516" s="1302"/>
      <c r="C516" s="1232"/>
      <c r="D516" s="1232"/>
      <c r="E516" s="1296"/>
      <c r="F516" s="1298"/>
      <c r="G516" s="1298"/>
      <c r="H516" s="1294"/>
      <c r="I516" s="1287"/>
      <c r="J516" s="1287"/>
      <c r="K516" s="1306"/>
      <c r="L516" s="1287"/>
    </row>
    <row r="517" spans="2:12" ht="12.75">
      <c r="B517" s="730">
        <v>0</v>
      </c>
      <c r="C517" s="741">
        <v>1</v>
      </c>
      <c r="D517" s="741">
        <v>2</v>
      </c>
      <c r="E517" s="742">
        <v>3</v>
      </c>
      <c r="F517" s="742">
        <v>4</v>
      </c>
      <c r="G517" s="741">
        <v>5</v>
      </c>
      <c r="H517" s="741">
        <v>6</v>
      </c>
      <c r="I517" s="741">
        <v>7</v>
      </c>
      <c r="J517" s="741">
        <v>8</v>
      </c>
      <c r="K517" s="741">
        <v>9</v>
      </c>
      <c r="L517" s="741">
        <v>10</v>
      </c>
    </row>
    <row r="518" spans="2:12" ht="12.75">
      <c r="B518" s="752"/>
      <c r="C518" s="738"/>
      <c r="D518" s="738"/>
      <c r="E518" s="738"/>
      <c r="F518" s="738"/>
      <c r="G518" s="738"/>
      <c r="H518" s="738"/>
      <c r="I518" s="738"/>
      <c r="J518" s="738"/>
      <c r="K518" s="738"/>
      <c r="L518" s="750"/>
    </row>
    <row r="519" spans="2:12" ht="12.75">
      <c r="B519" s="753"/>
      <c r="C519" s="1299" t="s">
        <v>300</v>
      </c>
      <c r="D519" s="1299"/>
      <c r="E519" s="1299"/>
      <c r="F519" s="1299"/>
      <c r="G519" s="1299"/>
      <c r="H519" s="1299"/>
      <c r="I519" s="1299"/>
      <c r="J519" s="1299"/>
      <c r="K519" s="1299"/>
      <c r="L519" s="1300"/>
    </row>
    <row r="520" spans="2:12" ht="12.75">
      <c r="B520" s="753"/>
      <c r="C520" s="743"/>
      <c r="D520" s="743"/>
      <c r="E520" s="743"/>
      <c r="F520" s="743"/>
      <c r="G520" s="743"/>
      <c r="H520" s="743"/>
      <c r="I520" s="743"/>
      <c r="J520" s="743"/>
      <c r="K520" s="743"/>
      <c r="L520" s="751"/>
    </row>
    <row r="521" spans="2:12" ht="12.75">
      <c r="B521" s="754" t="s">
        <v>275</v>
      </c>
      <c r="C521" s="733">
        <f>SUM(D521+H521)</f>
        <v>90057014</v>
      </c>
      <c r="D521" s="733">
        <v>438151</v>
      </c>
      <c r="E521" s="733">
        <v>144810</v>
      </c>
      <c r="F521" s="733">
        <v>215494</v>
      </c>
      <c r="G521" s="733">
        <v>77847</v>
      </c>
      <c r="H521" s="733">
        <v>89618863</v>
      </c>
      <c r="I521" s="733">
        <v>12292165</v>
      </c>
      <c r="J521" s="733">
        <v>27496766</v>
      </c>
      <c r="K521" s="733">
        <v>49829932</v>
      </c>
      <c r="L521" s="733">
        <v>0</v>
      </c>
    </row>
    <row r="522" spans="2:12" ht="12.75">
      <c r="B522" s="754" t="s">
        <v>276</v>
      </c>
      <c r="C522" s="733">
        <f t="shared" ref="C522:C526" si="25">SUM(D522+H522)</f>
        <v>87625873</v>
      </c>
      <c r="D522" s="733">
        <v>376411</v>
      </c>
      <c r="E522" s="733">
        <v>117606</v>
      </c>
      <c r="F522" s="733">
        <v>212849</v>
      </c>
      <c r="G522" s="733">
        <v>45956</v>
      </c>
      <c r="H522" s="733">
        <v>87249462</v>
      </c>
      <c r="I522" s="733">
        <v>12525302</v>
      </c>
      <c r="J522" s="733">
        <v>24475372</v>
      </c>
      <c r="K522" s="733">
        <v>50248788</v>
      </c>
      <c r="L522" s="733">
        <v>0</v>
      </c>
    </row>
    <row r="523" spans="2:12" ht="12.75">
      <c r="B523" s="754" t="s">
        <v>277</v>
      </c>
      <c r="C523" s="733">
        <f t="shared" si="25"/>
        <v>102956905</v>
      </c>
      <c r="D523" s="734">
        <v>484939</v>
      </c>
      <c r="E523" s="734">
        <v>160312</v>
      </c>
      <c r="F523" s="734">
        <v>263733</v>
      </c>
      <c r="G523" s="735">
        <v>60894</v>
      </c>
      <c r="H523" s="733">
        <v>102471966</v>
      </c>
      <c r="I523" s="734">
        <v>14376293</v>
      </c>
      <c r="J523" s="734">
        <v>29217947</v>
      </c>
      <c r="K523" s="734">
        <v>58877726</v>
      </c>
      <c r="L523" s="735">
        <v>0</v>
      </c>
    </row>
    <row r="524" spans="2:12" ht="12.75">
      <c r="B524" s="754" t="s">
        <v>278</v>
      </c>
      <c r="C524" s="733">
        <f t="shared" si="25"/>
        <v>89833124</v>
      </c>
      <c r="D524" s="733">
        <v>369992</v>
      </c>
      <c r="E524" s="736">
        <v>117042</v>
      </c>
      <c r="F524" s="736">
        <v>198243</v>
      </c>
      <c r="G524" s="736">
        <v>54707</v>
      </c>
      <c r="H524" s="733">
        <v>89463132</v>
      </c>
      <c r="I524" s="736">
        <v>12659311</v>
      </c>
      <c r="J524" s="736">
        <v>24713683</v>
      </c>
      <c r="K524" s="736">
        <v>52090138</v>
      </c>
      <c r="L524" s="736">
        <v>0</v>
      </c>
    </row>
    <row r="525" spans="2:12" ht="12.75">
      <c r="B525" s="754" t="s">
        <v>279</v>
      </c>
      <c r="C525" s="733">
        <f t="shared" si="25"/>
        <v>96131249</v>
      </c>
      <c r="D525" s="701">
        <v>388194</v>
      </c>
      <c r="E525" s="701">
        <v>117359</v>
      </c>
      <c r="F525" s="701">
        <v>226856</v>
      </c>
      <c r="G525" s="701">
        <v>43979</v>
      </c>
      <c r="H525" s="701">
        <v>95743055</v>
      </c>
      <c r="I525" s="701">
        <v>13695188</v>
      </c>
      <c r="J525" s="701">
        <v>24193988</v>
      </c>
      <c r="K525" s="701">
        <v>57853879</v>
      </c>
      <c r="L525" s="703">
        <v>0</v>
      </c>
    </row>
    <row r="526" spans="2:12" ht="12.75">
      <c r="B526" s="754" t="s">
        <v>280</v>
      </c>
      <c r="C526" s="733">
        <f t="shared" si="25"/>
        <v>106478761</v>
      </c>
      <c r="D526" s="733">
        <v>490758</v>
      </c>
      <c r="E526" s="736">
        <v>133555</v>
      </c>
      <c r="F526" s="736">
        <v>309712</v>
      </c>
      <c r="G526" s="736">
        <v>47491</v>
      </c>
      <c r="H526" s="733">
        <v>105988003</v>
      </c>
      <c r="I526" s="736">
        <v>16711067</v>
      </c>
      <c r="J526" s="736">
        <v>28416605</v>
      </c>
      <c r="K526" s="736">
        <v>60860331</v>
      </c>
      <c r="L526" s="736">
        <v>0</v>
      </c>
    </row>
    <row r="527" spans="2:12" ht="12.75">
      <c r="B527" s="754" t="s">
        <v>281</v>
      </c>
      <c r="C527" s="733">
        <f>SUM(D527+H527)</f>
        <v>97513011</v>
      </c>
      <c r="D527" s="734">
        <v>466110</v>
      </c>
      <c r="E527" s="734">
        <v>126040</v>
      </c>
      <c r="F527" s="734">
        <v>272293</v>
      </c>
      <c r="G527" s="735">
        <v>67777</v>
      </c>
      <c r="H527" s="733">
        <v>97046901</v>
      </c>
      <c r="I527" s="734">
        <v>15281444</v>
      </c>
      <c r="J527" s="734">
        <v>30459496</v>
      </c>
      <c r="K527" s="734">
        <v>51305961</v>
      </c>
      <c r="L527" s="735">
        <v>0</v>
      </c>
    </row>
    <row r="528" spans="2:12" ht="12.75">
      <c r="B528" s="754" t="s">
        <v>282</v>
      </c>
      <c r="C528" s="733">
        <v>99779863</v>
      </c>
      <c r="D528" s="734">
        <v>453846</v>
      </c>
      <c r="E528" s="734">
        <v>121139</v>
      </c>
      <c r="F528" s="734">
        <v>255727</v>
      </c>
      <c r="G528" s="735">
        <v>76980</v>
      </c>
      <c r="H528" s="733">
        <v>99326017</v>
      </c>
      <c r="I528" s="734">
        <v>13903750</v>
      </c>
      <c r="J528" s="734">
        <v>30830195</v>
      </c>
      <c r="K528" s="734">
        <v>54592072</v>
      </c>
      <c r="L528" s="735">
        <v>0</v>
      </c>
    </row>
    <row r="529" spans="2:12" ht="12.75">
      <c r="B529" s="754" t="s">
        <v>283</v>
      </c>
      <c r="C529" s="733">
        <v>91969686</v>
      </c>
      <c r="D529" s="733">
        <v>483179</v>
      </c>
      <c r="E529" s="736">
        <v>120441</v>
      </c>
      <c r="F529" s="736">
        <v>282316</v>
      </c>
      <c r="G529" s="736">
        <v>80422</v>
      </c>
      <c r="H529" s="733">
        <v>91486507</v>
      </c>
      <c r="I529" s="736">
        <v>13573553</v>
      </c>
      <c r="J529" s="736">
        <v>29620194</v>
      </c>
      <c r="K529" s="736">
        <v>48292760</v>
      </c>
      <c r="L529" s="736">
        <v>0</v>
      </c>
    </row>
    <row r="530" spans="2:12" ht="12.75">
      <c r="B530" s="754" t="s">
        <v>284</v>
      </c>
      <c r="C530" s="1001">
        <v>103129786</v>
      </c>
      <c r="D530" s="1003">
        <v>466381</v>
      </c>
      <c r="E530" s="1003">
        <v>115783</v>
      </c>
      <c r="F530" s="1003">
        <v>279344</v>
      </c>
      <c r="G530" s="1003">
        <v>71254</v>
      </c>
      <c r="H530" s="1002">
        <v>102663405</v>
      </c>
      <c r="I530" s="1003">
        <v>15418876</v>
      </c>
      <c r="J530" s="1003">
        <v>33786806</v>
      </c>
      <c r="K530" s="1003">
        <v>53457723</v>
      </c>
      <c r="L530" s="735"/>
    </row>
    <row r="531" spans="2:12" ht="12.75">
      <c r="B531" s="754" t="s">
        <v>285</v>
      </c>
      <c r="C531" s="1001">
        <v>92254109</v>
      </c>
      <c r="D531" s="1003">
        <v>409307</v>
      </c>
      <c r="E531" s="1003">
        <v>101133</v>
      </c>
      <c r="F531" s="1003">
        <v>196225</v>
      </c>
      <c r="G531" s="1004">
        <v>111949</v>
      </c>
      <c r="H531" s="1005">
        <v>91844802</v>
      </c>
      <c r="I531" s="1003">
        <v>13938872</v>
      </c>
      <c r="J531" s="1003">
        <v>29955939</v>
      </c>
      <c r="K531" s="1003">
        <v>47949991</v>
      </c>
      <c r="L531" s="735"/>
    </row>
    <row r="532" spans="2:12" ht="12.75">
      <c r="B532" s="754" t="s">
        <v>286</v>
      </c>
      <c r="C532" s="733">
        <v>78132290</v>
      </c>
      <c r="D532" s="734">
        <v>398393</v>
      </c>
      <c r="E532" s="734">
        <v>124025</v>
      </c>
      <c r="F532" s="734">
        <v>193496</v>
      </c>
      <c r="G532" s="735">
        <v>80872</v>
      </c>
      <c r="H532" s="744">
        <v>77733897</v>
      </c>
      <c r="I532" s="734">
        <v>11141565</v>
      </c>
      <c r="J532" s="734">
        <v>24343592</v>
      </c>
      <c r="K532" s="734">
        <v>42248740</v>
      </c>
      <c r="L532" s="735"/>
    </row>
    <row r="533" spans="2:12" ht="12.75">
      <c r="B533" s="754"/>
      <c r="C533" s="745"/>
      <c r="D533" s="746"/>
      <c r="E533" s="747"/>
      <c r="F533" s="747"/>
      <c r="G533" s="747"/>
      <c r="H533" s="746"/>
      <c r="I533" s="747"/>
      <c r="J533" s="747"/>
      <c r="K533" s="747"/>
      <c r="L533" s="747"/>
    </row>
    <row r="534" spans="2:12" ht="12.75">
      <c r="B534" s="755">
        <v>2018</v>
      </c>
      <c r="C534" s="748">
        <f t="shared" ref="C534:K534" si="26">SUM(C521:C532)</f>
        <v>1135861671</v>
      </c>
      <c r="D534" s="748">
        <f t="shared" si="26"/>
        <v>5225661</v>
      </c>
      <c r="E534" s="748">
        <f t="shared" si="26"/>
        <v>1499245</v>
      </c>
      <c r="F534" s="748">
        <f t="shared" si="26"/>
        <v>2906288</v>
      </c>
      <c r="G534" s="748">
        <f t="shared" si="26"/>
        <v>820128</v>
      </c>
      <c r="H534" s="748">
        <f t="shared" si="26"/>
        <v>1130636010</v>
      </c>
      <c r="I534" s="748">
        <f t="shared" si="26"/>
        <v>165517386</v>
      </c>
      <c r="J534" s="748">
        <f t="shared" si="26"/>
        <v>337510583</v>
      </c>
      <c r="K534" s="748">
        <f t="shared" si="26"/>
        <v>627608041</v>
      </c>
      <c r="L534" s="748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363</v>
      </c>
    </row>
    <row r="555" spans="2:12" ht="12.75">
      <c r="B555"/>
      <c r="C555"/>
      <c r="D555"/>
      <c r="E555"/>
      <c r="F555"/>
      <c r="G555"/>
      <c r="H555"/>
      <c r="I555"/>
      <c r="J555"/>
      <c r="K555"/>
      <c r="L555"/>
    </row>
    <row r="556" spans="2:12" ht="12.75">
      <c r="B556"/>
      <c r="C556"/>
      <c r="D556"/>
      <c r="E556"/>
      <c r="F556"/>
      <c r="G556"/>
      <c r="H556"/>
      <c r="I556"/>
      <c r="J556"/>
      <c r="K556"/>
      <c r="L556"/>
    </row>
    <row r="557" spans="2:12" ht="18">
      <c r="B557" s="881"/>
      <c r="C557" s="881"/>
      <c r="D557" s="881"/>
      <c r="E557" s="881"/>
      <c r="F557" s="882" t="s">
        <v>262</v>
      </c>
      <c r="G557" s="881"/>
      <c r="H557" s="881"/>
      <c r="I557" s="881"/>
      <c r="J557" s="881"/>
      <c r="K557" s="881"/>
      <c r="L557"/>
    </row>
    <row r="558" spans="2:12" ht="14.25" customHeight="1">
      <c r="B558" s="1233" t="s">
        <v>263</v>
      </c>
      <c r="C558" s="1231" t="s">
        <v>22</v>
      </c>
      <c r="D558" s="1231" t="s">
        <v>264</v>
      </c>
      <c r="E558" s="1290" t="s">
        <v>265</v>
      </c>
      <c r="F558" s="1291"/>
      <c r="G558" s="1292"/>
      <c r="H558" s="1293" t="s">
        <v>266</v>
      </c>
      <c r="I558" s="1290" t="s">
        <v>267</v>
      </c>
      <c r="J558" s="1291"/>
      <c r="K558" s="1292"/>
      <c r="L558"/>
    </row>
    <row r="559" spans="2:12" ht="12.75">
      <c r="B559" s="1234"/>
      <c r="C559" s="1232"/>
      <c r="D559" s="1232"/>
      <c r="E559" s="1233" t="s">
        <v>304</v>
      </c>
      <c r="F559" s="1231" t="s">
        <v>305</v>
      </c>
      <c r="G559" s="1231" t="s">
        <v>306</v>
      </c>
      <c r="H559" s="1294"/>
      <c r="I559" s="1233" t="s">
        <v>271</v>
      </c>
      <c r="J559" s="1233" t="s">
        <v>24</v>
      </c>
      <c r="K559" s="1231" t="s">
        <v>364</v>
      </c>
      <c r="L559"/>
    </row>
    <row r="560" spans="2:12" ht="12.75">
      <c r="B560" s="1234"/>
      <c r="C560" s="1232"/>
      <c r="D560" s="1232"/>
      <c r="E560" s="1234"/>
      <c r="F560" s="1232"/>
      <c r="G560" s="1232"/>
      <c r="H560" s="1294"/>
      <c r="I560" s="1234"/>
      <c r="J560" s="1234"/>
      <c r="K560" s="1232"/>
      <c r="L560"/>
    </row>
    <row r="561" spans="2:12" ht="12.75">
      <c r="B561" s="730">
        <v>0</v>
      </c>
      <c r="C561" s="729">
        <v>1</v>
      </c>
      <c r="D561" s="729">
        <v>2</v>
      </c>
      <c r="E561" s="730">
        <v>3</v>
      </c>
      <c r="F561" s="730">
        <v>4</v>
      </c>
      <c r="G561" s="729">
        <v>5</v>
      </c>
      <c r="H561" s="729">
        <v>6</v>
      </c>
      <c r="I561" s="729">
        <v>7</v>
      </c>
      <c r="J561" s="729">
        <v>8</v>
      </c>
      <c r="K561" s="731">
        <v>9</v>
      </c>
      <c r="L561"/>
    </row>
    <row r="562" spans="2:12" ht="12.75">
      <c r="B562" s="752"/>
      <c r="C562" s="732"/>
      <c r="D562" s="732"/>
      <c r="E562" s="732"/>
      <c r="F562" s="732"/>
      <c r="G562" s="732"/>
      <c r="H562" s="732"/>
      <c r="I562" s="732"/>
      <c r="J562" s="732"/>
      <c r="K562" s="757"/>
      <c r="L562"/>
    </row>
    <row r="563" spans="2:12" ht="14.25">
      <c r="B563" s="753"/>
      <c r="C563" s="1288" t="s">
        <v>274</v>
      </c>
      <c r="D563" s="1288"/>
      <c r="E563" s="1288"/>
      <c r="F563" s="1288"/>
      <c r="G563" s="1288"/>
      <c r="H563" s="1288"/>
      <c r="I563" s="1288"/>
      <c r="J563" s="1288"/>
      <c r="K563" s="1289"/>
      <c r="L563"/>
    </row>
    <row r="564" spans="2:12" ht="12.75">
      <c r="B564" s="752"/>
      <c r="C564" s="732"/>
      <c r="D564" s="732"/>
      <c r="E564" s="732"/>
      <c r="F564" s="732"/>
      <c r="G564" s="732"/>
      <c r="H564" s="732"/>
      <c r="I564" s="732"/>
      <c r="J564" s="732"/>
      <c r="K564" s="757"/>
      <c r="L564"/>
    </row>
    <row r="565" spans="2:12" ht="15">
      <c r="B565" s="883" t="s">
        <v>275</v>
      </c>
      <c r="C565" s="1001">
        <f>SUM(D565+H565)</f>
        <v>160405</v>
      </c>
      <c r="D565" s="1001">
        <v>4252</v>
      </c>
      <c r="E565" s="1001">
        <v>1993</v>
      </c>
      <c r="F565" s="1001">
        <v>1899</v>
      </c>
      <c r="G565" s="1001">
        <v>360</v>
      </c>
      <c r="H565" s="1001">
        <v>156153</v>
      </c>
      <c r="I565" s="1001">
        <v>25576</v>
      </c>
      <c r="J565" s="1001">
        <v>49577</v>
      </c>
      <c r="K565" s="1001">
        <v>81000</v>
      </c>
      <c r="L565"/>
    </row>
    <row r="566" spans="2:12" ht="15">
      <c r="B566" s="883" t="s">
        <v>276</v>
      </c>
      <c r="C566" s="1001">
        <f t="shared" ref="C566:C576" si="41">SUM(D566+H566)</f>
        <v>118397</v>
      </c>
      <c r="D566" s="1001">
        <v>3761</v>
      </c>
      <c r="E566" s="1001">
        <v>1965</v>
      </c>
      <c r="F566" s="1001">
        <v>1503</v>
      </c>
      <c r="G566" s="1001">
        <v>293</v>
      </c>
      <c r="H566" s="1001">
        <v>114636</v>
      </c>
      <c r="I566" s="1001">
        <v>20407</v>
      </c>
      <c r="J566" s="1001">
        <v>32761</v>
      </c>
      <c r="K566" s="1001">
        <v>61468</v>
      </c>
      <c r="L566"/>
    </row>
    <row r="567" spans="2:12" ht="15">
      <c r="B567" s="883" t="s">
        <v>277</v>
      </c>
      <c r="C567" s="1001">
        <f t="shared" si="41"/>
        <v>154468</v>
      </c>
      <c r="D567" s="1003">
        <v>4195</v>
      </c>
      <c r="E567" s="1003">
        <v>2254</v>
      </c>
      <c r="F567" s="1003">
        <v>1618</v>
      </c>
      <c r="G567" s="1004">
        <v>323</v>
      </c>
      <c r="H567" s="1001">
        <v>150273</v>
      </c>
      <c r="I567" s="1003">
        <v>25918</v>
      </c>
      <c r="J567" s="1003">
        <v>43821</v>
      </c>
      <c r="K567" s="1004">
        <v>80534</v>
      </c>
      <c r="L567"/>
    </row>
    <row r="568" spans="2:12" ht="15">
      <c r="B568" s="883" t="s">
        <v>278</v>
      </c>
      <c r="C568" s="1001">
        <f>SUM(D568+H568)</f>
        <v>147058</v>
      </c>
      <c r="D568" s="1001">
        <v>4501</v>
      </c>
      <c r="E568" s="1002">
        <v>2298</v>
      </c>
      <c r="F568" s="1002">
        <v>1927</v>
      </c>
      <c r="G568" s="1001">
        <v>276</v>
      </c>
      <c r="H568" s="1001">
        <v>142557</v>
      </c>
      <c r="I568" s="1001">
        <v>23715</v>
      </c>
      <c r="J568" s="1001">
        <v>40827</v>
      </c>
      <c r="K568" s="1001">
        <v>78015</v>
      </c>
      <c r="L568"/>
    </row>
    <row r="569" spans="2:12" ht="15">
      <c r="B569" s="883" t="s">
        <v>279</v>
      </c>
      <c r="C569" s="1001">
        <f>SUM(D569+H569)</f>
        <v>0</v>
      </c>
      <c r="D569" s="758"/>
      <c r="E569" s="701"/>
      <c r="F569" s="703"/>
      <c r="G569" s="703"/>
      <c r="H569" s="758"/>
      <c r="I569" s="701"/>
      <c r="J569" s="701"/>
      <c r="K569" s="703"/>
      <c r="L569"/>
    </row>
    <row r="570" spans="2:12" ht="15">
      <c r="B570" s="883" t="s">
        <v>280</v>
      </c>
      <c r="C570" s="1001">
        <f t="shared" si="41"/>
        <v>0</v>
      </c>
      <c r="D570" s="1001"/>
      <c r="E570" s="1002"/>
      <c r="F570" s="1002"/>
      <c r="G570" s="1001"/>
      <c r="H570" s="1001"/>
      <c r="I570" s="1001"/>
      <c r="J570" s="1001"/>
      <c r="K570" s="1001"/>
      <c r="L570"/>
    </row>
    <row r="571" spans="2:12" ht="15">
      <c r="B571" s="883" t="s">
        <v>281</v>
      </c>
      <c r="C571" s="1001">
        <f>SUM(D571+H571)</f>
        <v>0</v>
      </c>
      <c r="D571" s="759"/>
      <c r="E571" s="1003"/>
      <c r="F571" s="1004"/>
      <c r="G571" s="1004"/>
      <c r="H571" s="1001"/>
      <c r="I571" s="1003"/>
      <c r="J571" s="1003"/>
      <c r="K571" s="1004"/>
      <c r="L571"/>
    </row>
    <row r="572" spans="2:12" ht="15">
      <c r="B572" s="883" t="s">
        <v>282</v>
      </c>
      <c r="C572" s="1001">
        <f t="shared" si="41"/>
        <v>0</v>
      </c>
      <c r="D572" s="759"/>
      <c r="E572" s="1003"/>
      <c r="F572" s="1003"/>
      <c r="G572" s="1004"/>
      <c r="H572" s="1001"/>
      <c r="I572" s="1003"/>
      <c r="J572" s="1003"/>
      <c r="K572" s="1004"/>
      <c r="L572"/>
    </row>
    <row r="573" spans="2:12" ht="15">
      <c r="B573" s="883" t="s">
        <v>283</v>
      </c>
      <c r="C573" s="1001">
        <f t="shared" si="41"/>
        <v>0</v>
      </c>
      <c r="D573" s="1001"/>
      <c r="E573" s="1002"/>
      <c r="F573" s="1002"/>
      <c r="G573" s="1001"/>
      <c r="H573" s="1001"/>
      <c r="I573" s="1001"/>
      <c r="J573" s="1001"/>
      <c r="K573" s="1001"/>
      <c r="L573"/>
    </row>
    <row r="574" spans="2:12" ht="15">
      <c r="B574" s="1146" t="s">
        <v>284</v>
      </c>
      <c r="C574" s="1001">
        <f>SUM(D574+H574)</f>
        <v>0</v>
      </c>
      <c r="D574" s="759"/>
      <c r="E574" s="1003"/>
      <c r="F574" s="1003"/>
      <c r="G574" s="1003"/>
      <c r="H574" s="1002"/>
      <c r="I574" s="1003"/>
      <c r="J574" s="1003"/>
      <c r="K574" s="1004"/>
      <c r="L574"/>
    </row>
    <row r="575" spans="2:12" ht="15">
      <c r="B575" s="884" t="s">
        <v>285</v>
      </c>
      <c r="C575" s="1001">
        <f>SUM(D575+H575)</f>
        <v>0</v>
      </c>
      <c r="D575" s="1003"/>
      <c r="E575" s="1003"/>
      <c r="F575" s="1003"/>
      <c r="G575" s="1003"/>
      <c r="H575" s="1003"/>
      <c r="I575" s="1003"/>
      <c r="J575" s="1003"/>
      <c r="K575" s="1004"/>
      <c r="L575"/>
    </row>
    <row r="576" spans="2:12" ht="15">
      <c r="B576" s="884" t="s">
        <v>286</v>
      </c>
      <c r="C576" s="1001">
        <f t="shared" si="41"/>
        <v>0</v>
      </c>
      <c r="D576" s="1003"/>
      <c r="E576" s="1003"/>
      <c r="F576" s="1003"/>
      <c r="G576" s="1003"/>
      <c r="H576" s="1003"/>
      <c r="I576" s="1003"/>
      <c r="J576" s="1003"/>
      <c r="K576" s="1004"/>
      <c r="L576"/>
    </row>
    <row r="577" spans="2:12" ht="15">
      <c r="B577" s="756"/>
      <c r="C577" s="1002"/>
      <c r="D577" s="1002"/>
      <c r="E577" s="1002"/>
      <c r="F577" s="1002"/>
      <c r="G577" s="1002"/>
      <c r="H577" s="1002"/>
      <c r="I577" s="1002"/>
      <c r="J577" s="1002"/>
      <c r="K577" s="1002"/>
      <c r="L577"/>
    </row>
    <row r="578" spans="2:12" ht="12.75">
      <c r="B578" s="755">
        <v>2019</v>
      </c>
      <c r="C578" s="737">
        <f t="shared" ref="C578:K578" si="42">SUM(C565:C576)</f>
        <v>580328</v>
      </c>
      <c r="D578" s="737">
        <f>SUM(D565:D576)</f>
        <v>16709</v>
      </c>
      <c r="E578" s="737">
        <f t="shared" si="42"/>
        <v>8510</v>
      </c>
      <c r="F578" s="737">
        <f t="shared" si="42"/>
        <v>6947</v>
      </c>
      <c r="G578" s="737">
        <f>SUM(G565:G576)</f>
        <v>1252</v>
      </c>
      <c r="H578" s="737">
        <f t="shared" si="42"/>
        <v>563619</v>
      </c>
      <c r="I578" s="737">
        <f t="shared" si="42"/>
        <v>95616</v>
      </c>
      <c r="J578" s="737">
        <f t="shared" si="42"/>
        <v>166986</v>
      </c>
      <c r="K578" s="737">
        <f t="shared" si="42"/>
        <v>301017</v>
      </c>
      <c r="L578"/>
    </row>
    <row r="579" spans="2:12" ht="12.75">
      <c r="B579" s="753"/>
      <c r="C579" s="738"/>
      <c r="D579" s="738"/>
      <c r="E579" s="738"/>
      <c r="F579" s="738"/>
      <c r="G579" s="738"/>
      <c r="H579" s="738"/>
      <c r="I579" s="738"/>
      <c r="J579" s="738"/>
      <c r="K579" s="750"/>
      <c r="L579"/>
    </row>
    <row r="580" spans="2:12" ht="12.75">
      <c r="B580" s="753"/>
      <c r="C580" s="1299" t="s">
        <v>299</v>
      </c>
      <c r="D580" s="1299"/>
      <c r="E580" s="1299"/>
      <c r="F580" s="1299"/>
      <c r="G580" s="1299"/>
      <c r="H580" s="1299"/>
      <c r="I580" s="1299"/>
      <c r="J580" s="1299"/>
      <c r="K580" s="1300"/>
      <c r="L580"/>
    </row>
    <row r="581" spans="2:12" ht="12.75">
      <c r="B581" s="752"/>
      <c r="C581" s="738"/>
      <c r="D581" s="738"/>
      <c r="E581" s="738"/>
      <c r="F581" s="738"/>
      <c r="G581" s="738"/>
      <c r="H581" s="738"/>
      <c r="I581" s="738"/>
      <c r="J581" s="738"/>
      <c r="K581" s="750"/>
      <c r="L581"/>
    </row>
    <row r="582" spans="2:12" ht="12.75">
      <c r="B582" s="754" t="s">
        <v>275</v>
      </c>
      <c r="C582" s="1001">
        <f t="shared" ref="C582:C593" si="43">SUM(D582+H582)</f>
        <v>49128195</v>
      </c>
      <c r="D582" s="1001">
        <v>226689</v>
      </c>
      <c r="E582" s="1001">
        <v>68974</v>
      </c>
      <c r="F582" s="1001">
        <v>109268</v>
      </c>
      <c r="G582" s="1001">
        <v>48447</v>
      </c>
      <c r="H582" s="1001">
        <v>48901506</v>
      </c>
      <c r="I582" s="1001">
        <v>7017848</v>
      </c>
      <c r="J582" s="1001">
        <v>13675018</v>
      </c>
      <c r="K582" s="1001">
        <v>28208640</v>
      </c>
      <c r="L582"/>
    </row>
    <row r="583" spans="2:12" ht="12.75">
      <c r="B583" s="754" t="s">
        <v>276</v>
      </c>
      <c r="C583" s="1001">
        <f t="shared" si="43"/>
        <v>36008767</v>
      </c>
      <c r="D583" s="1001">
        <v>193480</v>
      </c>
      <c r="E583" s="1001">
        <v>70783</v>
      </c>
      <c r="F583" s="1001">
        <v>85595</v>
      </c>
      <c r="G583" s="1001">
        <v>37102</v>
      </c>
      <c r="H583" s="1001">
        <v>35815287</v>
      </c>
      <c r="I583" s="1001">
        <v>5626521</v>
      </c>
      <c r="J583" s="1001">
        <v>9142502</v>
      </c>
      <c r="K583" s="1001">
        <v>21046264</v>
      </c>
      <c r="L583"/>
    </row>
    <row r="584" spans="2:12" ht="12.75">
      <c r="B584" s="754" t="s">
        <v>277</v>
      </c>
      <c r="C584" s="1001">
        <f t="shared" si="43"/>
        <v>47017379</v>
      </c>
      <c r="D584" s="1003">
        <v>213319</v>
      </c>
      <c r="E584" s="1003">
        <v>80814</v>
      </c>
      <c r="F584" s="1003">
        <v>94000</v>
      </c>
      <c r="G584" s="1004">
        <v>38505</v>
      </c>
      <c r="H584" s="1001">
        <v>46804060</v>
      </c>
      <c r="I584" s="1003">
        <v>7062525</v>
      </c>
      <c r="J584" s="1003">
        <v>12295509</v>
      </c>
      <c r="K584" s="1004">
        <v>27446026</v>
      </c>
      <c r="L584"/>
    </row>
    <row r="585" spans="2:12" ht="12.75">
      <c r="B585" s="754" t="s">
        <v>278</v>
      </c>
      <c r="C585" s="1001">
        <f t="shared" si="43"/>
        <v>45318921</v>
      </c>
      <c r="D585" s="1001">
        <v>214619</v>
      </c>
      <c r="E585" s="1002">
        <v>78379</v>
      </c>
      <c r="F585" s="1002">
        <v>102218</v>
      </c>
      <c r="G585" s="1001">
        <v>34022</v>
      </c>
      <c r="H585" s="1001">
        <v>45104302</v>
      </c>
      <c r="I585" s="1001">
        <v>6540916</v>
      </c>
      <c r="J585" s="1001">
        <v>11552622</v>
      </c>
      <c r="K585" s="1001">
        <v>27010764</v>
      </c>
      <c r="L585"/>
    </row>
    <row r="586" spans="2:12" ht="12.75">
      <c r="B586" s="754" t="s">
        <v>279</v>
      </c>
      <c r="C586" s="1001">
        <f t="shared" si="43"/>
        <v>0</v>
      </c>
      <c r="D586" s="701"/>
      <c r="E586" s="701"/>
      <c r="F586" s="701"/>
      <c r="G586" s="701"/>
      <c r="H586" s="701"/>
      <c r="I586" s="701"/>
      <c r="J586" s="701"/>
      <c r="K586" s="703"/>
      <c r="L586"/>
    </row>
    <row r="587" spans="2:12" ht="12.75">
      <c r="B587" s="754" t="s">
        <v>280</v>
      </c>
      <c r="C587" s="1001">
        <f t="shared" si="43"/>
        <v>0</v>
      </c>
      <c r="D587" s="1001"/>
      <c r="E587" s="1002"/>
      <c r="F587" s="1002"/>
      <c r="G587" s="1001"/>
      <c r="H587" s="1001"/>
      <c r="I587" s="1001"/>
      <c r="J587" s="1001"/>
      <c r="K587" s="1001"/>
      <c r="L587"/>
    </row>
    <row r="588" spans="2:12" ht="12.75">
      <c r="B588" s="754" t="s">
        <v>281</v>
      </c>
      <c r="C588" s="1001">
        <f t="shared" si="43"/>
        <v>0</v>
      </c>
      <c r="D588" s="1003"/>
      <c r="E588" s="1003"/>
      <c r="F588" s="1003"/>
      <c r="G588" s="1004"/>
      <c r="H588" s="1001"/>
      <c r="I588" s="1003"/>
      <c r="J588" s="1003"/>
      <c r="K588" s="1004"/>
      <c r="L588"/>
    </row>
    <row r="589" spans="2:12" ht="12.75">
      <c r="B589" s="754" t="s">
        <v>282</v>
      </c>
      <c r="C589" s="1001">
        <f t="shared" si="43"/>
        <v>0</v>
      </c>
      <c r="D589" s="1003"/>
      <c r="E589" s="1003"/>
      <c r="F589" s="1003"/>
      <c r="G589" s="1004"/>
      <c r="H589" s="1001"/>
      <c r="I589" s="1003"/>
      <c r="J589" s="1003"/>
      <c r="K589" s="1004"/>
      <c r="L589"/>
    </row>
    <row r="590" spans="2:12" ht="12.75">
      <c r="B590" s="754" t="s">
        <v>283</v>
      </c>
      <c r="C590" s="1001">
        <f t="shared" si="43"/>
        <v>0</v>
      </c>
      <c r="D590" s="1003"/>
      <c r="E590" s="1003"/>
      <c r="F590" s="1003"/>
      <c r="G590" s="1004"/>
      <c r="H590" s="1001"/>
      <c r="I590" s="1003"/>
      <c r="J590" s="1003"/>
      <c r="K590" s="1004"/>
      <c r="L590"/>
    </row>
    <row r="591" spans="2:12" ht="12.75">
      <c r="B591" s="754" t="s">
        <v>284</v>
      </c>
      <c r="C591" s="1001">
        <f>SUM(D591+H591)</f>
        <v>0</v>
      </c>
      <c r="D591" s="1003"/>
      <c r="E591" s="1003"/>
      <c r="F591" s="1003"/>
      <c r="G591" s="1003"/>
      <c r="H591" s="1002"/>
      <c r="I591" s="1003"/>
      <c r="J591" s="1003"/>
      <c r="K591" s="1004"/>
      <c r="L591"/>
    </row>
    <row r="592" spans="2:12" ht="12.75">
      <c r="B592" s="754" t="s">
        <v>285</v>
      </c>
      <c r="C592" s="1001">
        <f t="shared" si="43"/>
        <v>0</v>
      </c>
      <c r="D592" s="1003"/>
      <c r="E592" s="1003"/>
      <c r="F592" s="1003"/>
      <c r="G592" s="1003"/>
      <c r="H592" s="1003"/>
      <c r="I592" s="1003"/>
      <c r="J592" s="1003"/>
      <c r="K592" s="1004"/>
      <c r="L592"/>
    </row>
    <row r="593" spans="2:12" ht="12.75">
      <c r="B593" s="754" t="s">
        <v>286</v>
      </c>
      <c r="C593" s="1001">
        <f t="shared" si="43"/>
        <v>0</v>
      </c>
      <c r="D593" s="1003"/>
      <c r="E593" s="1003"/>
      <c r="F593" s="1003"/>
      <c r="G593" s="1003"/>
      <c r="H593" s="1003"/>
      <c r="I593" s="1003"/>
      <c r="J593" s="1003"/>
      <c r="K593" s="1004"/>
      <c r="L593"/>
    </row>
    <row r="594" spans="2:12" ht="12.75">
      <c r="B594" s="753"/>
      <c r="C594" s="1002"/>
      <c r="D594" s="1002"/>
      <c r="E594" s="1002"/>
      <c r="F594" s="1002"/>
      <c r="G594" s="1002"/>
      <c r="H594" s="1002"/>
      <c r="I594" s="1002"/>
      <c r="J594" s="1002"/>
      <c r="K594" s="1002"/>
      <c r="L594"/>
    </row>
    <row r="595" spans="2:12" ht="12.75">
      <c r="B595" s="755">
        <v>2019</v>
      </c>
      <c r="C595" s="737">
        <f t="shared" ref="C595:K595" si="44">SUM(C582:C593)</f>
        <v>177473262</v>
      </c>
      <c r="D595" s="737">
        <f t="shared" si="44"/>
        <v>848107</v>
      </c>
      <c r="E595" s="737">
        <f t="shared" si="44"/>
        <v>298950</v>
      </c>
      <c r="F595" s="737">
        <f t="shared" si="44"/>
        <v>391081</v>
      </c>
      <c r="G595" s="737">
        <f t="shared" si="44"/>
        <v>158076</v>
      </c>
      <c r="H595" s="737">
        <f t="shared" si="44"/>
        <v>176625155</v>
      </c>
      <c r="I595" s="737">
        <f t="shared" si="44"/>
        <v>26247810</v>
      </c>
      <c r="J595" s="737">
        <f t="shared" si="44"/>
        <v>46665651</v>
      </c>
      <c r="K595" s="737">
        <f t="shared" si="44"/>
        <v>103711694</v>
      </c>
      <c r="L595"/>
    </row>
    <row r="596" spans="2:12" ht="12.75">
      <c r="B596" s="964"/>
      <c r="C596" s="740"/>
      <c r="D596" s="740"/>
      <c r="E596" s="740"/>
      <c r="F596" s="740"/>
      <c r="G596" s="740"/>
      <c r="H596" s="740"/>
      <c r="I596" s="740"/>
      <c r="J596" s="740"/>
      <c r="K596" s="965"/>
      <c r="L596"/>
    </row>
    <row r="597" spans="2:12" ht="12.75">
      <c r="B597" s="1301" t="s">
        <v>263</v>
      </c>
      <c r="C597" s="1231" t="s">
        <v>22</v>
      </c>
      <c r="D597" s="1231" t="s">
        <v>264</v>
      </c>
      <c r="E597" s="1290" t="s">
        <v>265</v>
      </c>
      <c r="F597" s="1291"/>
      <c r="G597" s="1292"/>
      <c r="H597" s="1293" t="s">
        <v>266</v>
      </c>
      <c r="I597" s="1303" t="s">
        <v>267</v>
      </c>
      <c r="J597" s="1304"/>
      <c r="K597" s="1305"/>
      <c r="L597"/>
    </row>
    <row r="598" spans="2:12" ht="12.75">
      <c r="B598" s="1302"/>
      <c r="C598" s="1232"/>
      <c r="D598" s="1232"/>
      <c r="E598" s="1233" t="s">
        <v>304</v>
      </c>
      <c r="F598" s="1231" t="s">
        <v>305</v>
      </c>
      <c r="G598" s="1231" t="s">
        <v>306</v>
      </c>
      <c r="H598" s="1294"/>
      <c r="I598" s="1233" t="s">
        <v>271</v>
      </c>
      <c r="J598" s="1233" t="s">
        <v>24</v>
      </c>
      <c r="K598" s="1231" t="s">
        <v>272</v>
      </c>
      <c r="L598"/>
    </row>
    <row r="599" spans="2:12" ht="12.75">
      <c r="B599" s="1302"/>
      <c r="C599" s="1232"/>
      <c r="D599" s="1232"/>
      <c r="E599" s="1234"/>
      <c r="F599" s="1232"/>
      <c r="G599" s="1232"/>
      <c r="H599" s="1294"/>
      <c r="I599" s="1287"/>
      <c r="J599" s="1287"/>
      <c r="K599" s="1306"/>
      <c r="L599"/>
    </row>
    <row r="600" spans="2:12" ht="12.75">
      <c r="B600" s="730">
        <v>0</v>
      </c>
      <c r="C600" s="741">
        <v>1</v>
      </c>
      <c r="D600" s="741">
        <v>2</v>
      </c>
      <c r="E600" s="742">
        <v>3</v>
      </c>
      <c r="F600" s="742">
        <v>4</v>
      </c>
      <c r="G600" s="741">
        <v>5</v>
      </c>
      <c r="H600" s="741">
        <v>6</v>
      </c>
      <c r="I600" s="741">
        <v>7</v>
      </c>
      <c r="J600" s="741">
        <v>8</v>
      </c>
      <c r="K600" s="741">
        <v>9</v>
      </c>
      <c r="L600"/>
    </row>
    <row r="601" spans="2:12" ht="12.75">
      <c r="B601" s="752"/>
      <c r="C601" s="738"/>
      <c r="D601" s="738"/>
      <c r="E601" s="738"/>
      <c r="F601" s="738"/>
      <c r="G601" s="738"/>
      <c r="H601" s="738"/>
      <c r="I601" s="738"/>
      <c r="J601" s="738"/>
      <c r="K601" s="750"/>
      <c r="L601"/>
    </row>
    <row r="602" spans="2:12" ht="12.75">
      <c r="B602" s="753"/>
      <c r="C602" s="1299" t="s">
        <v>300</v>
      </c>
      <c r="D602" s="1299"/>
      <c r="E602" s="1299"/>
      <c r="F602" s="1299"/>
      <c r="G602" s="1299"/>
      <c r="H602" s="1299"/>
      <c r="I602" s="1299"/>
      <c r="J602" s="1299"/>
      <c r="K602" s="1300"/>
      <c r="L602"/>
    </row>
    <row r="603" spans="2:12" ht="12.75">
      <c r="B603" s="753"/>
      <c r="C603" s="743"/>
      <c r="D603" s="743"/>
      <c r="E603" s="743"/>
      <c r="F603" s="743"/>
      <c r="G603" s="743"/>
      <c r="H603" s="743"/>
      <c r="I603" s="743"/>
      <c r="J603" s="743"/>
      <c r="K603" s="751"/>
      <c r="L603"/>
    </row>
    <row r="604" spans="2:12" ht="12.75">
      <c r="B604" s="754" t="s">
        <v>275</v>
      </c>
      <c r="C604" s="1001">
        <f>SUM(D604+H604)</f>
        <v>97042744</v>
      </c>
      <c r="D604" s="1001">
        <v>397525</v>
      </c>
      <c r="E604" s="1001">
        <v>123027</v>
      </c>
      <c r="F604" s="1001">
        <v>190820</v>
      </c>
      <c r="G604" s="1001">
        <v>83678</v>
      </c>
      <c r="H604" s="1001">
        <v>96645219</v>
      </c>
      <c r="I604" s="1001">
        <v>13890672</v>
      </c>
      <c r="J604" s="1001">
        <v>28529726</v>
      </c>
      <c r="K604" s="1001">
        <v>54224821</v>
      </c>
      <c r="L604"/>
    </row>
    <row r="605" spans="2:12" ht="12.75">
      <c r="B605" s="754" t="s">
        <v>276</v>
      </c>
      <c r="C605" s="1001">
        <f t="shared" ref="C605:C615" si="45">SUM(D605+H605)</f>
        <v>71080437</v>
      </c>
      <c r="D605" s="1001">
        <v>338786</v>
      </c>
      <c r="E605" s="1001">
        <v>123131</v>
      </c>
      <c r="F605" s="1001">
        <v>150015</v>
      </c>
      <c r="G605" s="1001">
        <v>65640</v>
      </c>
      <c r="H605" s="1001">
        <v>70741651</v>
      </c>
      <c r="I605" s="1001">
        <v>11152641</v>
      </c>
      <c r="J605" s="1001">
        <v>19000308</v>
      </c>
      <c r="K605" s="1001">
        <v>40588702</v>
      </c>
      <c r="L605"/>
    </row>
    <row r="606" spans="2:12" ht="12.75">
      <c r="B606" s="754" t="s">
        <v>277</v>
      </c>
      <c r="C606" s="1001">
        <f t="shared" si="45"/>
        <v>94326127</v>
      </c>
      <c r="D606" s="1003">
        <v>370021</v>
      </c>
      <c r="E606" s="1003">
        <v>141070</v>
      </c>
      <c r="F606" s="1003">
        <v>162127</v>
      </c>
      <c r="G606" s="1004">
        <v>66824</v>
      </c>
      <c r="H606" s="1001">
        <v>93956106</v>
      </c>
      <c r="I606" s="1003">
        <v>14326353</v>
      </c>
      <c r="J606" s="1003">
        <v>25473371</v>
      </c>
      <c r="K606" s="1004">
        <v>54156382</v>
      </c>
      <c r="L606"/>
    </row>
    <row r="607" spans="2:12" ht="12.75">
      <c r="B607" s="754" t="s">
        <v>278</v>
      </c>
      <c r="C607" s="1001">
        <f t="shared" si="45"/>
        <v>90179542</v>
      </c>
      <c r="D607" s="1001">
        <v>377198</v>
      </c>
      <c r="E607" s="1002">
        <v>138987</v>
      </c>
      <c r="F607" s="1002">
        <v>177400</v>
      </c>
      <c r="G607" s="1002">
        <v>60811</v>
      </c>
      <c r="H607" s="1001">
        <v>89802344</v>
      </c>
      <c r="I607" s="1002">
        <v>13026121</v>
      </c>
      <c r="J607" s="1002">
        <v>24019148</v>
      </c>
      <c r="K607" s="1002">
        <v>52757075</v>
      </c>
      <c r="L607"/>
    </row>
    <row r="608" spans="2:12" ht="12.75">
      <c r="B608" s="754" t="s">
        <v>279</v>
      </c>
      <c r="C608" s="1001">
        <f t="shared" si="45"/>
        <v>0</v>
      </c>
      <c r="D608" s="701"/>
      <c r="E608" s="701"/>
      <c r="F608" s="701"/>
      <c r="G608" s="701"/>
      <c r="H608" s="701"/>
      <c r="I608" s="701"/>
      <c r="J608" s="701"/>
      <c r="K608" s="703"/>
      <c r="L608"/>
    </row>
    <row r="609" spans="2:12" ht="12.75">
      <c r="B609" s="754" t="s">
        <v>280</v>
      </c>
      <c r="C609" s="1001">
        <f t="shared" si="45"/>
        <v>0</v>
      </c>
      <c r="D609" s="1001"/>
      <c r="E609" s="1002"/>
      <c r="F609" s="1002"/>
      <c r="G609" s="1002"/>
      <c r="H609" s="1001"/>
      <c r="I609" s="1002"/>
      <c r="J609" s="1002"/>
      <c r="K609" s="1002"/>
      <c r="L609"/>
    </row>
    <row r="610" spans="2:12" ht="12.75">
      <c r="B610" s="754" t="s">
        <v>281</v>
      </c>
      <c r="C610" s="1001">
        <f>SUM(D610+H610)</f>
        <v>0</v>
      </c>
      <c r="D610" s="1003"/>
      <c r="E610" s="1003"/>
      <c r="F610" s="1003"/>
      <c r="G610" s="1004"/>
      <c r="H610" s="1001"/>
      <c r="I610" s="1003"/>
      <c r="J610" s="1003"/>
      <c r="K610" s="1004"/>
      <c r="L610"/>
    </row>
    <row r="611" spans="2:12" ht="12.75">
      <c r="B611" s="754" t="s">
        <v>282</v>
      </c>
      <c r="C611" s="1001">
        <f>SUM(D611+H611)</f>
        <v>0</v>
      </c>
      <c r="D611" s="1003"/>
      <c r="E611" s="1003"/>
      <c r="F611" s="1003"/>
      <c r="G611" s="1004"/>
      <c r="H611" s="1001"/>
      <c r="I611" s="1003"/>
      <c r="J611" s="1003"/>
      <c r="K611" s="1004"/>
      <c r="L611"/>
    </row>
    <row r="612" spans="2:12" ht="12.75">
      <c r="B612" s="754" t="s">
        <v>283</v>
      </c>
      <c r="C612" s="1001">
        <f t="shared" si="45"/>
        <v>0</v>
      </c>
      <c r="D612" s="1001"/>
      <c r="E612" s="1002"/>
      <c r="F612" s="1002"/>
      <c r="G612" s="1002"/>
      <c r="H612" s="1001"/>
      <c r="I612" s="1002"/>
      <c r="J612" s="1002"/>
      <c r="K612" s="1002"/>
      <c r="L612"/>
    </row>
    <row r="613" spans="2:12" ht="12.75">
      <c r="B613" s="754" t="s">
        <v>284</v>
      </c>
      <c r="C613" s="1001">
        <f t="shared" si="45"/>
        <v>0</v>
      </c>
      <c r="D613" s="1003"/>
      <c r="E613" s="1003"/>
      <c r="F613" s="1003"/>
      <c r="G613" s="1003"/>
      <c r="H613" s="1002"/>
      <c r="I613" s="1003"/>
      <c r="J613" s="1003"/>
      <c r="K613" s="1004"/>
      <c r="L613"/>
    </row>
    <row r="614" spans="2:12" ht="12.75">
      <c r="B614" s="754" t="s">
        <v>285</v>
      </c>
      <c r="C614" s="1001">
        <f t="shared" si="45"/>
        <v>0</v>
      </c>
      <c r="D614" s="1003"/>
      <c r="E614" s="1003"/>
      <c r="F614" s="1003"/>
      <c r="G614" s="1004"/>
      <c r="H614" s="1005"/>
      <c r="I614" s="1003"/>
      <c r="J614" s="1003"/>
      <c r="K614" s="1004"/>
      <c r="L614"/>
    </row>
    <row r="615" spans="2:12" ht="12.75">
      <c r="B615" s="754" t="s">
        <v>286</v>
      </c>
      <c r="C615" s="1001">
        <f t="shared" si="45"/>
        <v>0</v>
      </c>
      <c r="D615" s="1003"/>
      <c r="E615" s="1003"/>
      <c r="F615" s="1003"/>
      <c r="G615" s="1004"/>
      <c r="H615" s="1005"/>
      <c r="I615" s="1003"/>
      <c r="J615" s="1003"/>
      <c r="K615" s="1004"/>
      <c r="L615"/>
    </row>
    <row r="616" spans="2:12" ht="12.75">
      <c r="B616" s="754"/>
      <c r="C616" s="745"/>
      <c r="D616" s="746"/>
      <c r="E616" s="747"/>
      <c r="F616" s="747"/>
      <c r="G616" s="747"/>
      <c r="H616" s="746"/>
      <c r="I616" s="747"/>
      <c r="J616" s="747"/>
      <c r="K616" s="747"/>
      <c r="L616"/>
    </row>
    <row r="617" spans="2:12" ht="12.75">
      <c r="B617" s="755">
        <v>2019</v>
      </c>
      <c r="C617" s="748">
        <f t="shared" ref="C617:K617" si="46">SUM(C604:C615)</f>
        <v>352628850</v>
      </c>
      <c r="D617" s="748">
        <f t="shared" si="46"/>
        <v>1483530</v>
      </c>
      <c r="E617" s="748">
        <f t="shared" si="46"/>
        <v>526215</v>
      </c>
      <c r="F617" s="748">
        <f t="shared" si="46"/>
        <v>680362</v>
      </c>
      <c r="G617" s="748">
        <f t="shared" si="46"/>
        <v>276953</v>
      </c>
      <c r="H617" s="748">
        <f t="shared" si="46"/>
        <v>351145320</v>
      </c>
      <c r="I617" s="748">
        <f t="shared" si="46"/>
        <v>52395787</v>
      </c>
      <c r="J617" s="748">
        <f t="shared" si="46"/>
        <v>97022553</v>
      </c>
      <c r="K617" s="748">
        <f t="shared" si="46"/>
        <v>201726980</v>
      </c>
      <c r="L617"/>
    </row>
    <row r="618" spans="2:12" ht="12.75">
      <c r="B618"/>
      <c r="C618"/>
      <c r="D618"/>
      <c r="E618"/>
      <c r="F618"/>
      <c r="G618"/>
      <c r="H618"/>
      <c r="I618"/>
      <c r="J618"/>
      <c r="K618"/>
      <c r="L618"/>
    </row>
    <row r="619" spans="2:12" ht="12.75">
      <c r="B619"/>
      <c r="C619"/>
      <c r="D619"/>
      <c r="E619"/>
      <c r="F619"/>
      <c r="G619"/>
      <c r="H619"/>
      <c r="I619"/>
      <c r="J619"/>
      <c r="K619"/>
      <c r="L619"/>
    </row>
    <row r="620" spans="2:12" ht="12.75">
      <c r="B620"/>
      <c r="C620"/>
      <c r="D620"/>
      <c r="E620"/>
      <c r="F620"/>
      <c r="G620"/>
      <c r="H620"/>
      <c r="I620"/>
      <c r="J620"/>
      <c r="K620"/>
      <c r="L620"/>
    </row>
    <row r="621" spans="2:12" ht="12.75">
      <c r="B621"/>
      <c r="C621"/>
      <c r="D621"/>
      <c r="E621"/>
      <c r="F621"/>
      <c r="G621"/>
      <c r="H621"/>
      <c r="I621"/>
      <c r="J621"/>
      <c r="K621"/>
      <c r="L621"/>
    </row>
    <row r="622" spans="2:12" ht="12.75">
      <c r="B622"/>
      <c r="C622"/>
      <c r="D622"/>
      <c r="E622"/>
      <c r="F622"/>
      <c r="G622"/>
      <c r="H622"/>
      <c r="I622"/>
      <c r="J622"/>
      <c r="K622"/>
      <c r="L622"/>
    </row>
    <row r="623" spans="2:12" ht="12.75">
      <c r="B623"/>
      <c r="C623"/>
      <c r="D623"/>
      <c r="E623"/>
      <c r="F623"/>
      <c r="G623"/>
      <c r="H623"/>
      <c r="I623"/>
      <c r="J623"/>
      <c r="K623"/>
      <c r="L623"/>
    </row>
    <row r="624" spans="2:12" ht="12.75">
      <c r="B624"/>
      <c r="C624"/>
      <c r="D624"/>
      <c r="E624"/>
      <c r="F624"/>
      <c r="G624"/>
      <c r="H624"/>
      <c r="I624"/>
      <c r="J624"/>
      <c r="K624"/>
      <c r="L624"/>
    </row>
    <row r="625" spans="2:12" ht="12.75">
      <c r="B625"/>
      <c r="C625"/>
      <c r="D625"/>
      <c r="E625"/>
      <c r="F625"/>
      <c r="G625"/>
      <c r="H625"/>
      <c r="I625"/>
      <c r="J625"/>
      <c r="K625"/>
      <c r="L625"/>
    </row>
    <row r="626" spans="2:12" ht="12.75">
      <c r="B626"/>
      <c r="C626"/>
      <c r="D626"/>
      <c r="E626"/>
      <c r="F626"/>
      <c r="G626"/>
      <c r="H626"/>
      <c r="I626"/>
      <c r="J626"/>
      <c r="K626"/>
      <c r="L626"/>
    </row>
    <row r="627" spans="2:12" ht="12.75">
      <c r="B627"/>
      <c r="C627"/>
      <c r="D627"/>
      <c r="E627"/>
      <c r="F627"/>
      <c r="G627"/>
      <c r="H627"/>
      <c r="I627"/>
      <c r="J627"/>
      <c r="K627"/>
      <c r="L627"/>
    </row>
    <row r="628" spans="2:12" ht="12.75">
      <c r="B628"/>
      <c r="C628"/>
      <c r="D628"/>
      <c r="E628"/>
      <c r="F628"/>
      <c r="G628"/>
      <c r="H628"/>
      <c r="I628"/>
      <c r="J628"/>
      <c r="K628"/>
      <c r="L628"/>
    </row>
    <row r="629" spans="2:12" ht="12.75">
      <c r="B629"/>
      <c r="C629"/>
      <c r="D629"/>
      <c r="E629"/>
      <c r="F629"/>
      <c r="G629"/>
      <c r="H629"/>
      <c r="I629"/>
      <c r="J629"/>
      <c r="K629"/>
      <c r="L629"/>
    </row>
    <row r="630" spans="2:12" ht="12.75">
      <c r="B630"/>
      <c r="C630"/>
      <c r="D630"/>
      <c r="E630"/>
      <c r="F630"/>
      <c r="G630"/>
      <c r="H630"/>
      <c r="I630"/>
      <c r="J630"/>
      <c r="K630"/>
      <c r="L630"/>
    </row>
    <row r="631" spans="2:12" ht="12.75">
      <c r="B631"/>
      <c r="C631"/>
      <c r="D631"/>
      <c r="E631"/>
      <c r="F631"/>
      <c r="G631"/>
      <c r="H631"/>
      <c r="I631"/>
      <c r="J631"/>
      <c r="K631"/>
      <c r="L631"/>
    </row>
  </sheetData>
  <mergeCells count="176">
    <mergeCell ref="C602:K602"/>
    <mergeCell ref="K559:K560"/>
    <mergeCell ref="C563:K563"/>
    <mergeCell ref="C580:K580"/>
    <mergeCell ref="B597:B599"/>
    <mergeCell ref="C597:C599"/>
    <mergeCell ref="D597:D599"/>
    <mergeCell ref="E597:G597"/>
    <mergeCell ref="H597:H599"/>
    <mergeCell ref="I597:K597"/>
    <mergeCell ref="E598:E599"/>
    <mergeCell ref="F598:F599"/>
    <mergeCell ref="G598:G599"/>
    <mergeCell ref="I598:I599"/>
    <mergeCell ref="J598:J599"/>
    <mergeCell ref="K598:K599"/>
    <mergeCell ref="B558:B560"/>
    <mergeCell ref="C558:C560"/>
    <mergeCell ref="D558:D560"/>
    <mergeCell ref="E558:G558"/>
    <mergeCell ref="H558:H560"/>
    <mergeCell ref="I558:K558"/>
    <mergeCell ref="E559:E560"/>
    <mergeCell ref="F559:F560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G559:G560"/>
    <mergeCell ref="I559:I560"/>
    <mergeCell ref="J559:J560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N56"/>
  <sheetViews>
    <sheetView topLeftCell="A43" workbookViewId="0">
      <selection activeCell="Q74" sqref="P74:Q74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07" t="s">
        <v>356</v>
      </c>
      <c r="B1" s="1307"/>
      <c r="C1" s="1307"/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</row>
    <row r="2" spans="1:14" ht="13.5" thickBot="1">
      <c r="B2" s="1020"/>
      <c r="C2" s="1020"/>
      <c r="D2" s="1020"/>
      <c r="E2" s="1020"/>
      <c r="F2" s="1020"/>
      <c r="G2" s="1021" t="s">
        <v>357</v>
      </c>
      <c r="H2" s="1020"/>
      <c r="I2" s="1020"/>
      <c r="J2" s="1020"/>
      <c r="K2" s="1020"/>
      <c r="L2" s="1020"/>
      <c r="M2" s="1020"/>
      <c r="N2" s="1020"/>
    </row>
    <row r="3" spans="1:14" ht="14.25" thickBot="1">
      <c r="A3" s="1022" t="s">
        <v>358</v>
      </c>
      <c r="B3" s="1023" t="s">
        <v>223</v>
      </c>
      <c r="C3" s="1023" t="s">
        <v>224</v>
      </c>
      <c r="D3" s="1023" t="s">
        <v>225</v>
      </c>
      <c r="E3" s="1023" t="s">
        <v>226</v>
      </c>
      <c r="F3" s="1023" t="s">
        <v>227</v>
      </c>
      <c r="G3" s="1023" t="s">
        <v>228</v>
      </c>
      <c r="H3" s="1023" t="s">
        <v>229</v>
      </c>
      <c r="I3" s="1023" t="s">
        <v>230</v>
      </c>
      <c r="J3" s="1023" t="s">
        <v>231</v>
      </c>
      <c r="K3" s="1023" t="s">
        <v>232</v>
      </c>
      <c r="L3" s="1023" t="s">
        <v>233</v>
      </c>
      <c r="M3" s="1023" t="s">
        <v>234</v>
      </c>
      <c r="N3" s="1023" t="s">
        <v>241</v>
      </c>
    </row>
    <row r="4" spans="1:14" ht="13.5">
      <c r="A4" s="1024">
        <v>2004</v>
      </c>
      <c r="B4" s="1025">
        <v>299.39999999999998</v>
      </c>
      <c r="C4" s="1025">
        <v>296.39999999999998</v>
      </c>
      <c r="D4" s="1025">
        <v>293.7</v>
      </c>
      <c r="E4" s="1025">
        <v>293.5</v>
      </c>
      <c r="F4" s="1025">
        <v>293.5</v>
      </c>
      <c r="G4" s="1025">
        <v>291.60000000000002</v>
      </c>
      <c r="H4" s="1025">
        <v>290.2</v>
      </c>
      <c r="I4" s="1025">
        <v>286.3</v>
      </c>
      <c r="J4" s="1025">
        <v>285.39999999999998</v>
      </c>
      <c r="K4" s="1025">
        <v>285.10000000000002</v>
      </c>
      <c r="L4" s="1025">
        <v>291.2</v>
      </c>
      <c r="M4" s="1025">
        <v>297.8</v>
      </c>
      <c r="N4" s="1026">
        <v>291.3</v>
      </c>
    </row>
    <row r="5" spans="1:14" ht="13.5">
      <c r="A5" s="1027">
        <v>2005</v>
      </c>
      <c r="B5" s="1028">
        <v>304.10000000000002</v>
      </c>
      <c r="C5" s="1028">
        <v>308.10000000000002</v>
      </c>
      <c r="D5" s="1028">
        <v>308.2</v>
      </c>
      <c r="E5" s="1028">
        <v>310.89999999999998</v>
      </c>
      <c r="F5" s="1028">
        <v>309.89999999999998</v>
      </c>
      <c r="G5" s="1028">
        <v>309.10000000000002</v>
      </c>
      <c r="H5" s="1028">
        <v>307</v>
      </c>
      <c r="I5" s="1028">
        <v>300.60000000000002</v>
      </c>
      <c r="J5" s="1028">
        <v>303.3</v>
      </c>
      <c r="K5" s="1028">
        <v>304.3</v>
      </c>
      <c r="L5" s="1028">
        <v>311.8</v>
      </c>
      <c r="M5" s="1028">
        <v>315.5</v>
      </c>
      <c r="N5" s="1029">
        <v>307.60000000000002</v>
      </c>
    </row>
    <row r="6" spans="1:14" ht="13.5">
      <c r="A6" s="1027">
        <v>2006</v>
      </c>
      <c r="B6" s="1028">
        <v>317.10000000000002</v>
      </c>
      <c r="C6" s="1028">
        <v>319.89999999999998</v>
      </c>
      <c r="D6" s="1028">
        <v>324</v>
      </c>
      <c r="E6" s="1028">
        <v>319.5</v>
      </c>
      <c r="F6" s="1028">
        <v>325.8</v>
      </c>
      <c r="G6" s="1028">
        <v>323.8</v>
      </c>
      <c r="H6" s="1028">
        <v>312.8</v>
      </c>
      <c r="I6" s="1028">
        <v>313</v>
      </c>
      <c r="J6" s="1028">
        <v>315.2</v>
      </c>
      <c r="K6" s="1028">
        <v>311.2</v>
      </c>
      <c r="L6" s="1028">
        <v>316.2</v>
      </c>
      <c r="M6" s="1028">
        <v>321.8</v>
      </c>
      <c r="N6" s="1029">
        <v>318.7</v>
      </c>
    </row>
    <row r="7" spans="1:14" ht="13.5">
      <c r="A7" s="1027">
        <v>2007</v>
      </c>
      <c r="B7" s="1028">
        <v>325.7</v>
      </c>
      <c r="C7" s="1028">
        <v>327.9</v>
      </c>
      <c r="D7" s="1028">
        <v>329.1</v>
      </c>
      <c r="E7" s="1028">
        <v>329.9</v>
      </c>
      <c r="F7" s="1028">
        <v>328.7</v>
      </c>
      <c r="G7" s="1028">
        <v>330</v>
      </c>
      <c r="H7" s="1028">
        <v>327.9</v>
      </c>
      <c r="I7" s="1028">
        <v>324</v>
      </c>
      <c r="J7" s="1028">
        <v>329.3</v>
      </c>
      <c r="K7" s="1028">
        <v>312.8</v>
      </c>
      <c r="L7" s="1028">
        <v>317.5</v>
      </c>
      <c r="M7" s="1028">
        <v>319</v>
      </c>
      <c r="N7" s="1029">
        <v>325.39999999999998</v>
      </c>
    </row>
    <row r="8" spans="1:14" ht="13.5">
      <c r="A8" s="1027">
        <v>2008</v>
      </c>
      <c r="B8" s="1028">
        <v>326.5</v>
      </c>
      <c r="C8" s="1028">
        <v>327</v>
      </c>
      <c r="D8" s="1028">
        <v>324.5</v>
      </c>
      <c r="E8" s="1028">
        <v>322.60000000000002</v>
      </c>
      <c r="F8" s="1028">
        <v>325.7</v>
      </c>
      <c r="G8" s="1028">
        <v>323.8</v>
      </c>
      <c r="H8" s="1028">
        <v>317</v>
      </c>
      <c r="I8" s="1028">
        <v>314.39999999999998</v>
      </c>
      <c r="J8" s="1028">
        <v>314.60000000000002</v>
      </c>
      <c r="K8" s="1028">
        <v>310.5</v>
      </c>
      <c r="L8" s="1028">
        <v>315.10000000000002</v>
      </c>
      <c r="M8" s="1028">
        <v>321.7</v>
      </c>
      <c r="N8" s="1029">
        <v>320.39999999999998</v>
      </c>
    </row>
    <row r="9" spans="1:14" ht="13.5">
      <c r="A9" s="1027">
        <v>2009</v>
      </c>
      <c r="B9" s="1028">
        <v>322.2</v>
      </c>
      <c r="C9" s="1028">
        <v>324.3</v>
      </c>
      <c r="D9" s="1028">
        <v>325.89999999999998</v>
      </c>
      <c r="E9" s="1028">
        <v>324.2</v>
      </c>
      <c r="F9" s="1028">
        <v>325.3</v>
      </c>
      <c r="G9" s="1028">
        <v>324.5</v>
      </c>
      <c r="H9" s="1028">
        <v>323.3</v>
      </c>
      <c r="I9" s="1028">
        <v>316.2</v>
      </c>
      <c r="J9" s="1028">
        <v>320.10000000000002</v>
      </c>
      <c r="K9" s="1028">
        <v>320</v>
      </c>
      <c r="L9" s="1028">
        <v>324.5</v>
      </c>
      <c r="M9" s="1028">
        <v>330</v>
      </c>
      <c r="N9" s="1030">
        <v>323.60000000000002</v>
      </c>
    </row>
    <row r="10" spans="1:14" ht="13.5">
      <c r="A10" s="1027">
        <v>2010</v>
      </c>
      <c r="B10" s="1028">
        <v>333.4</v>
      </c>
      <c r="C10" s="1028">
        <v>341.3</v>
      </c>
      <c r="D10" s="1028">
        <v>335.1</v>
      </c>
      <c r="E10" s="1028">
        <v>343.1</v>
      </c>
      <c r="F10" s="1028">
        <v>346.2</v>
      </c>
      <c r="G10" s="1028">
        <v>345.9</v>
      </c>
      <c r="H10" s="1028">
        <v>340.4</v>
      </c>
      <c r="I10" s="1028">
        <v>336.9</v>
      </c>
      <c r="J10" s="1028">
        <v>334.2</v>
      </c>
      <c r="K10" s="1028">
        <v>325.7</v>
      </c>
      <c r="L10" s="1028">
        <v>326.39999999999998</v>
      </c>
      <c r="M10" s="1028">
        <v>326.3</v>
      </c>
      <c r="N10" s="1030">
        <v>335.8</v>
      </c>
    </row>
    <row r="11" spans="1:14" ht="13.5">
      <c r="A11" s="1027">
        <v>2011</v>
      </c>
      <c r="B11" s="1028">
        <v>325.60000000000002</v>
      </c>
      <c r="C11" s="1028">
        <v>323.5</v>
      </c>
      <c r="D11" s="1028">
        <v>322.8</v>
      </c>
      <c r="E11" s="1028">
        <v>323</v>
      </c>
      <c r="F11" s="1028">
        <v>326.89999999999998</v>
      </c>
      <c r="G11" s="1028">
        <v>323.39999999999998</v>
      </c>
      <c r="H11" s="1028">
        <v>321.10000000000002</v>
      </c>
      <c r="I11" s="1028">
        <v>317.7</v>
      </c>
      <c r="J11" s="1028">
        <v>313</v>
      </c>
      <c r="K11" s="1028">
        <v>312.89999999999998</v>
      </c>
      <c r="L11" s="1028">
        <v>315.60000000000002</v>
      </c>
      <c r="M11" s="1028">
        <v>322.10000000000002</v>
      </c>
      <c r="N11" s="1030">
        <v>320.7</v>
      </c>
    </row>
    <row r="12" spans="1:14" ht="13.5">
      <c r="A12" s="1031">
        <v>2012</v>
      </c>
      <c r="B12" s="1032">
        <v>324.89999999999998</v>
      </c>
      <c r="C12" s="1032">
        <v>327.2</v>
      </c>
      <c r="D12" s="1032">
        <v>329</v>
      </c>
      <c r="E12" s="1032">
        <v>329.8</v>
      </c>
      <c r="F12" s="1032">
        <v>334.6</v>
      </c>
      <c r="G12" s="1032">
        <v>336.3</v>
      </c>
      <c r="H12" s="1032">
        <v>330.7</v>
      </c>
      <c r="I12" s="1032">
        <v>326.3</v>
      </c>
      <c r="J12" s="1032">
        <v>325.7</v>
      </c>
      <c r="K12" s="1032">
        <v>322</v>
      </c>
      <c r="L12" s="1032">
        <v>327.2</v>
      </c>
      <c r="M12" s="1032">
        <v>330.6</v>
      </c>
      <c r="N12" s="1033">
        <v>328.9</v>
      </c>
    </row>
    <row r="13" spans="1:14" ht="13.5">
      <c r="A13" s="1031">
        <v>2013</v>
      </c>
      <c r="B13" s="1032">
        <v>334</v>
      </c>
      <c r="C13" s="1032">
        <v>336.5</v>
      </c>
      <c r="D13" s="1032">
        <v>334.9</v>
      </c>
      <c r="E13" s="1032">
        <v>338</v>
      </c>
      <c r="F13" s="1032">
        <v>338.8</v>
      </c>
      <c r="G13" s="1032">
        <v>343</v>
      </c>
      <c r="H13" s="1032">
        <v>338.6</v>
      </c>
      <c r="I13" s="1032">
        <v>334</v>
      </c>
      <c r="J13" s="1032">
        <v>329.8</v>
      </c>
      <c r="K13" s="1032">
        <v>328.9</v>
      </c>
      <c r="L13" s="1032">
        <v>331</v>
      </c>
      <c r="M13" s="1032">
        <v>333.1</v>
      </c>
      <c r="N13" s="1033">
        <v>335.2</v>
      </c>
    </row>
    <row r="14" spans="1:14" ht="13.5">
      <c r="A14" s="1031">
        <v>2014</v>
      </c>
      <c r="B14" s="1032">
        <v>335.3</v>
      </c>
      <c r="C14" s="1032">
        <v>339.5</v>
      </c>
      <c r="D14" s="1032">
        <v>336</v>
      </c>
      <c r="E14" s="1032">
        <v>338.1</v>
      </c>
      <c r="F14" s="1032">
        <v>336</v>
      </c>
      <c r="G14" s="1032">
        <v>336.1</v>
      </c>
      <c r="H14" s="1032">
        <v>331.4</v>
      </c>
      <c r="I14" s="1032">
        <v>332.4</v>
      </c>
      <c r="J14" s="1032">
        <v>327.3</v>
      </c>
      <c r="K14" s="1032">
        <v>326.3</v>
      </c>
      <c r="L14" s="1032">
        <v>328.5</v>
      </c>
      <c r="M14" s="1032">
        <v>340.6</v>
      </c>
      <c r="N14" s="1033">
        <v>333.6</v>
      </c>
    </row>
    <row r="15" spans="1:14" ht="13.5">
      <c r="A15" s="1034">
        <v>2015</v>
      </c>
      <c r="B15" s="1035">
        <v>336</v>
      </c>
      <c r="C15" s="1035">
        <v>338.9</v>
      </c>
      <c r="D15" s="1035">
        <v>339.7</v>
      </c>
      <c r="E15" s="1035">
        <v>340.8</v>
      </c>
      <c r="F15" s="1035">
        <v>346.1</v>
      </c>
      <c r="G15" s="1035">
        <v>343.9</v>
      </c>
      <c r="H15" s="1035">
        <v>339.4</v>
      </c>
      <c r="I15" s="1035">
        <v>334</v>
      </c>
      <c r="J15" s="1035">
        <v>332.9</v>
      </c>
      <c r="K15" s="1035">
        <v>331.2</v>
      </c>
      <c r="L15" s="1035">
        <v>332.8</v>
      </c>
      <c r="M15" s="1035">
        <v>335.4</v>
      </c>
      <c r="N15" s="1036">
        <v>337.6</v>
      </c>
    </row>
    <row r="16" spans="1:14" ht="13.5">
      <c r="A16" s="1034">
        <v>2016</v>
      </c>
      <c r="B16" s="1035">
        <v>335.2</v>
      </c>
      <c r="C16" s="1035">
        <v>337.7</v>
      </c>
      <c r="D16" s="1035">
        <v>338.5</v>
      </c>
      <c r="E16" s="1035">
        <v>340.3</v>
      </c>
      <c r="F16" s="1035">
        <v>345.4</v>
      </c>
      <c r="G16" s="1035">
        <v>342.5</v>
      </c>
      <c r="H16" s="1035">
        <v>339.1</v>
      </c>
      <c r="I16" s="1035">
        <v>336.7</v>
      </c>
      <c r="J16" s="1035">
        <v>336</v>
      </c>
      <c r="K16" s="1035">
        <v>338.1</v>
      </c>
      <c r="L16" s="1035">
        <v>339.8</v>
      </c>
      <c r="M16" s="1035">
        <v>343.5</v>
      </c>
      <c r="N16" s="1036">
        <v>339.5</v>
      </c>
    </row>
    <row r="17" spans="1:14" ht="13.5">
      <c r="A17" s="1034">
        <v>2017</v>
      </c>
      <c r="B17" s="1035">
        <v>343.84877560849145</v>
      </c>
      <c r="C17" s="1035">
        <v>344.01260355448568</v>
      </c>
      <c r="D17" s="1035">
        <v>345.08323788722237</v>
      </c>
      <c r="E17" s="1035">
        <v>349.4260933003689</v>
      </c>
      <c r="F17" s="1035">
        <v>351.85998819252393</v>
      </c>
      <c r="G17" s="1035">
        <v>351.12109667545815</v>
      </c>
      <c r="H17" s="1035">
        <v>346.75726994620067</v>
      </c>
      <c r="I17" s="1035">
        <v>344.85589941972938</v>
      </c>
      <c r="J17" s="1035">
        <v>342.09908231074832</v>
      </c>
      <c r="K17" s="1035">
        <v>340.25607000681453</v>
      </c>
      <c r="L17" s="1035">
        <v>343.96423731809307</v>
      </c>
      <c r="M17" s="1035">
        <v>345.17611667491775</v>
      </c>
      <c r="N17" s="1036">
        <v>345.73613890143946</v>
      </c>
    </row>
    <row r="18" spans="1:14" ht="13.5">
      <c r="A18" s="1034">
        <v>2018</v>
      </c>
      <c r="B18" s="1035">
        <v>328.68883172082138</v>
      </c>
      <c r="C18" s="1035">
        <v>335.33083028686195</v>
      </c>
      <c r="D18" s="1035">
        <v>339.13477331184731</v>
      </c>
      <c r="E18" s="1035">
        <v>352.1288362407397</v>
      </c>
      <c r="F18" s="1035">
        <v>354.40806226015781</v>
      </c>
      <c r="G18" s="1035">
        <v>352.31798629918734</v>
      </c>
      <c r="H18" s="1035">
        <v>349.02563708344542</v>
      </c>
      <c r="I18" s="1035">
        <v>347.00933631012759</v>
      </c>
      <c r="J18" s="1035">
        <v>345.11329021489684</v>
      </c>
      <c r="K18" s="1035">
        <v>347.11988043981063</v>
      </c>
      <c r="L18" s="1035">
        <v>349.40972512323503</v>
      </c>
      <c r="M18" s="1035">
        <v>350.98601398601369</v>
      </c>
      <c r="N18" s="1036">
        <v>345.25543478260863</v>
      </c>
    </row>
    <row r="19" spans="1:14" ht="14.25" thickBot="1">
      <c r="A19" s="1037">
        <v>2019</v>
      </c>
      <c r="B19" s="1038">
        <v>354.37491656654714</v>
      </c>
      <c r="C19" s="1038"/>
      <c r="D19" s="1038"/>
      <c r="E19" s="1038"/>
      <c r="F19" s="1038"/>
      <c r="G19" s="1038"/>
      <c r="H19" s="1038"/>
      <c r="I19" s="1038"/>
      <c r="J19" s="1038"/>
      <c r="K19" s="1038"/>
      <c r="L19" s="1038"/>
      <c r="M19" s="1038"/>
      <c r="N19" s="1039"/>
    </row>
    <row r="20" spans="1:14" ht="13.5" thickBot="1">
      <c r="B20" s="1020"/>
      <c r="C20" s="1020"/>
      <c r="D20" s="1020"/>
      <c r="E20" s="1020"/>
      <c r="F20" s="1020"/>
      <c r="G20" s="1040" t="s">
        <v>359</v>
      </c>
      <c r="H20" s="1020"/>
      <c r="I20" s="1020"/>
      <c r="J20" s="1020"/>
      <c r="K20" s="1020"/>
      <c r="L20" s="1020"/>
      <c r="M20" s="1020"/>
      <c r="N20" s="1041"/>
    </row>
    <row r="21" spans="1:14" ht="14.25" thickBot="1">
      <c r="A21" s="1022" t="s">
        <v>358</v>
      </c>
      <c r="B21" s="1023" t="s">
        <v>223</v>
      </c>
      <c r="C21" s="1023" t="s">
        <v>224</v>
      </c>
      <c r="D21" s="1023" t="s">
        <v>225</v>
      </c>
      <c r="E21" s="1023" t="s">
        <v>226</v>
      </c>
      <c r="F21" s="1023" t="s">
        <v>227</v>
      </c>
      <c r="G21" s="1023" t="s">
        <v>228</v>
      </c>
      <c r="H21" s="1023" t="s">
        <v>229</v>
      </c>
      <c r="I21" s="1023" t="s">
        <v>230</v>
      </c>
      <c r="J21" s="1023" t="s">
        <v>231</v>
      </c>
      <c r="K21" s="1023" t="s">
        <v>232</v>
      </c>
      <c r="L21" s="1023" t="s">
        <v>233</v>
      </c>
      <c r="M21" s="1023" t="s">
        <v>234</v>
      </c>
      <c r="N21" s="1023" t="s">
        <v>241</v>
      </c>
    </row>
    <row r="22" spans="1:14" ht="13.5">
      <c r="A22" s="1024">
        <v>2004</v>
      </c>
      <c r="B22" s="1025">
        <v>272.2</v>
      </c>
      <c r="C22" s="1025">
        <v>271.5</v>
      </c>
      <c r="D22" s="1025">
        <v>272</v>
      </c>
      <c r="E22" s="1025">
        <v>273.10000000000002</v>
      </c>
      <c r="F22" s="1025">
        <v>267.2</v>
      </c>
      <c r="G22" s="1025">
        <v>269.60000000000002</v>
      </c>
      <c r="H22" s="1025">
        <v>261.5</v>
      </c>
      <c r="I22" s="1025">
        <v>261.39999999999998</v>
      </c>
      <c r="J22" s="1025">
        <v>264.8</v>
      </c>
      <c r="K22" s="1025">
        <v>267</v>
      </c>
      <c r="L22" s="1025">
        <v>266.39999999999998</v>
      </c>
      <c r="M22" s="1025">
        <v>271.3</v>
      </c>
      <c r="N22" s="1026">
        <v>267.3</v>
      </c>
    </row>
    <row r="23" spans="1:14" ht="13.5">
      <c r="A23" s="1027">
        <v>2005</v>
      </c>
      <c r="B23" s="1028">
        <v>272.10000000000002</v>
      </c>
      <c r="C23" s="1028">
        <v>274.8</v>
      </c>
      <c r="D23" s="1028">
        <v>271.8</v>
      </c>
      <c r="E23" s="1028">
        <v>273.39999999999998</v>
      </c>
      <c r="F23" s="1028">
        <v>271</v>
      </c>
      <c r="G23" s="1028">
        <v>266.39999999999998</v>
      </c>
      <c r="H23" s="1028">
        <v>264.60000000000002</v>
      </c>
      <c r="I23" s="1028">
        <v>261.10000000000002</v>
      </c>
      <c r="J23" s="1028">
        <v>266.60000000000002</v>
      </c>
      <c r="K23" s="1028">
        <v>272.5</v>
      </c>
      <c r="L23" s="1028">
        <v>270.60000000000002</v>
      </c>
      <c r="M23" s="1028">
        <v>272.39999999999998</v>
      </c>
      <c r="N23" s="1029">
        <v>269.2</v>
      </c>
    </row>
    <row r="24" spans="1:14" ht="13.5">
      <c r="A24" s="1027">
        <v>2006</v>
      </c>
      <c r="B24" s="1028">
        <v>275.10000000000002</v>
      </c>
      <c r="C24" s="1028">
        <v>273.39999999999998</v>
      </c>
      <c r="D24" s="1028">
        <v>273.39999999999998</v>
      </c>
      <c r="E24" s="1028">
        <v>272.89999999999998</v>
      </c>
      <c r="F24" s="1028">
        <v>270.39999999999998</v>
      </c>
      <c r="G24" s="1028">
        <v>264.2</v>
      </c>
      <c r="H24" s="1028">
        <v>260.2</v>
      </c>
      <c r="I24" s="1028">
        <v>258.10000000000002</v>
      </c>
      <c r="J24" s="1028">
        <v>263.5</v>
      </c>
      <c r="K24" s="1028">
        <v>263.89999999999998</v>
      </c>
      <c r="L24" s="1028">
        <v>264.89999999999998</v>
      </c>
      <c r="M24" s="1028">
        <v>266.89999999999998</v>
      </c>
      <c r="N24" s="1029">
        <v>267.5</v>
      </c>
    </row>
    <row r="25" spans="1:14" ht="13.5">
      <c r="A25" s="1027">
        <v>2007</v>
      </c>
      <c r="B25" s="1028">
        <v>274.10000000000002</v>
      </c>
      <c r="C25" s="1028">
        <v>274.89999999999998</v>
      </c>
      <c r="D25" s="1028">
        <v>274</v>
      </c>
      <c r="E25" s="1028">
        <v>272.3</v>
      </c>
      <c r="F25" s="1028">
        <v>271.89999999999998</v>
      </c>
      <c r="G25" s="1028">
        <v>269.2</v>
      </c>
      <c r="H25" s="1028">
        <v>267.89999999999998</v>
      </c>
      <c r="I25" s="1028">
        <v>264.60000000000002</v>
      </c>
      <c r="J25" s="1028">
        <v>266</v>
      </c>
      <c r="K25" s="1028">
        <v>268.8</v>
      </c>
      <c r="L25" s="1028">
        <v>269.10000000000002</v>
      </c>
      <c r="M25" s="1028">
        <v>271.60000000000002</v>
      </c>
      <c r="N25" s="1029">
        <v>270.2</v>
      </c>
    </row>
    <row r="26" spans="1:14" ht="13.5">
      <c r="A26" s="1027">
        <v>2008</v>
      </c>
      <c r="B26" s="1028">
        <v>273.89999999999998</v>
      </c>
      <c r="C26" s="1028">
        <v>274.89999999999998</v>
      </c>
      <c r="D26" s="1028">
        <v>273.8</v>
      </c>
      <c r="E26" s="1028">
        <v>270</v>
      </c>
      <c r="F26" s="1028">
        <v>271.89999999999998</v>
      </c>
      <c r="G26" s="1028">
        <v>270.5</v>
      </c>
      <c r="H26" s="1028">
        <v>268.60000000000002</v>
      </c>
      <c r="I26" s="1028">
        <v>265</v>
      </c>
      <c r="J26" s="1028">
        <v>266.5</v>
      </c>
      <c r="K26" s="1028">
        <v>266.60000000000002</v>
      </c>
      <c r="L26" s="1028">
        <v>269.7</v>
      </c>
      <c r="M26" s="1028">
        <v>274.60000000000002</v>
      </c>
      <c r="N26" s="1029">
        <v>270.3</v>
      </c>
    </row>
    <row r="27" spans="1:14" ht="13.5">
      <c r="A27" s="1027">
        <v>2009</v>
      </c>
      <c r="B27" s="1028">
        <v>276.8</v>
      </c>
      <c r="C27" s="1028">
        <v>274.3</v>
      </c>
      <c r="D27" s="1028">
        <v>276.39999999999998</v>
      </c>
      <c r="E27" s="1028">
        <v>273.60000000000002</v>
      </c>
      <c r="F27" s="1028">
        <v>273.8</v>
      </c>
      <c r="G27" s="1028">
        <v>272.10000000000002</v>
      </c>
      <c r="H27" s="1028">
        <v>268.60000000000002</v>
      </c>
      <c r="I27" s="1028">
        <v>266.8</v>
      </c>
      <c r="J27" s="1028">
        <v>269.5</v>
      </c>
      <c r="K27" s="1028">
        <v>271.39999999999998</v>
      </c>
      <c r="L27" s="1028">
        <v>275.60000000000002</v>
      </c>
      <c r="M27" s="1028">
        <v>277.10000000000002</v>
      </c>
      <c r="N27" s="1030">
        <v>272.8</v>
      </c>
    </row>
    <row r="28" spans="1:14" ht="13.5">
      <c r="A28" s="1027">
        <v>2010</v>
      </c>
      <c r="B28" s="1028">
        <v>278.5</v>
      </c>
      <c r="C28" s="1028">
        <v>282.10000000000002</v>
      </c>
      <c r="D28" s="1028">
        <v>281.7</v>
      </c>
      <c r="E28" s="1028">
        <v>280.5</v>
      </c>
      <c r="F28" s="1028">
        <v>280.89999999999998</v>
      </c>
      <c r="G28" s="1028">
        <v>279</v>
      </c>
      <c r="H28" s="1028">
        <v>275</v>
      </c>
      <c r="I28" s="1028">
        <v>272.89999999999998</v>
      </c>
      <c r="J28" s="1028">
        <v>275.5</v>
      </c>
      <c r="K28" s="1028">
        <v>275.10000000000002</v>
      </c>
      <c r="L28" s="1028">
        <v>275</v>
      </c>
      <c r="M28" s="1028">
        <v>277.5</v>
      </c>
      <c r="N28" s="1030">
        <v>277.8</v>
      </c>
    </row>
    <row r="29" spans="1:14" ht="13.5">
      <c r="A29" s="1027">
        <v>2011</v>
      </c>
      <c r="B29" s="1028">
        <v>280.2</v>
      </c>
      <c r="C29" s="1028">
        <v>279.3</v>
      </c>
      <c r="D29" s="1028">
        <v>279.5</v>
      </c>
      <c r="E29" s="1028">
        <v>281.39999999999998</v>
      </c>
      <c r="F29" s="1028">
        <v>279.7</v>
      </c>
      <c r="G29" s="1028">
        <v>275.89999999999998</v>
      </c>
      <c r="H29" s="1028">
        <v>274.2</v>
      </c>
      <c r="I29" s="1028">
        <v>268.2</v>
      </c>
      <c r="J29" s="1028">
        <v>259.3</v>
      </c>
      <c r="K29" s="1028">
        <v>260.89999999999998</v>
      </c>
      <c r="L29" s="1028">
        <v>262.89999999999998</v>
      </c>
      <c r="M29" s="1028">
        <v>267.2</v>
      </c>
      <c r="N29" s="1030">
        <v>271.2</v>
      </c>
    </row>
    <row r="30" spans="1:14" s="1020" customFormat="1" ht="13.5">
      <c r="A30" s="1031">
        <v>2012</v>
      </c>
      <c r="B30" s="1032">
        <v>270.2</v>
      </c>
      <c r="C30" s="1032">
        <v>267.8</v>
      </c>
      <c r="D30" s="1032">
        <v>269.60000000000002</v>
      </c>
      <c r="E30" s="1032">
        <v>266.2</v>
      </c>
      <c r="F30" s="1032">
        <v>265.3</v>
      </c>
      <c r="G30" s="1032">
        <v>265.10000000000002</v>
      </c>
      <c r="H30" s="1032">
        <v>259.10000000000002</v>
      </c>
      <c r="I30" s="1032">
        <v>258.3</v>
      </c>
      <c r="J30" s="1032">
        <v>258.89999999999998</v>
      </c>
      <c r="K30" s="1032">
        <v>261.60000000000002</v>
      </c>
      <c r="L30" s="1032">
        <v>263.2</v>
      </c>
      <c r="M30" s="1032">
        <v>267</v>
      </c>
      <c r="N30" s="1033">
        <v>264</v>
      </c>
    </row>
    <row r="31" spans="1:14" s="1020" customFormat="1" ht="13.5">
      <c r="A31" s="1031">
        <v>2013</v>
      </c>
      <c r="B31" s="1032">
        <v>269.39999999999998</v>
      </c>
      <c r="C31" s="1032">
        <v>271.89999999999998</v>
      </c>
      <c r="D31" s="1032">
        <v>270.60000000000002</v>
      </c>
      <c r="E31" s="1032">
        <v>270.89999999999998</v>
      </c>
      <c r="F31" s="1032">
        <v>266.89999999999998</v>
      </c>
      <c r="G31" s="1032">
        <v>265.89999999999998</v>
      </c>
      <c r="H31" s="1032">
        <v>262.5</v>
      </c>
      <c r="I31" s="1032">
        <v>259.3</v>
      </c>
      <c r="J31" s="1032">
        <v>261.2</v>
      </c>
      <c r="K31" s="1032">
        <v>263.10000000000002</v>
      </c>
      <c r="L31" s="1032">
        <v>265.5</v>
      </c>
      <c r="M31" s="1032">
        <v>270.2</v>
      </c>
      <c r="N31" s="1033">
        <v>266.10000000000002</v>
      </c>
    </row>
    <row r="32" spans="1:14" s="1020" customFormat="1" ht="13.5">
      <c r="A32" s="1031">
        <v>2014</v>
      </c>
      <c r="B32" s="1032">
        <v>273</v>
      </c>
      <c r="C32" s="1032">
        <v>274.60000000000002</v>
      </c>
      <c r="D32" s="1032">
        <v>271.8</v>
      </c>
      <c r="E32" s="1032">
        <v>270.39999999999998</v>
      </c>
      <c r="F32" s="1032">
        <v>268.39999999999998</v>
      </c>
      <c r="G32" s="1032">
        <v>268.60000000000002</v>
      </c>
      <c r="H32" s="1032">
        <v>264.5</v>
      </c>
      <c r="I32" s="1032">
        <v>259.7</v>
      </c>
      <c r="J32" s="1032">
        <v>261.60000000000002</v>
      </c>
      <c r="K32" s="1032">
        <v>263.39999999999998</v>
      </c>
      <c r="L32" s="1032">
        <v>264.39999999999998</v>
      </c>
      <c r="M32" s="1032">
        <v>264.8</v>
      </c>
      <c r="N32" s="1033">
        <v>267</v>
      </c>
    </row>
    <row r="33" spans="1:14" s="1020" customFormat="1" ht="13.5">
      <c r="A33" s="1034">
        <v>2015</v>
      </c>
      <c r="B33" s="1035">
        <v>270.5</v>
      </c>
      <c r="C33" s="1035">
        <v>271.5</v>
      </c>
      <c r="D33" s="1035">
        <v>272.60000000000002</v>
      </c>
      <c r="E33" s="1035">
        <v>270.89999999999998</v>
      </c>
      <c r="F33" s="1035">
        <v>273.3</v>
      </c>
      <c r="G33" s="1035">
        <v>272</v>
      </c>
      <c r="H33" s="1035">
        <v>267.8</v>
      </c>
      <c r="I33" s="1035">
        <v>262.10000000000002</v>
      </c>
      <c r="J33" s="1035">
        <v>261.39999999999998</v>
      </c>
      <c r="K33" s="1035">
        <v>264.5</v>
      </c>
      <c r="L33" s="1035">
        <v>266.60000000000002</v>
      </c>
      <c r="M33" s="1035">
        <v>268.10000000000002</v>
      </c>
      <c r="N33" s="1036">
        <v>267.89999999999998</v>
      </c>
    </row>
    <row r="34" spans="1:14" ht="13.5">
      <c r="A34" s="1034">
        <v>2016</v>
      </c>
      <c r="B34" s="1035">
        <v>270.10000000000002</v>
      </c>
      <c r="C34" s="1035">
        <v>272.10000000000002</v>
      </c>
      <c r="D34" s="1035">
        <v>268.7</v>
      </c>
      <c r="E34" s="1035">
        <v>267.7</v>
      </c>
      <c r="F34" s="1035">
        <v>266.10000000000002</v>
      </c>
      <c r="G34" s="1035">
        <v>263.60000000000002</v>
      </c>
      <c r="H34" s="1035">
        <v>259.10000000000002</v>
      </c>
      <c r="I34" s="1035">
        <v>256.7</v>
      </c>
      <c r="J34" s="1035">
        <v>259.60000000000002</v>
      </c>
      <c r="K34" s="1035">
        <v>263.8</v>
      </c>
      <c r="L34" s="1035">
        <v>267.10000000000002</v>
      </c>
      <c r="M34" s="1035">
        <v>271.10000000000002</v>
      </c>
      <c r="N34" s="1036">
        <v>265.2</v>
      </c>
    </row>
    <row r="35" spans="1:14" ht="13.5">
      <c r="A35" s="1034">
        <v>2017</v>
      </c>
      <c r="B35" s="1035">
        <v>272.88640213541373</v>
      </c>
      <c r="C35" s="1035">
        <v>276.25085307594861</v>
      </c>
      <c r="D35" s="1035">
        <v>274.85711246631678</v>
      </c>
      <c r="E35" s="1035">
        <v>274.82589285714283</v>
      </c>
      <c r="F35" s="1035">
        <v>275.79789937320038</v>
      </c>
      <c r="G35" s="1035">
        <v>275.68322171001125</v>
      </c>
      <c r="H35" s="1035">
        <v>271.12366069701773</v>
      </c>
      <c r="I35" s="1035">
        <v>265.89233861961111</v>
      </c>
      <c r="J35" s="1035">
        <v>268.51868601734992</v>
      </c>
      <c r="K35" s="1035">
        <v>269.27624185210152</v>
      </c>
      <c r="L35" s="1035">
        <v>272.87214014486779</v>
      </c>
      <c r="M35" s="1035">
        <v>275.60365369340764</v>
      </c>
      <c r="N35" s="1036">
        <v>272.59345923219968</v>
      </c>
    </row>
    <row r="36" spans="1:14" ht="13.5">
      <c r="A36" s="1034">
        <v>2018</v>
      </c>
      <c r="B36" s="1035">
        <v>271.81169536218374</v>
      </c>
      <c r="C36" s="1035">
        <v>271.62933094384721</v>
      </c>
      <c r="D36" s="1035">
        <v>275.82298136645966</v>
      </c>
      <c r="E36" s="1035">
        <v>276.47664184157117</v>
      </c>
      <c r="F36" s="1035">
        <v>276.53879641485253</v>
      </c>
      <c r="G36" s="1035">
        <v>273.5957050315024</v>
      </c>
      <c r="H36" s="1035">
        <v>267.18371383829231</v>
      </c>
      <c r="I36" s="1035">
        <v>262.45748745224398</v>
      </c>
      <c r="J36" s="1035">
        <v>265.66096423017115</v>
      </c>
      <c r="K36" s="1035">
        <v>270.12991512212</v>
      </c>
      <c r="L36" s="1035">
        <v>273.99583766909478</v>
      </c>
      <c r="M36" s="1035">
        <v>277.44326025733028</v>
      </c>
      <c r="N36" s="1036">
        <v>271.5347702055667</v>
      </c>
    </row>
    <row r="37" spans="1:14" ht="14.25" thickBot="1">
      <c r="A37" s="1037">
        <v>2019</v>
      </c>
      <c r="B37" s="1038">
        <v>281.27826336739287</v>
      </c>
      <c r="C37" s="1038"/>
      <c r="D37" s="1038"/>
      <c r="E37" s="1038"/>
      <c r="F37" s="1038"/>
      <c r="G37" s="1038"/>
      <c r="H37" s="1038"/>
      <c r="I37" s="1038"/>
      <c r="J37" s="1038"/>
      <c r="K37" s="1038"/>
      <c r="L37" s="1038"/>
      <c r="M37" s="1038"/>
      <c r="N37" s="1039"/>
    </row>
    <row r="38" spans="1:14" ht="13.5" thickBot="1">
      <c r="B38" s="1020"/>
      <c r="C38" s="1020"/>
      <c r="D38" s="1020"/>
      <c r="E38" s="1020"/>
      <c r="F38" s="1020"/>
      <c r="G38" s="1040" t="s">
        <v>360</v>
      </c>
      <c r="H38" s="1020"/>
      <c r="I38" s="1020"/>
      <c r="J38" s="1020"/>
      <c r="K38" s="1020"/>
      <c r="L38" s="1020"/>
      <c r="M38" s="1020"/>
      <c r="N38" s="1041"/>
    </row>
    <row r="39" spans="1:14" ht="14.25" thickBot="1">
      <c r="A39" s="1022" t="s">
        <v>358</v>
      </c>
      <c r="B39" s="1023" t="s">
        <v>223</v>
      </c>
      <c r="C39" s="1023" t="s">
        <v>224</v>
      </c>
      <c r="D39" s="1023" t="s">
        <v>225</v>
      </c>
      <c r="E39" s="1023" t="s">
        <v>226</v>
      </c>
      <c r="F39" s="1023" t="s">
        <v>227</v>
      </c>
      <c r="G39" s="1023" t="s">
        <v>228</v>
      </c>
      <c r="H39" s="1023" t="s">
        <v>229</v>
      </c>
      <c r="I39" s="1023" t="s">
        <v>230</v>
      </c>
      <c r="J39" s="1023" t="s">
        <v>231</v>
      </c>
      <c r="K39" s="1023" t="s">
        <v>232</v>
      </c>
      <c r="L39" s="1023" t="s">
        <v>233</v>
      </c>
      <c r="M39" s="1023" t="s">
        <v>234</v>
      </c>
      <c r="N39" s="1023" t="s">
        <v>241</v>
      </c>
    </row>
    <row r="40" spans="1:14" ht="13.5">
      <c r="A40" s="1024">
        <v>2004</v>
      </c>
      <c r="B40" s="1025">
        <v>240.7</v>
      </c>
      <c r="C40" s="1025">
        <v>241.7</v>
      </c>
      <c r="D40" s="1025">
        <v>243.7</v>
      </c>
      <c r="E40" s="1025">
        <v>237.7</v>
      </c>
      <c r="F40" s="1025">
        <v>240.8</v>
      </c>
      <c r="G40" s="1025">
        <v>241.5</v>
      </c>
      <c r="H40" s="1025">
        <v>243.3</v>
      </c>
      <c r="I40" s="1025">
        <v>237.1</v>
      </c>
      <c r="J40" s="1025">
        <v>241.6</v>
      </c>
      <c r="K40" s="1025">
        <v>238.8</v>
      </c>
      <c r="L40" s="1025">
        <v>245.7</v>
      </c>
      <c r="M40" s="1025">
        <v>249.9</v>
      </c>
      <c r="N40" s="1026">
        <v>242.4</v>
      </c>
    </row>
    <row r="41" spans="1:14" ht="13.5">
      <c r="A41" s="1027">
        <v>2005</v>
      </c>
      <c r="B41" s="1028">
        <v>253.1</v>
      </c>
      <c r="C41" s="1028">
        <v>256.89999999999998</v>
      </c>
      <c r="D41" s="1028">
        <v>255</v>
      </c>
      <c r="E41" s="1028">
        <v>253.3</v>
      </c>
      <c r="F41" s="1028">
        <v>253</v>
      </c>
      <c r="G41" s="1028">
        <v>252.2</v>
      </c>
      <c r="H41" s="1028">
        <v>251.1</v>
      </c>
      <c r="I41" s="1028">
        <v>247.9</v>
      </c>
      <c r="J41" s="1028">
        <v>246.7</v>
      </c>
      <c r="K41" s="1028">
        <v>249.2</v>
      </c>
      <c r="L41" s="1028">
        <v>250.4</v>
      </c>
      <c r="M41" s="1028">
        <v>256.2</v>
      </c>
      <c r="N41" s="1029">
        <v>251.9</v>
      </c>
    </row>
    <row r="42" spans="1:14" ht="13.5">
      <c r="A42" s="1027">
        <v>2006</v>
      </c>
      <c r="B42" s="1028">
        <v>257.8</v>
      </c>
      <c r="C42" s="1028">
        <v>258.60000000000002</v>
      </c>
      <c r="D42" s="1028">
        <v>259.39999999999998</v>
      </c>
      <c r="E42" s="1028">
        <v>256.39999999999998</v>
      </c>
      <c r="F42" s="1028">
        <v>257.60000000000002</v>
      </c>
      <c r="G42" s="1028">
        <v>256.10000000000002</v>
      </c>
      <c r="H42" s="1028">
        <v>250.4</v>
      </c>
      <c r="I42" s="1028">
        <v>248.4</v>
      </c>
      <c r="J42" s="1028">
        <v>249.2</v>
      </c>
      <c r="K42" s="1028">
        <v>246.2</v>
      </c>
      <c r="L42" s="1028">
        <v>246.3</v>
      </c>
      <c r="M42" s="1028">
        <v>251</v>
      </c>
      <c r="N42" s="1029">
        <v>253.1</v>
      </c>
    </row>
    <row r="43" spans="1:14" ht="13.5">
      <c r="A43" s="1027">
        <v>2007</v>
      </c>
      <c r="B43" s="1028">
        <v>257</v>
      </c>
      <c r="C43" s="1028">
        <v>258.60000000000002</v>
      </c>
      <c r="D43" s="1028">
        <v>258.5</v>
      </c>
      <c r="E43" s="1028">
        <v>260.5</v>
      </c>
      <c r="F43" s="1028">
        <v>258.8</v>
      </c>
      <c r="G43" s="1028">
        <v>257.5</v>
      </c>
      <c r="H43" s="1028">
        <v>254.5</v>
      </c>
      <c r="I43" s="1028">
        <v>250.9</v>
      </c>
      <c r="J43" s="1028">
        <v>249.3</v>
      </c>
      <c r="K43" s="1028">
        <v>246.9</v>
      </c>
      <c r="L43" s="1028">
        <v>251.1</v>
      </c>
      <c r="M43" s="1028">
        <v>253</v>
      </c>
      <c r="N43" s="1029">
        <v>254.3</v>
      </c>
    </row>
    <row r="44" spans="1:14" ht="13.5">
      <c r="A44" s="1027">
        <v>2008</v>
      </c>
      <c r="B44" s="1028">
        <v>260</v>
      </c>
      <c r="C44" s="1028">
        <v>259.7</v>
      </c>
      <c r="D44" s="1028">
        <v>256.5</v>
      </c>
      <c r="E44" s="1028">
        <v>253.2</v>
      </c>
      <c r="F44" s="1028">
        <v>257.89999999999998</v>
      </c>
      <c r="G44" s="1028">
        <v>255.5</v>
      </c>
      <c r="H44" s="1028">
        <v>249</v>
      </c>
      <c r="I44" s="1028">
        <v>247.1</v>
      </c>
      <c r="J44" s="1028">
        <v>246.8</v>
      </c>
      <c r="K44" s="1028">
        <v>243.8</v>
      </c>
      <c r="L44" s="1028">
        <v>247.6</v>
      </c>
      <c r="M44" s="1028">
        <v>252.5</v>
      </c>
      <c r="N44" s="1029">
        <v>252.2</v>
      </c>
    </row>
    <row r="45" spans="1:14" ht="13.5">
      <c r="A45" s="1027">
        <v>2009</v>
      </c>
      <c r="B45" s="1028">
        <v>254.8</v>
      </c>
      <c r="C45" s="1028">
        <v>256.39999999999998</v>
      </c>
      <c r="D45" s="1028">
        <v>258.2</v>
      </c>
      <c r="E45" s="1028">
        <v>257.39999999999998</v>
      </c>
      <c r="F45" s="1028">
        <v>257.39999999999998</v>
      </c>
      <c r="G45" s="1028">
        <v>255.2</v>
      </c>
      <c r="H45" s="1028">
        <v>253.6</v>
      </c>
      <c r="I45" s="1028">
        <v>250.6</v>
      </c>
      <c r="J45" s="1028">
        <v>251.8</v>
      </c>
      <c r="K45" s="1028">
        <v>252.9</v>
      </c>
      <c r="L45" s="1028">
        <v>255.6</v>
      </c>
      <c r="M45" s="1028">
        <v>260.8</v>
      </c>
      <c r="N45" s="1029">
        <v>255.4</v>
      </c>
    </row>
    <row r="46" spans="1:14" ht="13.5">
      <c r="A46" s="1027">
        <v>2010</v>
      </c>
      <c r="B46" s="1028">
        <v>261.8</v>
      </c>
      <c r="C46" s="1028">
        <v>267.39999999999998</v>
      </c>
      <c r="D46" s="1028">
        <v>265.7</v>
      </c>
      <c r="E46" s="1028">
        <v>267.89999999999998</v>
      </c>
      <c r="F46" s="1028">
        <v>268.8</v>
      </c>
      <c r="G46" s="1028">
        <v>266.89999999999998</v>
      </c>
      <c r="H46" s="1028">
        <v>264.39999999999998</v>
      </c>
      <c r="I46" s="1028">
        <v>259.89999999999998</v>
      </c>
      <c r="J46" s="1028">
        <v>258.10000000000002</v>
      </c>
      <c r="K46" s="1028">
        <v>254.5</v>
      </c>
      <c r="L46" s="1028">
        <v>258.10000000000002</v>
      </c>
      <c r="M46" s="1028">
        <v>262.5</v>
      </c>
      <c r="N46" s="1029">
        <v>262.8</v>
      </c>
    </row>
    <row r="47" spans="1:14" ht="13.5">
      <c r="A47" s="1027">
        <v>2011</v>
      </c>
      <c r="B47" s="1028">
        <v>262.7</v>
      </c>
      <c r="C47" s="1028">
        <v>262.60000000000002</v>
      </c>
      <c r="D47" s="1028">
        <v>262.2</v>
      </c>
      <c r="E47" s="1028">
        <v>261.5</v>
      </c>
      <c r="F47" s="1028">
        <v>261.2</v>
      </c>
      <c r="G47" s="1028">
        <v>258</v>
      </c>
      <c r="H47" s="1028">
        <v>256.2</v>
      </c>
      <c r="I47" s="1028">
        <v>251.1</v>
      </c>
      <c r="J47" s="1028">
        <v>250.5</v>
      </c>
      <c r="K47" s="1028">
        <v>251.1</v>
      </c>
      <c r="L47" s="1028">
        <v>253.3</v>
      </c>
      <c r="M47" s="1028">
        <v>259.5</v>
      </c>
      <c r="N47" s="1029">
        <v>257.2</v>
      </c>
    </row>
    <row r="48" spans="1:14" ht="13.5">
      <c r="A48" s="1027">
        <v>2012</v>
      </c>
      <c r="B48" s="1028">
        <v>263.39999999999998</v>
      </c>
      <c r="C48" s="1028">
        <v>263.8</v>
      </c>
      <c r="D48" s="1028">
        <v>264</v>
      </c>
      <c r="E48" s="1028">
        <v>262.5</v>
      </c>
      <c r="F48" s="1028">
        <v>265.3</v>
      </c>
      <c r="G48" s="1028">
        <v>262.2</v>
      </c>
      <c r="H48" s="1028">
        <v>260.3</v>
      </c>
      <c r="I48" s="1028">
        <v>256</v>
      </c>
      <c r="J48" s="1028">
        <v>256.2</v>
      </c>
      <c r="K48" s="1028">
        <v>257.60000000000002</v>
      </c>
      <c r="L48" s="1028">
        <v>260.7</v>
      </c>
      <c r="M48" s="1028">
        <v>263.5</v>
      </c>
      <c r="N48" s="1029">
        <v>261.3</v>
      </c>
    </row>
    <row r="49" spans="1:14" ht="13.5">
      <c r="A49" s="1027">
        <v>2013</v>
      </c>
      <c r="B49" s="1028">
        <v>263.7</v>
      </c>
      <c r="C49" s="1028">
        <v>268.2</v>
      </c>
      <c r="D49" s="1028">
        <v>266.3</v>
      </c>
      <c r="E49" s="1028">
        <v>267.2</v>
      </c>
      <c r="F49" s="1028">
        <v>267</v>
      </c>
      <c r="G49" s="1028">
        <v>269.39999999999998</v>
      </c>
      <c r="H49" s="1028">
        <v>265.3</v>
      </c>
      <c r="I49" s="1028">
        <v>261.7</v>
      </c>
      <c r="J49" s="1028">
        <v>261.2</v>
      </c>
      <c r="K49" s="1028">
        <v>259.89999999999998</v>
      </c>
      <c r="L49" s="1028">
        <v>263.3</v>
      </c>
      <c r="M49" s="1028">
        <v>265.8</v>
      </c>
      <c r="N49" s="1029">
        <v>264.8</v>
      </c>
    </row>
    <row r="50" spans="1:14" ht="13.5">
      <c r="A50" s="1031">
        <v>2014</v>
      </c>
      <c r="B50" s="1028">
        <v>267.7</v>
      </c>
      <c r="C50" s="1028">
        <v>270.8</v>
      </c>
      <c r="D50" s="1028">
        <v>267.3</v>
      </c>
      <c r="E50" s="1028">
        <v>267.2</v>
      </c>
      <c r="F50" s="1028">
        <v>267.7</v>
      </c>
      <c r="G50" s="1028">
        <v>267.39999999999998</v>
      </c>
      <c r="H50" s="1028">
        <v>264.89999999999998</v>
      </c>
      <c r="I50" s="1028">
        <v>263.3</v>
      </c>
      <c r="J50" s="1028">
        <v>260.39999999999998</v>
      </c>
      <c r="K50" s="1028">
        <v>262</v>
      </c>
      <c r="L50" s="1028">
        <v>263.3</v>
      </c>
      <c r="M50" s="1028">
        <v>267.89999999999998</v>
      </c>
      <c r="N50" s="1029">
        <v>265.7</v>
      </c>
    </row>
    <row r="51" spans="1:14" ht="13.5">
      <c r="A51" s="1034">
        <v>2015</v>
      </c>
      <c r="B51" s="1042">
        <v>270.89999999999998</v>
      </c>
      <c r="C51" s="1042">
        <v>271.7</v>
      </c>
      <c r="D51" s="1042">
        <v>270.89999999999998</v>
      </c>
      <c r="E51" s="1042">
        <v>272.5</v>
      </c>
      <c r="F51" s="1042">
        <v>274.8</v>
      </c>
      <c r="G51" s="1042">
        <v>275.7</v>
      </c>
      <c r="H51" s="1042">
        <v>272.39999999999998</v>
      </c>
      <c r="I51" s="1042">
        <v>268.60000000000002</v>
      </c>
      <c r="J51" s="1042">
        <v>266.3</v>
      </c>
      <c r="K51" s="1042">
        <v>266.10000000000002</v>
      </c>
      <c r="L51" s="1042">
        <v>268.7</v>
      </c>
      <c r="M51" s="1042">
        <v>270.39999999999998</v>
      </c>
      <c r="N51" s="1043">
        <v>270.5</v>
      </c>
    </row>
    <row r="52" spans="1:14" ht="13.5">
      <c r="A52" s="1034">
        <v>2016</v>
      </c>
      <c r="B52" s="1042">
        <v>271.7</v>
      </c>
      <c r="C52" s="1042">
        <v>271.89999999999998</v>
      </c>
      <c r="D52" s="1042">
        <v>270.2</v>
      </c>
      <c r="E52" s="1042">
        <v>272.2</v>
      </c>
      <c r="F52" s="1042">
        <v>275.5</v>
      </c>
      <c r="G52" s="1042">
        <v>274.2</v>
      </c>
      <c r="H52" s="1042">
        <v>270.5</v>
      </c>
      <c r="I52" s="1042">
        <v>268.7</v>
      </c>
      <c r="J52" s="1042">
        <v>268</v>
      </c>
      <c r="K52" s="1042">
        <v>270</v>
      </c>
      <c r="L52" s="1042">
        <v>273.2</v>
      </c>
      <c r="M52" s="1042">
        <v>276.5</v>
      </c>
      <c r="N52" s="1043">
        <v>271.8</v>
      </c>
    </row>
    <row r="53" spans="1:14" ht="13.5">
      <c r="A53" s="1034">
        <v>2017</v>
      </c>
      <c r="B53" s="1042">
        <v>276.69926282533487</v>
      </c>
      <c r="C53" s="1042">
        <v>276.47892871209154</v>
      </c>
      <c r="D53" s="1042">
        <v>278.22339935513622</v>
      </c>
      <c r="E53" s="1042">
        <v>279.34229084700496</v>
      </c>
      <c r="F53" s="1042">
        <v>281.69560720701139</v>
      </c>
      <c r="G53" s="1042">
        <v>282.87137778735314</v>
      </c>
      <c r="H53" s="1042">
        <v>277.47576558713354</v>
      </c>
      <c r="I53" s="1042">
        <v>274.10388337620998</v>
      </c>
      <c r="J53" s="1042">
        <v>273.58284883720944</v>
      </c>
      <c r="K53" s="1042">
        <v>274.03936753791561</v>
      </c>
      <c r="L53" s="1042">
        <v>275.29776603686923</v>
      </c>
      <c r="M53" s="1042">
        <v>280.80114332380572</v>
      </c>
      <c r="N53" s="1036">
        <v>277.62487398742144</v>
      </c>
    </row>
    <row r="54" spans="1:14" ht="13.5">
      <c r="A54" s="1034">
        <v>2018</v>
      </c>
      <c r="B54" s="1035">
        <v>279.54637865311327</v>
      </c>
      <c r="C54" s="1035">
        <v>282.17688062735988</v>
      </c>
      <c r="D54" s="1035">
        <v>283.66516998075673</v>
      </c>
      <c r="E54" s="1035">
        <v>284.39577732607717</v>
      </c>
      <c r="F54" s="1035">
        <v>286.91837000390598</v>
      </c>
      <c r="G54" s="1035">
        <v>286.16812790097981</v>
      </c>
      <c r="H54" s="1035">
        <v>281.7233466698047</v>
      </c>
      <c r="I54" s="1035">
        <v>279.00896414342645</v>
      </c>
      <c r="J54" s="1035">
        <v>276.36222177119254</v>
      </c>
      <c r="K54" s="1035">
        <v>278.71065267650755</v>
      </c>
      <c r="L54" s="1035">
        <v>284.00026838432649</v>
      </c>
      <c r="M54" s="1035">
        <v>284.93782985955824</v>
      </c>
      <c r="N54" s="1036">
        <v>282.28926615670917</v>
      </c>
    </row>
    <row r="55" spans="1:14" ht="14.25" thickBot="1">
      <c r="A55" s="1037">
        <v>2019</v>
      </c>
      <c r="B55" s="1038">
        <v>287.03444832750858</v>
      </c>
      <c r="C55" s="1038"/>
      <c r="D55" s="1038"/>
      <c r="E55" s="1038"/>
      <c r="F55" s="1038"/>
      <c r="G55" s="1038"/>
      <c r="H55" s="1038"/>
      <c r="I55" s="1038"/>
      <c r="J55" s="1038"/>
      <c r="K55" s="1038"/>
      <c r="L55" s="1038"/>
      <c r="M55" s="1038"/>
      <c r="N55" s="1039"/>
    </row>
    <row r="56" spans="1:14">
      <c r="I56" s="1020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topLeftCell="A299" zoomScale="75" workbookViewId="0">
      <selection activeCell="AE319" sqref="AE319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09" t="s">
        <v>361</v>
      </c>
      <c r="B2" s="1309"/>
      <c r="C2" s="1309"/>
      <c r="D2" s="1309"/>
      <c r="E2" s="1309"/>
      <c r="F2" s="1309"/>
      <c r="G2" s="1309"/>
      <c r="H2" s="1309"/>
      <c r="I2" s="1309"/>
      <c r="J2" s="1309"/>
      <c r="K2" s="1309"/>
      <c r="L2" s="1309"/>
      <c r="M2" s="1309"/>
    </row>
    <row r="3" spans="1:29" ht="12.75" hidden="1" customHeight="1">
      <c r="A3" s="1309"/>
      <c r="B3" s="1309"/>
      <c r="C3" s="1309"/>
      <c r="D3" s="1309"/>
      <c r="E3" s="1309"/>
      <c r="F3" s="1309"/>
      <c r="G3" s="1309"/>
      <c r="H3" s="1309"/>
      <c r="I3" s="1309"/>
      <c r="J3" s="1309"/>
      <c r="K3" s="1309"/>
      <c r="L3" s="1309"/>
      <c r="M3" s="1309"/>
    </row>
    <row r="4" spans="1:29" ht="12.75" hidden="1" customHeight="1">
      <c r="A4" s="1309"/>
      <c r="B4" s="1309"/>
      <c r="C4" s="1309"/>
      <c r="D4" s="1309"/>
      <c r="E4" s="1309"/>
      <c r="F4" s="1309"/>
      <c r="G4" s="1309"/>
      <c r="H4" s="1309"/>
      <c r="I4" s="1309"/>
      <c r="J4" s="1309"/>
      <c r="K4" s="1309"/>
      <c r="L4" s="1309"/>
      <c r="M4" s="1309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08" t="s">
        <v>220</v>
      </c>
      <c r="R7" s="1308"/>
      <c r="S7" s="1308"/>
      <c r="T7" s="160"/>
      <c r="U7" s="157">
        <v>2003</v>
      </c>
      <c r="V7" s="1308" t="s">
        <v>221</v>
      </c>
      <c r="W7" s="1310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08" t="s">
        <v>220</v>
      </c>
      <c r="Q16" s="1308"/>
      <c r="R16" s="1308"/>
      <c r="S16" s="1308"/>
      <c r="T16" s="158"/>
      <c r="U16" s="157">
        <v>2004</v>
      </c>
      <c r="V16" s="1308" t="s">
        <v>221</v>
      </c>
      <c r="W16" s="1308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08" t="s">
        <v>220</v>
      </c>
      <c r="Q25" s="1308"/>
      <c r="R25" s="1308"/>
      <c r="S25" s="1308"/>
      <c r="T25" s="158"/>
      <c r="U25" s="157">
        <v>2005</v>
      </c>
      <c r="V25" s="1308" t="s">
        <v>221</v>
      </c>
      <c r="W25" s="1308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08" t="s">
        <v>220</v>
      </c>
      <c r="Q34" s="1308"/>
      <c r="R34" s="1308"/>
      <c r="S34" s="1308"/>
      <c r="T34" s="158"/>
      <c r="U34" s="157">
        <v>2006</v>
      </c>
      <c r="V34" s="1308" t="s">
        <v>221</v>
      </c>
      <c r="W34" s="1308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08" t="s">
        <v>220</v>
      </c>
      <c r="Q43" s="1308"/>
      <c r="R43" s="1308"/>
      <c r="S43" s="1308"/>
      <c r="T43" s="158"/>
      <c r="U43" s="157">
        <v>2007</v>
      </c>
      <c r="V43" s="1308" t="s">
        <v>221</v>
      </c>
      <c r="W43" s="1308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08" t="s">
        <v>220</v>
      </c>
      <c r="Q52" s="1308"/>
      <c r="R52" s="1308"/>
      <c r="S52" s="1308"/>
      <c r="T52" s="158"/>
      <c r="U52" s="157">
        <v>2008</v>
      </c>
      <c r="V52" s="1308" t="s">
        <v>221</v>
      </c>
      <c r="W52" s="1308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08" t="s">
        <v>220</v>
      </c>
      <c r="Q61" s="1308"/>
      <c r="R61" s="1308"/>
      <c r="S61" s="1308"/>
      <c r="T61" s="158"/>
      <c r="U61" s="157">
        <v>2009</v>
      </c>
      <c r="V61" s="1308" t="s">
        <v>221</v>
      </c>
      <c r="W61" s="1308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08" t="s">
        <v>220</v>
      </c>
      <c r="Q70" s="1308"/>
      <c r="R70" s="1308"/>
      <c r="S70" s="1308"/>
      <c r="T70" s="158"/>
      <c r="U70" s="157">
        <v>2010</v>
      </c>
      <c r="V70" s="1308" t="s">
        <v>221</v>
      </c>
      <c r="W70" s="1308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08" t="s">
        <v>220</v>
      </c>
      <c r="Q79" s="1308"/>
      <c r="R79" s="1308"/>
      <c r="S79" s="1308"/>
      <c r="T79" s="158"/>
      <c r="U79" s="157">
        <v>2011</v>
      </c>
      <c r="V79" s="1308" t="s">
        <v>221</v>
      </c>
      <c r="W79" s="1308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08" t="s">
        <v>220</v>
      </c>
      <c r="Q88" s="1308"/>
      <c r="R88" s="1308"/>
      <c r="S88" s="1308"/>
      <c r="T88" s="158"/>
      <c r="U88" s="157">
        <v>2012</v>
      </c>
      <c r="V88" s="1308" t="s">
        <v>221</v>
      </c>
      <c r="W88" s="1308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08" t="s">
        <v>220</v>
      </c>
      <c r="Q97" s="1308"/>
      <c r="R97" s="1308"/>
      <c r="S97" s="1308"/>
      <c r="T97" s="158"/>
      <c r="U97" s="157">
        <v>2013</v>
      </c>
      <c r="V97" s="1308" t="s">
        <v>221</v>
      </c>
      <c r="W97" s="1308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08" t="s">
        <v>220</v>
      </c>
      <c r="Q106" s="1308"/>
      <c r="R106" s="1308"/>
      <c r="S106" s="1308"/>
      <c r="T106" s="158"/>
      <c r="U106" s="157">
        <v>2014</v>
      </c>
      <c r="V106" s="1308" t="s">
        <v>221</v>
      </c>
      <c r="W106" s="1308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08" t="s">
        <v>220</v>
      </c>
      <c r="Q116" s="1308"/>
      <c r="R116" s="1308"/>
      <c r="S116" s="1308"/>
      <c r="T116" s="158"/>
      <c r="U116" s="157">
        <v>2015</v>
      </c>
      <c r="V116" s="1308" t="s">
        <v>221</v>
      </c>
      <c r="W116" s="1308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08" t="s">
        <v>220</v>
      </c>
      <c r="Q126" s="1308"/>
      <c r="R126" s="1308"/>
      <c r="S126" s="1308"/>
      <c r="T126" s="158"/>
      <c r="U126" s="157">
        <v>2016</v>
      </c>
      <c r="V126" s="1308" t="s">
        <v>221</v>
      </c>
      <c r="W126" s="1308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08" t="s">
        <v>220</v>
      </c>
      <c r="Q136" s="1308"/>
      <c r="R136" s="1308"/>
      <c r="S136" s="1308"/>
      <c r="T136" s="158"/>
      <c r="U136" s="157">
        <v>2017</v>
      </c>
      <c r="V136" s="1308" t="s">
        <v>221</v>
      </c>
      <c r="W136" s="1308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0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4" ht="15">
      <c r="AA145" s="179"/>
      <c r="AB145" s="161"/>
      <c r="AC145" s="1051"/>
      <c r="AD145" s="1051"/>
    </row>
    <row r="146" spans="1:34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08" t="s">
        <v>220</v>
      </c>
      <c r="Q146" s="1308"/>
      <c r="R146" s="1308"/>
      <c r="S146" s="1308"/>
      <c r="T146" s="158"/>
      <c r="U146" s="157">
        <v>2018</v>
      </c>
      <c r="V146" s="1308" t="s">
        <v>221</v>
      </c>
      <c r="W146" s="1308"/>
      <c r="X146" s="158"/>
      <c r="Y146" s="244">
        <v>2018</v>
      </c>
      <c r="Z146" s="158"/>
      <c r="AA146" s="179"/>
      <c r="AB146"/>
      <c r="AC146" s="1051"/>
      <c r="AD146" s="1051"/>
      <c r="AE146"/>
    </row>
    <row r="147" spans="1:34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4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4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  <c r="AF149"/>
      <c r="AG149"/>
      <c r="AH149"/>
    </row>
    <row r="150" spans="1:34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  <c r="AF150"/>
      <c r="AG150"/>
      <c r="AH150"/>
    </row>
    <row r="151" spans="1:34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  <c r="AF151"/>
      <c r="AG151"/>
      <c r="AH151"/>
    </row>
    <row r="152" spans="1:34">
      <c r="A152" s="214" t="s">
        <v>245</v>
      </c>
      <c r="B152" s="215"/>
      <c r="C152" s="690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  <c r="AF152"/>
      <c r="AG152"/>
      <c r="AH152"/>
    </row>
    <row r="153" spans="1:34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  <c r="AF153"/>
      <c r="AG153"/>
      <c r="AH153"/>
    </row>
    <row r="154" spans="1:34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  <c r="AF154"/>
      <c r="AG154"/>
      <c r="AH154"/>
    </row>
    <row r="155" spans="1:34">
      <c r="AA155" s="179"/>
      <c r="AB155"/>
      <c r="AC155"/>
      <c r="AD155"/>
      <c r="AE155"/>
      <c r="AF155"/>
      <c r="AG155"/>
      <c r="AH155"/>
    </row>
    <row r="156" spans="1:34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08" t="s">
        <v>220</v>
      </c>
      <c r="Q156" s="1308"/>
      <c r="R156" s="1308"/>
      <c r="S156" s="1308"/>
      <c r="T156" s="158"/>
      <c r="U156" s="157">
        <v>2019</v>
      </c>
      <c r="V156" s="1308" t="s">
        <v>221</v>
      </c>
      <c r="W156" s="1308"/>
      <c r="X156" s="158"/>
      <c r="Y156" s="244">
        <v>2019</v>
      </c>
      <c r="Z156" s="158"/>
      <c r="AA156" s="179"/>
      <c r="AB156"/>
      <c r="AC156"/>
      <c r="AD156"/>
      <c r="AE156"/>
      <c r="AF156"/>
      <c r="AG156"/>
      <c r="AH156"/>
    </row>
    <row r="157" spans="1:34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/>
      <c r="AC157"/>
      <c r="AD157"/>
      <c r="AE157"/>
      <c r="AF157"/>
      <c r="AG157"/>
      <c r="AH157"/>
    </row>
    <row r="158" spans="1:34" ht="13.5" thickBot="1">
      <c r="A158" s="269" t="s">
        <v>242</v>
      </c>
      <c r="B158" s="204">
        <v>13097.004154604951</v>
      </c>
      <c r="C158" s="270">
        <v>12684.171057134958</v>
      </c>
      <c r="D158" s="204">
        <v>12703.509633034411</v>
      </c>
      <c r="E158" s="204">
        <v>12436.800440153134</v>
      </c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>
        <v>12598.899991992648</v>
      </c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/>
      <c r="AC158"/>
      <c r="AD158"/>
      <c r="AE158"/>
      <c r="AF158"/>
      <c r="AG158"/>
      <c r="AH158"/>
    </row>
    <row r="159" spans="1:34">
      <c r="A159" s="272" t="s">
        <v>247</v>
      </c>
      <c r="B159" s="227">
        <v>12988.229233268361</v>
      </c>
      <c r="C159" s="273">
        <v>13031.089618528611</v>
      </c>
      <c r="D159" s="274">
        <v>12400.045892682925</v>
      </c>
      <c r="E159" s="227">
        <v>12497.066246851389</v>
      </c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>
        <v>12584.9079795629</v>
      </c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/>
      <c r="AC159"/>
      <c r="AD159"/>
      <c r="AE159"/>
      <c r="AF159"/>
      <c r="AG159"/>
      <c r="AH159"/>
    </row>
    <row r="160" spans="1:34">
      <c r="A160" s="214" t="s">
        <v>243</v>
      </c>
      <c r="B160" s="215">
        <v>14030.74154673591</v>
      </c>
      <c r="C160" s="267">
        <v>13423.206102042845</v>
      </c>
      <c r="D160" s="215">
        <v>13350.258566551605</v>
      </c>
      <c r="E160" s="215">
        <v>12952.008674739422</v>
      </c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>
        <v>13365.473623968906</v>
      </c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/>
      <c r="AC160"/>
      <c r="AD160"/>
      <c r="AE160"/>
      <c r="AF160"/>
      <c r="AG160"/>
      <c r="AH160"/>
    </row>
    <row r="161" spans="1:34">
      <c r="A161" s="214" t="s">
        <v>244</v>
      </c>
      <c r="B161" s="215">
        <v>13875.267566076433</v>
      </c>
      <c r="C161" s="267">
        <v>13191.644451674416</v>
      </c>
      <c r="D161" s="215">
        <v>13160.242283296824</v>
      </c>
      <c r="E161" s="215">
        <v>12736.915408507588</v>
      </c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>
        <v>13188.197147760482</v>
      </c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/>
      <c r="AC161"/>
      <c r="AD161"/>
      <c r="AE161"/>
      <c r="AF161"/>
      <c r="AG161"/>
      <c r="AH161"/>
    </row>
    <row r="162" spans="1:34">
      <c r="A162" s="214" t="s">
        <v>245</v>
      </c>
      <c r="B162" s="215"/>
      <c r="C162" s="690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>
        <v>13064.125629609642</v>
      </c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/>
      <c r="AC162"/>
      <c r="AD162"/>
      <c r="AE162"/>
      <c r="AF162"/>
      <c r="AG162"/>
      <c r="AH162"/>
    </row>
    <row r="163" spans="1:34">
      <c r="A163" s="214" t="s">
        <v>98</v>
      </c>
      <c r="B163" s="215">
        <v>11016.435273215879</v>
      </c>
      <c r="C163" s="267">
        <v>10666.092979690597</v>
      </c>
      <c r="D163" s="215">
        <v>10906.563736752352</v>
      </c>
      <c r="E163" s="215">
        <v>10813.265482926516</v>
      </c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>
        <v>10675.031172748293</v>
      </c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/>
      <c r="AC163"/>
      <c r="AD163"/>
      <c r="AE163"/>
      <c r="AF163"/>
      <c r="AG163"/>
      <c r="AH163"/>
    </row>
    <row r="164" spans="1:34" ht="13.5" thickBot="1">
      <c r="A164" s="217" t="s">
        <v>246</v>
      </c>
      <c r="B164" s="215">
        <v>13526.782125454416</v>
      </c>
      <c r="C164" s="268">
        <v>13304.359447452311</v>
      </c>
      <c r="D164" s="218">
        <v>13381.446812429691</v>
      </c>
      <c r="E164" s="218">
        <v>13303.934942938567</v>
      </c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>
        <v>13149.837234423143</v>
      </c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/>
      <c r="AC164"/>
      <c r="AD164"/>
      <c r="AE164"/>
      <c r="AF164"/>
      <c r="AG164"/>
      <c r="AH164"/>
    </row>
    <row r="165" spans="1:34">
      <c r="AA165" s="179"/>
      <c r="AB165"/>
      <c r="AC165"/>
      <c r="AD165"/>
      <c r="AE165"/>
      <c r="AF165"/>
      <c r="AG165"/>
      <c r="AH165"/>
    </row>
    <row r="166" spans="1:34" ht="13.5">
      <c r="AA166" s="288"/>
      <c r="AB166"/>
      <c r="AC166"/>
      <c r="AD166"/>
      <c r="AE166"/>
      <c r="AF166"/>
      <c r="AG166"/>
      <c r="AH166"/>
    </row>
    <row r="167" spans="1:34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  <c r="AB167"/>
      <c r="AC167"/>
      <c r="AD167"/>
      <c r="AE167"/>
      <c r="AF167"/>
      <c r="AG167"/>
      <c r="AH167"/>
    </row>
    <row r="168" spans="1:34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4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4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4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4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4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4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4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4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 t="shared" ref="M308:M314" si="142">(M148/1000)/1.02</f>
        <v>12.845669612500837</v>
      </c>
      <c r="O308" s="305" t="s">
        <v>242</v>
      </c>
      <c r="P308" s="339">
        <f t="shared" ref="P308:S314" si="143">(P148/1000)/1.02</f>
        <v>13.230221012323254</v>
      </c>
      <c r="Q308" s="340">
        <f t="shared" si="143"/>
        <v>13.250178349054238</v>
      </c>
      <c r="R308" s="340">
        <f t="shared" si="143"/>
        <v>12.982727234948083</v>
      </c>
      <c r="S308" s="340">
        <f t="shared" si="143"/>
        <v>12.910420248951832</v>
      </c>
      <c r="T308" s="279"/>
      <c r="U308" s="305" t="s">
        <v>242</v>
      </c>
      <c r="V308" s="339">
        <f t="shared" ref="V308:W314" si="144">(V148/1000)/1.02</f>
        <v>13.240202825385905</v>
      </c>
      <c r="W308" s="339">
        <f t="shared" si="144"/>
        <v>12.947732227895957</v>
      </c>
      <c r="X308" s="279"/>
      <c r="Y308" s="305" t="s">
        <v>242</v>
      </c>
      <c r="Z308" s="342">
        <f t="shared" ref="Z308:Z314" si="145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6">(B149/1000)/1.02</f>
        <v>13.262998007807239</v>
      </c>
      <c r="C309" s="340">
        <f t="shared" si="146"/>
        <v>13.221897350828796</v>
      </c>
      <c r="D309" s="340">
        <f t="shared" ref="D309:D314" si="147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 t="shared" si="142"/>
        <v>13.678657096171797</v>
      </c>
      <c r="O309" s="346" t="s">
        <v>247</v>
      </c>
      <c r="P309" s="339">
        <f t="shared" si="143"/>
        <v>13.215926465449918</v>
      </c>
      <c r="Q309" s="340">
        <f t="shared" si="143"/>
        <v>13.378442858407467</v>
      </c>
      <c r="R309" s="340">
        <f t="shared" si="143"/>
        <v>13.125179115444075</v>
      </c>
      <c r="S309" s="340">
        <f t="shared" si="143"/>
        <v>13.378226863347018</v>
      </c>
      <c r="T309" s="279"/>
      <c r="U309" s="347" t="s">
        <v>247</v>
      </c>
      <c r="V309" s="339">
        <f t="shared" si="144"/>
        <v>13.290659161767946</v>
      </c>
      <c r="W309" s="339">
        <f t="shared" si="144"/>
        <v>13.25267330202043</v>
      </c>
      <c r="X309" s="279"/>
      <c r="Y309" s="347" t="s">
        <v>247</v>
      </c>
      <c r="Z309" s="342">
        <f t="shared" si="145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6"/>
        <v>14.081125630094927</v>
      </c>
      <c r="C310" s="340">
        <f t="shared" si="146"/>
        <v>14.019438695151617</v>
      </c>
      <c r="D310" s="340">
        <f t="shared" si="147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 t="shared" si="142"/>
        <v>13.814563402703643</v>
      </c>
      <c r="O310" s="353" t="s">
        <v>243</v>
      </c>
      <c r="P310" s="339">
        <f t="shared" si="143"/>
        <v>14.003403562374526</v>
      </c>
      <c r="Q310" s="340">
        <f t="shared" si="143"/>
        <v>13.906122824326985</v>
      </c>
      <c r="R310" s="340">
        <f t="shared" si="143"/>
        <v>13.884604254748531</v>
      </c>
      <c r="S310" s="340">
        <f t="shared" si="143"/>
        <v>13.903640827447211</v>
      </c>
      <c r="T310" s="279"/>
      <c r="U310" s="354" t="s">
        <v>243</v>
      </c>
      <c r="V310" s="339">
        <f t="shared" si="144"/>
        <v>13.955995915606531</v>
      </c>
      <c r="W310" s="339">
        <f t="shared" si="144"/>
        <v>13.893678068552234</v>
      </c>
      <c r="X310" s="279"/>
      <c r="Y310" s="354" t="s">
        <v>243</v>
      </c>
      <c r="Z310" s="342">
        <f t="shared" si="145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6"/>
        <v>13.916737957138787</v>
      </c>
      <c r="C311" s="340">
        <f t="shared" si="146"/>
        <v>13.904369707393043</v>
      </c>
      <c r="D311" s="340">
        <f t="shared" si="147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 t="shared" si="142"/>
        <v>13.627399039649136</v>
      </c>
      <c r="O311" s="353" t="s">
        <v>244</v>
      </c>
      <c r="P311" s="339">
        <f t="shared" si="143"/>
        <v>13.870468141833136</v>
      </c>
      <c r="Q311" s="340">
        <f t="shared" si="143"/>
        <v>13.817948306824341</v>
      </c>
      <c r="R311" s="340">
        <f t="shared" si="143"/>
        <v>13.796716837212617</v>
      </c>
      <c r="S311" s="340">
        <f t="shared" si="143"/>
        <v>13.746510233463953</v>
      </c>
      <c r="T311" s="279"/>
      <c r="U311" s="354" t="s">
        <v>244</v>
      </c>
      <c r="V311" s="339">
        <f t="shared" si="144"/>
        <v>13.842174551678157</v>
      </c>
      <c r="W311" s="339">
        <f t="shared" si="144"/>
        <v>13.771834294001557</v>
      </c>
      <c r="X311" s="279"/>
      <c r="Y311" s="354" t="s">
        <v>244</v>
      </c>
      <c r="Z311" s="342">
        <f t="shared" si="145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6"/>
        <v>0</v>
      </c>
      <c r="C312" s="340">
        <f t="shared" si="146"/>
        <v>11.440558823529413</v>
      </c>
      <c r="D312" s="340">
        <f t="shared" si="147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 t="shared" si="142"/>
        <v>0</v>
      </c>
      <c r="O312" s="353" t="s">
        <v>245</v>
      </c>
      <c r="P312" s="339">
        <f t="shared" si="143"/>
        <v>11.440558823529413</v>
      </c>
      <c r="Q312" s="340">
        <f t="shared" si="143"/>
        <v>13.63885294117647</v>
      </c>
      <c r="R312" s="340">
        <f t="shared" si="143"/>
        <v>10.162628727770178</v>
      </c>
      <c r="S312" s="340">
        <f t="shared" si="143"/>
        <v>11.636274509803922</v>
      </c>
      <c r="T312" s="279"/>
      <c r="U312" s="354" t="s">
        <v>245</v>
      </c>
      <c r="V312" s="339">
        <f t="shared" si="144"/>
        <v>12.010065071624505</v>
      </c>
      <c r="W312" s="339">
        <f t="shared" si="144"/>
        <v>11.428922518221949</v>
      </c>
      <c r="X312" s="279"/>
      <c r="Y312" s="354" t="s">
        <v>245</v>
      </c>
      <c r="Z312" s="342">
        <f t="shared" si="145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6"/>
        <v>11.500111872875923</v>
      </c>
      <c r="C313" s="340">
        <f t="shared" si="146"/>
        <v>11.616046597092371</v>
      </c>
      <c r="D313" s="340">
        <f t="shared" si="147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 t="shared" si="142"/>
        <v>10.863588812907926</v>
      </c>
      <c r="O313" s="353" t="s">
        <v>98</v>
      </c>
      <c r="P313" s="339">
        <f t="shared" si="143"/>
        <v>11.621748419941399</v>
      </c>
      <c r="Q313" s="340">
        <f t="shared" si="143"/>
        <v>11.766660911583049</v>
      </c>
      <c r="R313" s="340">
        <f t="shared" si="143"/>
        <v>11.32876130194987</v>
      </c>
      <c r="S313" s="340">
        <f t="shared" si="143"/>
        <v>11.103390376311644</v>
      </c>
      <c r="T313" s="279"/>
      <c r="U313" s="354" t="s">
        <v>98</v>
      </c>
      <c r="V313" s="339">
        <f t="shared" si="144"/>
        <v>11.691886194190069</v>
      </c>
      <c r="W313" s="339">
        <f t="shared" si="144"/>
        <v>11.217244325839276</v>
      </c>
      <c r="X313" s="279"/>
      <c r="Y313" s="354" t="s">
        <v>98</v>
      </c>
      <c r="Z313" s="342">
        <f t="shared" si="145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6"/>
        <v>13.201520864243111</v>
      </c>
      <c r="C314" s="340">
        <f t="shared" si="146"/>
        <v>13.256447251882694</v>
      </c>
      <c r="D314" s="340">
        <f t="shared" si="147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>
        <f t="shared" si="142"/>
        <v>13.311725222054188</v>
      </c>
      <c r="O314" s="360" t="s">
        <v>246</v>
      </c>
      <c r="P314" s="339">
        <f t="shared" si="143"/>
        <v>13.237739001698655</v>
      </c>
      <c r="Q314" s="340">
        <f t="shared" si="143"/>
        <v>13.302139435141676</v>
      </c>
      <c r="R314" s="340">
        <f t="shared" si="143"/>
        <v>13.157762681830592</v>
      </c>
      <c r="S314" s="340">
        <f t="shared" si="143"/>
        <v>13.282099216296503</v>
      </c>
      <c r="T314" s="279"/>
      <c r="U314" s="361" t="s">
        <v>246</v>
      </c>
      <c r="V314" s="339">
        <f t="shared" si="144"/>
        <v>13.271829591742092</v>
      </c>
      <c r="W314" s="339">
        <f t="shared" si="144"/>
        <v>13.216915967312961</v>
      </c>
      <c r="X314" s="279"/>
      <c r="Y314" s="361" t="s">
        <v>246</v>
      </c>
      <c r="Z314" s="342">
        <f t="shared" si="145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/>
      <c r="AC316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/>
      <c r="AC317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12.435461820720546</v>
      </c>
      <c r="D318" s="340">
        <f>(D158/1000)/1.02</f>
        <v>12.454421208857266</v>
      </c>
      <c r="E318" s="340">
        <f t="shared" ref="E318:F324" si="148">E158/1000/1.02</f>
        <v>12.192941607993269</v>
      </c>
      <c r="F318" s="340">
        <f t="shared" si="148"/>
        <v>0</v>
      </c>
      <c r="G318" s="340">
        <f t="shared" ref="G318:H318" si="149">G158/1000/1.02</f>
        <v>0</v>
      </c>
      <c r="H318" s="340">
        <f t="shared" si="149"/>
        <v>0</v>
      </c>
      <c r="I318" s="340">
        <f t="shared" ref="I318:L324" si="150">I158/1000/1.02</f>
        <v>0</v>
      </c>
      <c r="J318" s="340">
        <f t="shared" si="150"/>
        <v>0</v>
      </c>
      <c r="K318" s="340">
        <f t="shared" si="150"/>
        <v>0</v>
      </c>
      <c r="L318" s="340">
        <f t="shared" si="150"/>
        <v>0</v>
      </c>
      <c r="M318" s="341">
        <f t="shared" ref="M318:M324" si="151">(M158/1000)/1.02</f>
        <v>0</v>
      </c>
      <c r="O318" s="305" t="s">
        <v>242</v>
      </c>
      <c r="P318" s="339">
        <f t="shared" ref="P318:S324" si="152">(P158/1000)/1.02</f>
        <v>12.351862737247693</v>
      </c>
      <c r="Q318" s="340">
        <f t="shared" si="152"/>
        <v>0</v>
      </c>
      <c r="R318" s="340">
        <f t="shared" si="152"/>
        <v>0</v>
      </c>
      <c r="S318" s="340">
        <f t="shared" si="152"/>
        <v>0</v>
      </c>
      <c r="T318" s="279"/>
      <c r="U318" s="305" t="s">
        <v>242</v>
      </c>
      <c r="V318" s="339">
        <f t="shared" ref="V318:W324" si="153">(V158/1000)/1.02</f>
        <v>0</v>
      </c>
      <c r="W318" s="339">
        <f t="shared" si="153"/>
        <v>0</v>
      </c>
      <c r="X318" s="279"/>
      <c r="Y318" s="305" t="s">
        <v>242</v>
      </c>
      <c r="Z318" s="342">
        <f t="shared" ref="Z318:Z324" si="154">(Z158/1000)/1.02</f>
        <v>0</v>
      </c>
      <c r="AB318"/>
      <c r="AC318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5">(B159/1000)/1.02</f>
        <v>12.733558071831727</v>
      </c>
      <c r="C319" s="340">
        <f t="shared" si="155"/>
        <v>12.775578057380992</v>
      </c>
      <c r="D319" s="340">
        <f t="shared" ref="D319:D324" si="156">D159/1000/1.02</f>
        <v>12.156907737924437</v>
      </c>
      <c r="E319" s="340">
        <f t="shared" si="148"/>
        <v>12.252025732207244</v>
      </c>
      <c r="F319" s="340">
        <f t="shared" si="148"/>
        <v>0</v>
      </c>
      <c r="G319" s="340">
        <f t="shared" ref="G319:H319" si="157">G159/1000/1.02</f>
        <v>0</v>
      </c>
      <c r="H319" s="340">
        <f t="shared" si="157"/>
        <v>0</v>
      </c>
      <c r="I319" s="340">
        <f t="shared" si="150"/>
        <v>0</v>
      </c>
      <c r="J319" s="340">
        <f t="shared" si="150"/>
        <v>0</v>
      </c>
      <c r="K319" s="340">
        <f t="shared" si="150"/>
        <v>0</v>
      </c>
      <c r="L319" s="340">
        <f t="shared" si="150"/>
        <v>0</v>
      </c>
      <c r="M319" s="341">
        <f t="shared" si="151"/>
        <v>0</v>
      </c>
      <c r="O319" s="346" t="s">
        <v>247</v>
      </c>
      <c r="P319" s="339">
        <f t="shared" si="152"/>
        <v>12.338145078002844</v>
      </c>
      <c r="Q319" s="340">
        <f t="shared" si="152"/>
        <v>0</v>
      </c>
      <c r="R319" s="340">
        <f t="shared" si="152"/>
        <v>0</v>
      </c>
      <c r="S319" s="340">
        <f t="shared" si="152"/>
        <v>0</v>
      </c>
      <c r="T319" s="279"/>
      <c r="U319" s="347" t="s">
        <v>247</v>
      </c>
      <c r="V319" s="339">
        <f t="shared" si="153"/>
        <v>0</v>
      </c>
      <c r="W319" s="339">
        <f t="shared" si="153"/>
        <v>0</v>
      </c>
      <c r="X319" s="279"/>
      <c r="Y319" s="347" t="s">
        <v>247</v>
      </c>
      <c r="Z319" s="342">
        <f t="shared" si="154"/>
        <v>0</v>
      </c>
      <c r="AB319"/>
      <c r="AC319"/>
      <c r="AD319" s="122"/>
      <c r="AE319" s="122"/>
      <c r="AF319" s="122"/>
    </row>
    <row r="320" spans="1:32" ht="13.5" thickBot="1">
      <c r="A320" s="334" t="s">
        <v>243</v>
      </c>
      <c r="B320" s="339">
        <f t="shared" si="155"/>
        <v>13.755628967388146</v>
      </c>
      <c r="C320" s="340">
        <f t="shared" si="155"/>
        <v>13.160005982394944</v>
      </c>
      <c r="D320" s="340">
        <f t="shared" si="156"/>
        <v>13.088488790736868</v>
      </c>
      <c r="E320" s="340">
        <f t="shared" si="148"/>
        <v>12.698047720332765</v>
      </c>
      <c r="F320" s="340">
        <f t="shared" si="148"/>
        <v>0</v>
      </c>
      <c r="G320" s="340">
        <f t="shared" ref="G320:H320" si="158">G160/1000/1.02</f>
        <v>0</v>
      </c>
      <c r="H320" s="340">
        <f t="shared" si="158"/>
        <v>0</v>
      </c>
      <c r="I320" s="340">
        <f t="shared" si="150"/>
        <v>0</v>
      </c>
      <c r="J320" s="340">
        <f t="shared" si="150"/>
        <v>0</v>
      </c>
      <c r="K320" s="340">
        <f t="shared" si="150"/>
        <v>0</v>
      </c>
      <c r="L320" s="340">
        <f t="shared" si="150"/>
        <v>0</v>
      </c>
      <c r="M320" s="341">
        <f t="shared" si="151"/>
        <v>0</v>
      </c>
      <c r="O320" s="353" t="s">
        <v>243</v>
      </c>
      <c r="P320" s="339">
        <f t="shared" si="152"/>
        <v>13.103405513695007</v>
      </c>
      <c r="Q320" s="340">
        <f t="shared" si="152"/>
        <v>0</v>
      </c>
      <c r="R320" s="340">
        <f t="shared" si="152"/>
        <v>0</v>
      </c>
      <c r="S320" s="340">
        <f t="shared" si="152"/>
        <v>0</v>
      </c>
      <c r="T320" s="279"/>
      <c r="U320" s="354" t="s">
        <v>243</v>
      </c>
      <c r="V320" s="339">
        <f t="shared" si="153"/>
        <v>0</v>
      </c>
      <c r="W320" s="339">
        <f t="shared" si="153"/>
        <v>0</v>
      </c>
      <c r="X320" s="279"/>
      <c r="Y320" s="354" t="s">
        <v>243</v>
      </c>
      <c r="Z320" s="342">
        <f t="shared" si="154"/>
        <v>0</v>
      </c>
      <c r="AB320"/>
      <c r="AC320"/>
      <c r="AD320" s="122"/>
      <c r="AE320" s="122"/>
      <c r="AF320" s="122"/>
    </row>
    <row r="321" spans="1:32" ht="13.5" thickBot="1">
      <c r="A321" s="334" t="s">
        <v>244</v>
      </c>
      <c r="B321" s="339">
        <f t="shared" si="155"/>
        <v>13.603203496153366</v>
      </c>
      <c r="C321" s="340">
        <f t="shared" si="155"/>
        <v>12.932984756543544</v>
      </c>
      <c r="D321" s="340">
        <f t="shared" si="156"/>
        <v>12.902198316957671</v>
      </c>
      <c r="E321" s="340">
        <f t="shared" si="148"/>
        <v>12.487171969125086</v>
      </c>
      <c r="F321" s="340">
        <f t="shared" si="148"/>
        <v>0</v>
      </c>
      <c r="G321" s="340">
        <f t="shared" ref="G321:H321" si="159">G161/1000/1.02</f>
        <v>0</v>
      </c>
      <c r="H321" s="340">
        <f t="shared" si="159"/>
        <v>0</v>
      </c>
      <c r="I321" s="340">
        <f t="shared" si="150"/>
        <v>0</v>
      </c>
      <c r="J321" s="340">
        <f t="shared" si="150"/>
        <v>0</v>
      </c>
      <c r="K321" s="340">
        <f t="shared" si="150"/>
        <v>0</v>
      </c>
      <c r="L321" s="340">
        <f t="shared" si="150"/>
        <v>0</v>
      </c>
      <c r="M321" s="341">
        <f t="shared" si="151"/>
        <v>0</v>
      </c>
      <c r="O321" s="353" t="s">
        <v>244</v>
      </c>
      <c r="P321" s="339">
        <f t="shared" si="152"/>
        <v>12.929605046824001</v>
      </c>
      <c r="Q321" s="340">
        <f t="shared" si="152"/>
        <v>0</v>
      </c>
      <c r="R321" s="340">
        <f t="shared" si="152"/>
        <v>0</v>
      </c>
      <c r="S321" s="340">
        <f t="shared" si="152"/>
        <v>0</v>
      </c>
      <c r="T321" s="279"/>
      <c r="U321" s="354" t="s">
        <v>244</v>
      </c>
      <c r="V321" s="339">
        <f t="shared" si="153"/>
        <v>0</v>
      </c>
      <c r="W321" s="339">
        <f t="shared" si="153"/>
        <v>0</v>
      </c>
      <c r="X321" s="279"/>
      <c r="Y321" s="354" t="s">
        <v>244</v>
      </c>
      <c r="Z321" s="342">
        <f t="shared" si="154"/>
        <v>0</v>
      </c>
      <c r="AB321"/>
      <c r="AC321"/>
      <c r="AD321" s="122"/>
      <c r="AE321" s="122"/>
      <c r="AF321" s="122"/>
    </row>
    <row r="322" spans="1:32" ht="13.5" thickBot="1">
      <c r="A322" s="334" t="s">
        <v>245</v>
      </c>
      <c r="B322" s="339">
        <f t="shared" ref="B322:C324" si="160">(B162/1000)/1.02</f>
        <v>0</v>
      </c>
      <c r="C322" s="340">
        <f t="shared" si="160"/>
        <v>0</v>
      </c>
      <c r="D322" s="340">
        <f t="shared" si="156"/>
        <v>0</v>
      </c>
      <c r="E322" s="340">
        <f t="shared" si="148"/>
        <v>0</v>
      </c>
      <c r="F322" s="340">
        <f t="shared" si="148"/>
        <v>0</v>
      </c>
      <c r="G322" s="340">
        <f t="shared" ref="G322:H322" si="161">G162/1000/1.02</f>
        <v>0</v>
      </c>
      <c r="H322" s="340">
        <f t="shared" si="161"/>
        <v>0</v>
      </c>
      <c r="I322" s="340">
        <f t="shared" si="150"/>
        <v>0</v>
      </c>
      <c r="J322" s="340">
        <f t="shared" si="150"/>
        <v>0</v>
      </c>
      <c r="K322" s="340">
        <f t="shared" si="150"/>
        <v>0</v>
      </c>
      <c r="L322" s="340">
        <f t="shared" si="150"/>
        <v>0</v>
      </c>
      <c r="M322" s="341">
        <f t="shared" si="151"/>
        <v>0</v>
      </c>
      <c r="O322" s="353" t="s">
        <v>245</v>
      </c>
      <c r="P322" s="339">
        <f t="shared" si="152"/>
        <v>12.807966303538864</v>
      </c>
      <c r="Q322" s="340">
        <f t="shared" si="152"/>
        <v>0</v>
      </c>
      <c r="R322" s="340">
        <f t="shared" si="152"/>
        <v>0</v>
      </c>
      <c r="S322" s="340">
        <f t="shared" si="152"/>
        <v>0</v>
      </c>
      <c r="T322" s="279"/>
      <c r="U322" s="354" t="s">
        <v>245</v>
      </c>
      <c r="V322" s="339">
        <f t="shared" si="153"/>
        <v>0</v>
      </c>
      <c r="W322" s="339">
        <f t="shared" si="153"/>
        <v>0</v>
      </c>
      <c r="X322" s="279"/>
      <c r="Y322" s="354" t="s">
        <v>245</v>
      </c>
      <c r="Z322" s="342">
        <f t="shared" si="154"/>
        <v>0</v>
      </c>
      <c r="AB322"/>
      <c r="AC322"/>
      <c r="AD322" s="122"/>
      <c r="AE322" s="122"/>
      <c r="AF322" s="122"/>
    </row>
    <row r="323" spans="1:32" ht="13.5" thickBot="1">
      <c r="A323" s="334" t="s">
        <v>98</v>
      </c>
      <c r="B323" s="339">
        <f t="shared" si="160"/>
        <v>10.800426738446939</v>
      </c>
      <c r="C323" s="340">
        <f t="shared" si="160"/>
        <v>10.456953901657448</v>
      </c>
      <c r="D323" s="340">
        <f t="shared" si="156"/>
        <v>10.692709545835639</v>
      </c>
      <c r="E323" s="340">
        <f t="shared" si="148"/>
        <v>10.6012406695358</v>
      </c>
      <c r="F323" s="340">
        <f t="shared" si="148"/>
        <v>0</v>
      </c>
      <c r="G323" s="340">
        <f t="shared" ref="G323:H323" si="162">G163/1000/1.02</f>
        <v>0</v>
      </c>
      <c r="H323" s="340">
        <f t="shared" si="162"/>
        <v>0</v>
      </c>
      <c r="I323" s="340">
        <f t="shared" si="150"/>
        <v>0</v>
      </c>
      <c r="J323" s="340">
        <f t="shared" si="150"/>
        <v>0</v>
      </c>
      <c r="K323" s="340">
        <f t="shared" si="150"/>
        <v>0</v>
      </c>
      <c r="L323" s="340">
        <f t="shared" si="150"/>
        <v>0</v>
      </c>
      <c r="M323" s="341">
        <f t="shared" si="151"/>
        <v>0</v>
      </c>
      <c r="O323" s="353" t="s">
        <v>98</v>
      </c>
      <c r="P323" s="339">
        <f t="shared" si="152"/>
        <v>10.465716836027738</v>
      </c>
      <c r="Q323" s="340">
        <f t="shared" si="152"/>
        <v>0</v>
      </c>
      <c r="R323" s="340">
        <f t="shared" si="152"/>
        <v>0</v>
      </c>
      <c r="S323" s="340">
        <f t="shared" si="152"/>
        <v>0</v>
      </c>
      <c r="T323" s="279"/>
      <c r="U323" s="354" t="s">
        <v>98</v>
      </c>
      <c r="V323" s="339">
        <f t="shared" si="153"/>
        <v>0</v>
      </c>
      <c r="W323" s="339">
        <f t="shared" si="153"/>
        <v>0</v>
      </c>
      <c r="X323" s="279"/>
      <c r="Y323" s="354" t="s">
        <v>98</v>
      </c>
      <c r="Z323" s="342">
        <f t="shared" si="154"/>
        <v>0</v>
      </c>
      <c r="AB323"/>
      <c r="AC323"/>
      <c r="AD323" s="122"/>
      <c r="AE323" s="122"/>
      <c r="AF323" s="122"/>
    </row>
    <row r="324" spans="1:32" ht="13.5" thickBot="1">
      <c r="A324" s="336" t="s">
        <v>246</v>
      </c>
      <c r="B324" s="339">
        <f t="shared" si="160"/>
        <v>13.261551103386681</v>
      </c>
      <c r="C324" s="340">
        <f t="shared" si="160"/>
        <v>13.043489654365011</v>
      </c>
      <c r="D324" s="340">
        <f t="shared" si="156"/>
        <v>13.11906550238205</v>
      </c>
      <c r="E324" s="340">
        <f t="shared" si="148"/>
        <v>13.043073473469184</v>
      </c>
      <c r="F324" s="340">
        <f t="shared" si="148"/>
        <v>0</v>
      </c>
      <c r="G324" s="340">
        <f t="shared" ref="G324:H324" si="163">G164/1000/1.02</f>
        <v>0</v>
      </c>
      <c r="H324" s="340">
        <f t="shared" si="163"/>
        <v>0</v>
      </c>
      <c r="I324" s="340">
        <f t="shared" si="150"/>
        <v>0</v>
      </c>
      <c r="J324" s="340">
        <f t="shared" si="150"/>
        <v>0</v>
      </c>
      <c r="K324" s="340">
        <f t="shared" si="150"/>
        <v>0</v>
      </c>
      <c r="L324" s="340">
        <f t="shared" si="150"/>
        <v>0</v>
      </c>
      <c r="M324" s="341">
        <f t="shared" si="151"/>
        <v>0</v>
      </c>
      <c r="O324" s="360" t="s">
        <v>246</v>
      </c>
      <c r="P324" s="339">
        <f t="shared" si="152"/>
        <v>12.89199728865014</v>
      </c>
      <c r="Q324" s="340">
        <f t="shared" si="152"/>
        <v>0</v>
      </c>
      <c r="R324" s="340">
        <f t="shared" si="152"/>
        <v>0</v>
      </c>
      <c r="S324" s="340">
        <f t="shared" si="152"/>
        <v>0</v>
      </c>
      <c r="T324" s="279"/>
      <c r="U324" s="361" t="s">
        <v>246</v>
      </c>
      <c r="V324" s="339">
        <f t="shared" si="153"/>
        <v>0</v>
      </c>
      <c r="W324" s="339">
        <f t="shared" si="153"/>
        <v>0</v>
      </c>
      <c r="X324" s="279"/>
      <c r="Y324" s="361" t="s">
        <v>246</v>
      </c>
      <c r="Z324" s="342">
        <f t="shared" si="154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64">B207*0.521</f>
        <v>4.239554752941177</v>
      </c>
      <c r="C361" s="410">
        <f t="shared" si="164"/>
        <v>4.3182063431372546</v>
      </c>
      <c r="D361" s="410">
        <f t="shared" si="164"/>
        <v>4.2855059313725485</v>
      </c>
      <c r="E361" s="410">
        <f t="shared" si="164"/>
        <v>4.2212676529411768</v>
      </c>
      <c r="F361" s="410">
        <f t="shared" si="164"/>
        <v>4.0758238627450982</v>
      </c>
      <c r="G361" s="410">
        <f t="shared" si="164"/>
        <v>4.0245870882352941</v>
      </c>
      <c r="H361" s="410">
        <f t="shared" si="164"/>
        <v>4.0007998627450982</v>
      </c>
      <c r="I361" s="410">
        <f t="shared" si="164"/>
        <v>4.1291037745098036</v>
      </c>
      <c r="J361" s="410">
        <f t="shared" si="164"/>
        <v>4.2058695490196083</v>
      </c>
      <c r="K361" s="410">
        <f t="shared" si="164"/>
        <v>4.0356200294117643</v>
      </c>
      <c r="L361" s="410">
        <f t="shared" si="164"/>
        <v>3.9060595882352946</v>
      </c>
      <c r="M361" s="411">
        <f t="shared" si="164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65">B208*0.55</f>
        <v>5.0294372549019615</v>
      </c>
      <c r="C362" s="414">
        <f t="shared" si="165"/>
        <v>5.0321991176470577</v>
      </c>
      <c r="D362" s="414">
        <f t="shared" si="165"/>
        <v>4.9662924019607848</v>
      </c>
      <c r="E362" s="414">
        <f t="shared" si="165"/>
        <v>4.9240065686274512</v>
      </c>
      <c r="F362" s="414">
        <f t="shared" si="165"/>
        <v>4.7653989705882349</v>
      </c>
      <c r="G362" s="414">
        <f t="shared" si="165"/>
        <v>4.6678915196078421</v>
      </c>
      <c r="H362" s="414">
        <f t="shared" si="165"/>
        <v>4.6059205392156866</v>
      </c>
      <c r="I362" s="414">
        <f t="shared" si="165"/>
        <v>4.7843416176470601</v>
      </c>
      <c r="J362" s="414">
        <f t="shared" si="165"/>
        <v>4.803961519607844</v>
      </c>
      <c r="K362" s="414">
        <f t="shared" si="165"/>
        <v>4.67049</v>
      </c>
      <c r="L362" s="414">
        <f t="shared" si="165"/>
        <v>4.5795065196078433</v>
      </c>
      <c r="M362" s="415">
        <f t="shared" si="165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66">B209*0.52</f>
        <v>4.7609405490196073</v>
      </c>
      <c r="C363" s="388">
        <f t="shared" si="166"/>
        <v>4.7835605490196089</v>
      </c>
      <c r="D363" s="388">
        <f t="shared" si="166"/>
        <v>4.637351843137254</v>
      </c>
      <c r="E363" s="388">
        <f t="shared" si="166"/>
        <v>4.6410387450980384</v>
      </c>
      <c r="F363" s="388">
        <f t="shared" si="166"/>
        <v>4.449082274509804</v>
      </c>
      <c r="G363" s="388">
        <f t="shared" si="166"/>
        <v>4.429929960784313</v>
      </c>
      <c r="H363" s="388">
        <f t="shared" si="166"/>
        <v>4.4411553333333327</v>
      </c>
      <c r="I363" s="388">
        <f t="shared" si="166"/>
        <v>4.5292983921568624</v>
      </c>
      <c r="J363" s="388">
        <f t="shared" si="166"/>
        <v>4.586243490196078</v>
      </c>
      <c r="K363" s="388">
        <f t="shared" si="166"/>
        <v>4.4115632549019601</v>
      </c>
      <c r="L363" s="388">
        <f t="shared" si="166"/>
        <v>4.2340673725490205</v>
      </c>
      <c r="M363" s="389">
        <f t="shared" si="166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67">B210*0.54</f>
        <v>0</v>
      </c>
      <c r="C364" s="388">
        <f t="shared" si="167"/>
        <v>0</v>
      </c>
      <c r="D364" s="388">
        <f t="shared" si="167"/>
        <v>4.1955363529411764</v>
      </c>
      <c r="E364" s="388">
        <f t="shared" si="167"/>
        <v>4.7118176470588233</v>
      </c>
      <c r="F364" s="388">
        <f t="shared" si="167"/>
        <v>4.0948867058823533</v>
      </c>
      <c r="G364" s="388">
        <f t="shared" si="167"/>
        <v>3.5837364705882355</v>
      </c>
      <c r="H364" s="388">
        <f t="shared" si="167"/>
        <v>0</v>
      </c>
      <c r="I364" s="388">
        <f t="shared" si="167"/>
        <v>3.8726470588235298</v>
      </c>
      <c r="J364" s="388">
        <f t="shared" si="167"/>
        <v>4.2677047058823536</v>
      </c>
      <c r="K364" s="388">
        <f t="shared" si="167"/>
        <v>4.0208823529411761</v>
      </c>
      <c r="L364" s="388">
        <f t="shared" si="167"/>
        <v>4.4109047647058821</v>
      </c>
      <c r="M364" s="389">
        <f t="shared" si="167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68">B211*0.478</f>
        <v>3.2855231588235285</v>
      </c>
      <c r="C365" s="388">
        <f t="shared" si="168"/>
        <v>3.4129668627450975</v>
      </c>
      <c r="D365" s="388">
        <f t="shared" si="168"/>
        <v>3.4445692235294114</v>
      </c>
      <c r="E365" s="388">
        <f t="shared" si="168"/>
        <v>3.4135334333333329</v>
      </c>
      <c r="F365" s="388">
        <f t="shared" si="168"/>
        <v>3.3232650078431369</v>
      </c>
      <c r="G365" s="388">
        <f t="shared" si="168"/>
        <v>3.3069000686274506</v>
      </c>
      <c r="H365" s="388">
        <f t="shared" si="168"/>
        <v>3.3027747411764703</v>
      </c>
      <c r="I365" s="388">
        <f t="shared" si="168"/>
        <v>3.3844560372549015</v>
      </c>
      <c r="J365" s="388">
        <f t="shared" si="168"/>
        <v>3.5024887647058822</v>
      </c>
      <c r="K365" s="388">
        <f t="shared" si="168"/>
        <v>3.3617454137254903</v>
      </c>
      <c r="L365" s="388">
        <f t="shared" si="168"/>
        <v>3.1397500294117644</v>
      </c>
      <c r="M365" s="389">
        <f t="shared" si="168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9">B212*0.53</f>
        <v>4.0926532450980391</v>
      </c>
      <c r="C366" s="396">
        <f t="shared" si="169"/>
        <v>4.1347627843137253</v>
      </c>
      <c r="D366" s="396">
        <f t="shared" si="169"/>
        <v>4.119478</v>
      </c>
      <c r="E366" s="396">
        <f t="shared" si="169"/>
        <v>4.0572575588235296</v>
      </c>
      <c r="F366" s="396">
        <f t="shared" si="169"/>
        <v>3.9884884999999999</v>
      </c>
      <c r="G366" s="396">
        <f t="shared" si="169"/>
        <v>3.9692609313725491</v>
      </c>
      <c r="H366" s="396">
        <f t="shared" si="169"/>
        <v>3.9708415784313731</v>
      </c>
      <c r="I366" s="396">
        <f t="shared" si="169"/>
        <v>4.0573230294117648</v>
      </c>
      <c r="J366" s="396">
        <f t="shared" si="169"/>
        <v>4.1166918627450979</v>
      </c>
      <c r="K366" s="396">
        <f t="shared" si="169"/>
        <v>4.0068810588235291</v>
      </c>
      <c r="L366" s="396">
        <f t="shared" si="169"/>
        <v>3.9505394607843138</v>
      </c>
      <c r="M366" s="397">
        <f t="shared" si="169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70">B216*0.521</f>
        <v>4.152870568627451</v>
      </c>
      <c r="C370" s="410">
        <f t="shared" si="170"/>
        <v>4.2083928235294117</v>
      </c>
      <c r="D370" s="410">
        <f t="shared" si="170"/>
        <v>4.1999035882352942</v>
      </c>
      <c r="E370" s="410">
        <f t="shared" si="170"/>
        <v>4.2024677254901963</v>
      </c>
      <c r="F370" s="410">
        <f t="shared" si="170"/>
        <v>4.2093888529411769</v>
      </c>
      <c r="G370" s="410">
        <f t="shared" si="170"/>
        <v>4.3122761372549014</v>
      </c>
      <c r="H370" s="410">
        <f t="shared" si="170"/>
        <v>4.1137981225490199</v>
      </c>
      <c r="I370" s="410">
        <f t="shared" si="170"/>
        <v>4.1385946578431367</v>
      </c>
      <c r="J370" s="410">
        <f t="shared" si="170"/>
        <v>4.2312350980392157</v>
      </c>
      <c r="K370" s="410">
        <f t="shared" si="170"/>
        <v>4.2179547058823532</v>
      </c>
      <c r="L370" s="410">
        <f t="shared" si="170"/>
        <v>4.169532352941177</v>
      </c>
      <c r="M370" s="410">
        <f t="shared" si="170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71">B217*0.55</f>
        <v>4.8520967647058821</v>
      </c>
      <c r="C371" s="414">
        <f t="shared" si="171"/>
        <v>4.8123775980392161</v>
      </c>
      <c r="D371" s="414">
        <f t="shared" si="171"/>
        <v>4.7612426960784324</v>
      </c>
      <c r="E371" s="414">
        <f t="shared" si="171"/>
        <v>4.7906908823529415</v>
      </c>
      <c r="F371" s="414">
        <f t="shared" si="171"/>
        <v>4.7790076960784322</v>
      </c>
      <c r="G371" s="414">
        <f t="shared" si="171"/>
        <v>4.8675835784313737</v>
      </c>
      <c r="H371" s="414">
        <f t="shared" si="171"/>
        <v>4.7231325490196081</v>
      </c>
      <c r="I371" s="414">
        <f t="shared" si="171"/>
        <v>4.7839695588235296</v>
      </c>
      <c r="J371" s="414">
        <f t="shared" si="171"/>
        <v>4.8680359803921576</v>
      </c>
      <c r="K371" s="414">
        <f t="shared" si="171"/>
        <v>4.9016199509803924</v>
      </c>
      <c r="L371" s="414">
        <f t="shared" si="171"/>
        <v>4.9018820098039226</v>
      </c>
      <c r="M371" s="414">
        <f t="shared" si="171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72">B218*0.52</f>
        <v>4.5551862352941175</v>
      </c>
      <c r="C372" s="388">
        <f t="shared" si="172"/>
        <v>4.481780588235293</v>
      </c>
      <c r="D372" s="388">
        <f t="shared" si="172"/>
        <v>4.4206158431372549</v>
      </c>
      <c r="E372" s="388">
        <f t="shared" si="172"/>
        <v>4.4943008627450984</v>
      </c>
      <c r="F372" s="388">
        <f t="shared" si="172"/>
        <v>4.5509370196078427</v>
      </c>
      <c r="G372" s="388">
        <f t="shared" si="172"/>
        <v>4.6713476078431375</v>
      </c>
      <c r="H372" s="388">
        <f t="shared" si="172"/>
        <v>4.5304408627450981</v>
      </c>
      <c r="I372" s="388">
        <f t="shared" si="172"/>
        <v>4.600308470588236</v>
      </c>
      <c r="J372" s="388">
        <f t="shared" si="172"/>
        <v>4.6832255294117635</v>
      </c>
      <c r="K372" s="388">
        <f t="shared" si="172"/>
        <v>4.6764058823529409</v>
      </c>
      <c r="L372" s="388">
        <f t="shared" si="172"/>
        <v>4.6680761960784318</v>
      </c>
      <c r="M372" s="388">
        <f t="shared" si="172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73">B219*0.54</f>
        <v>3.9906825882352943</v>
      </c>
      <c r="C373" s="388">
        <f t="shared" si="173"/>
        <v>4.2217681764705883</v>
      </c>
      <c r="D373" s="388">
        <f t="shared" si="173"/>
        <v>4.5317647058823534</v>
      </c>
      <c r="E373" s="388">
        <f t="shared" si="173"/>
        <v>3.3792289411764709</v>
      </c>
      <c r="F373" s="388">
        <f t="shared" si="173"/>
        <v>4.545272117647059</v>
      </c>
      <c r="G373" s="388">
        <f t="shared" si="173"/>
        <v>5.0246470588235299</v>
      </c>
      <c r="H373" s="388">
        <f t="shared" si="173"/>
        <v>4.3036522941176472</v>
      </c>
      <c r="I373" s="388">
        <f t="shared" si="173"/>
        <v>4.2485294117647063</v>
      </c>
      <c r="J373" s="388">
        <f t="shared" si="173"/>
        <v>3.994547294117647</v>
      </c>
      <c r="K373" s="388">
        <f t="shared" si="173"/>
        <v>0</v>
      </c>
      <c r="L373" s="388">
        <f t="shared" si="173"/>
        <v>4.1199114705882351</v>
      </c>
      <c r="M373" s="388">
        <f t="shared" si="173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74">B220*0.478</f>
        <v>3.2654776196078434</v>
      </c>
      <c r="C374" s="388">
        <f t="shared" si="174"/>
        <v>3.352321784313725</v>
      </c>
      <c r="D374" s="388">
        <f t="shared" si="174"/>
        <v>3.4245860117647058</v>
      </c>
      <c r="E374" s="388">
        <f t="shared" si="174"/>
        <v>3.4448972627450978</v>
      </c>
      <c r="F374" s="388">
        <f t="shared" si="174"/>
        <v>3.4676106980392154</v>
      </c>
      <c r="G374" s="388">
        <f t="shared" si="174"/>
        <v>3.5857587078431368</v>
      </c>
      <c r="H374" s="388">
        <f t="shared" si="174"/>
        <v>3.3936355117647063</v>
      </c>
      <c r="I374" s="388">
        <f t="shared" si="174"/>
        <v>3.3838908725490193</v>
      </c>
      <c r="J374" s="388">
        <f t="shared" si="174"/>
        <v>3.4532374254901956</v>
      </c>
      <c r="K374" s="388">
        <f t="shared" si="174"/>
        <v>3.4278776509803919</v>
      </c>
      <c r="L374" s="388">
        <f t="shared" si="174"/>
        <v>3.2937100803921564</v>
      </c>
      <c r="M374" s="388">
        <f t="shared" si="174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75">B221*0.53</f>
        <v>4.067751039215687</v>
      </c>
      <c r="C375" s="396">
        <f t="shared" si="175"/>
        <v>4.1146492843137255</v>
      </c>
      <c r="D375" s="396">
        <f t="shared" si="175"/>
        <v>4.1506877254901964</v>
      </c>
      <c r="E375" s="396">
        <f t="shared" si="175"/>
        <v>4.1380861960784312</v>
      </c>
      <c r="F375" s="396">
        <f t="shared" si="175"/>
        <v>4.1518474901960785</v>
      </c>
      <c r="G375" s="396">
        <f t="shared" si="175"/>
        <v>4.2015485000000004</v>
      </c>
      <c r="H375" s="396">
        <f t="shared" si="175"/>
        <v>4.0835341274509807</v>
      </c>
      <c r="I375" s="396">
        <f t="shared" si="175"/>
        <v>4.066513333333333</v>
      </c>
      <c r="J375" s="396">
        <f t="shared" si="175"/>
        <v>4.1418060686274512</v>
      </c>
      <c r="K375" s="396">
        <f t="shared" si="175"/>
        <v>4.1334518137254896</v>
      </c>
      <c r="L375" s="396">
        <f t="shared" si="175"/>
        <v>4.1090645392156864</v>
      </c>
      <c r="M375" s="396">
        <f t="shared" si="175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76">B225*0.521</f>
        <v>4.5135353725490202</v>
      </c>
      <c r="C379" s="410">
        <f t="shared" si="176"/>
        <v>4.7563060490196083</v>
      </c>
      <c r="D379" s="410">
        <f t="shared" si="176"/>
        <v>4.9364254539215686</v>
      </c>
      <c r="E379" s="410">
        <f t="shared" si="176"/>
        <v>4.8365119558823535</v>
      </c>
      <c r="F379" s="410">
        <f t="shared" si="176"/>
        <v>4.911448100980393</v>
      </c>
      <c r="G379" s="410">
        <f t="shared" si="176"/>
        <v>5.055837632352941</v>
      </c>
      <c r="H379" s="410">
        <f t="shared" si="176"/>
        <v>4.929867494117647</v>
      </c>
      <c r="I379" s="410">
        <f t="shared" si="176"/>
        <v>4.830303372549019</v>
      </c>
      <c r="J379" s="410">
        <f t="shared" si="176"/>
        <v>4.7876171274509804</v>
      </c>
      <c r="K379" s="410">
        <f t="shared" si="176"/>
        <v>4.5930246490196085</v>
      </c>
      <c r="L379" s="410">
        <f t="shared" si="176"/>
        <v>4.6452084176470585</v>
      </c>
      <c r="M379" s="410">
        <f t="shared" si="176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77">B226*0.55</f>
        <v>5.2326158823529418</v>
      </c>
      <c r="C380" s="414">
        <f t="shared" si="177"/>
        <v>5.4548563235294116</v>
      </c>
      <c r="D380" s="414">
        <f t="shared" si="177"/>
        <v>5.6384781372549018</v>
      </c>
      <c r="E380" s="414">
        <f t="shared" si="177"/>
        <v>5.5708820588235302</v>
      </c>
      <c r="F380" s="414">
        <f t="shared" si="177"/>
        <v>5.6677645588235297</v>
      </c>
      <c r="G380" s="414">
        <f t="shared" si="177"/>
        <v>5.8274640686274521</v>
      </c>
      <c r="H380" s="414">
        <f t="shared" si="177"/>
        <v>5.7441541666666671</v>
      </c>
      <c r="I380" s="414">
        <f t="shared" si="177"/>
        <v>5.7371174019607851</v>
      </c>
      <c r="J380" s="414">
        <f t="shared" si="177"/>
        <v>5.6741569607843152</v>
      </c>
      <c r="K380" s="414">
        <f t="shared" si="177"/>
        <v>5.5205441176470602</v>
      </c>
      <c r="L380" s="414">
        <f t="shared" si="177"/>
        <v>5.6170502450980395</v>
      </c>
      <c r="M380" s="414">
        <f t="shared" si="177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78">B227*0.52</f>
        <v>4.964140235294118</v>
      </c>
      <c r="C381" s="388">
        <f t="shared" si="178"/>
        <v>5.1959577647058826</v>
      </c>
      <c r="D381" s="388">
        <f t="shared" si="178"/>
        <v>5.4454726274509806</v>
      </c>
      <c r="E381" s="388">
        <f t="shared" si="178"/>
        <v>5.4134829411764693</v>
      </c>
      <c r="F381" s="388">
        <f t="shared" si="178"/>
        <v>5.4944408235294118</v>
      </c>
      <c r="G381" s="388">
        <f t="shared" si="178"/>
        <v>5.6385695294117655</v>
      </c>
      <c r="H381" s="388">
        <f t="shared" si="178"/>
        <v>5.5495037254901955</v>
      </c>
      <c r="I381" s="388">
        <f t="shared" si="178"/>
        <v>5.5690735686274504</v>
      </c>
      <c r="J381" s="388">
        <f t="shared" si="178"/>
        <v>5.5485289803921578</v>
      </c>
      <c r="K381" s="388">
        <f t="shared" si="178"/>
        <v>5.4422210980392167</v>
      </c>
      <c r="L381" s="388">
        <f t="shared" si="178"/>
        <v>5.4373330980392156</v>
      </c>
      <c r="M381" s="388">
        <f t="shared" si="178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9">B228*0.54</f>
        <v>3.8101764705882353</v>
      </c>
      <c r="C382" s="388">
        <f t="shared" si="179"/>
        <v>4.5054661764705886</v>
      </c>
      <c r="D382" s="388">
        <f t="shared" si="179"/>
        <v>0</v>
      </c>
      <c r="E382" s="388">
        <f t="shared" si="179"/>
        <v>0</v>
      </c>
      <c r="F382" s="388">
        <f t="shared" si="179"/>
        <v>4.32</v>
      </c>
      <c r="G382" s="388">
        <f t="shared" si="179"/>
        <v>0</v>
      </c>
      <c r="H382" s="388">
        <f t="shared" si="179"/>
        <v>0</v>
      </c>
      <c r="I382" s="388">
        <f t="shared" si="179"/>
        <v>0</v>
      </c>
      <c r="J382" s="388">
        <f t="shared" si="179"/>
        <v>4.0240588235294119</v>
      </c>
      <c r="K382" s="388">
        <f t="shared" si="179"/>
        <v>4.5690633529411766</v>
      </c>
      <c r="L382" s="388">
        <f t="shared" si="179"/>
        <v>4.5091800000000006</v>
      </c>
      <c r="M382" s="388">
        <f t="shared" si="179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80">B229*0.478</f>
        <v>3.5871725568627446</v>
      </c>
      <c r="C383" s="388">
        <f t="shared" si="180"/>
        <v>3.7541398313725485</v>
      </c>
      <c r="D383" s="388">
        <f t="shared" si="180"/>
        <v>3.977840082352941</v>
      </c>
      <c r="E383" s="388">
        <f t="shared" si="180"/>
        <v>3.9315935823529418</v>
      </c>
      <c r="F383" s="388">
        <f t="shared" si="180"/>
        <v>3.9637512666666663</v>
      </c>
      <c r="G383" s="388">
        <f t="shared" si="180"/>
        <v>4.090658392156862</v>
      </c>
      <c r="H383" s="388">
        <f t="shared" si="180"/>
        <v>3.918549805882352</v>
      </c>
      <c r="I383" s="388">
        <f t="shared" si="180"/>
        <v>3.790322556862745</v>
      </c>
      <c r="J383" s="388">
        <f t="shared" si="180"/>
        <v>3.7137122784313723</v>
      </c>
      <c r="K383" s="388">
        <f t="shared" si="180"/>
        <v>3.5185294137254899</v>
      </c>
      <c r="L383" s="388">
        <f t="shared" si="180"/>
        <v>3.5062523117647055</v>
      </c>
      <c r="M383" s="388">
        <f t="shared" si="180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81">B230*0.53</f>
        <v>4.3545844411764705</v>
      </c>
      <c r="C384" s="396">
        <f t="shared" si="181"/>
        <v>4.5082719705882353</v>
      </c>
      <c r="D384" s="396">
        <f t="shared" si="181"/>
        <v>4.7163624411764706</v>
      </c>
      <c r="E384" s="396">
        <f t="shared" si="181"/>
        <v>4.7088120196078425</v>
      </c>
      <c r="F384" s="396">
        <f t="shared" si="181"/>
        <v>4.7191813137254908</v>
      </c>
      <c r="G384" s="396">
        <f t="shared" si="181"/>
        <v>4.8328886568627452</v>
      </c>
      <c r="H384" s="396">
        <f t="shared" si="181"/>
        <v>4.7853211568627447</v>
      </c>
      <c r="I384" s="396">
        <f t="shared" si="181"/>
        <v>4.7701049607843142</v>
      </c>
      <c r="J384" s="396">
        <f t="shared" si="181"/>
        <v>4.7611256176470595</v>
      </c>
      <c r="K384" s="396">
        <f t="shared" si="181"/>
        <v>4.6369549313725491</v>
      </c>
      <c r="L384" s="396">
        <f t="shared" si="181"/>
        <v>4.677624637254902</v>
      </c>
      <c r="M384" s="396">
        <f t="shared" si="181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82">B234*0.521</f>
        <v>4.9139494117647056</v>
      </c>
      <c r="C388" s="410">
        <f t="shared" si="182"/>
        <v>4.920982911764705</v>
      </c>
      <c r="D388" s="410">
        <f t="shared" si="182"/>
        <v>4.5725641617647055</v>
      </c>
      <c r="E388" s="410">
        <f t="shared" si="182"/>
        <v>4.5739254019607829</v>
      </c>
      <c r="F388" s="410">
        <f t="shared" si="182"/>
        <v>4.3954318235294121</v>
      </c>
      <c r="G388" s="410">
        <f t="shared" si="182"/>
        <v>4.4029761078431369</v>
      </c>
      <c r="H388" s="410">
        <f t="shared" si="182"/>
        <v>4.3209135000000014</v>
      </c>
      <c r="I388" s="410">
        <f t="shared" si="182"/>
        <v>4.4328008039215687</v>
      </c>
      <c r="J388" s="410">
        <f t="shared" si="182"/>
        <v>4.5098985882352949</v>
      </c>
      <c r="K388" s="410">
        <f t="shared" si="182"/>
        <v>4.5821745686274511</v>
      </c>
      <c r="L388" s="410">
        <f t="shared" si="182"/>
        <v>4.8983194117647058</v>
      </c>
      <c r="M388" s="410">
        <f t="shared" si="182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83">B235*0.55</f>
        <v>5.8651094117647053</v>
      </c>
      <c r="C389" s="414">
        <f t="shared" si="183"/>
        <v>5.8214388725490203</v>
      </c>
      <c r="D389" s="414">
        <f t="shared" si="183"/>
        <v>5.3412829411764706</v>
      </c>
      <c r="E389" s="414">
        <f t="shared" si="183"/>
        <v>5.2510818627450995</v>
      </c>
      <c r="F389" s="414">
        <f t="shared" si="183"/>
        <v>4.9639608333333332</v>
      </c>
      <c r="G389" s="414">
        <f t="shared" si="183"/>
        <v>4.9370566666666669</v>
      </c>
      <c r="H389" s="414">
        <f t="shared" si="183"/>
        <v>4.8558890686274525</v>
      </c>
      <c r="I389" s="414">
        <f t="shared" si="183"/>
        <v>5.0192148039215683</v>
      </c>
      <c r="J389" s="414">
        <f t="shared" si="183"/>
        <v>5.1188543137254907</v>
      </c>
      <c r="K389" s="414">
        <f t="shared" si="183"/>
        <v>5.2989329411764707</v>
      </c>
      <c r="L389" s="414">
        <f t="shared" si="183"/>
        <v>5.8200352941176474</v>
      </c>
      <c r="M389" s="414">
        <f t="shared" si="183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84">B236*0.52</f>
        <v>5.6978887843137267</v>
      </c>
      <c r="C390" s="388">
        <f t="shared" si="184"/>
        <v>5.5825996862745111</v>
      </c>
      <c r="D390" s="388">
        <f t="shared" si="184"/>
        <v>5.0988594901960784</v>
      </c>
      <c r="E390" s="388">
        <f t="shared" si="184"/>
        <v>5.0606440784313724</v>
      </c>
      <c r="F390" s="388">
        <f t="shared" si="184"/>
        <v>4.7536569803921571</v>
      </c>
      <c r="G390" s="388">
        <f t="shared" si="184"/>
        <v>4.7371525882352934</v>
      </c>
      <c r="H390" s="388">
        <f t="shared" si="184"/>
        <v>4.6263043921568636</v>
      </c>
      <c r="I390" s="388">
        <f t="shared" si="184"/>
        <v>4.8531324705882346</v>
      </c>
      <c r="J390" s="388">
        <f t="shared" si="184"/>
        <v>4.967954588235294</v>
      </c>
      <c r="K390" s="388">
        <f t="shared" si="184"/>
        <v>5.1231536862745113</v>
      </c>
      <c r="L390" s="388">
        <f t="shared" si="184"/>
        <v>5.6454692156862745</v>
      </c>
      <c r="M390" s="388">
        <f t="shared" si="184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85">B237*0.54</f>
        <v>0</v>
      </c>
      <c r="C391" s="388">
        <f t="shared" si="185"/>
        <v>5.6901176470588242</v>
      </c>
      <c r="D391" s="388">
        <f t="shared" si="185"/>
        <v>4.9891150588235291</v>
      </c>
      <c r="E391" s="388">
        <f t="shared" si="185"/>
        <v>3.2352352941176474</v>
      </c>
      <c r="F391" s="388">
        <f t="shared" si="185"/>
        <v>4.5564564705882349</v>
      </c>
      <c r="G391" s="388">
        <f t="shared" si="185"/>
        <v>4.3507058823529414</v>
      </c>
      <c r="H391" s="388">
        <f t="shared" si="185"/>
        <v>4.362146470588236</v>
      </c>
      <c r="I391" s="388">
        <f t="shared" si="185"/>
        <v>4.6588870588235309</v>
      </c>
      <c r="J391" s="388">
        <f t="shared" si="185"/>
        <v>4.1306765294117653</v>
      </c>
      <c r="K391" s="388">
        <f t="shared" si="185"/>
        <v>0</v>
      </c>
      <c r="L391" s="388">
        <f t="shared" si="185"/>
        <v>0</v>
      </c>
      <c r="M391" s="388">
        <f t="shared" si="185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86">B238*0.478</f>
        <v>3.680002031372549</v>
      </c>
      <c r="C392" s="388">
        <f t="shared" si="186"/>
        <v>3.7112768215686271</v>
      </c>
      <c r="D392" s="388">
        <f t="shared" si="186"/>
        <v>3.6658935333333331</v>
      </c>
      <c r="E392" s="388">
        <f t="shared" si="186"/>
        <v>3.6718324490196075</v>
      </c>
      <c r="F392" s="388">
        <f t="shared" si="186"/>
        <v>3.6145432117647061</v>
      </c>
      <c r="G392" s="388">
        <f t="shared" si="186"/>
        <v>3.6615160843137251</v>
      </c>
      <c r="H392" s="388">
        <f t="shared" si="186"/>
        <v>3.5867414196078431</v>
      </c>
      <c r="I392" s="388">
        <f t="shared" si="186"/>
        <v>3.5677891882352943</v>
      </c>
      <c r="J392" s="388">
        <f t="shared" si="186"/>
        <v>3.6340399882352941</v>
      </c>
      <c r="K392" s="388">
        <f t="shared" si="186"/>
        <v>3.6145347764705886</v>
      </c>
      <c r="L392" s="388">
        <f t="shared" si="186"/>
        <v>3.646393007843137</v>
      </c>
      <c r="M392" s="388">
        <f t="shared" si="186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87">B239*0.53</f>
        <v>4.8585484509803925</v>
      </c>
      <c r="C393" s="396">
        <f t="shared" si="187"/>
        <v>4.8892499999999997</v>
      </c>
      <c r="D393" s="396">
        <f t="shared" si="187"/>
        <v>4.5658715392156859</v>
      </c>
      <c r="E393" s="396">
        <f t="shared" si="187"/>
        <v>4.481313676470589</v>
      </c>
      <c r="F393" s="396">
        <f t="shared" si="187"/>
        <v>4.3422068627450985</v>
      </c>
      <c r="G393" s="396">
        <f t="shared" si="187"/>
        <v>4.3678287254901962</v>
      </c>
      <c r="H393" s="396">
        <f t="shared" si="187"/>
        <v>4.3062479215686267</v>
      </c>
      <c r="I393" s="396">
        <f t="shared" si="187"/>
        <v>4.3844764411764716</v>
      </c>
      <c r="J393" s="396">
        <f t="shared" si="187"/>
        <v>4.4617099117647054</v>
      </c>
      <c r="K393" s="396">
        <f t="shared" si="187"/>
        <v>4.4830834607843135</v>
      </c>
      <c r="L393" s="396">
        <f t="shared" si="187"/>
        <v>4.6027018627450991</v>
      </c>
      <c r="M393" s="396">
        <f t="shared" si="187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88">B243*0.507</f>
        <v>5.1352190882352931</v>
      </c>
      <c r="C397" s="385">
        <f t="shared" si="188"/>
        <v>5.1020523411764698</v>
      </c>
      <c r="D397" s="385">
        <f t="shared" si="188"/>
        <v>5.3706773441176479</v>
      </c>
      <c r="E397" s="385">
        <f t="shared" si="188"/>
        <v>5.4425107941176467</v>
      </c>
      <c r="F397" s="385">
        <f t="shared" si="188"/>
        <v>5.5150117941176475</v>
      </c>
      <c r="G397" s="385">
        <f t="shared" si="188"/>
        <v>5.3647707941176472</v>
      </c>
      <c r="H397" s="385">
        <f t="shared" si="188"/>
        <v>5.501740323529412</v>
      </c>
      <c r="I397" s="385">
        <f t="shared" si="188"/>
        <v>5.734955352941177</v>
      </c>
      <c r="J397" s="385">
        <f t="shared" si="188"/>
        <v>5.9451814117647057</v>
      </c>
      <c r="K397" s="385">
        <f t="shared" si="188"/>
        <v>5.9998280588235291</v>
      </c>
      <c r="L397" s="385">
        <f t="shared" si="188"/>
        <v>6.0711361176470593</v>
      </c>
      <c r="M397" s="385">
        <f t="shared" si="188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9">B244*0.539</f>
        <v>6.1833234509803932</v>
      </c>
      <c r="C398" s="391">
        <f t="shared" si="189"/>
        <v>6.0110210039215684</v>
      </c>
      <c r="D398" s="391">
        <f t="shared" si="189"/>
        <v>6.3549648303921575</v>
      </c>
      <c r="E398" s="391">
        <f t="shared" si="189"/>
        <v>6.4113547990196089</v>
      </c>
      <c r="F398" s="391">
        <f t="shared" si="189"/>
        <v>6.4004014735294117</v>
      </c>
      <c r="G398" s="391">
        <f t="shared" si="189"/>
        <v>6.1861357627450984</v>
      </c>
      <c r="H398" s="391">
        <f t="shared" si="189"/>
        <v>6.3821536813725492</v>
      </c>
      <c r="I398" s="391">
        <f t="shared" si="189"/>
        <v>6.7674076303921566</v>
      </c>
      <c r="J398" s="391">
        <f t="shared" si="189"/>
        <v>7.0574789352941174</v>
      </c>
      <c r="K398" s="391">
        <f t="shared" si="189"/>
        <v>7.1723789392156867</v>
      </c>
      <c r="L398" s="391">
        <f t="shared" si="189"/>
        <v>7.2262002029411772</v>
      </c>
      <c r="M398" s="391">
        <f t="shared" si="189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90">B245*0.535</f>
        <v>6.2439797549019609</v>
      </c>
      <c r="C399" s="388">
        <f t="shared" si="190"/>
        <v>6.0201472941176473</v>
      </c>
      <c r="D399" s="388">
        <f t="shared" si="190"/>
        <v>6.3166642254901966</v>
      </c>
      <c r="E399" s="388">
        <f t="shared" si="190"/>
        <v>6.3839441470588243</v>
      </c>
      <c r="F399" s="388">
        <f t="shared" si="190"/>
        <v>6.3634751519607846</v>
      </c>
      <c r="G399" s="388">
        <f t="shared" si="190"/>
        <v>6.1253880882352938</v>
      </c>
      <c r="H399" s="388">
        <f t="shared" si="190"/>
        <v>6.3125683284313725</v>
      </c>
      <c r="I399" s="388">
        <f t="shared" si="190"/>
        <v>6.7315352205882357</v>
      </c>
      <c r="J399" s="388">
        <f t="shared" si="190"/>
        <v>7.0205390735294113</v>
      </c>
      <c r="K399" s="388">
        <f t="shared" si="190"/>
        <v>7.1808444803921576</v>
      </c>
      <c r="L399" s="388">
        <f t="shared" si="190"/>
        <v>7.2133074411764708</v>
      </c>
      <c r="M399" s="388">
        <f t="shared" si="190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91">B246*0.54</f>
        <v>0</v>
      </c>
      <c r="C400" s="388">
        <f t="shared" si="191"/>
        <v>4.4393024117647064</v>
      </c>
      <c r="D400" s="388">
        <f t="shared" si="191"/>
        <v>0</v>
      </c>
      <c r="E400" s="388">
        <f t="shared" si="191"/>
        <v>5.4275294117647057</v>
      </c>
      <c r="F400" s="388">
        <f t="shared" si="191"/>
        <v>5.0721098823529411</v>
      </c>
      <c r="G400" s="388">
        <f t="shared" si="191"/>
        <v>4.6960327058823532</v>
      </c>
      <c r="H400" s="388">
        <f t="shared" si="191"/>
        <v>6.874941176470589</v>
      </c>
      <c r="I400" s="388">
        <f t="shared" si="191"/>
        <v>0</v>
      </c>
      <c r="J400" s="388">
        <f t="shared" si="191"/>
        <v>5.269098705882354</v>
      </c>
      <c r="K400" s="388">
        <f t="shared" si="191"/>
        <v>5.8277895882352952</v>
      </c>
      <c r="L400" s="388">
        <f t="shared" si="191"/>
        <v>5.1163814117647064</v>
      </c>
      <c r="M400" s="388">
        <f t="shared" si="191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92">B247*0.465</f>
        <v>3.7317025000000004</v>
      </c>
      <c r="C401" s="388">
        <f t="shared" si="192"/>
        <v>3.842612294117647</v>
      </c>
      <c r="D401" s="388">
        <f t="shared" si="192"/>
        <v>4.1510062205882363</v>
      </c>
      <c r="E401" s="388">
        <f t="shared" si="192"/>
        <v>4.2863558676470594</v>
      </c>
      <c r="F401" s="388">
        <f t="shared" si="192"/>
        <v>4.3482382500000005</v>
      </c>
      <c r="G401" s="388">
        <f t="shared" si="192"/>
        <v>4.3829277058823539</v>
      </c>
      <c r="H401" s="388">
        <f t="shared" si="192"/>
        <v>4.4514755441176472</v>
      </c>
      <c r="I401" s="388">
        <f t="shared" si="192"/>
        <v>4.561661397058824</v>
      </c>
      <c r="J401" s="388">
        <f t="shared" si="192"/>
        <v>4.7065175588235295</v>
      </c>
      <c r="K401" s="388">
        <f t="shared" si="192"/>
        <v>4.7662085147058821</v>
      </c>
      <c r="L401" s="388">
        <f t="shared" si="192"/>
        <v>4.8257417352941179</v>
      </c>
      <c r="M401" s="388">
        <f t="shared" si="192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93">B248*0.516</f>
        <v>4.7593872117647056</v>
      </c>
      <c r="C402" s="396">
        <f t="shared" si="193"/>
        <v>4.7989037058823536</v>
      </c>
      <c r="D402" s="396">
        <f t="shared" si="193"/>
        <v>5.0184662588235298</v>
      </c>
      <c r="E402" s="396">
        <f t="shared" si="193"/>
        <v>5.0800503529411767</v>
      </c>
      <c r="F402" s="396">
        <f t="shared" si="193"/>
        <v>5.141860070588236</v>
      </c>
      <c r="G402" s="396">
        <f t="shared" si="193"/>
        <v>5.2056695411764702</v>
      </c>
      <c r="H402" s="396">
        <f t="shared" si="193"/>
        <v>5.3190666117647059</v>
      </c>
      <c r="I402" s="396">
        <f t="shared" si="193"/>
        <v>5.5185936941176479</v>
      </c>
      <c r="J402" s="396">
        <f t="shared" si="193"/>
        <v>5.7601029411764708</v>
      </c>
      <c r="K402" s="396">
        <f t="shared" si="193"/>
        <v>5.8479362588235304</v>
      </c>
      <c r="L402" s="396">
        <f t="shared" si="193"/>
        <v>5.9254940941176475</v>
      </c>
      <c r="M402" s="396">
        <f t="shared" si="193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94">B252*0.507</f>
        <v>6.5620115294117651</v>
      </c>
      <c r="C406" s="385">
        <f t="shared" si="194"/>
        <v>6.5824008823529416</v>
      </c>
      <c r="D406" s="385">
        <f t="shared" si="194"/>
        <v>6.3442500588235289</v>
      </c>
      <c r="E406" s="385">
        <f t="shared" si="194"/>
        <v>6.3080641764705883</v>
      </c>
      <c r="F406" s="385">
        <f t="shared" si="194"/>
        <v>6.2025236764705882</v>
      </c>
      <c r="G406" s="385">
        <f t="shared" si="194"/>
        <v>6.3292935588235295</v>
      </c>
      <c r="H406" s="385">
        <f t="shared" si="194"/>
        <v>6.3474411764705883</v>
      </c>
      <c r="I406" s="385">
        <f t="shared" si="194"/>
        <v>6.4731722058823538</v>
      </c>
      <c r="J406" s="385">
        <f t="shared" si="194"/>
        <v>6.5462696764705885</v>
      </c>
      <c r="K406" s="385">
        <f t="shared" si="194"/>
        <v>6.4039517941176465</v>
      </c>
      <c r="L406" s="385">
        <f t="shared" si="194"/>
        <v>6.3177617941176472</v>
      </c>
      <c r="M406" s="385">
        <f t="shared" si="194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95">B253*0.539</f>
        <v>7.6711346627450983</v>
      </c>
      <c r="C407" s="391">
        <f t="shared" si="195"/>
        <v>7.5416045078431377</v>
      </c>
      <c r="D407" s="391">
        <f t="shared" si="195"/>
        <v>7.1775168774509801</v>
      </c>
      <c r="E407" s="391">
        <f t="shared" si="195"/>
        <v>7.1742141813725491</v>
      </c>
      <c r="F407" s="391">
        <f t="shared" si="195"/>
        <v>6.9068152245098045</v>
      </c>
      <c r="G407" s="391">
        <f t="shared" si="195"/>
        <v>7.0501569901960792</v>
      </c>
      <c r="H407" s="391">
        <f t="shared" si="195"/>
        <v>7.1358981509803918</v>
      </c>
      <c r="I407" s="391">
        <f t="shared" si="195"/>
        <v>7.3953648245098051</v>
      </c>
      <c r="J407" s="391">
        <f t="shared" si="195"/>
        <v>7.4949905196078435</v>
      </c>
      <c r="K407" s="391">
        <f t="shared" si="195"/>
        <v>7.3695726176470586</v>
      </c>
      <c r="L407" s="391">
        <f t="shared" si="195"/>
        <v>7.2594369509803922</v>
      </c>
      <c r="M407" s="391">
        <f t="shared" si="195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96">B254*0.535</f>
        <v>7.6330610980392164</v>
      </c>
      <c r="C408" s="388">
        <f t="shared" si="196"/>
        <v>7.4960990000000001</v>
      </c>
      <c r="D408" s="388">
        <f t="shared" si="196"/>
        <v>7.1115719460784321</v>
      </c>
      <c r="E408" s="388">
        <f t="shared" si="196"/>
        <v>7.1190063480392158</v>
      </c>
      <c r="F408" s="388">
        <f t="shared" si="196"/>
        <v>6.8322626078431377</v>
      </c>
      <c r="G408" s="388">
        <f t="shared" si="196"/>
        <v>6.9983612254901963</v>
      </c>
      <c r="H408" s="388">
        <f t="shared" si="196"/>
        <v>7.0658797990196094</v>
      </c>
      <c r="I408" s="388">
        <f t="shared" si="196"/>
        <v>7.3357379950980395</v>
      </c>
      <c r="J408" s="388">
        <f t="shared" si="196"/>
        <v>7.4476143627450986</v>
      </c>
      <c r="K408" s="388">
        <f t="shared" si="196"/>
        <v>7.3263356323529418</v>
      </c>
      <c r="L408" s="388">
        <f t="shared" si="196"/>
        <v>7.2307085784313729</v>
      </c>
      <c r="M408" s="388">
        <f t="shared" si="196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97">B255*0.54</f>
        <v>6.6547376470588242</v>
      </c>
      <c r="C409" s="388">
        <f t="shared" si="197"/>
        <v>0</v>
      </c>
      <c r="D409" s="388">
        <f t="shared" si="197"/>
        <v>6.3739164705882363</v>
      </c>
      <c r="E409" s="388">
        <f t="shared" si="197"/>
        <v>5.568490588235294</v>
      </c>
      <c r="F409" s="388">
        <f t="shared" si="197"/>
        <v>0</v>
      </c>
      <c r="G409" s="388">
        <f t="shared" si="197"/>
        <v>0</v>
      </c>
      <c r="H409" s="388">
        <f t="shared" si="197"/>
        <v>0</v>
      </c>
      <c r="I409" s="388">
        <f t="shared" si="197"/>
        <v>0</v>
      </c>
      <c r="J409" s="388">
        <f t="shared" si="197"/>
        <v>0</v>
      </c>
      <c r="K409" s="388">
        <f t="shared" si="197"/>
        <v>6.5927170588235295</v>
      </c>
      <c r="L409" s="388">
        <f t="shared" si="197"/>
        <v>0</v>
      </c>
      <c r="M409" s="388">
        <f t="shared" si="197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98">B256*0.465</f>
        <v>5.1291524117647063</v>
      </c>
      <c r="C410" s="388">
        <f t="shared" si="198"/>
        <v>5.2422919264705889</v>
      </c>
      <c r="D410" s="388">
        <f t="shared" si="198"/>
        <v>5.2305556911764715</v>
      </c>
      <c r="E410" s="388">
        <f t="shared" si="198"/>
        <v>5.1842138823529416</v>
      </c>
      <c r="F410" s="388">
        <f t="shared" si="198"/>
        <v>5.1899461470588237</v>
      </c>
      <c r="G410" s="388">
        <f t="shared" si="198"/>
        <v>5.323771323529412</v>
      </c>
      <c r="H410" s="388">
        <f t="shared" si="198"/>
        <v>5.3045125735294123</v>
      </c>
      <c r="I410" s="388">
        <f t="shared" si="198"/>
        <v>5.3603180441176477</v>
      </c>
      <c r="J410" s="388">
        <f t="shared" si="198"/>
        <v>5.3846316176470594</v>
      </c>
      <c r="K410" s="388">
        <f t="shared" si="198"/>
        <v>5.2730799411764711</v>
      </c>
      <c r="L410" s="388">
        <f t="shared" si="198"/>
        <v>5.112533676470588</v>
      </c>
      <c r="M410" s="388">
        <f t="shared" si="198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9">B257*0.516</f>
        <v>6.2606016941176472</v>
      </c>
      <c r="C411" s="396">
        <f t="shared" si="199"/>
        <v>6.3656208470588229</v>
      </c>
      <c r="D411" s="396">
        <f t="shared" si="199"/>
        <v>6.2509762705882359</v>
      </c>
      <c r="E411" s="396">
        <f t="shared" si="199"/>
        <v>6.2392504235294117</v>
      </c>
      <c r="F411" s="396">
        <f t="shared" si="199"/>
        <v>6.2878621764705889</v>
      </c>
      <c r="G411" s="396">
        <f t="shared" si="199"/>
        <v>6.3366707176470589</v>
      </c>
      <c r="H411" s="396">
        <f t="shared" si="199"/>
        <v>6.3718912588235295</v>
      </c>
      <c r="I411" s="396">
        <f t="shared" si="199"/>
        <v>6.464001305882352</v>
      </c>
      <c r="J411" s="396">
        <f t="shared" si="199"/>
        <v>6.5202569411764699</v>
      </c>
      <c r="K411" s="396">
        <f t="shared" si="199"/>
        <v>6.4611127176470591</v>
      </c>
      <c r="L411" s="396">
        <f t="shared" si="199"/>
        <v>6.4381775294117638</v>
      </c>
      <c r="M411" s="396">
        <f t="shared" si="199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200">B261*0.507</f>
        <v>6.4666458235294115</v>
      </c>
      <c r="C415" s="385">
        <f t="shared" si="200"/>
        <v>6.4796240294117649</v>
      </c>
      <c r="D415" s="385">
        <f t="shared" si="200"/>
        <v>6.1812247058823537</v>
      </c>
      <c r="E415" s="385">
        <f t="shared" si="200"/>
        <v>6.2794137058823525</v>
      </c>
      <c r="F415" s="385">
        <f t="shared" si="200"/>
        <v>6.0117177058823525</v>
      </c>
      <c r="G415" s="385">
        <f t="shared" si="200"/>
        <v>5.9960205882352939</v>
      </c>
      <c r="H415" s="385">
        <f t="shared" si="200"/>
        <v>5.9068233823529415</v>
      </c>
      <c r="I415" s="385">
        <f t="shared" si="200"/>
        <v>5.9094279705882347</v>
      </c>
      <c r="J415" s="385">
        <f t="shared" si="200"/>
        <v>5.9798363529411773</v>
      </c>
      <c r="K415" s="385">
        <f t="shared" si="200"/>
        <v>5.9031252647058823</v>
      </c>
      <c r="L415" s="385">
        <f t="shared" si="200"/>
        <v>5.862475794117648</v>
      </c>
      <c r="M415" s="385">
        <f t="shared" si="200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201">B262*0.539</f>
        <v>7.3596576598039221</v>
      </c>
      <c r="C416" s="391">
        <f t="shared" si="201"/>
        <v>7.2714725039215695</v>
      </c>
      <c r="D416" s="391">
        <f t="shared" si="201"/>
        <v>6.8854306637254901</v>
      </c>
      <c r="E416" s="391">
        <f t="shared" si="201"/>
        <v>6.9361780421568637</v>
      </c>
      <c r="F416" s="391">
        <f t="shared" si="201"/>
        <v>6.6510042392156858</v>
      </c>
      <c r="G416" s="391">
        <f t="shared" si="201"/>
        <v>6.6268765911764707</v>
      </c>
      <c r="H416" s="391">
        <f t="shared" si="201"/>
        <v>6.52254468627451</v>
      </c>
      <c r="I416" s="391">
        <f t="shared" si="201"/>
        <v>6.6218448676470594</v>
      </c>
      <c r="J416" s="391">
        <f t="shared" si="201"/>
        <v>6.718727475490196</v>
      </c>
      <c r="K416" s="391">
        <f t="shared" si="201"/>
        <v>6.7322495058823542</v>
      </c>
      <c r="L416" s="391">
        <f t="shared" si="201"/>
        <v>6.7342353509803932</v>
      </c>
      <c r="M416" s="391">
        <f t="shared" si="201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202">B263*0.535</f>
        <v>7.3192620931372545</v>
      </c>
      <c r="C417" s="388">
        <f t="shared" si="202"/>
        <v>7.1667057941176475</v>
      </c>
      <c r="D417" s="388">
        <f t="shared" si="202"/>
        <v>6.8081634803921567</v>
      </c>
      <c r="E417" s="388">
        <f t="shared" si="202"/>
        <v>6.8384612647058827</v>
      </c>
      <c r="F417" s="388">
        <f t="shared" si="202"/>
        <v>6.5327376127450982</v>
      </c>
      <c r="G417" s="388">
        <f t="shared" si="202"/>
        <v>6.5096654754901957</v>
      </c>
      <c r="H417" s="388">
        <f t="shared" si="202"/>
        <v>6.4126012647058834</v>
      </c>
      <c r="I417" s="388">
        <f t="shared" si="202"/>
        <v>6.519843588235295</v>
      </c>
      <c r="J417" s="388">
        <f t="shared" si="202"/>
        <v>6.6427949803921571</v>
      </c>
      <c r="K417" s="388">
        <f t="shared" si="202"/>
        <v>6.6700380196078441</v>
      </c>
      <c r="L417" s="388">
        <f t="shared" si="202"/>
        <v>6.6574392941176477</v>
      </c>
      <c r="M417" s="388">
        <f t="shared" si="202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203">B264*0.465</f>
        <v>5.1975994999999999</v>
      </c>
      <c r="C419" s="388">
        <f t="shared" si="203"/>
        <v>5.2810615294117644</v>
      </c>
      <c r="D419" s="388">
        <f t="shared" si="203"/>
        <v>5.1480920441176474</v>
      </c>
      <c r="E419" s="388">
        <f t="shared" si="203"/>
        <v>5.2818980735294119</v>
      </c>
      <c r="F419" s="388">
        <f t="shared" si="203"/>
        <v>5.0193987352941178</v>
      </c>
      <c r="G419" s="388">
        <f t="shared" si="203"/>
        <v>4.9728782205882354</v>
      </c>
      <c r="H419" s="388">
        <f t="shared" si="203"/>
        <v>4.9320316176470582</v>
      </c>
      <c r="I419" s="388">
        <f t="shared" si="203"/>
        <v>4.8614906617647069</v>
      </c>
      <c r="J419" s="388">
        <f t="shared" si="203"/>
        <v>4.894601852941177</v>
      </c>
      <c r="K419" s="388">
        <f t="shared" si="203"/>
        <v>4.6872278088235291</v>
      </c>
      <c r="L419" s="388">
        <f t="shared" si="203"/>
        <v>4.5528441764705878</v>
      </c>
      <c r="M419" s="388">
        <f t="shared" si="203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204">B265*0.516</f>
        <v>6.522990223529411</v>
      </c>
      <c r="C420" s="396">
        <f t="shared" si="204"/>
        <v>6.5899366705882354</v>
      </c>
      <c r="D420" s="396">
        <f t="shared" si="204"/>
        <v>6.4147789529411767</v>
      </c>
      <c r="E420" s="396">
        <f t="shared" si="204"/>
        <v>6.4667705058823532</v>
      </c>
      <c r="F420" s="396">
        <f t="shared" si="204"/>
        <v>6.2544016000000004</v>
      </c>
      <c r="G420" s="396">
        <f t="shared" si="204"/>
        <v>6.2586990705882348</v>
      </c>
      <c r="H420" s="396">
        <f t="shared" si="204"/>
        <v>6.2095470352941167</v>
      </c>
      <c r="I420" s="396">
        <f t="shared" si="204"/>
        <v>6.2138313529411766</v>
      </c>
      <c r="J420" s="396">
        <f t="shared" si="204"/>
        <v>6.259592458823529</v>
      </c>
      <c r="K420" s="396">
        <f t="shared" si="204"/>
        <v>6.2746252588235292</v>
      </c>
      <c r="L420" s="396">
        <f t="shared" si="204"/>
        <v>6.2517098000000004</v>
      </c>
      <c r="M420" s="396">
        <f t="shared" si="204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205">B269*0.507</f>
        <v>5.965232764705882</v>
      </c>
      <c r="C423" s="414">
        <f t="shared" si="205"/>
        <v>5.9576824411764706</v>
      </c>
      <c r="D423" s="414">
        <f t="shared" si="205"/>
        <v>5.8484637058823532</v>
      </c>
      <c r="E423" s="414">
        <f t="shared" si="205"/>
        <v>5.9247075588235294</v>
      </c>
      <c r="F423" s="414">
        <f t="shared" si="205"/>
        <v>5.884289717647059</v>
      </c>
      <c r="G423" s="414">
        <f t="shared" si="205"/>
        <v>5.8366535882352935</v>
      </c>
      <c r="H423" s="414">
        <f t="shared" si="205"/>
        <v>5.7361830882352942</v>
      </c>
      <c r="I423" s="414">
        <f t="shared" si="205"/>
        <v>5.7371374411764711</v>
      </c>
      <c r="J423" s="414">
        <f t="shared" si="205"/>
        <v>5.7260778823529419</v>
      </c>
      <c r="K423" s="414">
        <f t="shared" si="205"/>
        <v>5.4541419705882355</v>
      </c>
      <c r="L423" s="414">
        <f t="shared" si="205"/>
        <v>5.5137343529411762</v>
      </c>
      <c r="M423" s="415">
        <f t="shared" si="205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206">E270*0.539</f>
        <v>6.3946960000000006</v>
      </c>
      <c r="F424" s="388">
        <f t="shared" si="206"/>
        <v>6.3185849725490204</v>
      </c>
      <c r="G424" s="388">
        <f t="shared" si="206"/>
        <v>6.3731523813725488</v>
      </c>
      <c r="H424" s="388">
        <f t="shared" si="206"/>
        <v>6.4347283754901969</v>
      </c>
      <c r="I424" s="388">
        <f t="shared" si="206"/>
        <v>6.2597515372549024</v>
      </c>
      <c r="J424" s="388">
        <f t="shared" si="206"/>
        <v>6.4490694745098045</v>
      </c>
      <c r="K424" s="388">
        <f t="shared" si="206"/>
        <v>6.1859449990196085</v>
      </c>
      <c r="L424" s="388">
        <f t="shared" si="206"/>
        <v>6.4772993352941182</v>
      </c>
      <c r="M424" s="389">
        <f t="shared" si="206"/>
        <v>7.0357181313725485</v>
      </c>
      <c r="N424" s="370"/>
      <c r="O424" s="416" t="s">
        <v>247</v>
      </c>
      <c r="P424" s="391" t="s">
        <v>248</v>
      </c>
      <c r="Q424" s="391">
        <f t="shared" ref="Q424:S425" si="207">Q270*0.539</f>
        <v>6.3498686382352938</v>
      </c>
      <c r="R424" s="391">
        <f t="shared" si="207"/>
        <v>6.3984621303921569</v>
      </c>
      <c r="S424" s="392">
        <f t="shared" si="207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208">E271*0.539</f>
        <v>6.6009316676470586</v>
      </c>
      <c r="F425" s="388">
        <f t="shared" si="208"/>
        <v>6.5268455892156867</v>
      </c>
      <c r="G425" s="388">
        <f t="shared" si="208"/>
        <v>6.5248592156862752</v>
      </c>
      <c r="H425" s="388">
        <f t="shared" si="208"/>
        <v>6.4823167911764719</v>
      </c>
      <c r="I425" s="388">
        <f t="shared" si="208"/>
        <v>6.5650707294117652</v>
      </c>
      <c r="J425" s="388">
        <f t="shared" si="208"/>
        <v>6.6005596519607845</v>
      </c>
      <c r="K425" s="388">
        <f t="shared" si="208"/>
        <v>6.4460896500000011</v>
      </c>
      <c r="L425" s="388">
        <f t="shared" si="208"/>
        <v>6.5378950892156871</v>
      </c>
      <c r="M425" s="389">
        <f t="shared" si="208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207"/>
        <v>6.5537448598039232</v>
      </c>
      <c r="R425" s="388">
        <f t="shared" si="207"/>
        <v>6.5460995147058831</v>
      </c>
      <c r="S425" s="389">
        <f t="shared" si="207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9">B272*0.535</f>
        <v>6.7835188627450984</v>
      </c>
      <c r="C426" s="388">
        <f t="shared" si="209"/>
        <v>6.6651574558823539</v>
      </c>
      <c r="D426" s="388">
        <f t="shared" si="209"/>
        <v>6.4492130980392153</v>
      </c>
      <c r="E426" s="388">
        <f t="shared" si="209"/>
        <v>6.500109955882353</v>
      </c>
      <c r="F426" s="388">
        <f t="shared" si="209"/>
        <v>6.4532019950980386</v>
      </c>
      <c r="G426" s="388">
        <f t="shared" si="209"/>
        <v>6.4587130196078437</v>
      </c>
      <c r="H426" s="388">
        <f t="shared" si="209"/>
        <v>6.3852218529411759</v>
      </c>
      <c r="I426" s="388">
        <f t="shared" si="209"/>
        <v>6.4914125343137252</v>
      </c>
      <c r="J426" s="388">
        <f t="shared" si="209"/>
        <v>6.5098616421568645</v>
      </c>
      <c r="K426" s="388">
        <f t="shared" si="209"/>
        <v>6.3534161029411775</v>
      </c>
      <c r="L426" s="388">
        <f t="shared" si="209"/>
        <v>6.4783050343137258</v>
      </c>
      <c r="M426" s="389">
        <f t="shared" si="209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10">B273*0.54</f>
        <v>0</v>
      </c>
      <c r="C427" s="388">
        <f t="shared" si="210"/>
        <v>5.7172801764705889</v>
      </c>
      <c r="D427" s="388">
        <f t="shared" si="210"/>
        <v>6.7403075294117647</v>
      </c>
      <c r="E427" s="388">
        <f t="shared" si="210"/>
        <v>5.7492582352941177</v>
      </c>
      <c r="F427" s="388">
        <f t="shared" si="210"/>
        <v>0</v>
      </c>
      <c r="G427" s="388">
        <f t="shared" si="210"/>
        <v>0</v>
      </c>
      <c r="H427" s="388">
        <f t="shared" si="210"/>
        <v>0</v>
      </c>
      <c r="I427" s="388">
        <f t="shared" si="210"/>
        <v>6.9177335294117652</v>
      </c>
      <c r="J427" s="388">
        <f t="shared" si="210"/>
        <v>7.129080000000001</v>
      </c>
      <c r="K427" s="388">
        <f t="shared" si="210"/>
        <v>0</v>
      </c>
      <c r="L427" s="388">
        <f t="shared" si="210"/>
        <v>0</v>
      </c>
      <c r="M427" s="389">
        <f t="shared" si="210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11">B274*0.465</f>
        <v>4.5414904264705882</v>
      </c>
      <c r="C428" s="388">
        <f t="shared" si="211"/>
        <v>4.6277433676470592</v>
      </c>
      <c r="D428" s="388">
        <f t="shared" si="211"/>
        <v>4.5926103382352945</v>
      </c>
      <c r="E428" s="388">
        <f t="shared" si="211"/>
        <v>4.7492168676470596</v>
      </c>
      <c r="F428" s="388">
        <f t="shared" si="211"/>
        <v>4.7476103382352939</v>
      </c>
      <c r="G428" s="388">
        <f t="shared" si="211"/>
        <v>4.7204283529411768</v>
      </c>
      <c r="H428" s="388">
        <f t="shared" si="211"/>
        <v>4.6023849117647062</v>
      </c>
      <c r="I428" s="388">
        <f t="shared" si="211"/>
        <v>4.5338138235294112</v>
      </c>
      <c r="J428" s="388">
        <f t="shared" si="211"/>
        <v>4.5146198088235296</v>
      </c>
      <c r="K428" s="388">
        <f t="shared" si="211"/>
        <v>4.2117151617647064</v>
      </c>
      <c r="L428" s="388">
        <f t="shared" si="211"/>
        <v>4.1475292058823534</v>
      </c>
      <c r="M428" s="389">
        <f t="shared" si="211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12">B275*0.516</f>
        <v>6.3277393647058817</v>
      </c>
      <c r="C429" s="396">
        <f t="shared" si="212"/>
        <v>6.3782259176470584</v>
      </c>
      <c r="D429" s="396">
        <f t="shared" si="212"/>
        <v>6.3116088000000001</v>
      </c>
      <c r="E429" s="396">
        <f t="shared" si="212"/>
        <v>6.3316316235294119</v>
      </c>
      <c r="F429" s="396">
        <f t="shared" si="212"/>
        <v>6.2818866941176479</v>
      </c>
      <c r="G429" s="396">
        <f t="shared" si="212"/>
        <v>6.2495704235294118</v>
      </c>
      <c r="H429" s="396">
        <f t="shared" si="212"/>
        <v>6.144729341176471</v>
      </c>
      <c r="I429" s="396">
        <f t="shared" si="212"/>
        <v>6.1475111882352955</v>
      </c>
      <c r="J429" s="396">
        <f t="shared" si="212"/>
        <v>6.1473275529411762</v>
      </c>
      <c r="K429" s="396">
        <f t="shared" si="212"/>
        <v>6.0394916470588242</v>
      </c>
      <c r="L429" s="396">
        <f t="shared" si="212"/>
        <v>6.0709474117647062</v>
      </c>
      <c r="M429" s="397">
        <f t="shared" si="212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13">B279*0.507</f>
        <v>5.848791764705882</v>
      </c>
      <c r="C433" s="431">
        <f t="shared" si="213"/>
        <v>6.1309273235294119</v>
      </c>
      <c r="D433" s="432">
        <f t="shared" si="213"/>
        <v>6.1089523529411762</v>
      </c>
      <c r="E433" s="431">
        <f t="shared" si="213"/>
        <v>6.0019753529411766</v>
      </c>
      <c r="F433" s="431">
        <f t="shared" si="213"/>
        <v>6.0736015294117651</v>
      </c>
      <c r="G433" s="431">
        <f t="shared" si="213"/>
        <v>6.209944764705881</v>
      </c>
      <c r="H433" s="431">
        <f t="shared" si="213"/>
        <v>5.7993542941176468</v>
      </c>
      <c r="I433" s="431">
        <f t="shared" si="213"/>
        <v>5.8016904705882357</v>
      </c>
      <c r="J433" s="431">
        <f t="shared" si="213"/>
        <v>5.7801230882352943</v>
      </c>
      <c r="K433" s="431">
        <f t="shared" si="213"/>
        <v>5.8904552352941186</v>
      </c>
      <c r="L433" s="431">
        <f t="shared" si="213"/>
        <v>5.9891412941176476</v>
      </c>
      <c r="M433" s="433">
        <f t="shared" si="213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14">B280*0.539</f>
        <v>6.6767689676470594</v>
      </c>
      <c r="C434" s="435">
        <f t="shared" si="214"/>
        <v>7.0741926911764708</v>
      </c>
      <c r="D434" s="436">
        <f t="shared" si="214"/>
        <v>6.787930848039216</v>
      </c>
      <c r="E434" s="435">
        <f t="shared" si="214"/>
        <v>6.5606815784313728</v>
      </c>
      <c r="F434" s="435">
        <f t="shared" si="214"/>
        <v>6.6757739313725493</v>
      </c>
      <c r="G434" s="435">
        <f t="shared" si="214"/>
        <v>6.7629651078431383</v>
      </c>
      <c r="H434" s="435">
        <f t="shared" si="214"/>
        <v>6.5382285294117644</v>
      </c>
      <c r="I434" s="435">
        <f t="shared" si="214"/>
        <v>6.5415840686274516</v>
      </c>
      <c r="J434" s="435">
        <f t="shared" si="214"/>
        <v>6.5722436568627458</v>
      </c>
      <c r="K434" s="435">
        <f t="shared" si="214"/>
        <v>6.6930377843137254</v>
      </c>
      <c r="L434" s="435">
        <f t="shared" si="214"/>
        <v>6.7232376372549023</v>
      </c>
      <c r="M434" s="435">
        <f t="shared" si="214"/>
        <v>6.7261598627450985</v>
      </c>
      <c r="N434" s="370"/>
      <c r="O434" s="416" t="s">
        <v>247</v>
      </c>
      <c r="P434" s="391">
        <f t="shared" ref="P434:S435" si="215">P280*0.539</f>
        <v>6.8303226696078427</v>
      </c>
      <c r="Q434" s="391">
        <f t="shared" si="215"/>
        <v>6.9287288994000003</v>
      </c>
      <c r="R434" s="391">
        <f t="shared" si="215"/>
        <v>6.8196470496000003</v>
      </c>
      <c r="S434" s="391">
        <f t="shared" si="215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16">B281*0.539</f>
        <v>6.8802187450980394</v>
      </c>
      <c r="C435" s="426">
        <f t="shared" si="216"/>
        <v>7.0391735441176477</v>
      </c>
      <c r="D435" s="437">
        <f t="shared" si="216"/>
        <v>6.9162556509803927</v>
      </c>
      <c r="E435" s="426">
        <f t="shared" si="216"/>
        <v>6.7547744215686283</v>
      </c>
      <c r="F435" s="426">
        <f t="shared" si="216"/>
        <v>6.8433078137254899</v>
      </c>
      <c r="G435" s="426">
        <f t="shared" si="216"/>
        <v>6.9557263039215691</v>
      </c>
      <c r="H435" s="426">
        <f t="shared" si="216"/>
        <v>6.6709229313725489</v>
      </c>
      <c r="I435" s="426">
        <f t="shared" si="216"/>
        <v>6.7822475686274517</v>
      </c>
      <c r="J435" s="426">
        <f t="shared" si="216"/>
        <v>6.8062277843137267</v>
      </c>
      <c r="K435" s="426">
        <f t="shared" si="216"/>
        <v>6.9640332450980402</v>
      </c>
      <c r="L435" s="426">
        <f t="shared" si="216"/>
        <v>7.1130667450980392</v>
      </c>
      <c r="M435" s="426">
        <f t="shared" si="216"/>
        <v>7.1393667745098037</v>
      </c>
      <c r="N435" s="370"/>
      <c r="O435" s="387" t="s">
        <v>243</v>
      </c>
      <c r="P435" s="388">
        <f t="shared" si="215"/>
        <v>6.9457289107843136</v>
      </c>
      <c r="Q435" s="388">
        <f t="shared" si="215"/>
        <v>7.1303552165999999</v>
      </c>
      <c r="R435" s="388">
        <f t="shared" si="215"/>
        <v>7.0237858613999995</v>
      </c>
      <c r="S435" s="388">
        <f t="shared" si="215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17">B282*0.535</f>
        <v>6.7828752892156867</v>
      </c>
      <c r="C436" s="426">
        <f t="shared" si="217"/>
        <v>6.9735130980392164</v>
      </c>
      <c r="D436" s="437">
        <f t="shared" si="217"/>
        <v>6.8236333725490201</v>
      </c>
      <c r="E436" s="426">
        <f t="shared" si="217"/>
        <v>6.6640491666666675</v>
      </c>
      <c r="F436" s="426">
        <f t="shared" si="217"/>
        <v>6.7435648529411765</v>
      </c>
      <c r="G436" s="426">
        <f t="shared" si="217"/>
        <v>6.8799531372549021</v>
      </c>
      <c r="H436" s="426">
        <f t="shared" si="217"/>
        <v>6.560222450980393</v>
      </c>
      <c r="I436" s="426">
        <f t="shared" si="217"/>
        <v>6.7047353921568629</v>
      </c>
      <c r="J436" s="426">
        <f t="shared" si="217"/>
        <v>6.7429564215686275</v>
      </c>
      <c r="K436" s="426">
        <f t="shared" si="217"/>
        <v>6.8730873039215696</v>
      </c>
      <c r="L436" s="426">
        <f t="shared" si="217"/>
        <v>6.9917733823529415</v>
      </c>
      <c r="M436" s="426">
        <f t="shared" si="217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18">B283*0.465</f>
        <v>4.413131735294118</v>
      </c>
      <c r="C438" s="426">
        <f t="shared" si="218"/>
        <v>4.7413027500000009</v>
      </c>
      <c r="D438" s="437">
        <f t="shared" si="218"/>
        <v>4.8700042647058819</v>
      </c>
      <c r="E438" s="426">
        <f t="shared" si="218"/>
        <v>4.8365379411764708</v>
      </c>
      <c r="F438" s="426">
        <f t="shared" si="218"/>
        <v>4.8296951470588239</v>
      </c>
      <c r="G438" s="426">
        <f t="shared" si="218"/>
        <v>4.9144300000000003</v>
      </c>
      <c r="H438" s="426">
        <f t="shared" si="218"/>
        <v>4.6048722058823532</v>
      </c>
      <c r="I438" s="426">
        <f t="shared" si="218"/>
        <v>4.4468387647058822</v>
      </c>
      <c r="J438" s="426">
        <f t="shared" si="218"/>
        <v>4.4034232647058822</v>
      </c>
      <c r="K438" s="426">
        <f t="shared" si="218"/>
        <v>4.51538569117647</v>
      </c>
      <c r="L438" s="426">
        <f t="shared" si="218"/>
        <v>4.5566024705882358</v>
      </c>
      <c r="M438" s="426">
        <f t="shared" si="218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9">B284*0.516</f>
        <v>6.2967313058823535</v>
      </c>
      <c r="C439" s="438">
        <f t="shared" si="219"/>
        <v>6.4350648352941189</v>
      </c>
      <c r="D439" s="439">
        <f t="shared" si="219"/>
        <v>6.3706680352941181</v>
      </c>
      <c r="E439" s="438">
        <f t="shared" si="219"/>
        <v>6.2968795294117639</v>
      </c>
      <c r="F439" s="438">
        <f t="shared" si="219"/>
        <v>6.2700323529411763</v>
      </c>
      <c r="G439" s="438">
        <f t="shared" si="219"/>
        <v>6.3949094117647061</v>
      </c>
      <c r="H439" s="438">
        <f t="shared" si="219"/>
        <v>6.1337729411764705</v>
      </c>
      <c r="I439" s="438">
        <f t="shared" si="219"/>
        <v>6.1266045882352937</v>
      </c>
      <c r="J439" s="438">
        <f t="shared" si="219"/>
        <v>6.1032024705882355</v>
      </c>
      <c r="K439" s="438">
        <f t="shared" si="219"/>
        <v>6.2105152941176467</v>
      </c>
      <c r="L439" s="438">
        <f t="shared" si="219"/>
        <v>6.2702650588235294</v>
      </c>
      <c r="M439" s="438">
        <f t="shared" si="219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20">B288*0.507</f>
        <v>6.0956361470588236</v>
      </c>
      <c r="C443" s="431">
        <f t="shared" si="220"/>
        <v>6.0006531764705882</v>
      </c>
      <c r="D443" s="432">
        <f t="shared" si="220"/>
        <v>6.0301088823529403</v>
      </c>
      <c r="E443" s="431">
        <f t="shared" si="220"/>
        <v>5.943899</v>
      </c>
      <c r="F443" s="431">
        <f t="shared" si="220"/>
        <v>6.0871563235294115</v>
      </c>
      <c r="G443" s="431">
        <f t="shared" si="220"/>
        <v>6.1690268823529406</v>
      </c>
      <c r="H443" s="431">
        <f t="shared" si="220"/>
        <v>5.9334458529411771</v>
      </c>
      <c r="I443" s="431">
        <f t="shared" si="220"/>
        <v>6.017907579411764</v>
      </c>
      <c r="J443" s="431">
        <f t="shared" si="220"/>
        <v>6.0621438264705887</v>
      </c>
      <c r="K443" s="431">
        <f t="shared" si="220"/>
        <v>5.9548636205882355</v>
      </c>
      <c r="L443" s="431">
        <f t="shared" si="220"/>
        <v>6.1433811323529417</v>
      </c>
      <c r="M443" s="433">
        <f t="shared" si="220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21">B289*0.539</f>
        <v>6.8206243686274517</v>
      </c>
      <c r="C444" s="435">
        <f t="shared" si="221"/>
        <v>6.5757630098039215</v>
      </c>
      <c r="D444" s="436">
        <f t="shared" si="221"/>
        <v>6.6891273921568626</v>
      </c>
      <c r="E444" s="435">
        <f t="shared" si="221"/>
        <v>6.5355440980392165</v>
      </c>
      <c r="F444" s="435">
        <f t="shared" si="221"/>
        <v>6.8415745588235302</v>
      </c>
      <c r="G444" s="435">
        <f t="shared" si="221"/>
        <v>6.8440317647058837</v>
      </c>
      <c r="H444" s="435">
        <f t="shared" si="221"/>
        <v>7.0067040784313726</v>
      </c>
      <c r="I444" s="435">
        <f t="shared" si="221"/>
        <v>7.1009910313725495</v>
      </c>
      <c r="J444" s="435">
        <f t="shared" si="221"/>
        <v>7.2362562519607856</v>
      </c>
      <c r="K444" s="435">
        <f t="shared" si="221"/>
        <v>6.7560627372549025</v>
      </c>
      <c r="L444" s="435">
        <f t="shared" si="221"/>
        <v>7.2984621362745097</v>
      </c>
      <c r="M444" s="435">
        <f t="shared" si="221"/>
        <v>7.0729673571436962</v>
      </c>
      <c r="N444" s="370"/>
      <c r="O444" s="416" t="s">
        <v>247</v>
      </c>
      <c r="P444" s="391">
        <f t="shared" ref="P444:S445" si="222">P289*0.539</f>
        <v>6.703299921568628</v>
      </c>
      <c r="Q444" s="391">
        <f t="shared" si="222"/>
        <v>6.7880550294117654</v>
      </c>
      <c r="R444" s="391">
        <f t="shared" si="222"/>
        <v>7.0961022436199066</v>
      </c>
      <c r="S444" s="391">
        <f t="shared" si="222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23">B290*0.539</f>
        <v>7.1357216549019613</v>
      </c>
      <c r="C445" s="426">
        <f t="shared" si="223"/>
        <v>6.9390965686274519</v>
      </c>
      <c r="D445" s="437">
        <f t="shared" si="223"/>
        <v>6.9291620588235299</v>
      </c>
      <c r="E445" s="426">
        <f t="shared" si="223"/>
        <v>6.8283215000000004</v>
      </c>
      <c r="F445" s="426">
        <f t="shared" si="223"/>
        <v>6.9467165490196088</v>
      </c>
      <c r="G445" s="426">
        <f t="shared" si="223"/>
        <v>7.0190535196078425</v>
      </c>
      <c r="H445" s="426">
        <f t="shared" si="223"/>
        <v>6.9007007450980398</v>
      </c>
      <c r="I445" s="426">
        <f t="shared" si="223"/>
        <v>7.0841705323529407</v>
      </c>
      <c r="J445" s="426">
        <f t="shared" si="223"/>
        <v>7.097192138235294</v>
      </c>
      <c r="K445" s="426">
        <f t="shared" si="223"/>
        <v>6.9970929686274514</v>
      </c>
      <c r="L445" s="426">
        <f t="shared" si="223"/>
        <v>7.183639283333334</v>
      </c>
      <c r="M445" s="426">
        <f t="shared" si="223"/>
        <v>7.3310325806691816</v>
      </c>
      <c r="N445" s="370"/>
      <c r="O445" s="387" t="s">
        <v>243</v>
      </c>
      <c r="P445" s="388">
        <f t="shared" si="222"/>
        <v>6.995268823529412</v>
      </c>
      <c r="Q445" s="388">
        <f t="shared" si="222"/>
        <v>6.9424521078431383</v>
      </c>
      <c r="R445" s="388">
        <f t="shared" si="222"/>
        <v>7.030156096262723</v>
      </c>
      <c r="S445" s="388">
        <f t="shared" si="222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24">B291*0.535</f>
        <v>7.0653164754901967</v>
      </c>
      <c r="C446" s="426">
        <f t="shared" si="224"/>
        <v>6.8124697058823536</v>
      </c>
      <c r="D446" s="437">
        <f t="shared" si="224"/>
        <v>6.8257712745098056</v>
      </c>
      <c r="E446" s="426">
        <f t="shared" si="224"/>
        <v>6.7373494117647068</v>
      </c>
      <c r="F446" s="426">
        <f t="shared" si="224"/>
        <v>6.9062363235294129</v>
      </c>
      <c r="G446" s="426">
        <f t="shared" si="224"/>
        <v>6.9757233823529416</v>
      </c>
      <c r="H446" s="426">
        <f t="shared" si="224"/>
        <v>6.8664207843137257</v>
      </c>
      <c r="I446" s="426">
        <f t="shared" si="224"/>
        <v>7.0779267401960784</v>
      </c>
      <c r="J446" s="426">
        <f t="shared" si="224"/>
        <v>7.0828230392156861</v>
      </c>
      <c r="K446" s="426">
        <f t="shared" si="224"/>
        <v>7.0211359656862751</v>
      </c>
      <c r="L446" s="426">
        <f t="shared" si="224"/>
        <v>7.1883517892156865</v>
      </c>
      <c r="M446" s="426">
        <f t="shared" si="224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25">B292*0.54</f>
        <v>0</v>
      </c>
      <c r="C447" s="426">
        <f t="shared" si="225"/>
        <v>0</v>
      </c>
      <c r="D447" s="437">
        <f t="shared" si="225"/>
        <v>6.5985882352941188</v>
      </c>
      <c r="E447" s="426">
        <f t="shared" si="225"/>
        <v>6.2081841176470585</v>
      </c>
      <c r="F447" s="426">
        <f t="shared" si="225"/>
        <v>0</v>
      </c>
      <c r="G447" s="426">
        <f t="shared" si="225"/>
        <v>5.4227647058823534</v>
      </c>
      <c r="H447" s="426">
        <f t="shared" si="225"/>
        <v>5.8945500000000006</v>
      </c>
      <c r="I447" s="426">
        <f t="shared" si="225"/>
        <v>6.443829</v>
      </c>
      <c r="J447" s="426">
        <f t="shared" si="225"/>
        <v>5.7598305882352951</v>
      </c>
      <c r="K447" s="426">
        <f t="shared" si="225"/>
        <v>4.1558823529411768</v>
      </c>
      <c r="L447" s="426">
        <f t="shared" si="225"/>
        <v>0</v>
      </c>
      <c r="M447" s="426">
        <f t="shared" si="225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26">B293*0.465</f>
        <v>4.5821574117647055</v>
      </c>
      <c r="C448" s="426">
        <f t="shared" si="226"/>
        <v>4.6392138235294116</v>
      </c>
      <c r="D448" s="437">
        <f t="shared" si="226"/>
        <v>4.6718230882352945</v>
      </c>
      <c r="E448" s="426">
        <f t="shared" si="226"/>
        <v>4.6376501470588236</v>
      </c>
      <c r="F448" s="426">
        <f t="shared" si="226"/>
        <v>4.651723235294118</v>
      </c>
      <c r="G448" s="426">
        <f t="shared" si="226"/>
        <v>4.7864045588235289</v>
      </c>
      <c r="H448" s="426">
        <f t="shared" si="226"/>
        <v>4.5551509411764703</v>
      </c>
      <c r="I448" s="426">
        <f t="shared" si="226"/>
        <v>4.4960134264705882</v>
      </c>
      <c r="J448" s="426">
        <f t="shared" si="226"/>
        <v>4.5590204705882353</v>
      </c>
      <c r="K448" s="426">
        <f t="shared" si="226"/>
        <v>4.5080719705882366</v>
      </c>
      <c r="L448" s="426">
        <f t="shared" si="226"/>
        <v>4.6098645735294115</v>
      </c>
      <c r="M448" s="426">
        <f t="shared" si="226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27">B294*0.516</f>
        <v>6.2910345647058818</v>
      </c>
      <c r="C449" s="438">
        <f t="shared" si="227"/>
        <v>6.2487549411764709</v>
      </c>
      <c r="D449" s="439">
        <f t="shared" si="227"/>
        <v>6.242067176470588</v>
      </c>
      <c r="E449" s="438">
        <f t="shared" si="227"/>
        <v>6.1866680000000001</v>
      </c>
      <c r="F449" s="438">
        <f t="shared" si="227"/>
        <v>6.2521089411764708</v>
      </c>
      <c r="G449" s="438">
        <f t="shared" si="227"/>
        <v>6.3373298823529423</v>
      </c>
      <c r="H449" s="438">
        <f t="shared" si="227"/>
        <v>6.2028359999999996</v>
      </c>
      <c r="I449" s="438">
        <f t="shared" si="227"/>
        <v>6.2791412705882346</v>
      </c>
      <c r="J449" s="438">
        <f t="shared" si="227"/>
        <v>6.2947209294117643</v>
      </c>
      <c r="K449" s="438">
        <f t="shared" si="227"/>
        <v>6.2529011529411767</v>
      </c>
      <c r="L449" s="438">
        <f t="shared" si="227"/>
        <v>6.3565867999999996</v>
      </c>
      <c r="M449" s="438">
        <f t="shared" si="227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28">B298*0.507</f>
        <v>6.3757343467059062</v>
      </c>
      <c r="C453" s="431">
        <f t="shared" si="228"/>
        <v>6.3392273468395119</v>
      </c>
      <c r="D453" s="432">
        <f t="shared" si="228"/>
        <v>6.2723321784795028</v>
      </c>
      <c r="E453" s="431">
        <f t="shared" si="228"/>
        <v>6.1314847971813577</v>
      </c>
      <c r="F453" s="431">
        <f t="shared" si="228"/>
        <v>6.3007473439470747</v>
      </c>
      <c r="G453" s="431">
        <f t="shared" si="228"/>
        <v>6.2963271885737031</v>
      </c>
      <c r="H453" s="431">
        <f t="shared" si="228"/>
        <v>6.2056090091467491</v>
      </c>
      <c r="I453" s="431">
        <f t="shared" si="228"/>
        <v>6.3769514932866009</v>
      </c>
      <c r="J453" s="431">
        <f t="shared" si="228"/>
        <v>6.4801798565347033</v>
      </c>
      <c r="K453" s="431">
        <f t="shared" si="228"/>
        <v>6.5777367493489489</v>
      </c>
      <c r="L453" s="431">
        <f t="shared" si="228"/>
        <v>6.6936790917504041</v>
      </c>
      <c r="M453" s="433">
        <f t="shared" si="228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9">B299*0.539</f>
        <v>6.7957457316612278</v>
      </c>
      <c r="C454" s="435">
        <f t="shared" si="229"/>
        <v>6.8539480097445251</v>
      </c>
      <c r="D454" s="436">
        <f t="shared" si="229"/>
        <v>6.6704057547728155</v>
      </c>
      <c r="E454" s="435">
        <f t="shared" si="229"/>
        <v>6.4915063453984798</v>
      </c>
      <c r="F454" s="435">
        <f t="shared" si="229"/>
        <v>6.6550829379602572</v>
      </c>
      <c r="G454" s="435">
        <f t="shared" si="229"/>
        <v>6.5138897607760402</v>
      </c>
      <c r="H454" s="435">
        <f t="shared" si="229"/>
        <v>6.8701608631322753</v>
      </c>
      <c r="I454" s="435">
        <f t="shared" si="229"/>
        <v>7.0794587658490657</v>
      </c>
      <c r="J454" s="435">
        <f t="shared" si="229"/>
        <v>6.7656061783264132</v>
      </c>
      <c r="K454" s="435">
        <f t="shared" si="229"/>
        <v>7.0534951683483795</v>
      </c>
      <c r="L454" s="435">
        <f t="shared" si="229"/>
        <v>7.2588913372950152</v>
      </c>
      <c r="M454" s="435">
        <f t="shared" si="229"/>
        <v>7.3796305800162969</v>
      </c>
      <c r="N454" s="370"/>
      <c r="O454" s="416" t="s">
        <v>247</v>
      </c>
      <c r="P454" s="391">
        <f t="shared" ref="P454:S455" si="230">P299*0.539</f>
        <v>6.775939891230867</v>
      </c>
      <c r="Q454" s="391">
        <f t="shared" si="230"/>
        <v>6.5965527015325645</v>
      </c>
      <c r="R454" s="391">
        <f t="shared" si="230"/>
        <v>6.9233973184362698</v>
      </c>
      <c r="S454" s="391">
        <f t="shared" si="230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31">B300*0.539</f>
        <v>7.3201340834890942</v>
      </c>
      <c r="C455" s="426">
        <f t="shared" si="231"/>
        <v>7.2241010975875675</v>
      </c>
      <c r="D455" s="437">
        <f t="shared" si="231"/>
        <v>7.0821994797961763</v>
      </c>
      <c r="E455" s="426">
        <f t="shared" si="231"/>
        <v>6.9260655906473243</v>
      </c>
      <c r="F455" s="426">
        <f t="shared" si="231"/>
        <v>7.06439608177533</v>
      </c>
      <c r="G455" s="426">
        <f t="shared" si="231"/>
        <v>7.0164933193182186</v>
      </c>
      <c r="H455" s="426">
        <f t="shared" si="231"/>
        <v>7.0068248130795956</v>
      </c>
      <c r="I455" s="426">
        <f t="shared" si="231"/>
        <v>7.2679714181448078</v>
      </c>
      <c r="J455" s="426">
        <f t="shared" si="231"/>
        <v>7.370328437438884</v>
      </c>
      <c r="K455" s="426">
        <f t="shared" si="231"/>
        <v>7.5316019742958185</v>
      </c>
      <c r="L455" s="426">
        <f t="shared" si="231"/>
        <v>7.6792531572540241</v>
      </c>
      <c r="M455" s="426">
        <f t="shared" si="231"/>
        <v>7.6318801408568415</v>
      </c>
      <c r="N455" s="370"/>
      <c r="O455" s="387" t="s">
        <v>243</v>
      </c>
      <c r="P455" s="388">
        <f t="shared" si="230"/>
        <v>7.1945413578334279</v>
      </c>
      <c r="Q455" s="388">
        <f t="shared" si="230"/>
        <v>7.0476395716859148</v>
      </c>
      <c r="R455" s="388">
        <f t="shared" si="230"/>
        <v>7.215826808263694</v>
      </c>
      <c r="S455" s="388">
        <f t="shared" si="230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32">B301*0.535</f>
        <v>7.2602228956775408</v>
      </c>
      <c r="C456" s="426">
        <f t="shared" si="232"/>
        <v>7.139612189575864</v>
      </c>
      <c r="D456" s="437">
        <f t="shared" si="232"/>
        <v>6.9836800457803427</v>
      </c>
      <c r="E456" s="426">
        <f t="shared" si="232"/>
        <v>6.8328853052791869</v>
      </c>
      <c r="F456" s="426">
        <f t="shared" si="232"/>
        <v>6.9441120536442504</v>
      </c>
      <c r="G456" s="426">
        <f t="shared" si="232"/>
        <v>6.8863884263083044</v>
      </c>
      <c r="H456" s="426">
        <f t="shared" si="232"/>
        <v>6.8863366734697022</v>
      </c>
      <c r="I456" s="426">
        <f t="shared" si="232"/>
        <v>7.1420598405818305</v>
      </c>
      <c r="J456" s="426">
        <f t="shared" si="232"/>
        <v>7.2451899701938007</v>
      </c>
      <c r="K456" s="426">
        <f t="shared" si="232"/>
        <v>7.4089761627556276</v>
      </c>
      <c r="L456" s="426">
        <f t="shared" si="232"/>
        <v>7.5315482938243044</v>
      </c>
      <c r="M456" s="426">
        <f t="shared" si="232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33">B302*0.54</f>
        <v>7.8331764705882359</v>
      </c>
      <c r="C457" s="426">
        <f t="shared" si="233"/>
        <v>0</v>
      </c>
      <c r="D457" s="437">
        <f t="shared" si="233"/>
        <v>6.6578267973856198</v>
      </c>
      <c r="E457" s="426">
        <f t="shared" si="233"/>
        <v>0</v>
      </c>
      <c r="F457" s="426">
        <f t="shared" si="233"/>
        <v>6.999882352941178</v>
      </c>
      <c r="G457" s="426">
        <f t="shared" si="233"/>
        <v>7.4513414634146358</v>
      </c>
      <c r="H457" s="426">
        <f t="shared" si="233"/>
        <v>0</v>
      </c>
      <c r="I457" s="426">
        <f t="shared" si="233"/>
        <v>0</v>
      </c>
      <c r="J457" s="426">
        <f t="shared" si="233"/>
        <v>0</v>
      </c>
      <c r="K457" s="426">
        <f t="shared" si="233"/>
        <v>6.5486911764705882</v>
      </c>
      <c r="L457" s="426">
        <f t="shared" si="233"/>
        <v>0</v>
      </c>
      <c r="M457" s="426">
        <f t="shared" si="233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34">B303*0.465</f>
        <v>4.8059290643822017</v>
      </c>
      <c r="C458" s="426">
        <f t="shared" si="234"/>
        <v>4.8750839484785944</v>
      </c>
      <c r="D458" s="437">
        <f t="shared" si="234"/>
        <v>4.9389772649635288</v>
      </c>
      <c r="E458" s="426">
        <f t="shared" si="234"/>
        <v>4.8843628631874791</v>
      </c>
      <c r="F458" s="426">
        <f t="shared" si="234"/>
        <v>5.0224709916228365</v>
      </c>
      <c r="G458" s="426">
        <f t="shared" si="234"/>
        <v>5.1095977225464519</v>
      </c>
      <c r="H458" s="426">
        <f t="shared" si="234"/>
        <v>4.990275926428664</v>
      </c>
      <c r="I458" s="426">
        <f t="shared" si="234"/>
        <v>5.0309127381216845</v>
      </c>
      <c r="J458" s="426">
        <f t="shared" si="234"/>
        <v>5.1982716925900414</v>
      </c>
      <c r="K458" s="426">
        <f t="shared" si="234"/>
        <v>5.3061627023498579</v>
      </c>
      <c r="L458" s="426">
        <f t="shared" si="234"/>
        <v>5.3768916561279125</v>
      </c>
      <c r="M458" s="426">
        <f t="shared" si="234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35">B304*0.516</f>
        <v>6.5195491255421496</v>
      </c>
      <c r="C459" s="438">
        <f t="shared" si="235"/>
        <v>6.5268942578256235</v>
      </c>
      <c r="D459" s="439">
        <f t="shared" si="235"/>
        <v>6.4942316067159771</v>
      </c>
      <c r="E459" s="438">
        <f t="shared" si="235"/>
        <v>6.3250191512222891</v>
      </c>
      <c r="F459" s="438">
        <f t="shared" si="235"/>
        <v>6.495390157051192</v>
      </c>
      <c r="G459" s="438">
        <f t="shared" si="235"/>
        <v>6.5309354230328038</v>
      </c>
      <c r="H459" s="438">
        <f t="shared" si="235"/>
        <v>6.4558257601049505</v>
      </c>
      <c r="I459" s="438">
        <f t="shared" si="235"/>
        <v>6.5553685198349303</v>
      </c>
      <c r="J459" s="438">
        <f t="shared" si="235"/>
        <v>6.6053586678251586</v>
      </c>
      <c r="K459" s="438">
        <f t="shared" si="235"/>
        <v>6.7086718150743181</v>
      </c>
      <c r="L459" s="438">
        <f t="shared" si="235"/>
        <v>6.7802737076557351</v>
      </c>
      <c r="M459" s="438">
        <f t="shared" si="235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36">C308*0.518</f>
        <v>6.8727735934073451</v>
      </c>
      <c r="D464" s="432">
        <f t="shared" si="236"/>
        <v>6.8463987427915418</v>
      </c>
      <c r="E464" s="431">
        <f t="shared" si="236"/>
        <v>6.863979760543887</v>
      </c>
      <c r="F464" s="431">
        <f t="shared" si="236"/>
        <v>6.8792493818730485</v>
      </c>
      <c r="G464" s="431">
        <f t="shared" si="236"/>
        <v>6.8491745558618478</v>
      </c>
      <c r="H464" s="431">
        <f t="shared" si="236"/>
        <v>6.6998408493917854</v>
      </c>
      <c r="I464" s="431">
        <f t="shared" si="236"/>
        <v>6.7583664385116364</v>
      </c>
      <c r="J464" s="431">
        <f t="shared" si="236"/>
        <v>6.7134042219353232</v>
      </c>
      <c r="K464" s="431">
        <f t="shared" si="236"/>
        <v>6.7467487348204545</v>
      </c>
      <c r="L464" s="431">
        <f t="shared" si="236"/>
        <v>6.646571081000137</v>
      </c>
      <c r="M464" s="433">
        <f t="shared" si="236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37">Q308*0.518</f>
        <v>6.8635923848100955</v>
      </c>
      <c r="R464" s="385">
        <f t="shared" si="237"/>
        <v>6.7250527077031075</v>
      </c>
      <c r="S464" s="385">
        <f t="shared" si="237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30">
      <c r="A465" s="424" t="s">
        <v>247</v>
      </c>
      <c r="B465" s="434">
        <f>B309*0.539</f>
        <v>7.1487559262081026</v>
      </c>
      <c r="C465" s="435">
        <f t="shared" ref="C465:M465" si="238">C309*0.539</f>
        <v>7.1266026720967215</v>
      </c>
      <c r="D465" s="436">
        <f t="shared" si="238"/>
        <v>7.0925249307626146</v>
      </c>
      <c r="E465" s="435">
        <f t="shared" si="238"/>
        <v>7.3169613222711547</v>
      </c>
      <c r="F465" s="435">
        <f t="shared" si="238"/>
        <v>7.1750694836458573</v>
      </c>
      <c r="G465" s="435">
        <f t="shared" si="238"/>
        <v>7.0787165146129363</v>
      </c>
      <c r="H465" s="435">
        <f t="shared" si="238"/>
        <v>6.7786348614730922</v>
      </c>
      <c r="I465" s="435">
        <f t="shared" si="238"/>
        <v>7.2410640317626092</v>
      </c>
      <c r="J465" s="435">
        <f t="shared" si="238"/>
        <v>7.1003677772543101</v>
      </c>
      <c r="K465" s="435">
        <f t="shared" si="238"/>
        <v>7.2968264822968605</v>
      </c>
      <c r="L465" s="435">
        <f t="shared" si="238"/>
        <v>6.9340442072981556</v>
      </c>
      <c r="M465" s="435">
        <f t="shared" si="238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9">Q309*0.539</f>
        <v>7.2109807006816258</v>
      </c>
      <c r="R465" s="391">
        <f t="shared" si="239"/>
        <v>7.074471543224357</v>
      </c>
      <c r="S465" s="391">
        <f t="shared" si="239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30">
      <c r="A466" s="427" t="s">
        <v>243</v>
      </c>
      <c r="B466" s="425">
        <f>B310*0.533</f>
        <v>7.5052399608405969</v>
      </c>
      <c r="C466" s="426">
        <f t="shared" ref="C466:M466" si="240">C310*0.533</f>
        <v>7.4723608245158122</v>
      </c>
      <c r="D466" s="437">
        <f t="shared" si="240"/>
        <v>7.4113664477804253</v>
      </c>
      <c r="E466" s="426">
        <f t="shared" si="240"/>
        <v>7.4289848899835347</v>
      </c>
      <c r="F466" s="426">
        <f t="shared" si="240"/>
        <v>7.4180227241459775</v>
      </c>
      <c r="G466" s="426">
        <f t="shared" si="240"/>
        <v>7.3906700612614609</v>
      </c>
      <c r="H466" s="426">
        <f t="shared" si="240"/>
        <v>7.3205952103034919</v>
      </c>
      <c r="I466" s="426">
        <f t="shared" si="240"/>
        <v>7.4649776075804564</v>
      </c>
      <c r="J466" s="426">
        <f t="shared" si="240"/>
        <v>7.4082369647902047</v>
      </c>
      <c r="K466" s="426">
        <f t="shared" si="240"/>
        <v>7.462466155843912</v>
      </c>
      <c r="L466" s="426">
        <f t="shared" si="240"/>
        <v>7.3900829997120772</v>
      </c>
      <c r="M466" s="426">
        <f t="shared" si="240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41">Q310*0.533</f>
        <v>7.4119634653662834</v>
      </c>
      <c r="R466" s="388">
        <f t="shared" si="241"/>
        <v>7.4004940677809676</v>
      </c>
      <c r="S466" s="388">
        <f t="shared" si="241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30">
      <c r="A467" s="427" t="s">
        <v>244</v>
      </c>
      <c r="B467" s="425">
        <f>B311*0.533</f>
        <v>7.4176213311549741</v>
      </c>
      <c r="C467" s="426">
        <f t="shared" ref="C467:M467" si="242">C311*0.533</f>
        <v>7.4110290540404922</v>
      </c>
      <c r="D467" s="437">
        <f t="shared" si="242"/>
        <v>7.3556207581652826</v>
      </c>
      <c r="E467" s="426">
        <f t="shared" si="242"/>
        <v>7.3866609115305861</v>
      </c>
      <c r="F467" s="426">
        <f t="shared" si="242"/>
        <v>7.3673829590192046</v>
      </c>
      <c r="G467" s="426">
        <f t="shared" si="242"/>
        <v>7.3392854188679566</v>
      </c>
      <c r="H467" s="426">
        <f t="shared" si="242"/>
        <v>7.2708168673237914</v>
      </c>
      <c r="I467" s="426">
        <f t="shared" si="242"/>
        <v>7.4377867457012057</v>
      </c>
      <c r="J467" s="426">
        <f t="shared" si="242"/>
        <v>7.336660260801267</v>
      </c>
      <c r="K467" s="426">
        <f t="shared" si="242"/>
        <v>7.4003797265997777</v>
      </c>
      <c r="L467" s="426">
        <f t="shared" si="242"/>
        <v>7.3069648656792152</v>
      </c>
      <c r="M467" s="426">
        <f t="shared" si="242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43">Q311*0.533</f>
        <v>7.3649664475373742</v>
      </c>
      <c r="R467" s="388">
        <f t="shared" si="243"/>
        <v>7.3536500742343254</v>
      </c>
      <c r="S467" s="388">
        <f t="shared" si="243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30">
      <c r="A468" s="427" t="s">
        <v>245</v>
      </c>
      <c r="B468" s="425">
        <f>B312*0.521</f>
        <v>0</v>
      </c>
      <c r="C468" s="426">
        <f t="shared" ref="C468:L468" si="244">C312*0.521</f>
        <v>5.9605311470588243</v>
      </c>
      <c r="D468" s="437">
        <f t="shared" si="244"/>
        <v>0</v>
      </c>
      <c r="E468" s="426">
        <f t="shared" si="244"/>
        <v>7.1058423823529413</v>
      </c>
      <c r="F468" s="426">
        <f t="shared" si="244"/>
        <v>0</v>
      </c>
      <c r="G468" s="426">
        <f t="shared" si="244"/>
        <v>0</v>
      </c>
      <c r="H468" s="426">
        <f t="shared" si="244"/>
        <v>5.2484620588235291</v>
      </c>
      <c r="I468" s="426">
        <f t="shared" si="244"/>
        <v>5.3161322240896345</v>
      </c>
      <c r="J468" s="426">
        <f t="shared" si="244"/>
        <v>0</v>
      </c>
      <c r="K468" s="426">
        <f t="shared" si="244"/>
        <v>0</v>
      </c>
      <c r="L468" s="426">
        <f t="shared" si="244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45">Q312*0.521</f>
        <v>7.1058423823529413</v>
      </c>
      <c r="R468" s="388">
        <f t="shared" si="245"/>
        <v>5.2947295671682628</v>
      </c>
      <c r="S468" s="388">
        <f t="shared" si="245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30">
      <c r="A469" s="427" t="s">
        <v>98</v>
      </c>
      <c r="B469" s="425">
        <f>B313*0.487</f>
        <v>5.6005544820905744</v>
      </c>
      <c r="C469" s="426">
        <f t="shared" ref="C469:L469" si="246">C313*0.487</f>
        <v>5.6570146927839842</v>
      </c>
      <c r="D469" s="437">
        <f t="shared" si="246"/>
        <v>5.7270930609124679</v>
      </c>
      <c r="E469" s="426">
        <f t="shared" si="246"/>
        <v>5.7360344011283004</v>
      </c>
      <c r="F469" s="426">
        <f t="shared" si="246"/>
        <v>5.7301981209404103</v>
      </c>
      <c r="G469" s="426">
        <f t="shared" si="246"/>
        <v>5.7248761237753572</v>
      </c>
      <c r="H469" s="426">
        <f t="shared" si="246"/>
        <v>5.5729577003327462</v>
      </c>
      <c r="I469" s="426">
        <f t="shared" si="246"/>
        <v>5.4655996271910441</v>
      </c>
      <c r="J469" s="426">
        <f t="shared" si="246"/>
        <v>5.5169179319816788</v>
      </c>
      <c r="K469" s="426">
        <f t="shared" si="246"/>
        <v>5.5344417104783492</v>
      </c>
      <c r="L469" s="426">
        <f t="shared" si="246"/>
        <v>5.3459454372529045</v>
      </c>
      <c r="M469" s="426">
        <f>M312*0.521</f>
        <v>0</v>
      </c>
      <c r="N469" s="370"/>
      <c r="O469" s="387" t="s">
        <v>98</v>
      </c>
      <c r="P469" s="388">
        <f>P313*0.487</f>
        <v>5.6597914805114611</v>
      </c>
      <c r="Q469" s="388">
        <f t="shared" ref="Q469:S469" si="247">Q313*0.487</f>
        <v>5.7303638639409451</v>
      </c>
      <c r="R469" s="388">
        <f t="shared" si="247"/>
        <v>5.5171067540495864</v>
      </c>
      <c r="S469" s="388">
        <f t="shared" si="247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30" ht="13.5" thickBot="1">
      <c r="A470" s="428" t="s">
        <v>246</v>
      </c>
      <c r="B470" s="429">
        <f>B314*0.518</f>
        <v>6.8383878076779316</v>
      </c>
      <c r="C470" s="438">
        <f t="shared" ref="C470:L470" si="248">C314*0.518</f>
        <v>6.8668396764752355</v>
      </c>
      <c r="D470" s="439">
        <f t="shared" si="248"/>
        <v>6.8672994048314582</v>
      </c>
      <c r="E470" s="438">
        <f t="shared" si="248"/>
        <v>6.8856473797276614</v>
      </c>
      <c r="F470" s="438">
        <f t="shared" si="248"/>
        <v>6.8961550947248309</v>
      </c>
      <c r="G470" s="438">
        <f t="shared" si="248"/>
        <v>6.8898222581055846</v>
      </c>
      <c r="H470" s="438">
        <f t="shared" si="248"/>
        <v>6.7949048424751295</v>
      </c>
      <c r="I470" s="438">
        <f t="shared" si="248"/>
        <v>6.8318823425954776</v>
      </c>
      <c r="J470" s="438">
        <f t="shared" si="248"/>
        <v>6.8223887325761989</v>
      </c>
      <c r="K470" s="438">
        <f t="shared" si="248"/>
        <v>6.8943605517339224</v>
      </c>
      <c r="L470" s="438">
        <f t="shared" si="248"/>
        <v>6.8527689994562069</v>
      </c>
      <c r="M470" s="426">
        <f>M313*0.487</f>
        <v>5.2905677518861598</v>
      </c>
      <c r="N470" s="370"/>
      <c r="O470" s="395" t="s">
        <v>246</v>
      </c>
      <c r="P470" s="396">
        <f>P314*0.518</f>
        <v>6.8571488028799035</v>
      </c>
      <c r="Q470" s="396">
        <f t="shared" ref="Q470:S470" si="249">Q314*0.518</f>
        <v>6.8905082274033882</v>
      </c>
      <c r="R470" s="396">
        <f t="shared" si="249"/>
        <v>6.815721069188247</v>
      </c>
      <c r="S470" s="396">
        <f t="shared" si="249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  <c r="AB470"/>
      <c r="AC470"/>
      <c r="AD470"/>
    </row>
    <row r="471" spans="1:30">
      <c r="AB471"/>
      <c r="AC471"/>
      <c r="AD471"/>
    </row>
    <row r="472" spans="1:30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  <c r="AB472"/>
      <c r="AC472"/>
      <c r="AD472"/>
    </row>
    <row r="473" spans="1:30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  <c r="AB473"/>
      <c r="AC473"/>
      <c r="AD473"/>
    </row>
    <row r="474" spans="1:30" ht="13.5" thickBot="1">
      <c r="A474" s="409" t="s">
        <v>242</v>
      </c>
      <c r="B474" s="431">
        <f>B318*0.518</f>
        <v>6.6512236785150636</v>
      </c>
      <c r="C474" s="431">
        <f t="shared" ref="C474:M474" si="250">C318*0.518</f>
        <v>6.4415692231332429</v>
      </c>
      <c r="D474" s="432">
        <f t="shared" si="250"/>
        <v>6.451390186188064</v>
      </c>
      <c r="E474" s="431">
        <f t="shared" si="250"/>
        <v>6.3159437529405134</v>
      </c>
      <c r="F474" s="431">
        <f t="shared" si="250"/>
        <v>0</v>
      </c>
      <c r="G474" s="431">
        <f t="shared" si="250"/>
        <v>0</v>
      </c>
      <c r="H474" s="431">
        <f t="shared" si="250"/>
        <v>0</v>
      </c>
      <c r="I474" s="431">
        <f t="shared" si="250"/>
        <v>0</v>
      </c>
      <c r="J474" s="431">
        <f t="shared" si="250"/>
        <v>0</v>
      </c>
      <c r="K474" s="431">
        <f t="shared" si="250"/>
        <v>0</v>
      </c>
      <c r="L474" s="431">
        <f t="shared" si="250"/>
        <v>0</v>
      </c>
      <c r="M474" s="433">
        <f t="shared" si="250"/>
        <v>0</v>
      </c>
      <c r="N474" s="370"/>
      <c r="O474" s="412" t="s">
        <v>242</v>
      </c>
      <c r="P474" s="385">
        <f>P318*0.518</f>
        <v>6.3982648978943049</v>
      </c>
      <c r="Q474" s="385">
        <f t="shared" ref="Q474:S474" si="251">Q318*0.518</f>
        <v>0</v>
      </c>
      <c r="R474" s="385">
        <f t="shared" si="251"/>
        <v>0</v>
      </c>
      <c r="S474" s="385">
        <f t="shared" si="251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  <c r="AB474"/>
      <c r="AC474"/>
      <c r="AD474"/>
    </row>
    <row r="475" spans="1:30">
      <c r="A475" s="424" t="s">
        <v>247</v>
      </c>
      <c r="B475" s="434">
        <f>B319*0.539</f>
        <v>6.8633878007173008</v>
      </c>
      <c r="C475" s="435">
        <f t="shared" ref="C475:M475" si="252">C319*0.539</f>
        <v>6.8860365729283552</v>
      </c>
      <c r="D475" s="436">
        <f t="shared" si="252"/>
        <v>6.5525732707412718</v>
      </c>
      <c r="E475" s="435">
        <f t="shared" si="252"/>
        <v>6.6038418696597052</v>
      </c>
      <c r="F475" s="435">
        <f t="shared" si="252"/>
        <v>0</v>
      </c>
      <c r="G475" s="435">
        <f t="shared" si="252"/>
        <v>0</v>
      </c>
      <c r="H475" s="435">
        <f t="shared" si="252"/>
        <v>0</v>
      </c>
      <c r="I475" s="435">
        <f t="shared" si="252"/>
        <v>0</v>
      </c>
      <c r="J475" s="435">
        <f t="shared" si="252"/>
        <v>0</v>
      </c>
      <c r="K475" s="435">
        <f t="shared" si="252"/>
        <v>0</v>
      </c>
      <c r="L475" s="435">
        <f t="shared" si="252"/>
        <v>0</v>
      </c>
      <c r="M475" s="435">
        <f t="shared" si="252"/>
        <v>0</v>
      </c>
      <c r="N475" s="370"/>
      <c r="O475" s="416" t="s">
        <v>247</v>
      </c>
      <c r="P475" s="391">
        <f>P319*0.539</f>
        <v>6.6502601970435338</v>
      </c>
      <c r="Q475" s="391">
        <f t="shared" ref="Q475:S475" si="253">Q319*0.539</f>
        <v>0</v>
      </c>
      <c r="R475" s="391">
        <f t="shared" si="253"/>
        <v>0</v>
      </c>
      <c r="S475" s="391">
        <f t="shared" si="253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  <c r="AB475"/>
      <c r="AC475"/>
      <c r="AD475"/>
    </row>
    <row r="476" spans="1:30">
      <c r="A476" s="427" t="s">
        <v>243</v>
      </c>
      <c r="B476" s="425">
        <f>B320*0.533</f>
        <v>7.3317502396178824</v>
      </c>
      <c r="C476" s="426">
        <f t="shared" ref="C476:M476" si="254">C320*0.533</f>
        <v>7.0142831886165053</v>
      </c>
      <c r="D476" s="437">
        <f t="shared" si="254"/>
        <v>6.9761645254627513</v>
      </c>
      <c r="E476" s="426">
        <f t="shared" si="254"/>
        <v>6.7680594349373644</v>
      </c>
      <c r="F476" s="426">
        <f t="shared" si="254"/>
        <v>0</v>
      </c>
      <c r="G476" s="426">
        <f t="shared" si="254"/>
        <v>0</v>
      </c>
      <c r="H476" s="426">
        <f t="shared" si="254"/>
        <v>0</v>
      </c>
      <c r="I476" s="426">
        <f t="shared" si="254"/>
        <v>0</v>
      </c>
      <c r="J476" s="426">
        <f t="shared" si="254"/>
        <v>0</v>
      </c>
      <c r="K476" s="426">
        <f t="shared" si="254"/>
        <v>0</v>
      </c>
      <c r="L476" s="426">
        <f t="shared" si="254"/>
        <v>0</v>
      </c>
      <c r="M476" s="426">
        <f t="shared" si="254"/>
        <v>0</v>
      </c>
      <c r="N476" s="370"/>
      <c r="O476" s="387" t="s">
        <v>243</v>
      </c>
      <c r="P476" s="388">
        <f>P320*0.533</f>
        <v>6.9841151387994387</v>
      </c>
      <c r="Q476" s="388">
        <f t="shared" ref="Q476:S476" si="255">Q320*0.533</f>
        <v>0</v>
      </c>
      <c r="R476" s="388">
        <f t="shared" si="255"/>
        <v>0</v>
      </c>
      <c r="S476" s="388">
        <f t="shared" si="255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  <c r="AB476"/>
      <c r="AC476"/>
      <c r="AD476"/>
    </row>
    <row r="477" spans="1:30">
      <c r="A477" s="427" t="s">
        <v>244</v>
      </c>
      <c r="B477" s="425">
        <f>B321*0.533</f>
        <v>7.2505074634497442</v>
      </c>
      <c r="C477" s="426">
        <f t="shared" ref="C477:M477" si="256">C321*0.533</f>
        <v>6.8932808752377088</v>
      </c>
      <c r="D477" s="437">
        <f t="shared" si="256"/>
        <v>6.8768717029384394</v>
      </c>
      <c r="E477" s="426">
        <f t="shared" si="256"/>
        <v>6.6556626595436708</v>
      </c>
      <c r="F477" s="426">
        <f t="shared" si="256"/>
        <v>0</v>
      </c>
      <c r="G477" s="426">
        <f t="shared" si="256"/>
        <v>0</v>
      </c>
      <c r="H477" s="426">
        <f t="shared" si="256"/>
        <v>0</v>
      </c>
      <c r="I477" s="426">
        <f t="shared" si="256"/>
        <v>0</v>
      </c>
      <c r="J477" s="426">
        <f t="shared" si="256"/>
        <v>0</v>
      </c>
      <c r="K477" s="426">
        <f t="shared" si="256"/>
        <v>0</v>
      </c>
      <c r="L477" s="426">
        <f t="shared" si="256"/>
        <v>0</v>
      </c>
      <c r="M477" s="426">
        <f t="shared" si="256"/>
        <v>0</v>
      </c>
      <c r="N477" s="370"/>
      <c r="O477" s="387" t="s">
        <v>244</v>
      </c>
      <c r="P477" s="388">
        <f>P321*0.533</f>
        <v>6.8914794899571934</v>
      </c>
      <c r="Q477" s="388">
        <f t="shared" ref="Q477:S477" si="257">Q321*0.533</f>
        <v>0</v>
      </c>
      <c r="R477" s="388">
        <f t="shared" si="257"/>
        <v>0</v>
      </c>
      <c r="S477" s="388">
        <f t="shared" si="257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  <c r="AB477"/>
      <c r="AC477"/>
      <c r="AD477"/>
    </row>
    <row r="478" spans="1:30">
      <c r="A478" s="427" t="s">
        <v>245</v>
      </c>
      <c r="B478" s="425">
        <f>B322*0.533</f>
        <v>0</v>
      </c>
      <c r="C478" s="426">
        <f t="shared" ref="C478:M478" si="258">C322*0.521</f>
        <v>0</v>
      </c>
      <c r="D478" s="437">
        <f t="shared" si="258"/>
        <v>0</v>
      </c>
      <c r="E478" s="426">
        <f t="shared" si="258"/>
        <v>0</v>
      </c>
      <c r="F478" s="426">
        <f t="shared" si="258"/>
        <v>0</v>
      </c>
      <c r="G478" s="426">
        <f t="shared" si="258"/>
        <v>0</v>
      </c>
      <c r="H478" s="426">
        <f t="shared" si="258"/>
        <v>0</v>
      </c>
      <c r="I478" s="426">
        <f t="shared" si="258"/>
        <v>0</v>
      </c>
      <c r="J478" s="426">
        <f t="shared" si="258"/>
        <v>0</v>
      </c>
      <c r="K478" s="426">
        <f t="shared" si="258"/>
        <v>0</v>
      </c>
      <c r="L478" s="426">
        <f t="shared" si="258"/>
        <v>0</v>
      </c>
      <c r="M478" s="426">
        <f t="shared" si="258"/>
        <v>0</v>
      </c>
      <c r="N478" s="370"/>
      <c r="O478" s="387" t="s">
        <v>245</v>
      </c>
      <c r="P478" s="388">
        <f>P322*0.521</f>
        <v>6.6729504441437486</v>
      </c>
      <c r="Q478" s="388">
        <f t="shared" ref="Q478:S478" si="259">Q322*0.521</f>
        <v>0</v>
      </c>
      <c r="R478" s="388">
        <f t="shared" si="259"/>
        <v>0</v>
      </c>
      <c r="S478" s="388">
        <f t="shared" si="259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  <c r="AB478"/>
      <c r="AC478"/>
      <c r="AD478"/>
    </row>
    <row r="479" spans="1:30">
      <c r="A479" s="427" t="s">
        <v>98</v>
      </c>
      <c r="B479" s="425">
        <f>B323*0.521</f>
        <v>5.6270223307308553</v>
      </c>
      <c r="C479" s="426">
        <f t="shared" ref="C479:M479" si="260">C323*0.487</f>
        <v>5.0925365501071767</v>
      </c>
      <c r="D479" s="437">
        <f t="shared" si="260"/>
        <v>5.2073495488219557</v>
      </c>
      <c r="E479" s="426">
        <f t="shared" si="260"/>
        <v>5.1628042060639343</v>
      </c>
      <c r="F479" s="426">
        <f t="shared" si="260"/>
        <v>0</v>
      </c>
      <c r="G479" s="426">
        <f t="shared" si="260"/>
        <v>0</v>
      </c>
      <c r="H479" s="426">
        <f t="shared" si="260"/>
        <v>0</v>
      </c>
      <c r="I479" s="426">
        <f t="shared" si="260"/>
        <v>0</v>
      </c>
      <c r="J479" s="426">
        <f t="shared" si="260"/>
        <v>0</v>
      </c>
      <c r="K479" s="426">
        <f t="shared" si="260"/>
        <v>0</v>
      </c>
      <c r="L479" s="426">
        <f t="shared" si="260"/>
        <v>0</v>
      </c>
      <c r="M479" s="426">
        <f t="shared" si="260"/>
        <v>0</v>
      </c>
      <c r="N479" s="370"/>
      <c r="O479" s="387" t="s">
        <v>98</v>
      </c>
      <c r="P479" s="388">
        <f>P323*0.487</f>
        <v>5.0968040991455084</v>
      </c>
      <c r="Q479" s="388">
        <f t="shared" ref="Q479:S479" si="261">Q323*0.487</f>
        <v>0</v>
      </c>
      <c r="R479" s="388">
        <f t="shared" si="261"/>
        <v>0</v>
      </c>
      <c r="S479" s="388">
        <f t="shared" si="261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  <c r="AB479"/>
      <c r="AC479"/>
      <c r="AD479"/>
    </row>
    <row r="480" spans="1:30" ht="13.5" thickBot="1">
      <c r="A480" s="428" t="s">
        <v>246</v>
      </c>
      <c r="B480" s="425">
        <f>B324*0.487</f>
        <v>6.4583753873493137</v>
      </c>
      <c r="C480" s="438">
        <f t="shared" ref="C480:M480" si="262">C324*0.518</f>
        <v>6.7565276409610764</v>
      </c>
      <c r="D480" s="439">
        <f t="shared" si="262"/>
        <v>6.7956759302339016</v>
      </c>
      <c r="E480" s="438">
        <f t="shared" si="262"/>
        <v>6.7563120592570369</v>
      </c>
      <c r="F480" s="438">
        <f t="shared" si="262"/>
        <v>0</v>
      </c>
      <c r="G480" s="438">
        <f t="shared" si="262"/>
        <v>0</v>
      </c>
      <c r="H480" s="438">
        <f t="shared" si="262"/>
        <v>0</v>
      </c>
      <c r="I480" s="438">
        <f t="shared" si="262"/>
        <v>0</v>
      </c>
      <c r="J480" s="438">
        <f t="shared" si="262"/>
        <v>0</v>
      </c>
      <c r="K480" s="438">
        <f t="shared" si="262"/>
        <v>0</v>
      </c>
      <c r="L480" s="438">
        <f t="shared" si="262"/>
        <v>0</v>
      </c>
      <c r="M480" s="438">
        <f t="shared" si="262"/>
        <v>0</v>
      </c>
      <c r="N480" s="370"/>
      <c r="O480" s="395" t="s">
        <v>246</v>
      </c>
      <c r="P480" s="396">
        <f>P324*0.518</f>
        <v>6.6780545955207726</v>
      </c>
      <c r="Q480" s="396">
        <f t="shared" ref="Q480:S480" si="263">Q324*0.518</f>
        <v>0</v>
      </c>
      <c r="R480" s="396">
        <f t="shared" si="263"/>
        <v>0</v>
      </c>
      <c r="S480" s="396">
        <f t="shared" si="263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  <c r="AB480"/>
      <c r="AC480"/>
      <c r="AD480"/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349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36:S136"/>
    <mergeCell ref="V136:W136"/>
    <mergeCell ref="P106:S106"/>
    <mergeCell ref="V106:W106"/>
    <mergeCell ref="P116:S116"/>
    <mergeCell ref="V116:W116"/>
    <mergeCell ref="P126:S126"/>
    <mergeCell ref="V126:W126"/>
    <mergeCell ref="P79:S79"/>
    <mergeCell ref="V79:W79"/>
    <mergeCell ref="P88:S88"/>
    <mergeCell ref="V88:W88"/>
    <mergeCell ref="P97:S97"/>
    <mergeCell ref="V97:W97"/>
    <mergeCell ref="A2:M4"/>
    <mergeCell ref="Q7:S7"/>
    <mergeCell ref="V7:W7"/>
    <mergeCell ref="P25:S25"/>
    <mergeCell ref="V25:W25"/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49" t="s">
        <v>88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0"/>
      <c r="B3" s="1155" t="s">
        <v>99</v>
      </c>
      <c r="C3" s="1156"/>
      <c r="D3" s="1156"/>
      <c r="E3" s="1156"/>
      <c r="F3" s="1157"/>
      <c r="G3" s="1151" t="s">
        <v>71</v>
      </c>
      <c r="H3" s="1152"/>
      <c r="I3" s="1158" t="s">
        <v>318</v>
      </c>
      <c r="J3" s="1153" t="s">
        <v>72</v>
      </c>
      <c r="K3" s="1154"/>
      <c r="L3" s="5"/>
    </row>
    <row r="4" spans="1:12" s="122" customFormat="1" ht="31.5">
      <c r="A4" s="821" t="s">
        <v>73</v>
      </c>
      <c r="B4" s="819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59"/>
      <c r="J4" s="124" t="s">
        <v>70</v>
      </c>
      <c r="K4" s="663" t="s">
        <v>81</v>
      </c>
      <c r="L4" s="5"/>
    </row>
    <row r="5" spans="1:12" s="122" customFormat="1" ht="21" customHeight="1" thickBot="1">
      <c r="A5" s="822"/>
      <c r="B5" s="979" t="s">
        <v>369</v>
      </c>
      <c r="C5" s="979" t="s">
        <v>369</v>
      </c>
      <c r="D5" s="979" t="s">
        <v>369</v>
      </c>
      <c r="E5" s="1101" t="s">
        <v>127</v>
      </c>
      <c r="F5" s="1102" t="s">
        <v>79</v>
      </c>
      <c r="G5" s="979" t="s">
        <v>369</v>
      </c>
      <c r="H5" s="818" t="s">
        <v>90</v>
      </c>
      <c r="I5" s="918"/>
      <c r="J5" s="979" t="s">
        <v>369</v>
      </c>
      <c r="K5" s="1088" t="s">
        <v>80</v>
      </c>
      <c r="L5" s="5"/>
    </row>
    <row r="6" spans="1:12" s="122" customFormat="1" ht="28.5" customHeight="1" thickBot="1">
      <c r="A6" s="79" t="s">
        <v>22</v>
      </c>
      <c r="B6" s="801">
        <v>6.1347824146204539</v>
      </c>
      <c r="C6" s="802">
        <v>11843.20929463408</v>
      </c>
      <c r="D6" s="802">
        <v>12080.073480526762</v>
      </c>
      <c r="E6" s="1095">
        <v>-1.6187091019393836</v>
      </c>
      <c r="F6" s="1103">
        <v>-11.022826792344857</v>
      </c>
      <c r="G6" s="803">
        <v>326.04751396805693</v>
      </c>
      <c r="H6" s="1095">
        <v>-1.0350861816136858</v>
      </c>
      <c r="I6" s="803">
        <v>9.5049749706445841</v>
      </c>
      <c r="J6" s="804">
        <v>100</v>
      </c>
      <c r="K6" s="1089" t="s">
        <v>23</v>
      </c>
    </row>
    <row r="7" spans="1:12" s="122" customFormat="1" ht="25.5" customHeight="1">
      <c r="A7" s="905" t="s">
        <v>103</v>
      </c>
      <c r="B7" s="1009">
        <v>6.258310634956314</v>
      </c>
      <c r="C7" s="1010">
        <v>11610.965927562735</v>
      </c>
      <c r="D7" s="1010">
        <v>11843.18524611399</v>
      </c>
      <c r="E7" s="1104">
        <v>-3.2727290598300844</v>
      </c>
      <c r="F7" s="1105">
        <v>-12.716879349064403</v>
      </c>
      <c r="G7" s="805">
        <v>275.70714285714286</v>
      </c>
      <c r="H7" s="1096">
        <v>-1.8645297880995706</v>
      </c>
      <c r="I7" s="806">
        <v>27.27272727272727</v>
      </c>
      <c r="J7" s="806">
        <v>7.9011230882103947E-2</v>
      </c>
      <c r="K7" s="1090">
        <v>1.1030265552396265E-2</v>
      </c>
    </row>
    <row r="8" spans="1:12" s="122" customFormat="1" ht="24" customHeight="1">
      <c r="A8" s="906" t="s">
        <v>104</v>
      </c>
      <c r="B8" s="1011">
        <v>6.4454222786531972</v>
      </c>
      <c r="C8" s="807">
        <v>12092.724725428137</v>
      </c>
      <c r="D8" s="807">
        <v>12334.579219936701</v>
      </c>
      <c r="E8" s="1106">
        <v>-1.6390095631936454</v>
      </c>
      <c r="F8" s="808">
        <v>-13.085275450262296</v>
      </c>
      <c r="G8" s="809">
        <v>359.75646357423295</v>
      </c>
      <c r="H8" s="1097">
        <v>-2.4229307537417671E-3</v>
      </c>
      <c r="I8" s="810">
        <v>2.5499552639427376</v>
      </c>
      <c r="J8" s="810">
        <v>38.811445341159207</v>
      </c>
      <c r="K8" s="1091">
        <v>-2.6322231589334919</v>
      </c>
    </row>
    <row r="9" spans="1:12" s="122" customFormat="1" ht="24" customHeight="1">
      <c r="A9" s="906" t="s">
        <v>105</v>
      </c>
      <c r="B9" s="1011">
        <v>6.2134093928529817</v>
      </c>
      <c r="C9" s="807">
        <v>11657.4285044146</v>
      </c>
      <c r="D9" s="807">
        <v>11890.577074502893</v>
      </c>
      <c r="E9" s="1106">
        <v>-2.1977946238987753</v>
      </c>
      <c r="F9" s="808">
        <v>-15.740824565267051</v>
      </c>
      <c r="G9" s="811">
        <v>391.8748493150685</v>
      </c>
      <c r="H9" s="1098">
        <v>-0.24293782444675333</v>
      </c>
      <c r="I9" s="812">
        <v>-2.8221512247071354</v>
      </c>
      <c r="J9" s="812">
        <v>10.299678311417122</v>
      </c>
      <c r="K9" s="1092">
        <v>-1.3065264966911538</v>
      </c>
    </row>
    <row r="10" spans="1:12" s="122" customFormat="1" ht="24" customHeight="1">
      <c r="A10" s="906" t="s">
        <v>106</v>
      </c>
      <c r="B10" s="1055" t="s">
        <v>100</v>
      </c>
      <c r="C10" s="892" t="s">
        <v>257</v>
      </c>
      <c r="D10" s="892" t="s">
        <v>257</v>
      </c>
      <c r="E10" s="1099" t="s">
        <v>100</v>
      </c>
      <c r="F10" s="1107" t="s">
        <v>100</v>
      </c>
      <c r="G10" s="1008" t="s">
        <v>257</v>
      </c>
      <c r="H10" s="1099" t="s">
        <v>100</v>
      </c>
      <c r="I10" s="813" t="s">
        <v>100</v>
      </c>
      <c r="J10" s="885" t="s">
        <v>100</v>
      </c>
      <c r="K10" s="1093" t="s">
        <v>100</v>
      </c>
    </row>
    <row r="11" spans="1:12" s="122" customFormat="1" ht="24" customHeight="1">
      <c r="A11" s="906" t="s">
        <v>98</v>
      </c>
      <c r="B11" s="1011">
        <v>5.1392596522591401</v>
      </c>
      <c r="C11" s="807">
        <v>10552.894563160453</v>
      </c>
      <c r="D11" s="807">
        <v>10763.952454423663</v>
      </c>
      <c r="E11" s="1106">
        <v>-0.83866506210282854</v>
      </c>
      <c r="F11" s="808">
        <v>-10.42464740132392</v>
      </c>
      <c r="G11" s="811">
        <v>283.18639698176486</v>
      </c>
      <c r="H11" s="1098">
        <v>-5.5469477153319929E-2</v>
      </c>
      <c r="I11" s="812">
        <v>25.288865546218485</v>
      </c>
      <c r="J11" s="812">
        <v>26.92589875275128</v>
      </c>
      <c r="K11" s="1092">
        <v>3.392124573157929</v>
      </c>
    </row>
    <row r="12" spans="1:12" s="122" customFormat="1" ht="24" customHeight="1" thickBot="1">
      <c r="A12" s="907" t="s">
        <v>107</v>
      </c>
      <c r="B12" s="1012">
        <v>6.6655804003771291</v>
      </c>
      <c r="C12" s="814">
        <v>12867.915830843878</v>
      </c>
      <c r="D12" s="814">
        <v>13125.274147460756</v>
      </c>
      <c r="E12" s="1108">
        <v>-0.45627608569071032</v>
      </c>
      <c r="F12" s="815">
        <v>-3.397331136291398</v>
      </c>
      <c r="G12" s="816">
        <v>291.14009467455617</v>
      </c>
      <c r="H12" s="1100">
        <v>0.14412207070753483</v>
      </c>
      <c r="I12" s="817">
        <v>11.861265554673022</v>
      </c>
      <c r="J12" s="817">
        <v>23.844460748349231</v>
      </c>
      <c r="K12" s="1094">
        <v>0.50226928923051162</v>
      </c>
    </row>
    <row r="13" spans="1:12" s="122" customFormat="1" ht="15">
      <c r="A13" s="1006"/>
      <c r="B13" s="1007"/>
    </row>
    <row r="14" spans="1:12" s="122" customFormat="1" ht="46.5" customHeight="1">
      <c r="A14" s="1150" t="s">
        <v>126</v>
      </c>
      <c r="B14" s="1150"/>
      <c r="C14" s="1150"/>
      <c r="D14" s="1150"/>
      <c r="E14" s="1150"/>
      <c r="F14" s="1150"/>
      <c r="G14" s="1150"/>
      <c r="H14" s="1150"/>
      <c r="I14" s="1150"/>
      <c r="J14" s="1150"/>
      <c r="K14" s="1150"/>
    </row>
    <row r="15" spans="1:12" s="122" customFormat="1" ht="33.75" customHeight="1">
      <c r="A15" s="1150" t="s">
        <v>345</v>
      </c>
      <c r="B15" s="1150"/>
      <c r="C15" s="1150"/>
      <c r="D15" s="1150"/>
      <c r="E15" s="1150"/>
      <c r="F15" s="1150"/>
      <c r="G15" s="1150"/>
      <c r="H15" s="1150"/>
      <c r="I15" s="1150"/>
      <c r="J15" s="1150"/>
      <c r="K15" s="1150"/>
    </row>
    <row r="16" spans="1:12" s="122" customFormat="1">
      <c r="A16" s="1150" t="s">
        <v>171</v>
      </c>
      <c r="B16" s="1150"/>
      <c r="C16" s="1150"/>
      <c r="D16" s="1150"/>
      <c r="E16" s="1150"/>
      <c r="F16" s="1150"/>
      <c r="G16" s="1150"/>
      <c r="H16" s="1150"/>
      <c r="I16" s="1150"/>
      <c r="J16" s="1150"/>
      <c r="K16" s="1150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A44"/>
  <sheetViews>
    <sheetView showGridLines="0" tabSelected="1" topLeftCell="A4" workbookViewId="0">
      <selection activeCell="W28" sqref="W28"/>
    </sheetView>
  </sheetViews>
  <sheetFormatPr defaultRowHeight="12.75"/>
  <sheetData>
    <row r="22" s="122" customFormat="1" ht="12" customHeight="1"/>
    <row r="23" s="122" customFormat="1" ht="9.75" customHeight="1"/>
    <row r="24" s="122" customFormat="1" ht="12" customHeight="1"/>
    <row r="43" spans="1:1" ht="17.25" customHeight="1"/>
    <row r="44" spans="1:1" ht="17.25" customHeight="1">
      <c r="A44" s="1054" t="s">
        <v>362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0" t="s">
        <v>87</v>
      </c>
      <c r="B1" s="1160"/>
      <c r="C1" s="1160"/>
      <c r="D1" s="1160"/>
      <c r="E1" s="1160"/>
      <c r="F1" s="1160"/>
      <c r="G1" s="1160"/>
      <c r="H1" s="1160"/>
      <c r="I1" s="1160"/>
      <c r="J1" s="1160"/>
      <c r="K1" s="147"/>
    </row>
    <row r="2" spans="1:11" ht="19.5" thickBot="1">
      <c r="A2" s="1174" t="s">
        <v>346</v>
      </c>
      <c r="B2" s="1175"/>
      <c r="C2" s="1175"/>
      <c r="D2" s="1175"/>
      <c r="E2" s="1175"/>
      <c r="F2" s="1175"/>
      <c r="G2" s="1175"/>
      <c r="H2" s="1175"/>
      <c r="I2" s="1175"/>
      <c r="J2" s="1176"/>
    </row>
    <row r="3" spans="1:11" ht="26.25" thickBot="1">
      <c r="A3" s="778"/>
      <c r="B3" s="878"/>
      <c r="C3" s="879" t="s">
        <v>82</v>
      </c>
      <c r="D3" s="150"/>
      <c r="E3" s="823"/>
      <c r="F3" s="824" t="s">
        <v>331</v>
      </c>
      <c r="G3" s="825" t="s">
        <v>332</v>
      </c>
      <c r="H3" s="826" t="s">
        <v>91</v>
      </c>
      <c r="I3" s="824" t="s">
        <v>333</v>
      </c>
      <c r="J3" s="825" t="s">
        <v>334</v>
      </c>
    </row>
    <row r="4" spans="1:11" ht="27">
      <c r="A4" s="779" t="s">
        <v>73</v>
      </c>
      <c r="B4" s="827" t="s">
        <v>83</v>
      </c>
      <c r="C4" s="828" t="s">
        <v>84</v>
      </c>
      <c r="D4" s="1013" t="s">
        <v>85</v>
      </c>
      <c r="E4" s="829" t="s">
        <v>92</v>
      </c>
      <c r="F4" s="830" t="s">
        <v>78</v>
      </c>
      <c r="G4" s="831" t="s">
        <v>69</v>
      </c>
      <c r="H4" s="832" t="s">
        <v>93</v>
      </c>
      <c r="I4" s="151" t="s">
        <v>70</v>
      </c>
      <c r="J4" s="833" t="s">
        <v>92</v>
      </c>
    </row>
    <row r="5" spans="1:11" ht="14.25" thickBot="1">
      <c r="A5" s="152"/>
      <c r="B5" s="979" t="s">
        <v>369</v>
      </c>
      <c r="C5" s="979" t="s">
        <v>369</v>
      </c>
      <c r="D5" s="979" t="s">
        <v>369</v>
      </c>
      <c r="E5" s="834" t="s">
        <v>70</v>
      </c>
      <c r="F5" s="979" t="s">
        <v>369</v>
      </c>
      <c r="G5" s="835" t="s">
        <v>94</v>
      </c>
      <c r="H5" s="836" t="s">
        <v>90</v>
      </c>
      <c r="I5" s="979" t="s">
        <v>369</v>
      </c>
      <c r="J5" s="837" t="s">
        <v>80</v>
      </c>
    </row>
    <row r="6" spans="1:11" ht="16.5" thickBot="1">
      <c r="A6" s="838" t="s">
        <v>338</v>
      </c>
      <c r="B6" s="839"/>
      <c r="C6" s="839"/>
      <c r="D6" s="839"/>
      <c r="E6" s="839"/>
      <c r="F6" s="839"/>
      <c r="G6" s="839"/>
      <c r="H6" s="839"/>
      <c r="I6" s="839"/>
      <c r="J6" s="840"/>
    </row>
    <row r="7" spans="1:11" ht="15.75" thickBot="1">
      <c r="A7" s="841" t="s">
        <v>22</v>
      </c>
      <c r="B7" s="842">
        <v>6.1615538402108871</v>
      </c>
      <c r="C7" s="843">
        <v>11894.891583418701</v>
      </c>
      <c r="D7" s="844">
        <v>12132.789415087074</v>
      </c>
      <c r="E7" s="845">
        <v>-1.6187240187387795</v>
      </c>
      <c r="F7" s="846">
        <v>326.59306699310036</v>
      </c>
      <c r="G7" s="845">
        <v>-1.4200044679786079</v>
      </c>
      <c r="H7" s="845">
        <v>9.3054372947330002</v>
      </c>
      <c r="I7" s="845">
        <v>100</v>
      </c>
      <c r="J7" s="847" t="s">
        <v>23</v>
      </c>
    </row>
    <row r="8" spans="1:11" ht="15">
      <c r="A8" s="848" t="s">
        <v>103</v>
      </c>
      <c r="B8" s="849">
        <v>5.7604137135416664</v>
      </c>
      <c r="C8" s="850">
        <v>10687.223958333332</v>
      </c>
      <c r="D8" s="851">
        <v>10900.9684375</v>
      </c>
      <c r="E8" s="852">
        <v>-11.653280212166784</v>
      </c>
      <c r="F8" s="853">
        <v>213.33333333333334</v>
      </c>
      <c r="G8" s="854">
        <v>-7.2463768115941987</v>
      </c>
      <c r="H8" s="854">
        <v>-25</v>
      </c>
      <c r="I8" s="854">
        <v>3.3385265969285559E-2</v>
      </c>
      <c r="J8" s="855">
        <v>-1.5270615310364118E-2</v>
      </c>
    </row>
    <row r="9" spans="1:11" ht="15">
      <c r="A9" s="856" t="s">
        <v>104</v>
      </c>
      <c r="B9" s="857">
        <v>6.4203069972078248</v>
      </c>
      <c r="C9" s="858">
        <v>12045.604122341134</v>
      </c>
      <c r="D9" s="859">
        <v>12286.516204787957</v>
      </c>
      <c r="E9" s="860">
        <v>-1.8819503285347396</v>
      </c>
      <c r="F9" s="861">
        <v>355.39795321637428</v>
      </c>
      <c r="G9" s="862">
        <v>-0.4917372850034879</v>
      </c>
      <c r="H9" s="862">
        <v>1.4836795252225521</v>
      </c>
      <c r="I9" s="862">
        <v>38.059203204985529</v>
      </c>
      <c r="J9" s="863">
        <v>-2.9333767731193277</v>
      </c>
    </row>
    <row r="10" spans="1:11" ht="15">
      <c r="A10" s="856" t="s">
        <v>105</v>
      </c>
      <c r="B10" s="857">
        <v>6.23795663704042</v>
      </c>
      <c r="C10" s="858">
        <v>11703.48337155801</v>
      </c>
      <c r="D10" s="859">
        <v>11937.55303898917</v>
      </c>
      <c r="E10" s="860">
        <v>-1.8231913671709323</v>
      </c>
      <c r="F10" s="861">
        <v>395.36246851385391</v>
      </c>
      <c r="G10" s="862">
        <v>-4.543914021552637E-2</v>
      </c>
      <c r="H10" s="862">
        <v>1.5345268542199488</v>
      </c>
      <c r="I10" s="862">
        <v>13.253950589806365</v>
      </c>
      <c r="J10" s="863">
        <v>-1.0143865954509028</v>
      </c>
    </row>
    <row r="11" spans="1:11" ht="15">
      <c r="A11" s="856" t="s">
        <v>106</v>
      </c>
      <c r="B11" s="864" t="s">
        <v>100</v>
      </c>
      <c r="C11" s="858" t="s">
        <v>100</v>
      </c>
      <c r="D11" s="859" t="s">
        <v>100</v>
      </c>
      <c r="E11" s="860" t="s">
        <v>100</v>
      </c>
      <c r="F11" s="861" t="s">
        <v>100</v>
      </c>
      <c r="G11" s="862" t="s">
        <v>100</v>
      </c>
      <c r="H11" s="862" t="s">
        <v>100</v>
      </c>
      <c r="I11" s="862" t="s">
        <v>100</v>
      </c>
      <c r="J11" s="863" t="s">
        <v>100</v>
      </c>
    </row>
    <row r="12" spans="1:11" ht="15">
      <c r="A12" s="856" t="s">
        <v>98</v>
      </c>
      <c r="B12" s="857">
        <v>5.1672843772611436</v>
      </c>
      <c r="C12" s="858">
        <v>10610.440199714874</v>
      </c>
      <c r="D12" s="859">
        <v>10822.649003709172</v>
      </c>
      <c r="E12" s="860">
        <v>-1.1023783115737875</v>
      </c>
      <c r="F12" s="861">
        <v>279.16888782358575</v>
      </c>
      <c r="G12" s="862">
        <v>-0.98375626207657696</v>
      </c>
      <c r="H12" s="862">
        <v>24.910179640718564</v>
      </c>
      <c r="I12" s="862">
        <v>23.213888270643224</v>
      </c>
      <c r="J12" s="863">
        <v>2.9000578363894824</v>
      </c>
    </row>
    <row r="13" spans="1:11" ht="15.75" thickBot="1">
      <c r="A13" s="865" t="s">
        <v>107</v>
      </c>
      <c r="B13" s="866">
        <v>6.6719993437370109</v>
      </c>
      <c r="C13" s="867">
        <v>12880.307613391913</v>
      </c>
      <c r="D13" s="868">
        <v>13137.913765659752</v>
      </c>
      <c r="E13" s="869">
        <v>-0.45942451511413829</v>
      </c>
      <c r="F13" s="870">
        <v>291.09418197725279</v>
      </c>
      <c r="G13" s="871">
        <v>-0.15393343345885688</v>
      </c>
      <c r="H13" s="871">
        <v>14.071856287425149</v>
      </c>
      <c r="I13" s="871">
        <v>25.439572668595595</v>
      </c>
      <c r="J13" s="872">
        <v>1.0629761474911064</v>
      </c>
    </row>
    <row r="14" spans="1:11" ht="16.5" thickBot="1">
      <c r="A14" s="838" t="s">
        <v>335</v>
      </c>
      <c r="B14" s="839"/>
      <c r="C14" s="839"/>
      <c r="D14" s="839"/>
      <c r="E14" s="839"/>
      <c r="F14" s="839"/>
      <c r="G14" s="839"/>
      <c r="H14" s="839"/>
      <c r="I14" s="839"/>
      <c r="J14" s="840"/>
    </row>
    <row r="15" spans="1:11" ht="15.75" thickBot="1">
      <c r="A15" s="841" t="s">
        <v>22</v>
      </c>
      <c r="B15" s="873">
        <v>6.2038404027122658</v>
      </c>
      <c r="C15" s="874">
        <v>11976.525873961904</v>
      </c>
      <c r="D15" s="875">
        <v>12216.056391441141</v>
      </c>
      <c r="E15" s="845">
        <v>-1.4233676841350924</v>
      </c>
      <c r="F15" s="845">
        <v>327.76943521594683</v>
      </c>
      <c r="G15" s="845">
        <v>-0.60289017609955253</v>
      </c>
      <c r="H15" s="845">
        <v>8.9001447178002895</v>
      </c>
      <c r="I15" s="845">
        <v>100</v>
      </c>
      <c r="J15" s="847" t="s">
        <v>23</v>
      </c>
    </row>
    <row r="16" spans="1:11" ht="15">
      <c r="A16" s="848" t="s">
        <v>103</v>
      </c>
      <c r="B16" s="849">
        <v>6.3572713841005983</v>
      </c>
      <c r="C16" s="850">
        <v>11794.566575325784</v>
      </c>
      <c r="D16" s="851">
        <v>12030.4579068323</v>
      </c>
      <c r="E16" s="852">
        <v>-1.419088101658289</v>
      </c>
      <c r="F16" s="853">
        <v>292.74545454545455</v>
      </c>
      <c r="G16" s="854">
        <v>-5.5659824046920807</v>
      </c>
      <c r="H16" s="854">
        <v>57.142857142857139</v>
      </c>
      <c r="I16" s="854">
        <v>0.14617940199335547</v>
      </c>
      <c r="J16" s="855">
        <v>4.4876941790750552E-2</v>
      </c>
    </row>
    <row r="17" spans="1:10" ht="15">
      <c r="A17" s="856" t="s">
        <v>104</v>
      </c>
      <c r="B17" s="857">
        <v>6.5055207976228457</v>
      </c>
      <c r="C17" s="858">
        <v>12205.479920493144</v>
      </c>
      <c r="D17" s="859">
        <v>12449.589518903007</v>
      </c>
      <c r="E17" s="860">
        <v>-1.2358732442542846</v>
      </c>
      <c r="F17" s="861">
        <v>364.04698795180724</v>
      </c>
      <c r="G17" s="862">
        <v>0.51681980805427097</v>
      </c>
      <c r="H17" s="862">
        <v>2.4025974025974026</v>
      </c>
      <c r="I17" s="862">
        <v>41.91362126245847</v>
      </c>
      <c r="J17" s="863">
        <v>-2.6594612266876965</v>
      </c>
    </row>
    <row r="18" spans="1:10" ht="15">
      <c r="A18" s="856" t="s">
        <v>105</v>
      </c>
      <c r="B18" s="857">
        <v>6.1706183494703906</v>
      </c>
      <c r="C18" s="858">
        <v>11577.145120957581</v>
      </c>
      <c r="D18" s="859">
        <v>11808.688023376733</v>
      </c>
      <c r="E18" s="860">
        <v>-2.8591763630205635</v>
      </c>
      <c r="F18" s="861">
        <v>385.28178807947023</v>
      </c>
      <c r="G18" s="862">
        <v>-0.1498992406106614</v>
      </c>
      <c r="H18" s="862">
        <v>-4.5813586097946288</v>
      </c>
      <c r="I18" s="862">
        <v>8.0265780730897003</v>
      </c>
      <c r="J18" s="863">
        <v>-1.1340586852315742</v>
      </c>
    </row>
    <row r="19" spans="1:10" ht="15">
      <c r="A19" s="856" t="s">
        <v>106</v>
      </c>
      <c r="B19" s="864" t="s">
        <v>100</v>
      </c>
      <c r="C19" s="858" t="s">
        <v>100</v>
      </c>
      <c r="D19" s="859" t="s">
        <v>100</v>
      </c>
      <c r="E19" s="860" t="s">
        <v>100</v>
      </c>
      <c r="F19" s="861" t="s">
        <v>100</v>
      </c>
      <c r="G19" s="862" t="s">
        <v>100</v>
      </c>
      <c r="H19" s="862" t="s">
        <v>100</v>
      </c>
      <c r="I19" s="862" t="s">
        <v>100</v>
      </c>
      <c r="J19" s="863" t="s">
        <v>100</v>
      </c>
    </row>
    <row r="20" spans="1:10" ht="15">
      <c r="A20" s="856" t="s">
        <v>98</v>
      </c>
      <c r="B20" s="857">
        <v>5.2723791314064838</v>
      </c>
      <c r="C20" s="858">
        <v>10826.240516235081</v>
      </c>
      <c r="D20" s="859">
        <v>11042.765326559782</v>
      </c>
      <c r="E20" s="860">
        <v>-0.74171531089494502</v>
      </c>
      <c r="F20" s="861">
        <v>286.77323456790128</v>
      </c>
      <c r="G20" s="862">
        <v>0.51072047421548361</v>
      </c>
      <c r="H20" s="862">
        <v>25.620347394540943</v>
      </c>
      <c r="I20" s="862">
        <v>26.910299003322258</v>
      </c>
      <c r="J20" s="863">
        <v>3.5817895966652387</v>
      </c>
    </row>
    <row r="21" spans="1:10" ht="15.75" thickBot="1">
      <c r="A21" s="865" t="s">
        <v>107</v>
      </c>
      <c r="B21" s="866">
        <v>6.7187351946073735</v>
      </c>
      <c r="C21" s="867">
        <v>12970.531263720797</v>
      </c>
      <c r="D21" s="868">
        <v>13229.941888995214</v>
      </c>
      <c r="E21" s="869">
        <v>-0.3427051392939256</v>
      </c>
      <c r="F21" s="870">
        <v>289.78313113807047</v>
      </c>
      <c r="G21" s="871">
        <v>0.10989656979972702</v>
      </c>
      <c r="H21" s="871">
        <v>9.6958174904942958</v>
      </c>
      <c r="I21" s="871">
        <v>23.003322259136212</v>
      </c>
      <c r="J21" s="872">
        <v>0.166853373463276</v>
      </c>
    </row>
    <row r="22" spans="1:10" ht="16.5" thickBot="1">
      <c r="A22" s="838" t="s">
        <v>339</v>
      </c>
      <c r="B22" s="839"/>
      <c r="C22" s="839"/>
      <c r="D22" s="839"/>
      <c r="E22" s="839"/>
      <c r="F22" s="839"/>
      <c r="G22" s="839"/>
      <c r="H22" s="839"/>
      <c r="I22" s="839"/>
      <c r="J22" s="840"/>
    </row>
    <row r="23" spans="1:10" ht="15.75" thickBot="1">
      <c r="A23" s="841" t="s">
        <v>22</v>
      </c>
      <c r="B23" s="873">
        <v>5.4822690263923386</v>
      </c>
      <c r="C23" s="874">
        <v>10583.530938981348</v>
      </c>
      <c r="D23" s="875">
        <v>10795.201557760976</v>
      </c>
      <c r="E23" s="845">
        <v>-2.4018515514603918</v>
      </c>
      <c r="F23" s="845">
        <v>310.91673469387757</v>
      </c>
      <c r="G23" s="845">
        <v>-0.64274847270858215</v>
      </c>
      <c r="H23" s="845">
        <v>15.023474178403756</v>
      </c>
      <c r="I23" s="845">
        <v>100</v>
      </c>
      <c r="J23" s="847" t="s">
        <v>23</v>
      </c>
    </row>
    <row r="24" spans="1:10" ht="15">
      <c r="A24" s="848" t="s">
        <v>103</v>
      </c>
      <c r="B24" s="876" t="s">
        <v>100</v>
      </c>
      <c r="C24" s="850" t="s">
        <v>100</v>
      </c>
      <c r="D24" s="851" t="s">
        <v>100</v>
      </c>
      <c r="E24" s="852" t="s">
        <v>100</v>
      </c>
      <c r="F24" s="853" t="s">
        <v>100</v>
      </c>
      <c r="G24" s="854" t="s">
        <v>100</v>
      </c>
      <c r="H24" s="877" t="s">
        <v>100</v>
      </c>
      <c r="I24" s="877" t="s">
        <v>100</v>
      </c>
      <c r="J24" s="886" t="s">
        <v>100</v>
      </c>
    </row>
    <row r="25" spans="1:10" ht="15">
      <c r="A25" s="856" t="s">
        <v>104</v>
      </c>
      <c r="B25" s="864">
        <v>6.0964138724536046</v>
      </c>
      <c r="C25" s="858">
        <v>11437.92471379663</v>
      </c>
      <c r="D25" s="859">
        <v>11666.683208072564</v>
      </c>
      <c r="E25" s="860">
        <v>-2.7136758574591582</v>
      </c>
      <c r="F25" s="861">
        <v>363.85775577557752</v>
      </c>
      <c r="G25" s="862">
        <v>-0.33491601964053486</v>
      </c>
      <c r="H25" s="862">
        <v>18.359375</v>
      </c>
      <c r="I25" s="862">
        <v>24.73469387755102</v>
      </c>
      <c r="J25" s="863">
        <v>0.69713519210501218</v>
      </c>
    </row>
    <row r="26" spans="1:10" ht="15">
      <c r="A26" s="856" t="s">
        <v>105</v>
      </c>
      <c r="B26" s="857">
        <v>6.0745191433532311</v>
      </c>
      <c r="C26" s="858">
        <v>11396.846422801558</v>
      </c>
      <c r="D26" s="859">
        <v>11624.783351257589</v>
      </c>
      <c r="E26" s="860">
        <v>-4.3024373853893971</v>
      </c>
      <c r="F26" s="861">
        <v>384.37</v>
      </c>
      <c r="G26" s="862">
        <v>-5.930004894762595</v>
      </c>
      <c r="H26" s="862">
        <v>-58.333333333333336</v>
      </c>
      <c r="I26" s="862">
        <v>2.4489795918367347</v>
      </c>
      <c r="J26" s="863">
        <v>-4.3115837884449544</v>
      </c>
    </row>
    <row r="27" spans="1:10" ht="15">
      <c r="A27" s="856" t="s">
        <v>106</v>
      </c>
      <c r="B27" s="864" t="s">
        <v>100</v>
      </c>
      <c r="C27" s="858" t="s">
        <v>257</v>
      </c>
      <c r="D27" s="859" t="s">
        <v>257</v>
      </c>
      <c r="E27" s="860" t="s">
        <v>100</v>
      </c>
      <c r="F27" s="861" t="s">
        <v>257</v>
      </c>
      <c r="G27" s="862" t="s">
        <v>100</v>
      </c>
      <c r="H27" s="862" t="s">
        <v>100</v>
      </c>
      <c r="I27" s="862" t="s">
        <v>100</v>
      </c>
      <c r="J27" s="863" t="s">
        <v>100</v>
      </c>
    </row>
    <row r="28" spans="1:10" ht="15">
      <c r="A28" s="856" t="s">
        <v>98</v>
      </c>
      <c r="B28" s="857">
        <v>4.6412756681506568</v>
      </c>
      <c r="C28" s="858">
        <v>9530.3401810075102</v>
      </c>
      <c r="D28" s="859">
        <v>9720.9469846276606</v>
      </c>
      <c r="E28" s="860">
        <v>-0.15418227968923645</v>
      </c>
      <c r="F28" s="861">
        <v>284.839696969697</v>
      </c>
      <c r="G28" s="862">
        <v>1.0768305944907219</v>
      </c>
      <c r="H28" s="862">
        <v>25.475285171102662</v>
      </c>
      <c r="I28" s="862">
        <v>53.877551020408163</v>
      </c>
      <c r="J28" s="863">
        <v>4.4878796589058183</v>
      </c>
    </row>
    <row r="29" spans="1:10" ht="15.75" thickBot="1">
      <c r="A29" s="865" t="s">
        <v>107</v>
      </c>
      <c r="B29" s="866">
        <v>6.1777087011400713</v>
      </c>
      <c r="C29" s="867">
        <v>11926.078573629482</v>
      </c>
      <c r="D29" s="868">
        <v>12164.600145102071</v>
      </c>
      <c r="E29" s="869">
        <v>-1.1685991437515137</v>
      </c>
      <c r="F29" s="870">
        <v>302.61688888888881</v>
      </c>
      <c r="G29" s="871">
        <v>3.0994071403811172</v>
      </c>
      <c r="H29" s="871">
        <v>7.1428571428571423</v>
      </c>
      <c r="I29" s="871">
        <v>18.367346938775512</v>
      </c>
      <c r="J29" s="872">
        <v>-1.3509629203794162</v>
      </c>
    </row>
    <row r="30" spans="1:10" ht="15">
      <c r="A30" s="980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62" t="s">
        <v>60</v>
      </c>
      <c r="C33" s="1163"/>
      <c r="D33" s="1163"/>
      <c r="E33" s="1163"/>
      <c r="F33" s="1163"/>
      <c r="G33" s="1163"/>
      <c r="H33" s="1164"/>
    </row>
    <row r="34" spans="1:8" ht="15.75">
      <c r="A34" s="655" t="s">
        <v>63</v>
      </c>
      <c r="B34" s="1168" t="s">
        <v>64</v>
      </c>
      <c r="C34" s="1169"/>
      <c r="D34" s="1169"/>
      <c r="E34" s="1169"/>
      <c r="F34" s="1169"/>
      <c r="G34" s="1169"/>
      <c r="H34" s="1170"/>
    </row>
    <row r="35" spans="1:8" ht="15.75">
      <c r="A35" s="652" t="s">
        <v>65</v>
      </c>
      <c r="B35" s="1165" t="s">
        <v>66</v>
      </c>
      <c r="C35" s="1166"/>
      <c r="D35" s="1166"/>
      <c r="E35" s="1166"/>
      <c r="F35" s="1166"/>
      <c r="G35" s="1166"/>
      <c r="H35" s="1167"/>
    </row>
    <row r="36" spans="1:8" ht="16.5" thickBot="1">
      <c r="A36" s="653" t="s">
        <v>67</v>
      </c>
      <c r="B36" s="1171" t="s">
        <v>62</v>
      </c>
      <c r="C36" s="1172"/>
      <c r="D36" s="1172"/>
      <c r="E36" s="1172"/>
      <c r="F36" s="1172"/>
      <c r="G36" s="1172"/>
      <c r="H36" s="1173"/>
    </row>
    <row r="37" spans="1:8">
      <c r="A37" s="1161"/>
      <c r="B37" s="1161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4"/>
  <sheetViews>
    <sheetView showGridLines="0" topLeftCell="A289" zoomScale="90" zoomScaleNormal="90" workbookViewId="0">
      <selection activeCell="M324" sqref="M324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0" t="s">
        <v>343</v>
      </c>
      <c r="B1" s="780"/>
      <c r="C1" s="781"/>
      <c r="D1" s="781"/>
      <c r="E1" s="893" t="s">
        <v>370</v>
      </c>
      <c r="G1" s="782"/>
      <c r="H1" s="781"/>
      <c r="I1" s="781"/>
      <c r="J1" s="781"/>
      <c r="K1" s="781"/>
    </row>
    <row r="2" spans="1:12" ht="15" customHeight="1" thickBot="1">
      <c r="A2" s="783" t="s">
        <v>344</v>
      </c>
      <c r="B2" s="783"/>
      <c r="C2" s="781"/>
      <c r="D2" s="781"/>
      <c r="E2" s="781"/>
      <c r="F2" s="782"/>
      <c r="G2" s="781"/>
      <c r="H2" s="781"/>
      <c r="I2" s="781"/>
      <c r="J2" s="781"/>
      <c r="K2" s="781"/>
    </row>
    <row r="3" spans="1:12" ht="21" thickBot="1">
      <c r="A3" s="1086" t="s">
        <v>8</v>
      </c>
      <c r="B3" s="1076"/>
      <c r="C3" s="1076"/>
      <c r="D3" s="1076"/>
      <c r="E3" s="1076"/>
      <c r="F3" s="1076"/>
      <c r="G3" s="1076"/>
      <c r="H3" s="1076"/>
      <c r="I3" s="1076"/>
      <c r="J3" s="1076"/>
      <c r="K3" s="1076"/>
      <c r="L3" s="1087"/>
    </row>
    <row r="4" spans="1:12">
      <c r="A4" s="27"/>
      <c r="B4" s="28"/>
      <c r="C4" s="3" t="s">
        <v>9</v>
      </c>
      <c r="D4" s="3"/>
      <c r="E4" s="3"/>
      <c r="F4" s="3"/>
      <c r="G4" s="1078"/>
      <c r="H4" s="1179" t="s">
        <v>10</v>
      </c>
      <c r="I4" s="1180"/>
      <c r="J4" s="1111" t="s">
        <v>11</v>
      </c>
      <c r="K4" s="1079" t="s">
        <v>12</v>
      </c>
      <c r="L4" s="1080"/>
    </row>
    <row r="5" spans="1:12" ht="15.75">
      <c r="A5" s="29" t="s">
        <v>13</v>
      </c>
      <c r="B5" s="30" t="s">
        <v>14</v>
      </c>
      <c r="C5" s="1081" t="s">
        <v>40</v>
      </c>
      <c r="D5" s="1081"/>
      <c r="E5" s="1082" t="s">
        <v>41</v>
      </c>
      <c r="F5" s="1083"/>
      <c r="G5" s="1112"/>
      <c r="H5" s="1177" t="s">
        <v>15</v>
      </c>
      <c r="I5" s="1178"/>
      <c r="J5" s="1113" t="s">
        <v>16</v>
      </c>
      <c r="K5" s="1084" t="s">
        <v>17</v>
      </c>
      <c r="L5" s="1085"/>
    </row>
    <row r="6" spans="1:12" ht="26.25" thickBot="1">
      <c r="A6" s="31" t="s">
        <v>18</v>
      </c>
      <c r="B6" s="32" t="s">
        <v>19</v>
      </c>
      <c r="C6" s="979" t="s">
        <v>369</v>
      </c>
      <c r="D6" s="1148" t="s">
        <v>365</v>
      </c>
      <c r="E6" s="1071" t="s">
        <v>369</v>
      </c>
      <c r="F6" s="1072" t="s">
        <v>365</v>
      </c>
      <c r="G6" s="1110" t="s">
        <v>20</v>
      </c>
      <c r="H6" s="81" t="s">
        <v>369</v>
      </c>
      <c r="I6" s="993" t="s">
        <v>20</v>
      </c>
      <c r="J6" s="1114" t="s">
        <v>20</v>
      </c>
      <c r="K6" s="1073" t="s">
        <v>369</v>
      </c>
      <c r="L6" s="1115" t="s">
        <v>21</v>
      </c>
    </row>
    <row r="7" spans="1:12" ht="15" thickBot="1">
      <c r="A7" s="33" t="s">
        <v>22</v>
      </c>
      <c r="B7" s="34" t="s">
        <v>23</v>
      </c>
      <c r="C7" s="82">
        <v>11843.20929463408</v>
      </c>
      <c r="D7" s="82">
        <v>12038.07063977806</v>
      </c>
      <c r="E7" s="83">
        <v>12080.073480526762</v>
      </c>
      <c r="F7" s="704">
        <v>12278.832052573622</v>
      </c>
      <c r="G7" s="1116">
        <v>-1.6187091019393836</v>
      </c>
      <c r="H7" s="84">
        <v>326.04751396805693</v>
      </c>
      <c r="I7" s="84">
        <v>-1.0350861816136858</v>
      </c>
      <c r="J7" s="85">
        <v>9.5049749706445841</v>
      </c>
      <c r="K7" s="84">
        <v>100</v>
      </c>
      <c r="L7" s="1117" t="s">
        <v>23</v>
      </c>
    </row>
    <row r="8" spans="1:12" ht="15" thickBot="1">
      <c r="A8" s="35"/>
      <c r="B8" s="36"/>
      <c r="C8" s="86"/>
      <c r="D8" s="86"/>
      <c r="E8" s="86"/>
      <c r="F8" s="86"/>
      <c r="G8" s="1118"/>
      <c r="H8" s="85"/>
      <c r="I8" s="85"/>
      <c r="J8" s="85"/>
      <c r="K8" s="85"/>
      <c r="L8" s="1119"/>
    </row>
    <row r="9" spans="1:12" ht="15">
      <c r="A9" s="37" t="s">
        <v>108</v>
      </c>
      <c r="B9" s="38" t="s">
        <v>23</v>
      </c>
      <c r="C9" s="87">
        <v>11610.965927562735</v>
      </c>
      <c r="D9" s="87">
        <v>12003.818379973347</v>
      </c>
      <c r="E9" s="88">
        <v>11843.18524611399</v>
      </c>
      <c r="F9" s="88">
        <v>12243.894747572815</v>
      </c>
      <c r="G9" s="1120">
        <v>-3.2727290598300844</v>
      </c>
      <c r="H9" s="89">
        <v>275.70714285714286</v>
      </c>
      <c r="I9" s="89">
        <v>-1.8645297880995706</v>
      </c>
      <c r="J9" s="89">
        <v>27.27272727272727</v>
      </c>
      <c r="K9" s="89">
        <v>7.9011230882103947E-2</v>
      </c>
      <c r="L9" s="1121">
        <v>1.1030265552396265E-2</v>
      </c>
    </row>
    <row r="10" spans="1:12" ht="15">
      <c r="A10" s="46" t="s">
        <v>109</v>
      </c>
      <c r="B10" s="90" t="s">
        <v>23</v>
      </c>
      <c r="C10" s="91">
        <v>12092.724725428137</v>
      </c>
      <c r="D10" s="91">
        <v>12294.228303035754</v>
      </c>
      <c r="E10" s="92">
        <v>12334.579219936701</v>
      </c>
      <c r="F10" s="92">
        <v>12540.112869096469</v>
      </c>
      <c r="G10" s="1122">
        <v>-1.6390095631936454</v>
      </c>
      <c r="H10" s="93">
        <v>359.75646357423295</v>
      </c>
      <c r="I10" s="93">
        <v>-2.4229307537417671E-3</v>
      </c>
      <c r="J10" s="93">
        <v>2.5499552639427376</v>
      </c>
      <c r="K10" s="93">
        <v>38.811445341159207</v>
      </c>
      <c r="L10" s="1123">
        <v>-2.6322231589334919</v>
      </c>
    </row>
    <row r="11" spans="1:12" ht="15">
      <c r="A11" s="39" t="s">
        <v>110</v>
      </c>
      <c r="B11" s="40" t="s">
        <v>23</v>
      </c>
      <c r="C11" s="94">
        <v>11657.4285044146</v>
      </c>
      <c r="D11" s="94">
        <v>11919.39226685699</v>
      </c>
      <c r="E11" s="95">
        <v>11890.577074502893</v>
      </c>
      <c r="F11" s="95">
        <v>12157.78011219413</v>
      </c>
      <c r="G11" s="1124">
        <v>-2.1977946238987753</v>
      </c>
      <c r="H11" s="96">
        <v>391.8748493150685</v>
      </c>
      <c r="I11" s="96">
        <v>-0.24293782444675333</v>
      </c>
      <c r="J11" s="96">
        <v>-2.8221512247071354</v>
      </c>
      <c r="K11" s="96">
        <v>10.299678311417122</v>
      </c>
      <c r="L11" s="1125">
        <v>-1.3065264966911538</v>
      </c>
    </row>
    <row r="12" spans="1:12" ht="15">
      <c r="A12" s="39" t="s">
        <v>111</v>
      </c>
      <c r="B12" s="40" t="s">
        <v>23</v>
      </c>
      <c r="C12" s="94" t="s">
        <v>257</v>
      </c>
      <c r="D12" s="94" t="s">
        <v>257</v>
      </c>
      <c r="E12" s="95" t="s">
        <v>257</v>
      </c>
      <c r="F12" s="95" t="s">
        <v>257</v>
      </c>
      <c r="G12" s="1124" t="s">
        <v>100</v>
      </c>
      <c r="H12" s="96" t="s">
        <v>257</v>
      </c>
      <c r="I12" s="96" t="s">
        <v>100</v>
      </c>
      <c r="J12" s="96" t="s">
        <v>100</v>
      </c>
      <c r="K12" s="96" t="s">
        <v>100</v>
      </c>
      <c r="L12" s="1125" t="s">
        <v>100</v>
      </c>
    </row>
    <row r="13" spans="1:12" ht="15">
      <c r="A13" s="39" t="s">
        <v>98</v>
      </c>
      <c r="B13" s="40" t="s">
        <v>23</v>
      </c>
      <c r="C13" s="94">
        <v>10552.894563160453</v>
      </c>
      <c r="D13" s="94">
        <v>10642.146527948144</v>
      </c>
      <c r="E13" s="95">
        <v>10763.952454423663</v>
      </c>
      <c r="F13" s="95">
        <v>10854.989458507107</v>
      </c>
      <c r="G13" s="1124">
        <v>-0.83866506210282854</v>
      </c>
      <c r="H13" s="96">
        <v>283.18639698176486</v>
      </c>
      <c r="I13" s="96">
        <v>-5.5469477153319929E-2</v>
      </c>
      <c r="J13" s="96">
        <v>25.288865546218485</v>
      </c>
      <c r="K13" s="96">
        <v>26.92589875275128</v>
      </c>
      <c r="L13" s="1125">
        <v>3.392124573157929</v>
      </c>
    </row>
    <row r="14" spans="1:12" ht="15.75" thickBot="1">
      <c r="A14" s="41" t="s">
        <v>112</v>
      </c>
      <c r="B14" s="42" t="s">
        <v>23</v>
      </c>
      <c r="C14" s="97">
        <v>12867.915830843878</v>
      </c>
      <c r="D14" s="97">
        <v>12926.898175841832</v>
      </c>
      <c r="E14" s="98">
        <v>13125.274147460756</v>
      </c>
      <c r="F14" s="98">
        <v>13185.43613935867</v>
      </c>
      <c r="G14" s="1126">
        <v>-0.45627608569071032</v>
      </c>
      <c r="H14" s="99">
        <v>291.14009467455617</v>
      </c>
      <c r="I14" s="99">
        <v>0.14412207070753483</v>
      </c>
      <c r="J14" s="99">
        <v>11.861265554673022</v>
      </c>
      <c r="K14" s="99">
        <v>23.844460748349231</v>
      </c>
      <c r="L14" s="1127">
        <v>0.50226928923051162</v>
      </c>
    </row>
    <row r="15" spans="1:12" ht="15" thickBot="1">
      <c r="A15" s="35"/>
      <c r="B15" s="43"/>
      <c r="C15" s="86"/>
      <c r="D15" s="86"/>
      <c r="E15" s="86"/>
      <c r="F15" s="86"/>
      <c r="G15" s="1118"/>
      <c r="H15" s="85"/>
      <c r="I15" s="85"/>
      <c r="J15" s="85"/>
      <c r="K15" s="85"/>
      <c r="L15" s="1119"/>
    </row>
    <row r="16" spans="1:12" ht="14.25">
      <c r="A16" s="44" t="s">
        <v>113</v>
      </c>
      <c r="B16" s="45" t="s">
        <v>25</v>
      </c>
      <c r="C16" s="100" t="s">
        <v>257</v>
      </c>
      <c r="D16" s="100" t="s">
        <v>100</v>
      </c>
      <c r="E16" s="101" t="s">
        <v>257</v>
      </c>
      <c r="F16" s="101" t="s">
        <v>100</v>
      </c>
      <c r="G16" s="1128" t="s">
        <v>100</v>
      </c>
      <c r="H16" s="102" t="s">
        <v>257</v>
      </c>
      <c r="I16" s="102" t="s">
        <v>100</v>
      </c>
      <c r="J16" s="103" t="s">
        <v>100</v>
      </c>
      <c r="K16" s="103" t="s">
        <v>100</v>
      </c>
      <c r="L16" s="1129" t="s">
        <v>100</v>
      </c>
    </row>
    <row r="17" spans="1:12" ht="15">
      <c r="A17" s="46" t="s">
        <v>113</v>
      </c>
      <c r="B17" s="47" t="s">
        <v>26</v>
      </c>
      <c r="C17" s="94" t="s">
        <v>257</v>
      </c>
      <c r="D17" s="94" t="s">
        <v>100</v>
      </c>
      <c r="E17" s="95" t="s">
        <v>257</v>
      </c>
      <c r="F17" s="95" t="s">
        <v>100</v>
      </c>
      <c r="G17" s="1124" t="s">
        <v>100</v>
      </c>
      <c r="H17" s="96" t="s">
        <v>257</v>
      </c>
      <c r="I17" s="96" t="s">
        <v>100</v>
      </c>
      <c r="J17" s="104" t="s">
        <v>100</v>
      </c>
      <c r="K17" s="104" t="s">
        <v>100</v>
      </c>
      <c r="L17" s="1130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24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30" t="s">
        <v>100</v>
      </c>
    </row>
    <row r="19" spans="1:12" ht="14.25">
      <c r="A19" s="44" t="s">
        <v>113</v>
      </c>
      <c r="B19" s="48" t="s">
        <v>28</v>
      </c>
      <c r="C19" s="105" t="s">
        <v>257</v>
      </c>
      <c r="D19" s="105">
        <v>12415.275490196078</v>
      </c>
      <c r="E19" s="106" t="s">
        <v>257</v>
      </c>
      <c r="F19" s="106">
        <v>12663.581</v>
      </c>
      <c r="G19" s="1131" t="s">
        <v>100</v>
      </c>
      <c r="H19" s="107" t="s">
        <v>257</v>
      </c>
      <c r="I19" s="107" t="s">
        <v>100</v>
      </c>
      <c r="J19" s="108" t="s">
        <v>100</v>
      </c>
      <c r="K19" s="108" t="s">
        <v>100</v>
      </c>
      <c r="L19" s="1132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100</v>
      </c>
      <c r="E20" s="95" t="s">
        <v>257</v>
      </c>
      <c r="F20" s="95" t="s">
        <v>100</v>
      </c>
      <c r="G20" s="1124" t="s">
        <v>100</v>
      </c>
      <c r="H20" s="96" t="s">
        <v>257</v>
      </c>
      <c r="I20" s="96" t="s">
        <v>100</v>
      </c>
      <c r="J20" s="104" t="s">
        <v>100</v>
      </c>
      <c r="K20" s="104" t="s">
        <v>100</v>
      </c>
      <c r="L20" s="1130" t="s">
        <v>100</v>
      </c>
    </row>
    <row r="21" spans="1:12" ht="15">
      <c r="A21" s="46" t="s">
        <v>113</v>
      </c>
      <c r="B21" s="47" t="s">
        <v>30</v>
      </c>
      <c r="C21" s="94" t="s">
        <v>100</v>
      </c>
      <c r="D21" s="94">
        <v>12415.275490196078</v>
      </c>
      <c r="E21" s="95" t="s">
        <v>100</v>
      </c>
      <c r="F21" s="95">
        <v>12663.581</v>
      </c>
      <c r="G21" s="1124" t="s">
        <v>100</v>
      </c>
      <c r="H21" s="96" t="s">
        <v>100</v>
      </c>
      <c r="I21" s="96" t="s">
        <v>100</v>
      </c>
      <c r="J21" s="104" t="s">
        <v>100</v>
      </c>
      <c r="K21" s="104" t="s">
        <v>100</v>
      </c>
      <c r="L21" s="1130" t="s">
        <v>100</v>
      </c>
    </row>
    <row r="22" spans="1:12" ht="14.25">
      <c r="A22" s="44" t="s">
        <v>113</v>
      </c>
      <c r="B22" s="48" t="s">
        <v>31</v>
      </c>
      <c r="C22" s="105">
        <v>11411.251994017945</v>
      </c>
      <c r="D22" s="105">
        <v>11910.750700280112</v>
      </c>
      <c r="E22" s="106">
        <v>11639.477033898303</v>
      </c>
      <c r="F22" s="106">
        <v>12148.965714285714</v>
      </c>
      <c r="G22" s="1131">
        <v>-4.1936794651442098</v>
      </c>
      <c r="H22" s="107">
        <v>268.17272727272729</v>
      </c>
      <c r="I22" s="107">
        <v>-4.2392260968677489</v>
      </c>
      <c r="J22" s="108">
        <v>22.222222222222221</v>
      </c>
      <c r="K22" s="108">
        <v>6.2080252835938821E-2</v>
      </c>
      <c r="L22" s="1132">
        <v>6.4594630207234494E-3</v>
      </c>
    </row>
    <row r="23" spans="1:12" ht="15">
      <c r="A23" s="46" t="s">
        <v>113</v>
      </c>
      <c r="B23" s="47" t="s">
        <v>32</v>
      </c>
      <c r="C23" s="94">
        <v>10529.864705882352</v>
      </c>
      <c r="D23" s="94" t="s">
        <v>257</v>
      </c>
      <c r="E23" s="95">
        <v>10740.462</v>
      </c>
      <c r="F23" s="95" t="s">
        <v>257</v>
      </c>
      <c r="G23" s="1124" t="s">
        <v>100</v>
      </c>
      <c r="H23" s="96">
        <v>220</v>
      </c>
      <c r="I23" s="96" t="s">
        <v>100</v>
      </c>
      <c r="J23" s="104" t="s">
        <v>100</v>
      </c>
      <c r="K23" s="104" t="s">
        <v>100</v>
      </c>
      <c r="L23" s="1130" t="s">
        <v>100</v>
      </c>
    </row>
    <row r="24" spans="1:12" ht="15.75" thickBot="1">
      <c r="A24" s="49" t="s">
        <v>113</v>
      </c>
      <c r="B24" s="50" t="s">
        <v>33</v>
      </c>
      <c r="C24" s="109">
        <v>11785.948039215686</v>
      </c>
      <c r="D24" s="109" t="s">
        <v>257</v>
      </c>
      <c r="E24" s="110">
        <v>12021.666999999999</v>
      </c>
      <c r="F24" s="110" t="s">
        <v>257</v>
      </c>
      <c r="G24" s="1133" t="s">
        <v>100</v>
      </c>
      <c r="H24" s="104">
        <v>295.7</v>
      </c>
      <c r="I24" s="104" t="s">
        <v>100</v>
      </c>
      <c r="J24" s="104" t="s">
        <v>100</v>
      </c>
      <c r="K24" s="104" t="s">
        <v>100</v>
      </c>
      <c r="L24" s="1130" t="s">
        <v>100</v>
      </c>
    </row>
    <row r="25" spans="1:12" ht="15" thickBot="1">
      <c r="A25" s="35"/>
      <c r="B25" s="43"/>
      <c r="C25" s="86"/>
      <c r="D25" s="86"/>
      <c r="E25" s="86"/>
      <c r="F25" s="86"/>
      <c r="G25" s="1118"/>
      <c r="H25" s="85"/>
      <c r="I25" s="85"/>
      <c r="J25" s="85"/>
      <c r="K25" s="85"/>
      <c r="L25" s="1119"/>
    </row>
    <row r="26" spans="1:12" ht="14.25">
      <c r="A26" s="44" t="s">
        <v>114</v>
      </c>
      <c r="B26" s="45" t="s">
        <v>25</v>
      </c>
      <c r="C26" s="100">
        <v>12739.19957008542</v>
      </c>
      <c r="D26" s="100">
        <v>12934.250540443281</v>
      </c>
      <c r="E26" s="101">
        <v>12993.98356148713</v>
      </c>
      <c r="F26" s="101">
        <v>13192.935551252147</v>
      </c>
      <c r="G26" s="1128">
        <v>-1.5080191136546137</v>
      </c>
      <c r="H26" s="102">
        <v>425.2878378378378</v>
      </c>
      <c r="I26" s="102">
        <v>-0.80250877848179847</v>
      </c>
      <c r="J26" s="103">
        <v>16.842105263157894</v>
      </c>
      <c r="K26" s="103">
        <v>2.5057847508324396</v>
      </c>
      <c r="L26" s="1129">
        <v>0.15735140307890116</v>
      </c>
    </row>
    <row r="27" spans="1:12" ht="15">
      <c r="A27" s="46" t="s">
        <v>114</v>
      </c>
      <c r="B27" s="47" t="s">
        <v>26</v>
      </c>
      <c r="C27" s="94">
        <v>12892.076470588234</v>
      </c>
      <c r="D27" s="94">
        <v>13066.369607843137</v>
      </c>
      <c r="E27" s="95">
        <v>13149.918</v>
      </c>
      <c r="F27" s="95">
        <v>13327.697</v>
      </c>
      <c r="G27" s="1124">
        <v>-1.3339063755726173</v>
      </c>
      <c r="H27" s="96">
        <v>410.9</v>
      </c>
      <c r="I27" s="96">
        <v>-1.7925430210325048</v>
      </c>
      <c r="J27" s="104">
        <v>2.9411764705882351</v>
      </c>
      <c r="K27" s="104">
        <v>1.1851684632315593</v>
      </c>
      <c r="L27" s="1130">
        <v>-7.5569439246655934E-2</v>
      </c>
    </row>
    <row r="28" spans="1:12" ht="15">
      <c r="A28" s="46" t="s">
        <v>114</v>
      </c>
      <c r="B28" s="47" t="s">
        <v>27</v>
      </c>
      <c r="C28" s="94">
        <v>12610.564705882352</v>
      </c>
      <c r="D28" s="94">
        <v>12788.880392156861</v>
      </c>
      <c r="E28" s="95">
        <v>12862.776</v>
      </c>
      <c r="F28" s="95">
        <v>13044.657999999999</v>
      </c>
      <c r="G28" s="1124">
        <v>-1.3943025566480902</v>
      </c>
      <c r="H28" s="96">
        <v>438.2</v>
      </c>
      <c r="I28" s="96">
        <v>-0.56727932834127526</v>
      </c>
      <c r="J28" s="104">
        <v>32.954545454545453</v>
      </c>
      <c r="K28" s="104">
        <v>1.3206162876008805</v>
      </c>
      <c r="L28" s="1130">
        <v>0.23292084232555754</v>
      </c>
    </row>
    <row r="29" spans="1:12" ht="14.25">
      <c r="A29" s="44" t="s">
        <v>114</v>
      </c>
      <c r="B29" s="48" t="s">
        <v>28</v>
      </c>
      <c r="C29" s="105">
        <v>12330.012068848357</v>
      </c>
      <c r="D29" s="105">
        <v>12559.347791962005</v>
      </c>
      <c r="E29" s="106">
        <v>12576.612310225324</v>
      </c>
      <c r="F29" s="106">
        <v>12810.534747801246</v>
      </c>
      <c r="G29" s="1131">
        <v>-1.8260161826271291</v>
      </c>
      <c r="H29" s="107">
        <v>385.35388940955949</v>
      </c>
      <c r="I29" s="107">
        <v>-0.1118283911447515</v>
      </c>
      <c r="J29" s="108">
        <v>3.141614306428226</v>
      </c>
      <c r="K29" s="108">
        <v>12.043569050172131</v>
      </c>
      <c r="L29" s="1132">
        <v>-0.74303251957015881</v>
      </c>
    </row>
    <row r="30" spans="1:12" ht="15">
      <c r="A30" s="46" t="s">
        <v>114</v>
      </c>
      <c r="B30" s="47" t="s">
        <v>29</v>
      </c>
      <c r="C30" s="94">
        <v>12398.09019607843</v>
      </c>
      <c r="D30" s="94">
        <v>12599.25</v>
      </c>
      <c r="E30" s="95">
        <v>12646.052</v>
      </c>
      <c r="F30" s="95">
        <v>12851.235000000001</v>
      </c>
      <c r="G30" s="1124">
        <v>-1.5966014161284958</v>
      </c>
      <c r="H30" s="96">
        <v>373.2</v>
      </c>
      <c r="I30" s="96">
        <v>-0.16051364365971715</v>
      </c>
      <c r="J30" s="104">
        <v>8.1504702194357357</v>
      </c>
      <c r="K30" s="104">
        <v>5.8411874259269716</v>
      </c>
      <c r="L30" s="1130">
        <v>-7.3156557757596552E-2</v>
      </c>
    </row>
    <row r="31" spans="1:12" ht="15">
      <c r="A31" s="46" t="s">
        <v>114</v>
      </c>
      <c r="B31" s="47" t="s">
        <v>30</v>
      </c>
      <c r="C31" s="94">
        <v>12269.72156862745</v>
      </c>
      <c r="D31" s="94">
        <v>12526.941176470587</v>
      </c>
      <c r="E31" s="95">
        <v>12515.116</v>
      </c>
      <c r="F31" s="95">
        <v>12777.48</v>
      </c>
      <c r="G31" s="1124">
        <v>-2.0533313298083784</v>
      </c>
      <c r="H31" s="96">
        <v>396.8</v>
      </c>
      <c r="I31" s="96">
        <v>0.17672304973491254</v>
      </c>
      <c r="J31" s="104">
        <v>-1.1690647482014389</v>
      </c>
      <c r="K31" s="104">
        <v>6.2023816242451604</v>
      </c>
      <c r="L31" s="1130">
        <v>-0.66987596181256137</v>
      </c>
    </row>
    <row r="32" spans="1:12" ht="14.25">
      <c r="A32" s="44" t="s">
        <v>114</v>
      </c>
      <c r="B32" s="48" t="s">
        <v>31</v>
      </c>
      <c r="C32" s="105">
        <v>11875.882574012623</v>
      </c>
      <c r="D32" s="105">
        <v>12076.592371416404</v>
      </c>
      <c r="E32" s="106">
        <v>12113.400225492876</v>
      </c>
      <c r="F32" s="106">
        <v>12318.124218844732</v>
      </c>
      <c r="G32" s="1131">
        <v>-1.6619737690147769</v>
      </c>
      <c r="H32" s="107">
        <v>340.28197255175627</v>
      </c>
      <c r="I32" s="107">
        <v>-0.19968207919094388</v>
      </c>
      <c r="J32" s="108">
        <v>0.98661028893587033</v>
      </c>
      <c r="K32" s="108">
        <v>24.262091540154636</v>
      </c>
      <c r="L32" s="1132">
        <v>-2.0465420424422405</v>
      </c>
    </row>
    <row r="33" spans="1:12" ht="15">
      <c r="A33" s="46" t="s">
        <v>114</v>
      </c>
      <c r="B33" s="47" t="s">
        <v>32</v>
      </c>
      <c r="C33" s="94">
        <v>11866.859803921569</v>
      </c>
      <c r="D33" s="94">
        <v>12058.48725490196</v>
      </c>
      <c r="E33" s="95">
        <v>12104.197</v>
      </c>
      <c r="F33" s="95">
        <v>12299.656999999999</v>
      </c>
      <c r="G33" s="1124">
        <v>-1.5891500063782198</v>
      </c>
      <c r="H33" s="96">
        <v>328.9</v>
      </c>
      <c r="I33" s="96">
        <v>-0.36352620418056514</v>
      </c>
      <c r="J33" s="104">
        <v>-0.4815409309791332</v>
      </c>
      <c r="K33" s="104">
        <v>13.996275184829843</v>
      </c>
      <c r="L33" s="1130">
        <v>-1.4045035062275701</v>
      </c>
    </row>
    <row r="34" spans="1:12" ht="15.75" thickBot="1">
      <c r="A34" s="49" t="s">
        <v>114</v>
      </c>
      <c r="B34" s="50" t="s">
        <v>33</v>
      </c>
      <c r="C34" s="109">
        <v>11887.253921568627</v>
      </c>
      <c r="D34" s="109">
        <v>12100.279411764706</v>
      </c>
      <c r="E34" s="110">
        <v>12124.999</v>
      </c>
      <c r="F34" s="110">
        <v>12342.285</v>
      </c>
      <c r="G34" s="1133">
        <v>-1.7605005880191558</v>
      </c>
      <c r="H34" s="104">
        <v>355.8</v>
      </c>
      <c r="I34" s="104">
        <v>-0.14033118158854899</v>
      </c>
      <c r="J34" s="104">
        <v>3.059490084985836</v>
      </c>
      <c r="K34" s="104">
        <v>10.265816355324793</v>
      </c>
      <c r="L34" s="1130">
        <v>-0.64203853621466855</v>
      </c>
    </row>
    <row r="35" spans="1:12" ht="15.75" thickBot="1">
      <c r="A35" s="51"/>
      <c r="B35" s="52"/>
      <c r="C35" s="111"/>
      <c r="D35" s="111"/>
      <c r="E35" s="111"/>
      <c r="F35" s="111"/>
      <c r="G35" s="1134"/>
      <c r="H35" s="112"/>
      <c r="I35" s="112"/>
      <c r="J35" s="112"/>
      <c r="K35" s="112"/>
      <c r="L35" s="1135"/>
    </row>
    <row r="36" spans="1:12" ht="15">
      <c r="A36" s="46" t="s">
        <v>115</v>
      </c>
      <c r="B36" s="53" t="s">
        <v>30</v>
      </c>
      <c r="C36" s="113">
        <v>11833.05</v>
      </c>
      <c r="D36" s="113">
        <v>12173.292156862744</v>
      </c>
      <c r="E36" s="114">
        <v>12069.710999999999</v>
      </c>
      <c r="F36" s="114">
        <v>12416.758</v>
      </c>
      <c r="G36" s="1136">
        <v>-2.7949888368606404</v>
      </c>
      <c r="H36" s="115">
        <v>416.4</v>
      </c>
      <c r="I36" s="115">
        <v>0.43415340086829579</v>
      </c>
      <c r="J36" s="115">
        <v>0.43731778425655976</v>
      </c>
      <c r="K36" s="115">
        <v>3.8884812912692595</v>
      </c>
      <c r="L36" s="1137">
        <v>-0.35105891020160174</v>
      </c>
    </row>
    <row r="37" spans="1:12" ht="15.75" thickBot="1">
      <c r="A37" s="49" t="s">
        <v>115</v>
      </c>
      <c r="B37" s="50" t="s">
        <v>33</v>
      </c>
      <c r="C37" s="109">
        <v>11539.791176470588</v>
      </c>
      <c r="D37" s="109">
        <v>11760.08725490196</v>
      </c>
      <c r="E37" s="110">
        <v>11770.587</v>
      </c>
      <c r="F37" s="110">
        <v>11995.289000000001</v>
      </c>
      <c r="G37" s="1133">
        <v>-1.8732520742101431</v>
      </c>
      <c r="H37" s="104">
        <v>377</v>
      </c>
      <c r="I37" s="104">
        <v>-0.86773599789640066</v>
      </c>
      <c r="J37" s="104">
        <v>-4.6979865771812079</v>
      </c>
      <c r="K37" s="104">
        <v>6.4111970201478643</v>
      </c>
      <c r="L37" s="1130">
        <v>-0.95546758648954988</v>
      </c>
    </row>
    <row r="38" spans="1:12" ht="15.75" thickBot="1">
      <c r="A38" s="51"/>
      <c r="B38" s="52"/>
      <c r="C38" s="111"/>
      <c r="D38" s="111"/>
      <c r="E38" s="111"/>
      <c r="F38" s="111"/>
      <c r="G38" s="1134"/>
      <c r="H38" s="112"/>
      <c r="I38" s="112"/>
      <c r="J38" s="112"/>
      <c r="K38" s="112"/>
      <c r="L38" s="1135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28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29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24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30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24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30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24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30" t="s">
        <v>100</v>
      </c>
    </row>
    <row r="43" spans="1:12" ht="14.25">
      <c r="A43" s="54" t="s">
        <v>116</v>
      </c>
      <c r="B43" s="48" t="s">
        <v>28</v>
      </c>
      <c r="C43" s="105" t="s">
        <v>257</v>
      </c>
      <c r="D43" s="105" t="s">
        <v>100</v>
      </c>
      <c r="E43" s="106" t="s">
        <v>257</v>
      </c>
      <c r="F43" s="106" t="s">
        <v>100</v>
      </c>
      <c r="G43" s="1131" t="s">
        <v>100</v>
      </c>
      <c r="H43" s="107" t="s">
        <v>257</v>
      </c>
      <c r="I43" s="107" t="s">
        <v>100</v>
      </c>
      <c r="J43" s="108" t="s">
        <v>100</v>
      </c>
      <c r="K43" s="108" t="s">
        <v>100</v>
      </c>
      <c r="L43" s="1132" t="s">
        <v>100</v>
      </c>
    </row>
    <row r="44" spans="1:12" ht="15">
      <c r="A44" s="39" t="s">
        <v>116</v>
      </c>
      <c r="B44" s="47" t="s">
        <v>30</v>
      </c>
      <c r="C44" s="94" t="s">
        <v>257</v>
      </c>
      <c r="D44" s="94" t="s">
        <v>100</v>
      </c>
      <c r="E44" s="95" t="s">
        <v>257</v>
      </c>
      <c r="F44" s="95" t="s">
        <v>100</v>
      </c>
      <c r="G44" s="1124" t="s">
        <v>100</v>
      </c>
      <c r="H44" s="96" t="s">
        <v>257</v>
      </c>
      <c r="I44" s="96" t="s">
        <v>100</v>
      </c>
      <c r="J44" s="104" t="s">
        <v>100</v>
      </c>
      <c r="K44" s="104" t="s">
        <v>100</v>
      </c>
      <c r="L44" s="1130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24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30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1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2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24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30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3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30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34"/>
      <c r="H49" s="112"/>
      <c r="I49" s="112"/>
      <c r="J49" s="112"/>
      <c r="K49" s="112"/>
      <c r="L49" s="1135"/>
    </row>
    <row r="50" spans="1:12" ht="14.25">
      <c r="A50" s="44" t="s">
        <v>24</v>
      </c>
      <c r="B50" s="45" t="s">
        <v>28</v>
      </c>
      <c r="C50" s="100">
        <v>11592.559420040567</v>
      </c>
      <c r="D50" s="100">
        <v>11727.948672249051</v>
      </c>
      <c r="E50" s="101">
        <v>11824.410608441378</v>
      </c>
      <c r="F50" s="101">
        <v>11962.507645694031</v>
      </c>
      <c r="G50" s="1128">
        <v>-1.1544154565482123</v>
      </c>
      <c r="H50" s="102">
        <v>354.791</v>
      </c>
      <c r="I50" s="102">
        <v>-0.5332605059889185</v>
      </c>
      <c r="J50" s="103">
        <v>14.942528735632186</v>
      </c>
      <c r="K50" s="103">
        <v>2.2574637394886845</v>
      </c>
      <c r="L50" s="1129">
        <v>0.10679319996702352</v>
      </c>
    </row>
    <row r="51" spans="1:12" ht="15">
      <c r="A51" s="46" t="s">
        <v>24</v>
      </c>
      <c r="B51" s="47" t="s">
        <v>29</v>
      </c>
      <c r="C51" s="94">
        <v>11325.756862745098</v>
      </c>
      <c r="D51" s="94">
        <v>11535.760784313727</v>
      </c>
      <c r="E51" s="95">
        <v>11552.272000000001</v>
      </c>
      <c r="F51" s="95">
        <v>11766.476000000001</v>
      </c>
      <c r="G51" s="1124">
        <v>-1.8204600935743183</v>
      </c>
      <c r="H51" s="96">
        <v>338.6</v>
      </c>
      <c r="I51" s="96">
        <v>3.8013488657265588</v>
      </c>
      <c r="J51" s="104">
        <v>7.5471698113207548</v>
      </c>
      <c r="K51" s="104">
        <v>0.32168858287713753</v>
      </c>
      <c r="L51" s="1130">
        <v>-5.856068256908542E-3</v>
      </c>
    </row>
    <row r="52" spans="1:12" ht="15">
      <c r="A52" s="46" t="s">
        <v>24</v>
      </c>
      <c r="B52" s="47" t="s">
        <v>30</v>
      </c>
      <c r="C52" s="94">
        <v>11617.745098039215</v>
      </c>
      <c r="D52" s="94">
        <v>11727.071568627451</v>
      </c>
      <c r="E52" s="95">
        <v>11850.1</v>
      </c>
      <c r="F52" s="95">
        <v>11961.612999999999</v>
      </c>
      <c r="G52" s="1124">
        <v>-0.93225721313671506</v>
      </c>
      <c r="H52" s="96">
        <v>345.6</v>
      </c>
      <c r="I52" s="96">
        <v>-0.91743119266054718</v>
      </c>
      <c r="J52" s="104">
        <v>15.517241379310345</v>
      </c>
      <c r="K52" s="104">
        <v>1.1343755290930639</v>
      </c>
      <c r="L52" s="1130">
        <v>5.9040259332233447E-2</v>
      </c>
    </row>
    <row r="53" spans="1:12" ht="15">
      <c r="A53" s="46" t="s">
        <v>24</v>
      </c>
      <c r="B53" s="47" t="s">
        <v>35</v>
      </c>
      <c r="C53" s="94">
        <v>11656.522549019608</v>
      </c>
      <c r="D53" s="94">
        <v>11801.104901960785</v>
      </c>
      <c r="E53" s="95">
        <v>11889.653</v>
      </c>
      <c r="F53" s="95">
        <v>12037.127</v>
      </c>
      <c r="G53" s="1124">
        <v>-1.2251594587313082</v>
      </c>
      <c r="H53" s="96">
        <v>374.3</v>
      </c>
      <c r="I53" s="96">
        <v>-1.8615626638699441</v>
      </c>
      <c r="J53" s="104">
        <v>17.355371900826448</v>
      </c>
      <c r="K53" s="104">
        <v>0.80139962751848304</v>
      </c>
      <c r="L53" s="1130">
        <v>5.3609008891698506E-2</v>
      </c>
    </row>
    <row r="54" spans="1:12" ht="14.25">
      <c r="A54" s="44" t="s">
        <v>24</v>
      </c>
      <c r="B54" s="48" t="s">
        <v>31</v>
      </c>
      <c r="C54" s="105">
        <v>10988.358936026536</v>
      </c>
      <c r="D54" s="105">
        <v>11073.858834074888</v>
      </c>
      <c r="E54" s="106">
        <v>11208.126114747067</v>
      </c>
      <c r="F54" s="106">
        <v>11295.336010756386</v>
      </c>
      <c r="G54" s="1131">
        <v>-0.77208766455703715</v>
      </c>
      <c r="H54" s="107">
        <v>297.9090814917127</v>
      </c>
      <c r="I54" s="107">
        <v>-0.52062573745532792</v>
      </c>
      <c r="J54" s="108">
        <v>29.749103942652326</v>
      </c>
      <c r="K54" s="108">
        <v>16.344037473898076</v>
      </c>
      <c r="L54" s="1132">
        <v>2.5500815997246633</v>
      </c>
    </row>
    <row r="55" spans="1:12" ht="15">
      <c r="A55" s="46" t="s">
        <v>24</v>
      </c>
      <c r="B55" s="47" t="s">
        <v>32</v>
      </c>
      <c r="C55" s="94">
        <v>10659.025490196078</v>
      </c>
      <c r="D55" s="94">
        <v>10718.572549019607</v>
      </c>
      <c r="E55" s="95">
        <v>10872.206</v>
      </c>
      <c r="F55" s="95">
        <v>10932.944</v>
      </c>
      <c r="G55" s="1124">
        <v>-0.55555027081451602</v>
      </c>
      <c r="H55" s="96">
        <v>273.10000000000002</v>
      </c>
      <c r="I55" s="96">
        <v>0.3306392358560008</v>
      </c>
      <c r="J55" s="104">
        <v>31.71875</v>
      </c>
      <c r="K55" s="104">
        <v>4.7576048309724026</v>
      </c>
      <c r="L55" s="1130">
        <v>0.8023486663348649</v>
      </c>
    </row>
    <row r="56" spans="1:12" ht="15">
      <c r="A56" s="46" t="s">
        <v>24</v>
      </c>
      <c r="B56" s="47" t="s">
        <v>33</v>
      </c>
      <c r="C56" s="94">
        <v>11055.638235294118</v>
      </c>
      <c r="D56" s="94">
        <v>11158.919607843138</v>
      </c>
      <c r="E56" s="95">
        <v>11276.751</v>
      </c>
      <c r="F56" s="95">
        <v>11382.098</v>
      </c>
      <c r="G56" s="1124">
        <v>-0.92554992937154257</v>
      </c>
      <c r="H56" s="96">
        <v>300.2</v>
      </c>
      <c r="I56" s="96">
        <v>-0.66181336863004636</v>
      </c>
      <c r="J56" s="104">
        <v>26.421136909527622</v>
      </c>
      <c r="K56" s="104">
        <v>8.9113381116315828</v>
      </c>
      <c r="L56" s="1130">
        <v>1.1924085028311371</v>
      </c>
    </row>
    <row r="57" spans="1:12" ht="15">
      <c r="A57" s="46" t="s">
        <v>24</v>
      </c>
      <c r="B57" s="47" t="s">
        <v>36</v>
      </c>
      <c r="C57" s="94">
        <v>11265.492156862745</v>
      </c>
      <c r="D57" s="94">
        <v>11328.84019607843</v>
      </c>
      <c r="E57" s="95">
        <v>11490.802</v>
      </c>
      <c r="F57" s="95">
        <v>11555.416999999999</v>
      </c>
      <c r="G57" s="1124">
        <v>-0.55917497395377236</v>
      </c>
      <c r="H57" s="96">
        <v>334.4</v>
      </c>
      <c r="I57" s="96">
        <v>-1.762632197414806</v>
      </c>
      <c r="J57" s="104">
        <v>38.192419825072889</v>
      </c>
      <c r="K57" s="104">
        <v>2.675094531294091</v>
      </c>
      <c r="L57" s="1130">
        <v>0.55532443055866043</v>
      </c>
    </row>
    <row r="58" spans="1:12" ht="14.25">
      <c r="A58" s="44" t="s">
        <v>24</v>
      </c>
      <c r="B58" s="48" t="s">
        <v>37</v>
      </c>
      <c r="C58" s="105">
        <v>9042.5875987735981</v>
      </c>
      <c r="D58" s="105">
        <v>9164.0054222624785</v>
      </c>
      <c r="E58" s="106">
        <v>9223.4393507490695</v>
      </c>
      <c r="F58" s="106">
        <v>9347.285530707728</v>
      </c>
      <c r="G58" s="1131">
        <v>-1.3249427285793149</v>
      </c>
      <c r="H58" s="107">
        <v>234.86183050847458</v>
      </c>
      <c r="I58" s="107">
        <v>0.69134768462071383</v>
      </c>
      <c r="J58" s="108">
        <v>20.11400651465798</v>
      </c>
      <c r="K58" s="108">
        <v>8.324397539364524</v>
      </c>
      <c r="L58" s="1132">
        <v>0.73524977346624798</v>
      </c>
    </row>
    <row r="59" spans="1:12" ht="15">
      <c r="A59" s="46" t="s">
        <v>24</v>
      </c>
      <c r="B59" s="47" t="s">
        <v>102</v>
      </c>
      <c r="C59" s="116">
        <v>8580.5598039215693</v>
      </c>
      <c r="D59" s="116">
        <v>8628.12156862745</v>
      </c>
      <c r="E59" s="117">
        <v>8752.1710000000003</v>
      </c>
      <c r="F59" s="117">
        <v>8800.6839999999993</v>
      </c>
      <c r="G59" s="1138">
        <v>-0.55124124443053535</v>
      </c>
      <c r="H59" s="118">
        <v>220.8</v>
      </c>
      <c r="I59" s="118">
        <v>1.191567369385895</v>
      </c>
      <c r="J59" s="119">
        <v>10.841654778887303</v>
      </c>
      <c r="K59" s="119">
        <v>4.3851233139567691</v>
      </c>
      <c r="L59" s="1139">
        <v>5.2881796127215885E-2</v>
      </c>
    </row>
    <row r="60" spans="1:12" ht="15">
      <c r="A60" s="46" t="s">
        <v>24</v>
      </c>
      <c r="B60" s="47" t="s">
        <v>38</v>
      </c>
      <c r="C60" s="94">
        <v>9283.5215686274496</v>
      </c>
      <c r="D60" s="94">
        <v>9466.3696078431367</v>
      </c>
      <c r="E60" s="95">
        <v>9469.1919999999991</v>
      </c>
      <c r="F60" s="95">
        <v>9655.6970000000001</v>
      </c>
      <c r="G60" s="1124">
        <v>-1.9315539831044928</v>
      </c>
      <c r="H60" s="96">
        <v>240.6</v>
      </c>
      <c r="I60" s="96">
        <v>-1.7959183673469412</v>
      </c>
      <c r="J60" s="104">
        <v>38.341968911917093</v>
      </c>
      <c r="K60" s="104">
        <v>3.0137140922173939</v>
      </c>
      <c r="L60" s="1130">
        <v>0.62820021792037917</v>
      </c>
    </row>
    <row r="61" spans="1:12" ht="15.75" thickBot="1">
      <c r="A61" s="46" t="s">
        <v>24</v>
      </c>
      <c r="B61" s="47" t="s">
        <v>39</v>
      </c>
      <c r="C61" s="94">
        <v>10084.457843137256</v>
      </c>
      <c r="D61" s="94">
        <v>10535.817647058822</v>
      </c>
      <c r="E61" s="95">
        <v>10286.147000000001</v>
      </c>
      <c r="F61" s="95">
        <v>10746.534</v>
      </c>
      <c r="G61" s="1124">
        <v>-4.2840510251956472</v>
      </c>
      <c r="H61" s="96">
        <v>282.8</v>
      </c>
      <c r="I61" s="96">
        <v>2.5009061254077687</v>
      </c>
      <c r="J61" s="104">
        <v>16.312056737588655</v>
      </c>
      <c r="K61" s="104">
        <v>0.92556013319036057</v>
      </c>
      <c r="L61" s="1130">
        <v>5.4167759418653039E-2</v>
      </c>
    </row>
    <row r="62" spans="1:12" ht="15.75" thickBot="1">
      <c r="A62" s="51"/>
      <c r="B62" s="52"/>
      <c r="C62" s="111"/>
      <c r="D62" s="111"/>
      <c r="E62" s="111"/>
      <c r="F62" s="111"/>
      <c r="G62" s="1134"/>
      <c r="H62" s="112"/>
      <c r="I62" s="112"/>
      <c r="J62" s="112"/>
      <c r="K62" s="112"/>
      <c r="L62" s="1135"/>
    </row>
    <row r="63" spans="1:12" ht="14.25">
      <c r="A63" s="44" t="s">
        <v>117</v>
      </c>
      <c r="B63" s="48" t="s">
        <v>25</v>
      </c>
      <c r="C63" s="105">
        <v>13630.73008975618</v>
      </c>
      <c r="D63" s="105">
        <v>13682.214435890717</v>
      </c>
      <c r="E63" s="106">
        <v>13903.344691551303</v>
      </c>
      <c r="F63" s="106">
        <v>13955.858724608532</v>
      </c>
      <c r="G63" s="1131">
        <v>-0.37628664844987214</v>
      </c>
      <c r="H63" s="107">
        <v>342.00840707964602</v>
      </c>
      <c r="I63" s="107">
        <v>-0.26030200568009054</v>
      </c>
      <c r="J63" s="108">
        <v>11.330049261083744</v>
      </c>
      <c r="K63" s="108">
        <v>1.2754670128111067</v>
      </c>
      <c r="L63" s="1132">
        <v>2.0909198090137693E-2</v>
      </c>
    </row>
    <row r="64" spans="1:12" ht="15">
      <c r="A64" s="46" t="s">
        <v>117</v>
      </c>
      <c r="B64" s="47" t="s">
        <v>26</v>
      </c>
      <c r="C64" s="94">
        <v>13578.638235294116</v>
      </c>
      <c r="D64" s="94">
        <v>13598.973529411764</v>
      </c>
      <c r="E64" s="95">
        <v>13850.210999999999</v>
      </c>
      <c r="F64" s="95">
        <v>13870.953</v>
      </c>
      <c r="G64" s="1124">
        <v>-0.14953550776215729</v>
      </c>
      <c r="H64" s="96">
        <v>318</v>
      </c>
      <c r="I64" s="96">
        <v>-3.0192131747483923</v>
      </c>
      <c r="J64" s="104">
        <v>31.578947368421051</v>
      </c>
      <c r="K64" s="104">
        <v>0.28218296743608556</v>
      </c>
      <c r="L64" s="1130">
        <v>4.733963266073174E-2</v>
      </c>
    </row>
    <row r="65" spans="1:12" ht="15">
      <c r="A65" s="46" t="s">
        <v>117</v>
      </c>
      <c r="B65" s="47" t="s">
        <v>27</v>
      </c>
      <c r="C65" s="94">
        <v>13477.457843137254</v>
      </c>
      <c r="D65" s="94">
        <v>13686.709803921567</v>
      </c>
      <c r="E65" s="95">
        <v>13747.007</v>
      </c>
      <c r="F65" s="95">
        <v>13960.444</v>
      </c>
      <c r="G65" s="1124">
        <v>-1.5288697121667469</v>
      </c>
      <c r="H65" s="96">
        <v>343.7</v>
      </c>
      <c r="I65" s="96">
        <v>1.6563146997929503</v>
      </c>
      <c r="J65" s="104">
        <v>0.86206896551724133</v>
      </c>
      <c r="K65" s="104">
        <v>0.66030814380044023</v>
      </c>
      <c r="L65" s="1130">
        <v>-5.658203604011347E-2</v>
      </c>
    </row>
    <row r="66" spans="1:12" ht="15">
      <c r="A66" s="46" t="s">
        <v>117</v>
      </c>
      <c r="B66" s="47" t="s">
        <v>34</v>
      </c>
      <c r="C66" s="94">
        <v>13960.821568627451</v>
      </c>
      <c r="D66" s="94">
        <v>13730.227450980392</v>
      </c>
      <c r="E66" s="95">
        <v>14240.038</v>
      </c>
      <c r="F66" s="95">
        <v>14004.832</v>
      </c>
      <c r="G66" s="1124">
        <v>1.6794632024147105</v>
      </c>
      <c r="H66" s="96">
        <v>359</v>
      </c>
      <c r="I66" s="96">
        <v>-1.8857611369226503</v>
      </c>
      <c r="J66" s="104">
        <v>20.408163265306122</v>
      </c>
      <c r="K66" s="104">
        <v>0.33297590157458096</v>
      </c>
      <c r="L66" s="1130">
        <v>3.0151601469519451E-2</v>
      </c>
    </row>
    <row r="67" spans="1:12" ht="14.25">
      <c r="A67" s="44" t="s">
        <v>117</v>
      </c>
      <c r="B67" s="48" t="s">
        <v>28</v>
      </c>
      <c r="C67" s="105">
        <v>13321.896323221537</v>
      </c>
      <c r="D67" s="105">
        <v>13356.470601045496</v>
      </c>
      <c r="E67" s="106">
        <v>13588.334249685968</v>
      </c>
      <c r="F67" s="106">
        <v>13623.600013066405</v>
      </c>
      <c r="G67" s="1131">
        <v>-0.25885788885914146</v>
      </c>
      <c r="H67" s="107">
        <v>311.21500630517022</v>
      </c>
      <c r="I67" s="107">
        <v>0.41595754796467865</v>
      </c>
      <c r="J67" s="108">
        <v>3.2552083333333335</v>
      </c>
      <c r="K67" s="108">
        <v>8.950843727072634</v>
      </c>
      <c r="L67" s="1132">
        <v>-0.54177106805745545</v>
      </c>
    </row>
    <row r="68" spans="1:12" ht="15">
      <c r="A68" s="46" t="s">
        <v>117</v>
      </c>
      <c r="B68" s="47" t="s">
        <v>29</v>
      </c>
      <c r="C68" s="94">
        <v>13129.601960784314</v>
      </c>
      <c r="D68" s="94">
        <v>13111.812745098039</v>
      </c>
      <c r="E68" s="95">
        <v>13392.194</v>
      </c>
      <c r="F68" s="95">
        <v>13374.049000000001</v>
      </c>
      <c r="G68" s="1124">
        <v>0.13567319814663917</v>
      </c>
      <c r="H68" s="96">
        <v>287.3</v>
      </c>
      <c r="I68" s="96">
        <v>1.6271666077113629</v>
      </c>
      <c r="J68" s="104">
        <v>-6.9767441860465116</v>
      </c>
      <c r="K68" s="104">
        <v>1.1287318697443423</v>
      </c>
      <c r="L68" s="1130">
        <v>-0.19998699806358067</v>
      </c>
    </row>
    <row r="69" spans="1:12" ht="15">
      <c r="A69" s="46" t="s">
        <v>117</v>
      </c>
      <c r="B69" s="47" t="s">
        <v>30</v>
      </c>
      <c r="C69" s="94">
        <v>13357.304901960782</v>
      </c>
      <c r="D69" s="94">
        <v>13392.807843137256</v>
      </c>
      <c r="E69" s="95">
        <v>13624.450999999999</v>
      </c>
      <c r="F69" s="95">
        <v>13660.664000000001</v>
      </c>
      <c r="G69" s="1124">
        <v>-0.26508960325794967</v>
      </c>
      <c r="H69" s="96">
        <v>307</v>
      </c>
      <c r="I69" s="96">
        <v>0.85413929040736636</v>
      </c>
      <c r="J69" s="104">
        <v>10.586881472957423</v>
      </c>
      <c r="K69" s="104">
        <v>5.4235566341215646</v>
      </c>
      <c r="L69" s="1130">
        <v>5.3060373074657718E-2</v>
      </c>
    </row>
    <row r="70" spans="1:12" ht="15">
      <c r="A70" s="46" t="s">
        <v>117</v>
      </c>
      <c r="B70" s="47" t="s">
        <v>35</v>
      </c>
      <c r="C70" s="94">
        <v>13326.167647058825</v>
      </c>
      <c r="D70" s="94">
        <v>13391.356862745097</v>
      </c>
      <c r="E70" s="95">
        <v>13592.691000000001</v>
      </c>
      <c r="F70" s="95">
        <v>13659.183999999999</v>
      </c>
      <c r="G70" s="1124">
        <v>-0.48680067564796387</v>
      </c>
      <c r="H70" s="96">
        <v>332</v>
      </c>
      <c r="I70" s="96">
        <v>-0.4497751124437781</v>
      </c>
      <c r="J70" s="104">
        <v>-5.9734513274336285</v>
      </c>
      <c r="K70" s="104">
        <v>2.3985552232067273</v>
      </c>
      <c r="L70" s="1130">
        <v>-0.39484444306853383</v>
      </c>
    </row>
    <row r="71" spans="1:12" ht="14.25">
      <c r="A71" s="44" t="s">
        <v>117</v>
      </c>
      <c r="B71" s="48" t="s">
        <v>31</v>
      </c>
      <c r="C71" s="105">
        <v>12438.569625481332</v>
      </c>
      <c r="D71" s="105">
        <v>12461.526017707722</v>
      </c>
      <c r="E71" s="106">
        <v>12687.341017990959</v>
      </c>
      <c r="F71" s="106">
        <v>12710.756538061876</v>
      </c>
      <c r="G71" s="1131">
        <v>-0.18421814626690808</v>
      </c>
      <c r="H71" s="107">
        <v>273.18110236220474</v>
      </c>
      <c r="I71" s="107">
        <v>0.78647676047210091</v>
      </c>
      <c r="J71" s="108">
        <v>18.400392541707554</v>
      </c>
      <c r="K71" s="108">
        <v>13.618150008465488</v>
      </c>
      <c r="L71" s="1132">
        <v>1.0231311591978294</v>
      </c>
    </row>
    <row r="72" spans="1:12" ht="15">
      <c r="A72" s="46" t="s">
        <v>117</v>
      </c>
      <c r="B72" s="47" t="s">
        <v>32</v>
      </c>
      <c r="C72" s="94">
        <v>12026.528431372548</v>
      </c>
      <c r="D72" s="94">
        <v>12040.462745098041</v>
      </c>
      <c r="E72" s="95">
        <v>12267.058999999999</v>
      </c>
      <c r="F72" s="95">
        <v>12281.272000000001</v>
      </c>
      <c r="G72" s="1124">
        <v>-0.11572905477544636</v>
      </c>
      <c r="H72" s="96">
        <v>243.8</v>
      </c>
      <c r="I72" s="96">
        <v>0.66061106523535207</v>
      </c>
      <c r="J72" s="104">
        <v>6.6287878787878789</v>
      </c>
      <c r="K72" s="104">
        <v>3.1773802133303235</v>
      </c>
      <c r="L72" s="1130">
        <v>-8.5706122495645243E-2</v>
      </c>
    </row>
    <row r="73" spans="1:12" ht="15">
      <c r="A73" s="46" t="s">
        <v>117</v>
      </c>
      <c r="B73" s="47" t="s">
        <v>33</v>
      </c>
      <c r="C73" s="94">
        <v>12548.330392156862</v>
      </c>
      <c r="D73" s="94">
        <v>12543.75</v>
      </c>
      <c r="E73" s="95">
        <v>12799.297</v>
      </c>
      <c r="F73" s="95">
        <v>12794.625</v>
      </c>
      <c r="G73" s="1124">
        <v>3.6515333587349999E-2</v>
      </c>
      <c r="H73" s="96">
        <v>275.8</v>
      </c>
      <c r="I73" s="96">
        <v>0.21802325581396176</v>
      </c>
      <c r="J73" s="96">
        <v>16.891891891891891</v>
      </c>
      <c r="K73" s="96">
        <v>7.8108245386308477</v>
      </c>
      <c r="L73" s="1125">
        <v>0.49360063405140231</v>
      </c>
    </row>
    <row r="74" spans="1:12" ht="15.75" thickBot="1">
      <c r="A74" s="56" t="s">
        <v>117</v>
      </c>
      <c r="B74" s="57" t="s">
        <v>36</v>
      </c>
      <c r="C74" s="97">
        <v>12543.096078431372</v>
      </c>
      <c r="D74" s="97">
        <v>12735.811764705883</v>
      </c>
      <c r="E74" s="98">
        <v>12793.958000000001</v>
      </c>
      <c r="F74" s="98">
        <v>12990.528</v>
      </c>
      <c r="G74" s="1126">
        <v>-1.5131794489030754</v>
      </c>
      <c r="H74" s="99">
        <v>300.89999999999998</v>
      </c>
      <c r="I74" s="99">
        <v>-0.59464816650149044</v>
      </c>
      <c r="J74" s="99">
        <v>42.944785276073624</v>
      </c>
      <c r="K74" s="99">
        <v>2.6299452565043171</v>
      </c>
      <c r="L74" s="1127">
        <v>0.61523664764207142</v>
      </c>
    </row>
    <row r="75" spans="1:12">
      <c r="A75" s="4"/>
      <c r="B75" s="4"/>
      <c r="C75" s="1074"/>
      <c r="D75" s="1074"/>
      <c r="E75" s="1074"/>
      <c r="F75" s="1074"/>
      <c r="G75" s="1075"/>
      <c r="H75" s="1075"/>
      <c r="I75" s="1075"/>
      <c r="J75" s="1075"/>
      <c r="K75" s="1075"/>
      <c r="L75" s="80"/>
    </row>
    <row r="76" spans="1:12" ht="13.5" thickBot="1">
      <c r="G76" s="80"/>
      <c r="H76" s="80"/>
      <c r="I76" s="80"/>
      <c r="J76" s="80"/>
      <c r="K76" s="80"/>
      <c r="L76" s="1140"/>
    </row>
    <row r="77" spans="1:12" ht="21" thickBot="1">
      <c r="A77" s="1086" t="s">
        <v>340</v>
      </c>
      <c r="B77" s="1076"/>
      <c r="C77" s="1076"/>
      <c r="D77" s="1076"/>
      <c r="E77" s="1076"/>
      <c r="F77" s="1076"/>
      <c r="G77" s="1077"/>
      <c r="H77" s="1077"/>
      <c r="I77" s="1077"/>
      <c r="J77" s="1077"/>
      <c r="K77" s="1077"/>
      <c r="L77" s="1141"/>
    </row>
    <row r="78" spans="1:12">
      <c r="A78" s="27"/>
      <c r="B78" s="28"/>
      <c r="C78" s="3" t="s">
        <v>9</v>
      </c>
      <c r="D78" s="3" t="s">
        <v>9</v>
      </c>
      <c r="E78" s="3"/>
      <c r="F78" s="3"/>
      <c r="G78" s="1078"/>
      <c r="H78" s="1179" t="s">
        <v>10</v>
      </c>
      <c r="I78" s="1180"/>
      <c r="J78" s="1111" t="s">
        <v>11</v>
      </c>
      <c r="K78" s="1079" t="s">
        <v>12</v>
      </c>
      <c r="L78" s="1080"/>
    </row>
    <row r="79" spans="1:12" ht="15.75">
      <c r="A79" s="29" t="s">
        <v>13</v>
      </c>
      <c r="B79" s="30" t="s">
        <v>14</v>
      </c>
      <c r="C79" s="1081" t="s">
        <v>40</v>
      </c>
      <c r="D79" s="1081" t="s">
        <v>40</v>
      </c>
      <c r="E79" s="1082" t="s">
        <v>41</v>
      </c>
      <c r="F79" s="1083"/>
      <c r="G79" s="1112"/>
      <c r="H79" s="1177" t="s">
        <v>15</v>
      </c>
      <c r="I79" s="1178"/>
      <c r="J79" s="1113" t="s">
        <v>16</v>
      </c>
      <c r="K79" s="1084" t="s">
        <v>17</v>
      </c>
      <c r="L79" s="1085"/>
    </row>
    <row r="80" spans="1:12" ht="26.25" thickBot="1">
      <c r="A80" s="31" t="s">
        <v>18</v>
      </c>
      <c r="B80" s="32" t="s">
        <v>19</v>
      </c>
      <c r="C80" s="979" t="s">
        <v>369</v>
      </c>
      <c r="D80" s="1148" t="s">
        <v>365</v>
      </c>
      <c r="E80" s="1071" t="s">
        <v>369</v>
      </c>
      <c r="F80" s="1072" t="s">
        <v>365</v>
      </c>
      <c r="G80" s="1110" t="s">
        <v>20</v>
      </c>
      <c r="H80" s="81" t="s">
        <v>369</v>
      </c>
      <c r="I80" s="993" t="s">
        <v>20</v>
      </c>
      <c r="J80" s="1114" t="s">
        <v>20</v>
      </c>
      <c r="K80" s="1073" t="s">
        <v>369</v>
      </c>
      <c r="L80" s="1115" t="s">
        <v>21</v>
      </c>
    </row>
    <row r="81" spans="1:12" ht="15" thickBot="1">
      <c r="A81" s="33" t="s">
        <v>22</v>
      </c>
      <c r="B81" s="34" t="s">
        <v>23</v>
      </c>
      <c r="C81" s="82">
        <v>11894.891583418701</v>
      </c>
      <c r="D81" s="82">
        <v>12090.605112383713</v>
      </c>
      <c r="E81" s="83">
        <v>12132.789415087074</v>
      </c>
      <c r="F81" s="704">
        <v>12332.417214631389</v>
      </c>
      <c r="G81" s="1116">
        <v>-1.6187240187387795</v>
      </c>
      <c r="H81" s="84">
        <v>326.59306699310036</v>
      </c>
      <c r="I81" s="84">
        <v>-1.4200044679786079</v>
      </c>
      <c r="J81" s="85">
        <v>9.3054372947330002</v>
      </c>
      <c r="K81" s="84">
        <v>100</v>
      </c>
      <c r="L81" s="1117" t="s">
        <v>23</v>
      </c>
    </row>
    <row r="82" spans="1:12" ht="15" thickBot="1">
      <c r="A82" s="35"/>
      <c r="B82" s="36"/>
      <c r="C82" s="86"/>
      <c r="D82" s="86"/>
      <c r="E82" s="86"/>
      <c r="F82" s="86"/>
      <c r="G82" s="1118"/>
      <c r="H82" s="85"/>
      <c r="I82" s="85"/>
      <c r="J82" s="85"/>
      <c r="K82" s="85"/>
      <c r="L82" s="1119"/>
    </row>
    <row r="83" spans="1:12" ht="15">
      <c r="A83" s="37" t="s">
        <v>108</v>
      </c>
      <c r="B83" s="38" t="s">
        <v>23</v>
      </c>
      <c r="C83" s="87">
        <v>10687.223958333332</v>
      </c>
      <c r="D83" s="87">
        <v>12096.910880221654</v>
      </c>
      <c r="E83" s="88">
        <v>10900.9684375</v>
      </c>
      <c r="F83" s="88">
        <v>12338.849097826087</v>
      </c>
      <c r="G83" s="1120">
        <v>-11.653280212166784</v>
      </c>
      <c r="H83" s="89">
        <v>213.33333333333334</v>
      </c>
      <c r="I83" s="89">
        <v>-7.2463768115941987</v>
      </c>
      <c r="J83" s="89">
        <v>-25</v>
      </c>
      <c r="K83" s="89">
        <v>3.3385265969285559E-2</v>
      </c>
      <c r="L83" s="1121">
        <v>-1.5270615310364118E-2</v>
      </c>
    </row>
    <row r="84" spans="1:12" ht="15">
      <c r="A84" s="46" t="s">
        <v>109</v>
      </c>
      <c r="B84" s="90" t="s">
        <v>23</v>
      </c>
      <c r="C84" s="91">
        <v>12045.604122341134</v>
      </c>
      <c r="D84" s="91">
        <v>12276.644473340202</v>
      </c>
      <c r="E84" s="92">
        <v>12286.516204787957</v>
      </c>
      <c r="F84" s="92">
        <v>12522.177362807006</v>
      </c>
      <c r="G84" s="1122">
        <v>-1.8819503285347396</v>
      </c>
      <c r="H84" s="93">
        <v>355.39795321637428</v>
      </c>
      <c r="I84" s="93">
        <v>-0.4917372850034879</v>
      </c>
      <c r="J84" s="93">
        <v>1.4836795252225521</v>
      </c>
      <c r="K84" s="93">
        <v>38.059203204985529</v>
      </c>
      <c r="L84" s="1123">
        <v>-2.9333767731193277</v>
      </c>
    </row>
    <row r="85" spans="1:12" ht="15">
      <c r="A85" s="39" t="s">
        <v>110</v>
      </c>
      <c r="B85" s="40" t="s">
        <v>23</v>
      </c>
      <c r="C85" s="94">
        <v>11703.48337155801</v>
      </c>
      <c r="D85" s="94">
        <v>11920.822783441459</v>
      </c>
      <c r="E85" s="95">
        <v>11937.55303898917</v>
      </c>
      <c r="F85" s="95">
        <v>12159.239239110289</v>
      </c>
      <c r="G85" s="1124">
        <v>-1.8231913671709323</v>
      </c>
      <c r="H85" s="96">
        <v>395.36246851385391</v>
      </c>
      <c r="I85" s="96">
        <v>-4.543914021552637E-2</v>
      </c>
      <c r="J85" s="96">
        <v>1.5345268542199488</v>
      </c>
      <c r="K85" s="96">
        <v>13.253950589806365</v>
      </c>
      <c r="L85" s="1125">
        <v>-1.0143865954509028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24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125" t="s">
        <v>100</v>
      </c>
    </row>
    <row r="87" spans="1:12" ht="15">
      <c r="A87" s="39" t="s">
        <v>98</v>
      </c>
      <c r="B87" s="40" t="s">
        <v>23</v>
      </c>
      <c r="C87" s="94">
        <v>10610.440199714874</v>
      </c>
      <c r="D87" s="94">
        <v>10728.711184928921</v>
      </c>
      <c r="E87" s="95">
        <v>10822.649003709172</v>
      </c>
      <c r="F87" s="95">
        <v>10943.2854086275</v>
      </c>
      <c r="G87" s="1124">
        <v>-1.1023783115737875</v>
      </c>
      <c r="H87" s="96">
        <v>279.16888782358575</v>
      </c>
      <c r="I87" s="96">
        <v>-0.98375626207657696</v>
      </c>
      <c r="J87" s="96">
        <v>24.910179640718564</v>
      </c>
      <c r="K87" s="96">
        <v>23.213888270643224</v>
      </c>
      <c r="L87" s="1125">
        <v>2.9000578363894824</v>
      </c>
    </row>
    <row r="88" spans="1:12" ht="15.75" thickBot="1">
      <c r="A88" s="41" t="s">
        <v>112</v>
      </c>
      <c r="B88" s="42" t="s">
        <v>23</v>
      </c>
      <c r="C88" s="97">
        <v>12880.307613391913</v>
      </c>
      <c r="D88" s="97">
        <v>12939.756024765646</v>
      </c>
      <c r="E88" s="98">
        <v>13137.913765659752</v>
      </c>
      <c r="F88" s="98">
        <v>13198.551145260959</v>
      </c>
      <c r="G88" s="1126">
        <v>-0.45942451511413829</v>
      </c>
      <c r="H88" s="99">
        <v>291.09418197725279</v>
      </c>
      <c r="I88" s="99">
        <v>-0.15393343345885688</v>
      </c>
      <c r="J88" s="99">
        <v>14.071856287425149</v>
      </c>
      <c r="K88" s="99">
        <v>25.439572668595595</v>
      </c>
      <c r="L88" s="1127">
        <v>1.0629761474911064</v>
      </c>
    </row>
    <row r="89" spans="1:12" ht="15" thickBot="1">
      <c r="A89" s="35"/>
      <c r="B89" s="43"/>
      <c r="C89" s="86"/>
      <c r="D89" s="86"/>
      <c r="E89" s="86"/>
      <c r="F89" s="86"/>
      <c r="G89" s="1118"/>
      <c r="H89" s="85"/>
      <c r="I89" s="85"/>
      <c r="J89" s="85"/>
      <c r="K89" s="85"/>
      <c r="L89" s="1119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28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29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24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30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24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30" t="s">
        <v>100</v>
      </c>
    </row>
    <row r="93" spans="1:12" ht="14.25">
      <c r="A93" s="44" t="s">
        <v>113</v>
      </c>
      <c r="B93" s="48" t="s">
        <v>28</v>
      </c>
      <c r="C93" s="105" t="s">
        <v>100</v>
      </c>
      <c r="D93" s="105">
        <v>12415.275490196078</v>
      </c>
      <c r="E93" s="106" t="s">
        <v>100</v>
      </c>
      <c r="F93" s="106">
        <v>12663.581</v>
      </c>
      <c r="G93" s="1131" t="s">
        <v>100</v>
      </c>
      <c r="H93" s="107" t="s">
        <v>100</v>
      </c>
      <c r="I93" s="107" t="s">
        <v>100</v>
      </c>
      <c r="J93" s="108" t="s">
        <v>100</v>
      </c>
      <c r="K93" s="108" t="s">
        <v>100</v>
      </c>
      <c r="L93" s="1132" t="s">
        <v>100</v>
      </c>
    </row>
    <row r="94" spans="1:12" ht="15">
      <c r="A94" s="46" t="s">
        <v>113</v>
      </c>
      <c r="B94" s="47" t="s">
        <v>29</v>
      </c>
      <c r="C94" s="94" t="s">
        <v>100</v>
      </c>
      <c r="D94" s="94" t="s">
        <v>100</v>
      </c>
      <c r="E94" s="95" t="s">
        <v>100</v>
      </c>
      <c r="F94" s="95" t="s">
        <v>100</v>
      </c>
      <c r="G94" s="1124" t="s">
        <v>100</v>
      </c>
      <c r="H94" s="96" t="s">
        <v>100</v>
      </c>
      <c r="I94" s="96" t="s">
        <v>100</v>
      </c>
      <c r="J94" s="104" t="s">
        <v>100</v>
      </c>
      <c r="K94" s="104" t="s">
        <v>100</v>
      </c>
      <c r="L94" s="1130" t="s">
        <v>100</v>
      </c>
    </row>
    <row r="95" spans="1:12" ht="15">
      <c r="A95" s="46" t="s">
        <v>113</v>
      </c>
      <c r="B95" s="47" t="s">
        <v>30</v>
      </c>
      <c r="C95" s="94" t="s">
        <v>100</v>
      </c>
      <c r="D95" s="94">
        <v>12415.275490196078</v>
      </c>
      <c r="E95" s="95" t="s">
        <v>100</v>
      </c>
      <c r="F95" s="95">
        <v>12663.581</v>
      </c>
      <c r="G95" s="1124" t="s">
        <v>100</v>
      </c>
      <c r="H95" s="96" t="s">
        <v>100</v>
      </c>
      <c r="I95" s="96" t="s">
        <v>100</v>
      </c>
      <c r="J95" s="104" t="s">
        <v>100</v>
      </c>
      <c r="K95" s="104" t="s">
        <v>100</v>
      </c>
      <c r="L95" s="1130" t="s">
        <v>100</v>
      </c>
    </row>
    <row r="96" spans="1:12" ht="14.25">
      <c r="A96" s="44" t="s">
        <v>113</v>
      </c>
      <c r="B96" s="48" t="s">
        <v>31</v>
      </c>
      <c r="C96" s="105">
        <v>10687.223958333332</v>
      </c>
      <c r="D96" s="105" t="s">
        <v>257</v>
      </c>
      <c r="E96" s="106">
        <v>10900.9684375</v>
      </c>
      <c r="F96" s="106" t="s">
        <v>257</v>
      </c>
      <c r="G96" s="1131" t="s">
        <v>100</v>
      </c>
      <c r="H96" s="107">
        <v>213.33333333333334</v>
      </c>
      <c r="I96" s="107" t="s">
        <v>100</v>
      </c>
      <c r="J96" s="108" t="s">
        <v>100</v>
      </c>
      <c r="K96" s="108" t="s">
        <v>100</v>
      </c>
      <c r="L96" s="1132" t="s">
        <v>100</v>
      </c>
    </row>
    <row r="97" spans="1:12" ht="15">
      <c r="A97" s="46" t="s">
        <v>113</v>
      </c>
      <c r="B97" s="47" t="s">
        <v>32</v>
      </c>
      <c r="C97" s="94" t="s">
        <v>257</v>
      </c>
      <c r="D97" s="94" t="s">
        <v>100</v>
      </c>
      <c r="E97" s="95" t="s">
        <v>257</v>
      </c>
      <c r="F97" s="95" t="s">
        <v>100</v>
      </c>
      <c r="G97" s="1124" t="s">
        <v>100</v>
      </c>
      <c r="H97" s="96" t="s">
        <v>257</v>
      </c>
      <c r="I97" s="96" t="s">
        <v>100</v>
      </c>
      <c r="J97" s="104" t="s">
        <v>100</v>
      </c>
      <c r="K97" s="104" t="s">
        <v>100</v>
      </c>
      <c r="L97" s="1130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 t="s">
        <v>257</v>
      </c>
      <c r="E98" s="110" t="s">
        <v>257</v>
      </c>
      <c r="F98" s="110" t="s">
        <v>257</v>
      </c>
      <c r="G98" s="1133" t="s">
        <v>100</v>
      </c>
      <c r="H98" s="104" t="s">
        <v>257</v>
      </c>
      <c r="I98" s="104" t="s">
        <v>100</v>
      </c>
      <c r="J98" s="104" t="s">
        <v>100</v>
      </c>
      <c r="K98" s="104" t="s">
        <v>100</v>
      </c>
      <c r="L98" s="1130" t="s">
        <v>100</v>
      </c>
    </row>
    <row r="99" spans="1:12" ht="15" thickBot="1">
      <c r="A99" s="35"/>
      <c r="B99" s="43"/>
      <c r="C99" s="86"/>
      <c r="D99" s="86"/>
      <c r="E99" s="86"/>
      <c r="F99" s="86"/>
      <c r="G99" s="1118"/>
      <c r="H99" s="85"/>
      <c r="I99" s="85"/>
      <c r="J99" s="85"/>
      <c r="K99" s="85"/>
      <c r="L99" s="1119"/>
    </row>
    <row r="100" spans="1:12" ht="14.25">
      <c r="A100" s="44" t="s">
        <v>114</v>
      </c>
      <c r="B100" s="45" t="s">
        <v>25</v>
      </c>
      <c r="C100" s="100">
        <v>12580.289503960694</v>
      </c>
      <c r="D100" s="100">
        <v>12880.765113221993</v>
      </c>
      <c r="E100" s="101">
        <v>12831.895294039909</v>
      </c>
      <c r="F100" s="101">
        <v>13138.380415486432</v>
      </c>
      <c r="G100" s="1128">
        <v>-2.3327465924587187</v>
      </c>
      <c r="H100" s="102">
        <v>427.53163841807913</v>
      </c>
      <c r="I100" s="102">
        <v>0.72456446373957561</v>
      </c>
      <c r="J100" s="103">
        <v>-0.5617977528089888</v>
      </c>
      <c r="K100" s="103">
        <v>1.9697306921878477</v>
      </c>
      <c r="L100" s="1129">
        <v>-0.1954560247565631</v>
      </c>
    </row>
    <row r="101" spans="1:12" ht="15">
      <c r="A101" s="46" t="s">
        <v>114</v>
      </c>
      <c r="B101" s="47" t="s">
        <v>26</v>
      </c>
      <c r="C101" s="94">
        <v>12727.911764705881</v>
      </c>
      <c r="D101" s="94">
        <v>12985.61862745098</v>
      </c>
      <c r="E101" s="95">
        <v>12982.47</v>
      </c>
      <c r="F101" s="95">
        <v>13245.331</v>
      </c>
      <c r="G101" s="1124">
        <v>-1.9845559163451691</v>
      </c>
      <c r="H101" s="96">
        <v>408.8</v>
      </c>
      <c r="I101" s="96">
        <v>-0.87293889427739246</v>
      </c>
      <c r="J101" s="104">
        <v>-21.153846153846153</v>
      </c>
      <c r="K101" s="104">
        <v>0.91253060316047185</v>
      </c>
      <c r="L101" s="1130">
        <v>-0.35252231011041979</v>
      </c>
    </row>
    <row r="102" spans="1:12" ht="15">
      <c r="A102" s="46" t="s">
        <v>114</v>
      </c>
      <c r="B102" s="47" t="s">
        <v>27</v>
      </c>
      <c r="C102" s="94">
        <v>12462.892156862745</v>
      </c>
      <c r="D102" s="94">
        <v>12743.068627450981</v>
      </c>
      <c r="E102" s="95">
        <v>12712.15</v>
      </c>
      <c r="F102" s="95">
        <v>12997.93</v>
      </c>
      <c r="G102" s="1124">
        <v>-2.1986577862782819</v>
      </c>
      <c r="H102" s="96">
        <v>443.7</v>
      </c>
      <c r="I102" s="96">
        <v>0.52106932487539914</v>
      </c>
      <c r="J102" s="104">
        <v>28.378378378378379</v>
      </c>
      <c r="K102" s="104">
        <v>1.0572000890273758</v>
      </c>
      <c r="L102" s="1130">
        <v>0.1570662853538568</v>
      </c>
    </row>
    <row r="103" spans="1:12" ht="14.25">
      <c r="A103" s="44" t="s">
        <v>114</v>
      </c>
      <c r="B103" s="48" t="s">
        <v>28</v>
      </c>
      <c r="C103" s="105">
        <v>12284.446299387911</v>
      </c>
      <c r="D103" s="105">
        <v>12557.11377856175</v>
      </c>
      <c r="E103" s="106">
        <v>12530.13522537567</v>
      </c>
      <c r="F103" s="106">
        <v>12808.256054132986</v>
      </c>
      <c r="G103" s="1131">
        <v>-2.1714184006148987</v>
      </c>
      <c r="H103" s="107">
        <v>381.74577603143422</v>
      </c>
      <c r="I103" s="107">
        <v>3.4601660607401184E-2</v>
      </c>
      <c r="J103" s="108">
        <v>1.2935323383084576</v>
      </c>
      <c r="K103" s="108">
        <v>11.328733585577565</v>
      </c>
      <c r="L103" s="1132">
        <v>-0.89605658593441717</v>
      </c>
    </row>
    <row r="104" spans="1:12" ht="15">
      <c r="A104" s="46" t="s">
        <v>114</v>
      </c>
      <c r="B104" s="47" t="s">
        <v>29</v>
      </c>
      <c r="C104" s="94">
        <v>12392.466666666667</v>
      </c>
      <c r="D104" s="94">
        <v>12666.9</v>
      </c>
      <c r="E104" s="95">
        <v>12640.316000000001</v>
      </c>
      <c r="F104" s="95">
        <v>12920.237999999999</v>
      </c>
      <c r="G104" s="1124">
        <v>-2.1665390374387741</v>
      </c>
      <c r="H104" s="96">
        <v>368.6</v>
      </c>
      <c r="I104" s="96">
        <v>-0.18954779312211983</v>
      </c>
      <c r="J104" s="104">
        <v>3.5433070866141732</v>
      </c>
      <c r="K104" s="104">
        <v>5.8535499666147341</v>
      </c>
      <c r="L104" s="1130">
        <v>-0.32574695590077507</v>
      </c>
    </row>
    <row r="105" spans="1:12" ht="15">
      <c r="A105" s="46" t="s">
        <v>114</v>
      </c>
      <c r="B105" s="47" t="s">
        <v>30</v>
      </c>
      <c r="C105" s="94">
        <v>12176.902941176471</v>
      </c>
      <c r="D105" s="94">
        <v>12452.000980392157</v>
      </c>
      <c r="E105" s="95">
        <v>12420.441000000001</v>
      </c>
      <c r="F105" s="95">
        <v>12701.040999999999</v>
      </c>
      <c r="G105" s="1124">
        <v>-2.2092677285271227</v>
      </c>
      <c r="H105" s="96">
        <v>395.8</v>
      </c>
      <c r="I105" s="96">
        <v>0.40588533739219251</v>
      </c>
      <c r="J105" s="104">
        <v>-1.0060362173038229</v>
      </c>
      <c r="K105" s="104">
        <v>5.4751836189628307</v>
      </c>
      <c r="L105" s="1130">
        <v>-0.5703096300336421</v>
      </c>
    </row>
    <row r="106" spans="1:12" ht="14.25">
      <c r="A106" s="44" t="s">
        <v>114</v>
      </c>
      <c r="B106" s="48" t="s">
        <v>31</v>
      </c>
      <c r="C106" s="105">
        <v>11868.186430904825</v>
      </c>
      <c r="D106" s="105">
        <v>12070.869812293966</v>
      </c>
      <c r="E106" s="106">
        <v>12105.550159522922</v>
      </c>
      <c r="F106" s="106">
        <v>12312.287208539845</v>
      </c>
      <c r="G106" s="1131">
        <v>-1.6791116509492221</v>
      </c>
      <c r="H106" s="107">
        <v>337.60480898876403</v>
      </c>
      <c r="I106" s="107">
        <v>-0.8317923585795276</v>
      </c>
      <c r="J106" s="108">
        <v>1.7375400091449476</v>
      </c>
      <c r="K106" s="108">
        <v>24.760738927220117</v>
      </c>
      <c r="L106" s="1132">
        <v>-1.8418641624283474</v>
      </c>
    </row>
    <row r="107" spans="1:12" ht="15">
      <c r="A107" s="46" t="s">
        <v>114</v>
      </c>
      <c r="B107" s="47" t="s">
        <v>32</v>
      </c>
      <c r="C107" s="94">
        <v>11879.185294117648</v>
      </c>
      <c r="D107" s="94">
        <v>12059.608823529412</v>
      </c>
      <c r="E107" s="95">
        <v>12116.769</v>
      </c>
      <c r="F107" s="95">
        <v>12300.800999999999</v>
      </c>
      <c r="G107" s="1124">
        <v>-1.4960976931502203</v>
      </c>
      <c r="H107" s="96">
        <v>327.2</v>
      </c>
      <c r="I107" s="96">
        <v>-0.81842982722036639</v>
      </c>
      <c r="J107" s="104">
        <v>-0.59435364041604755</v>
      </c>
      <c r="K107" s="104">
        <v>14.889828622301357</v>
      </c>
      <c r="L107" s="1130">
        <v>-1.4828754283007601</v>
      </c>
    </row>
    <row r="108" spans="1:12" ht="15.75" thickBot="1">
      <c r="A108" s="49" t="s">
        <v>114</v>
      </c>
      <c r="B108" s="50" t="s">
        <v>33</v>
      </c>
      <c r="C108" s="109">
        <v>11852.818627450981</v>
      </c>
      <c r="D108" s="109">
        <v>12087.506862745098</v>
      </c>
      <c r="E108" s="110">
        <v>12089.875</v>
      </c>
      <c r="F108" s="110">
        <v>12329.257</v>
      </c>
      <c r="G108" s="1133">
        <v>-1.9415768525224155</v>
      </c>
      <c r="H108" s="104">
        <v>353.3</v>
      </c>
      <c r="I108" s="104">
        <v>-1.1195074167366359</v>
      </c>
      <c r="J108" s="104">
        <v>5.4696789536266346</v>
      </c>
      <c r="K108" s="104">
        <v>9.8709103049187625</v>
      </c>
      <c r="L108" s="1130">
        <v>-0.35898873412758192</v>
      </c>
    </row>
    <row r="109" spans="1:12" ht="15.75" thickBot="1">
      <c r="A109" s="51"/>
      <c r="B109" s="52"/>
      <c r="C109" s="111"/>
      <c r="D109" s="111"/>
      <c r="E109" s="111"/>
      <c r="F109" s="111"/>
      <c r="G109" s="1134"/>
      <c r="H109" s="112"/>
      <c r="I109" s="112"/>
      <c r="J109" s="112"/>
      <c r="K109" s="112"/>
      <c r="L109" s="1135"/>
    </row>
    <row r="110" spans="1:12" ht="15">
      <c r="A110" s="46" t="s">
        <v>115</v>
      </c>
      <c r="B110" s="53" t="s">
        <v>30</v>
      </c>
      <c r="C110" s="113">
        <v>11855.175490196079</v>
      </c>
      <c r="D110" s="113">
        <v>12216.328431372549</v>
      </c>
      <c r="E110" s="114">
        <v>12092.279</v>
      </c>
      <c r="F110" s="114">
        <v>12460.655000000001</v>
      </c>
      <c r="G110" s="1136">
        <v>-2.9563132917170099</v>
      </c>
      <c r="H110" s="115">
        <v>419.2</v>
      </c>
      <c r="I110" s="115">
        <v>1.7475728155339778</v>
      </c>
      <c r="J110" s="115">
        <v>6.9868995633187767</v>
      </c>
      <c r="K110" s="115">
        <v>5.4529267749833075</v>
      </c>
      <c r="L110" s="1137">
        <v>-0.11817163153658061</v>
      </c>
    </row>
    <row r="111" spans="1:12" ht="15.75" thickBot="1">
      <c r="A111" s="49" t="s">
        <v>115</v>
      </c>
      <c r="B111" s="50" t="s">
        <v>33</v>
      </c>
      <c r="C111" s="109">
        <v>11586.108823529412</v>
      </c>
      <c r="D111" s="109">
        <v>11718.287254901961</v>
      </c>
      <c r="E111" s="110">
        <v>11817.831</v>
      </c>
      <c r="F111" s="110">
        <v>11952.653</v>
      </c>
      <c r="G111" s="1133">
        <v>-1.127967155074276</v>
      </c>
      <c r="H111" s="104">
        <v>378.7</v>
      </c>
      <c r="I111" s="104">
        <v>-1.6363636363636394</v>
      </c>
      <c r="J111" s="104">
        <v>-1.9580419580419581</v>
      </c>
      <c r="K111" s="104">
        <v>7.8010238148230577</v>
      </c>
      <c r="L111" s="1130">
        <v>-0.89621496391432309</v>
      </c>
    </row>
    <row r="112" spans="1:12" ht="15.75" thickBot="1">
      <c r="A112" s="51"/>
      <c r="B112" s="52"/>
      <c r="C112" s="111"/>
      <c r="D112" s="111"/>
      <c r="E112" s="111"/>
      <c r="F112" s="111"/>
      <c r="G112" s="1134"/>
      <c r="H112" s="112"/>
      <c r="I112" s="112"/>
      <c r="J112" s="112"/>
      <c r="K112" s="112"/>
      <c r="L112" s="1135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28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29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24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30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24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30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24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30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1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2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24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30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24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30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1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2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24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30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3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30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34"/>
      <c r="H123" s="112"/>
      <c r="I123" s="112"/>
      <c r="J123" s="112"/>
      <c r="K123" s="112"/>
      <c r="L123" s="1135"/>
    </row>
    <row r="124" spans="1:12" ht="14.25">
      <c r="A124" s="44" t="s">
        <v>24</v>
      </c>
      <c r="B124" s="45" t="s">
        <v>28</v>
      </c>
      <c r="C124" s="100">
        <v>11454.867862035895</v>
      </c>
      <c r="D124" s="100">
        <v>11712.208019391715</v>
      </c>
      <c r="E124" s="101">
        <v>11683.965219276613</v>
      </c>
      <c r="F124" s="101">
        <v>11946.45217977955</v>
      </c>
      <c r="G124" s="1128">
        <v>-2.1971959252238848</v>
      </c>
      <c r="H124" s="102">
        <v>355.17664233576642</v>
      </c>
      <c r="I124" s="102">
        <v>1.9309312480889345</v>
      </c>
      <c r="J124" s="103">
        <v>-9.2715231788079464</v>
      </c>
      <c r="K124" s="103">
        <v>1.5245938125973737</v>
      </c>
      <c r="L124" s="1129">
        <v>-0.31216570570940161</v>
      </c>
    </row>
    <row r="125" spans="1:12" ht="15">
      <c r="A125" s="46" t="s">
        <v>24</v>
      </c>
      <c r="B125" s="47" t="s">
        <v>29</v>
      </c>
      <c r="C125" s="94">
        <v>11412.960784313726</v>
      </c>
      <c r="D125" s="94">
        <v>11686.525490196078</v>
      </c>
      <c r="E125" s="95">
        <v>11641.22</v>
      </c>
      <c r="F125" s="95">
        <v>11920.255999999999</v>
      </c>
      <c r="G125" s="1124">
        <v>-2.3408557668560146</v>
      </c>
      <c r="H125" s="96">
        <v>346.8</v>
      </c>
      <c r="I125" s="96">
        <v>10.83413231064239</v>
      </c>
      <c r="J125" s="104">
        <v>11.76470588235294</v>
      </c>
      <c r="K125" s="104">
        <v>0.21144001780547517</v>
      </c>
      <c r="L125" s="1130">
        <v>4.6525223669640348E-3</v>
      </c>
    </row>
    <row r="126" spans="1:12" ht="15">
      <c r="A126" s="46" t="s">
        <v>24</v>
      </c>
      <c r="B126" s="47" t="s">
        <v>30</v>
      </c>
      <c r="C126" s="94">
        <v>11369.407843137255</v>
      </c>
      <c r="D126" s="94">
        <v>11660.526470588235</v>
      </c>
      <c r="E126" s="95">
        <v>11596.796</v>
      </c>
      <c r="F126" s="95">
        <v>11893.736999999999</v>
      </c>
      <c r="G126" s="1124">
        <v>-2.4966164965645277</v>
      </c>
      <c r="H126" s="96">
        <v>340.6</v>
      </c>
      <c r="I126" s="96">
        <v>-0.43846828412744804</v>
      </c>
      <c r="J126" s="104">
        <v>-23.809523809523807</v>
      </c>
      <c r="K126" s="104">
        <v>0.71221900734475851</v>
      </c>
      <c r="L126" s="1130">
        <v>-0.30955449952788472</v>
      </c>
    </row>
    <row r="127" spans="1:12" ht="15">
      <c r="A127" s="46" t="s">
        <v>24</v>
      </c>
      <c r="B127" s="47" t="s">
        <v>35</v>
      </c>
      <c r="C127" s="94">
        <v>11560.402941176471</v>
      </c>
      <c r="D127" s="94">
        <v>11799.598039215687</v>
      </c>
      <c r="E127" s="95">
        <v>11791.611000000001</v>
      </c>
      <c r="F127" s="95">
        <v>12035.59</v>
      </c>
      <c r="G127" s="1124">
        <v>-2.0271461556932344</v>
      </c>
      <c r="H127" s="96">
        <v>375.4</v>
      </c>
      <c r="I127" s="96">
        <v>1.1314655172413763</v>
      </c>
      <c r="J127" s="104">
        <v>8</v>
      </c>
      <c r="K127" s="104">
        <v>0.60093478744714002</v>
      </c>
      <c r="L127" s="1130">
        <v>-7.2637285484808967E-3</v>
      </c>
    </row>
    <row r="128" spans="1:12" ht="14.25">
      <c r="A128" s="44" t="s">
        <v>24</v>
      </c>
      <c r="B128" s="48" t="s">
        <v>31</v>
      </c>
      <c r="C128" s="105">
        <v>11011.167127198349</v>
      </c>
      <c r="D128" s="105">
        <v>11038.855492018862</v>
      </c>
      <c r="E128" s="106">
        <v>11231.390469742315</v>
      </c>
      <c r="F128" s="106">
        <v>11259.632601859239</v>
      </c>
      <c r="G128" s="1131">
        <v>-0.25082640895636843</v>
      </c>
      <c r="H128" s="107">
        <v>294.78173302107723</v>
      </c>
      <c r="I128" s="107">
        <v>-1.2294486340755746</v>
      </c>
      <c r="J128" s="108">
        <v>32.608695652173914</v>
      </c>
      <c r="K128" s="108">
        <v>14.255508568884931</v>
      </c>
      <c r="L128" s="1132">
        <v>2.5051132398495337</v>
      </c>
    </row>
    <row r="129" spans="1:12" ht="15">
      <c r="A129" s="46" t="s">
        <v>24</v>
      </c>
      <c r="B129" s="47" t="s">
        <v>32</v>
      </c>
      <c r="C129" s="94">
        <v>10736.688235294117</v>
      </c>
      <c r="D129" s="94">
        <v>10728.6</v>
      </c>
      <c r="E129" s="95">
        <v>10951.422</v>
      </c>
      <c r="F129" s="95">
        <v>10943.172</v>
      </c>
      <c r="G129" s="1124">
        <v>7.5389475738844275E-2</v>
      </c>
      <c r="H129" s="96">
        <v>266.60000000000002</v>
      </c>
      <c r="I129" s="96">
        <v>-1.6961651917404004</v>
      </c>
      <c r="J129" s="104">
        <v>35.106382978723403</v>
      </c>
      <c r="K129" s="104">
        <v>4.2399287780992649</v>
      </c>
      <c r="L129" s="1130">
        <v>0.80968914788396251</v>
      </c>
    </row>
    <row r="130" spans="1:12" ht="15">
      <c r="A130" s="46" t="s">
        <v>24</v>
      </c>
      <c r="B130" s="47" t="s">
        <v>33</v>
      </c>
      <c r="C130" s="94">
        <v>11077.941176470587</v>
      </c>
      <c r="D130" s="94">
        <v>11137.152941176471</v>
      </c>
      <c r="E130" s="95">
        <v>11299.5</v>
      </c>
      <c r="F130" s="95">
        <v>11359.896000000001</v>
      </c>
      <c r="G130" s="1124">
        <v>-0.53165979688547005</v>
      </c>
      <c r="H130" s="96">
        <v>301</v>
      </c>
      <c r="I130" s="96">
        <v>-0.75832509066930809</v>
      </c>
      <c r="J130" s="104">
        <v>35.701598579040855</v>
      </c>
      <c r="K130" s="104">
        <v>8.5021144001780549</v>
      </c>
      <c r="L130" s="1130">
        <v>1.6537991100673635</v>
      </c>
    </row>
    <row r="131" spans="1:12" ht="15">
      <c r="A131" s="46" t="s">
        <v>24</v>
      </c>
      <c r="B131" s="47" t="s">
        <v>36</v>
      </c>
      <c r="C131" s="94">
        <v>11283.091176470589</v>
      </c>
      <c r="D131" s="94">
        <v>11207.957843137256</v>
      </c>
      <c r="E131" s="95">
        <v>11508.753000000001</v>
      </c>
      <c r="F131" s="95">
        <v>11432.117</v>
      </c>
      <c r="G131" s="1124">
        <v>0.67035703011087466</v>
      </c>
      <c r="H131" s="96">
        <v>338.8</v>
      </c>
      <c r="I131" s="96">
        <v>-0.17678255745432114</v>
      </c>
      <c r="J131" s="104">
        <v>12.396694214876034</v>
      </c>
      <c r="K131" s="104">
        <v>1.5134653906076119</v>
      </c>
      <c r="L131" s="1130">
        <v>4.1624981898209068E-2</v>
      </c>
    </row>
    <row r="132" spans="1:12" ht="14.25">
      <c r="A132" s="44" t="s">
        <v>24</v>
      </c>
      <c r="B132" s="48" t="s">
        <v>37</v>
      </c>
      <c r="C132" s="105">
        <v>9377.8158765870376</v>
      </c>
      <c r="D132" s="105">
        <v>9642.0888639344575</v>
      </c>
      <c r="E132" s="106">
        <v>9565.3721941187778</v>
      </c>
      <c r="F132" s="106">
        <v>9834.9306412131464</v>
      </c>
      <c r="G132" s="1131">
        <v>-2.7408271286102162</v>
      </c>
      <c r="H132" s="107">
        <v>233.64026946107782</v>
      </c>
      <c r="I132" s="107">
        <v>-0.55534593758530992</v>
      </c>
      <c r="J132" s="108">
        <v>20.795660036166367</v>
      </c>
      <c r="K132" s="108">
        <v>7.4337858891609168</v>
      </c>
      <c r="L132" s="1132">
        <v>0.70711030224934834</v>
      </c>
    </row>
    <row r="133" spans="1:12" ht="15">
      <c r="A133" s="46" t="s">
        <v>24</v>
      </c>
      <c r="B133" s="47" t="s">
        <v>102</v>
      </c>
      <c r="C133" s="116">
        <v>8643.0960784313738</v>
      </c>
      <c r="D133" s="116">
        <v>8887.5137254901947</v>
      </c>
      <c r="E133" s="117">
        <v>8815.9580000000005</v>
      </c>
      <c r="F133" s="117">
        <v>9065.2639999999992</v>
      </c>
      <c r="G133" s="1138">
        <v>-2.7501239897701679</v>
      </c>
      <c r="H133" s="118">
        <v>213.4</v>
      </c>
      <c r="I133" s="118">
        <v>-0.41997200186654482</v>
      </c>
      <c r="J133" s="119">
        <v>10.74074074074074</v>
      </c>
      <c r="K133" s="119">
        <v>3.3273981749387933</v>
      </c>
      <c r="L133" s="1139">
        <v>4.3126188562439882E-2</v>
      </c>
    </row>
    <row r="134" spans="1:12" ht="15">
      <c r="A134" s="46" t="s">
        <v>24</v>
      </c>
      <c r="B134" s="47" t="s">
        <v>38</v>
      </c>
      <c r="C134" s="94">
        <v>9647.2715686274514</v>
      </c>
      <c r="D134" s="94">
        <v>9962.1833333333325</v>
      </c>
      <c r="E134" s="95">
        <v>9840.2170000000006</v>
      </c>
      <c r="F134" s="95">
        <v>10161.427</v>
      </c>
      <c r="G134" s="1124">
        <v>-3.1610717667902266</v>
      </c>
      <c r="H134" s="96">
        <v>234.4</v>
      </c>
      <c r="I134" s="96">
        <v>-3.1404958677685926</v>
      </c>
      <c r="J134" s="104">
        <v>38.07106598984771</v>
      </c>
      <c r="K134" s="104">
        <v>3.0269307812152237</v>
      </c>
      <c r="L134" s="1130">
        <v>0.63062862819247689</v>
      </c>
    </row>
    <row r="135" spans="1:12" ht="15.75" thickBot="1">
      <c r="A135" s="46" t="s">
        <v>24</v>
      </c>
      <c r="B135" s="47" t="s">
        <v>39</v>
      </c>
      <c r="C135" s="94">
        <v>10419.530392156863</v>
      </c>
      <c r="D135" s="94">
        <v>10806.224509803922</v>
      </c>
      <c r="E135" s="95">
        <v>10627.921</v>
      </c>
      <c r="F135" s="95">
        <v>11022.349</v>
      </c>
      <c r="G135" s="1124">
        <v>-3.5784386794502687</v>
      </c>
      <c r="H135" s="96">
        <v>293.89999999999998</v>
      </c>
      <c r="I135" s="96">
        <v>3.6318758815232561</v>
      </c>
      <c r="J135" s="104">
        <v>12.790697674418606</v>
      </c>
      <c r="K135" s="104">
        <v>1.0794569330068997</v>
      </c>
      <c r="L135" s="1130">
        <v>3.3355485494431569E-2</v>
      </c>
    </row>
    <row r="136" spans="1:12" ht="15.75" thickBot="1">
      <c r="A136" s="51"/>
      <c r="B136" s="52"/>
      <c r="C136" s="111"/>
      <c r="D136" s="111"/>
      <c r="E136" s="111"/>
      <c r="F136" s="111"/>
      <c r="G136" s="1134"/>
      <c r="H136" s="112"/>
      <c r="I136" s="112"/>
      <c r="J136" s="112"/>
      <c r="K136" s="112"/>
      <c r="L136" s="1135"/>
    </row>
    <row r="137" spans="1:12" ht="14.25">
      <c r="A137" s="44" t="s">
        <v>117</v>
      </c>
      <c r="B137" s="48" t="s">
        <v>25</v>
      </c>
      <c r="C137" s="105">
        <v>13737.413243148891</v>
      </c>
      <c r="D137" s="105">
        <v>13621.088338134727</v>
      </c>
      <c r="E137" s="106">
        <v>14012.161508011868</v>
      </c>
      <c r="F137" s="106">
        <v>13893.510104897421</v>
      </c>
      <c r="G137" s="1131">
        <v>0.85400595111398636</v>
      </c>
      <c r="H137" s="107">
        <v>347.41340206185566</v>
      </c>
      <c r="I137" s="107">
        <v>1.6763719871477494E-2</v>
      </c>
      <c r="J137" s="108">
        <v>11.494252873563218</v>
      </c>
      <c r="K137" s="108">
        <v>1.0794569330068997</v>
      </c>
      <c r="L137" s="1132">
        <v>2.1191515174519227E-2</v>
      </c>
    </row>
    <row r="138" spans="1:12" ht="15">
      <c r="A138" s="46" t="s">
        <v>117</v>
      </c>
      <c r="B138" s="47" t="s">
        <v>26</v>
      </c>
      <c r="C138" s="94">
        <v>13892.091176470589</v>
      </c>
      <c r="D138" s="94">
        <v>13643.182352941176</v>
      </c>
      <c r="E138" s="95">
        <v>14169.933000000001</v>
      </c>
      <c r="F138" s="95">
        <v>13916.046</v>
      </c>
      <c r="G138" s="1124">
        <v>1.8244190914574485</v>
      </c>
      <c r="H138" s="96">
        <v>324.10000000000002</v>
      </c>
      <c r="I138" s="96">
        <v>2.530844669408415</v>
      </c>
      <c r="J138" s="104">
        <v>88.888888888888886</v>
      </c>
      <c r="K138" s="104">
        <v>0.37836634765190297</v>
      </c>
      <c r="L138" s="1130">
        <v>0.15941488189347944</v>
      </c>
    </row>
    <row r="139" spans="1:12" ht="15">
      <c r="A139" s="46" t="s">
        <v>117</v>
      </c>
      <c r="B139" s="47" t="s">
        <v>27</v>
      </c>
      <c r="C139" s="94">
        <v>13662.351960784314</v>
      </c>
      <c r="D139" s="94">
        <v>13548.659803921568</v>
      </c>
      <c r="E139" s="95">
        <v>13935.599</v>
      </c>
      <c r="F139" s="95">
        <v>13819.633</v>
      </c>
      <c r="G139" s="1124">
        <v>0.83913950536892223</v>
      </c>
      <c r="H139" s="96">
        <v>352.9</v>
      </c>
      <c r="I139" s="96">
        <v>2.3788801856686943</v>
      </c>
      <c r="J139" s="104">
        <v>2.1276595744680851</v>
      </c>
      <c r="K139" s="104">
        <v>0.53416425550856894</v>
      </c>
      <c r="L139" s="1130">
        <v>-3.7542349527314722E-2</v>
      </c>
    </row>
    <row r="140" spans="1:12" ht="15">
      <c r="A140" s="46" t="s">
        <v>117</v>
      </c>
      <c r="B140" s="47" t="s">
        <v>34</v>
      </c>
      <c r="C140" s="94">
        <v>13661.975490196079</v>
      </c>
      <c r="D140" s="94">
        <v>13746.853921568627</v>
      </c>
      <c r="E140" s="95">
        <v>13935.215</v>
      </c>
      <c r="F140" s="95">
        <v>14021.790999999999</v>
      </c>
      <c r="G140" s="1124">
        <v>-0.61743895626456791</v>
      </c>
      <c r="H140" s="96">
        <v>382.7</v>
      </c>
      <c r="I140" s="96">
        <v>1.0829371368198535</v>
      </c>
      <c r="J140" s="104">
        <v>-31.818181818181817</v>
      </c>
      <c r="K140" s="104">
        <v>0.16692632984642777</v>
      </c>
      <c r="L140" s="1130">
        <v>-0.10068101719164549</v>
      </c>
    </row>
    <row r="141" spans="1:12" ht="14.25">
      <c r="A141" s="44" t="s">
        <v>117</v>
      </c>
      <c r="B141" s="48" t="s">
        <v>28</v>
      </c>
      <c r="C141" s="105">
        <v>13361.939302887942</v>
      </c>
      <c r="D141" s="105">
        <v>13326.206707769688</v>
      </c>
      <c r="E141" s="106">
        <v>13629.1780889457</v>
      </c>
      <c r="F141" s="106">
        <v>13592.730841925082</v>
      </c>
      <c r="G141" s="1131">
        <v>0.26813778220489232</v>
      </c>
      <c r="H141" s="107">
        <v>314.26618705035969</v>
      </c>
      <c r="I141" s="107">
        <v>1.0704922896455731</v>
      </c>
      <c r="J141" s="108">
        <v>3.217821782178218</v>
      </c>
      <c r="K141" s="108">
        <v>9.2811039394613832</v>
      </c>
      <c r="L141" s="1132">
        <v>-0.54738407902785191</v>
      </c>
    </row>
    <row r="142" spans="1:12" ht="15">
      <c r="A142" s="46" t="s">
        <v>117</v>
      </c>
      <c r="B142" s="47" t="s">
        <v>29</v>
      </c>
      <c r="C142" s="94">
        <v>13288.153921568626</v>
      </c>
      <c r="D142" s="94">
        <v>13081.347058823529</v>
      </c>
      <c r="E142" s="95">
        <v>13553.916999999999</v>
      </c>
      <c r="F142" s="95">
        <v>13342.974</v>
      </c>
      <c r="G142" s="1124">
        <v>1.5809294089908239</v>
      </c>
      <c r="H142" s="96">
        <v>286.39999999999998</v>
      </c>
      <c r="I142" s="96">
        <v>3.0215827338129415</v>
      </c>
      <c r="J142" s="104">
        <v>-19.402985074626866</v>
      </c>
      <c r="K142" s="104">
        <v>1.20186957489428</v>
      </c>
      <c r="L142" s="1130">
        <v>-0.42810244797398411</v>
      </c>
    </row>
    <row r="143" spans="1:12" ht="15">
      <c r="A143" s="46" t="s">
        <v>117</v>
      </c>
      <c r="B143" s="47" t="s">
        <v>30</v>
      </c>
      <c r="C143" s="94">
        <v>13372.548039215686</v>
      </c>
      <c r="D143" s="94">
        <v>13358.088235294117</v>
      </c>
      <c r="E143" s="95">
        <v>13639.999</v>
      </c>
      <c r="F143" s="95">
        <v>13625.25</v>
      </c>
      <c r="G143" s="1124">
        <v>0.10824755509073079</v>
      </c>
      <c r="H143" s="96">
        <v>310.2</v>
      </c>
      <c r="I143" s="96">
        <v>1.6049787094660914</v>
      </c>
      <c r="J143" s="104">
        <v>20.417633410672853</v>
      </c>
      <c r="K143" s="104">
        <v>5.7756510126864011</v>
      </c>
      <c r="L143" s="1130">
        <v>0.53297980480414875</v>
      </c>
    </row>
    <row r="144" spans="1:12" ht="15">
      <c r="A144" s="46" t="s">
        <v>117</v>
      </c>
      <c r="B144" s="47" t="s">
        <v>35</v>
      </c>
      <c r="C144" s="94">
        <v>13370.126470588235</v>
      </c>
      <c r="D144" s="94">
        <v>13386</v>
      </c>
      <c r="E144" s="95">
        <v>13637.529</v>
      </c>
      <c r="F144" s="95">
        <v>13653.72</v>
      </c>
      <c r="G144" s="1124">
        <v>-0.1185830674717139</v>
      </c>
      <c r="H144" s="96">
        <v>339</v>
      </c>
      <c r="I144" s="96">
        <v>-2.9489826010033242E-2</v>
      </c>
      <c r="J144" s="104">
        <v>-14.814814814814813</v>
      </c>
      <c r="K144" s="104">
        <v>2.3035833518807034</v>
      </c>
      <c r="L144" s="1130">
        <v>-0.65226143585801433</v>
      </c>
    </row>
    <row r="145" spans="1:12" ht="14.25">
      <c r="A145" s="44" t="s">
        <v>117</v>
      </c>
      <c r="B145" s="48" t="s">
        <v>31</v>
      </c>
      <c r="C145" s="105">
        <v>12460.683457914725</v>
      </c>
      <c r="D145" s="105">
        <v>12551.097884365794</v>
      </c>
      <c r="E145" s="106">
        <v>12709.89712707302</v>
      </c>
      <c r="F145" s="106">
        <v>12802.119842053111</v>
      </c>
      <c r="G145" s="1131">
        <v>-0.72037065828076974</v>
      </c>
      <c r="H145" s="107">
        <v>272.800147601476</v>
      </c>
      <c r="I145" s="107">
        <v>-8.5614575016553826E-2</v>
      </c>
      <c r="J145" s="108">
        <v>22.18214607754734</v>
      </c>
      <c r="K145" s="108">
        <v>15.079011796127309</v>
      </c>
      <c r="L145" s="1132">
        <v>1.5891687113444348</v>
      </c>
    </row>
    <row r="146" spans="1:12" ht="15">
      <c r="A146" s="46" t="s">
        <v>117</v>
      </c>
      <c r="B146" s="47" t="s">
        <v>32</v>
      </c>
      <c r="C146" s="94">
        <v>11882.353921568627</v>
      </c>
      <c r="D146" s="94">
        <v>12072.995098039215</v>
      </c>
      <c r="E146" s="95">
        <v>12120.001</v>
      </c>
      <c r="F146" s="95">
        <v>12314.455</v>
      </c>
      <c r="G146" s="1124">
        <v>-1.5790710997766424</v>
      </c>
      <c r="H146" s="96">
        <v>241.6</v>
      </c>
      <c r="I146" s="96">
        <v>0.16583747927031744</v>
      </c>
      <c r="J146" s="104">
        <v>7.8853046594982077</v>
      </c>
      <c r="K146" s="104">
        <v>3.3496550189183174</v>
      </c>
      <c r="L146" s="1130">
        <v>-4.409270033724777E-2</v>
      </c>
    </row>
    <row r="147" spans="1:12" ht="15">
      <c r="A147" s="46" t="s">
        <v>117</v>
      </c>
      <c r="B147" s="47" t="s">
        <v>33</v>
      </c>
      <c r="C147" s="94">
        <v>12603.795098039214</v>
      </c>
      <c r="D147" s="94">
        <v>12663.472549019607</v>
      </c>
      <c r="E147" s="95">
        <v>12855.870999999999</v>
      </c>
      <c r="F147" s="95">
        <v>12916.742</v>
      </c>
      <c r="G147" s="1124">
        <v>-0.47125660634857458</v>
      </c>
      <c r="H147" s="96">
        <v>276.3</v>
      </c>
      <c r="I147" s="96">
        <v>-0.6472491909385153</v>
      </c>
      <c r="J147" s="96">
        <v>28.273809523809522</v>
      </c>
      <c r="K147" s="96">
        <v>9.5926997551747171</v>
      </c>
      <c r="L147" s="1125">
        <v>1.4185117001935712</v>
      </c>
    </row>
    <row r="148" spans="1:12" ht="15.75" thickBot="1">
      <c r="A148" s="56" t="s">
        <v>117</v>
      </c>
      <c r="B148" s="57" t="s">
        <v>36</v>
      </c>
      <c r="C148" s="97">
        <v>12596.388235294118</v>
      </c>
      <c r="D148" s="97">
        <v>12780.951960784314</v>
      </c>
      <c r="E148" s="98">
        <v>12848.316000000001</v>
      </c>
      <c r="F148" s="98">
        <v>13036.571</v>
      </c>
      <c r="G148" s="1126">
        <v>-1.4440530412483406</v>
      </c>
      <c r="H148" s="99">
        <v>306</v>
      </c>
      <c r="I148" s="99">
        <v>-0.55248618784530024</v>
      </c>
      <c r="J148" s="99">
        <v>21.518987341772153</v>
      </c>
      <c r="K148" s="99">
        <v>2.1366570220342758</v>
      </c>
      <c r="L148" s="1127">
        <v>0.21474971148811361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40"/>
    </row>
    <row r="151" spans="1:12" ht="21" thickBot="1">
      <c r="A151" s="1086" t="s">
        <v>341</v>
      </c>
      <c r="B151" s="1076"/>
      <c r="C151" s="1076"/>
      <c r="D151" s="1076"/>
      <c r="E151" s="1076"/>
      <c r="F151" s="1076"/>
      <c r="G151" s="1077"/>
      <c r="H151" s="1077"/>
      <c r="I151" s="1077"/>
      <c r="J151" s="1077"/>
      <c r="K151" s="1077"/>
      <c r="L151" s="1141"/>
    </row>
    <row r="152" spans="1:12">
      <c r="A152" s="27"/>
      <c r="B152" s="28"/>
      <c r="C152" s="3" t="s">
        <v>9</v>
      </c>
      <c r="D152" s="3" t="s">
        <v>9</v>
      </c>
      <c r="E152" s="3"/>
      <c r="F152" s="3"/>
      <c r="G152" s="1078"/>
      <c r="H152" s="1179" t="s">
        <v>10</v>
      </c>
      <c r="I152" s="1180"/>
      <c r="J152" s="1111" t="s">
        <v>11</v>
      </c>
      <c r="K152" s="1079" t="s">
        <v>12</v>
      </c>
      <c r="L152" s="1080"/>
    </row>
    <row r="153" spans="1:12" ht="15.75">
      <c r="A153" s="29" t="s">
        <v>13</v>
      </c>
      <c r="B153" s="30" t="s">
        <v>14</v>
      </c>
      <c r="C153" s="1081" t="s">
        <v>40</v>
      </c>
      <c r="D153" s="1081" t="s">
        <v>40</v>
      </c>
      <c r="E153" s="1082" t="s">
        <v>41</v>
      </c>
      <c r="F153" s="1083"/>
      <c r="G153" s="1112"/>
      <c r="H153" s="1177" t="s">
        <v>15</v>
      </c>
      <c r="I153" s="1178"/>
      <c r="J153" s="1113" t="s">
        <v>16</v>
      </c>
      <c r="K153" s="1084" t="s">
        <v>17</v>
      </c>
      <c r="L153" s="1085"/>
    </row>
    <row r="154" spans="1:12" ht="26.25" thickBot="1">
      <c r="A154" s="31" t="s">
        <v>18</v>
      </c>
      <c r="B154" s="32" t="s">
        <v>19</v>
      </c>
      <c r="C154" s="979" t="s">
        <v>369</v>
      </c>
      <c r="D154" s="1148" t="s">
        <v>365</v>
      </c>
      <c r="E154" s="1071" t="s">
        <v>369</v>
      </c>
      <c r="F154" s="1072" t="s">
        <v>365</v>
      </c>
      <c r="G154" s="1110" t="s">
        <v>20</v>
      </c>
      <c r="H154" s="81" t="s">
        <v>369</v>
      </c>
      <c r="I154" s="993" t="s">
        <v>20</v>
      </c>
      <c r="J154" s="1114" t="s">
        <v>20</v>
      </c>
      <c r="K154" s="1073" t="s">
        <v>369</v>
      </c>
      <c r="L154" s="1115" t="s">
        <v>21</v>
      </c>
    </row>
    <row r="155" spans="1:12" ht="15" thickBot="1">
      <c r="A155" s="33" t="s">
        <v>22</v>
      </c>
      <c r="B155" s="34" t="s">
        <v>23</v>
      </c>
      <c r="C155" s="82">
        <v>11976.525873961904</v>
      </c>
      <c r="D155" s="82">
        <v>12149.457323299534</v>
      </c>
      <c r="E155" s="83">
        <v>12216.056391441141</v>
      </c>
      <c r="F155" s="704">
        <v>12392.446469765524</v>
      </c>
      <c r="G155" s="1116">
        <v>-1.4233676841350924</v>
      </c>
      <c r="H155" s="84">
        <v>327.76943521594683</v>
      </c>
      <c r="I155" s="84">
        <v>-0.60289017609955253</v>
      </c>
      <c r="J155" s="85">
        <v>8.9001447178002895</v>
      </c>
      <c r="K155" s="84">
        <v>100</v>
      </c>
      <c r="L155" s="1117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18"/>
      <c r="H156" s="85"/>
      <c r="I156" s="85"/>
      <c r="J156" s="85"/>
      <c r="K156" s="85"/>
      <c r="L156" s="1119"/>
    </row>
    <row r="157" spans="1:12" ht="15">
      <c r="A157" s="37" t="s">
        <v>108</v>
      </c>
      <c r="B157" s="38" t="s">
        <v>23</v>
      </c>
      <c r="C157" s="87">
        <v>11794.566575325784</v>
      </c>
      <c r="D157" s="87">
        <v>11964.351260504203</v>
      </c>
      <c r="E157" s="88">
        <v>12030.4579068323</v>
      </c>
      <c r="F157" s="88">
        <v>12203.638285714287</v>
      </c>
      <c r="G157" s="1120">
        <v>-1.419088101658289</v>
      </c>
      <c r="H157" s="89">
        <v>292.74545454545455</v>
      </c>
      <c r="I157" s="89">
        <v>-5.5659824046920807</v>
      </c>
      <c r="J157" s="89">
        <v>57.142857142857139</v>
      </c>
      <c r="K157" s="89">
        <v>0.14617940199335547</v>
      </c>
      <c r="L157" s="1121">
        <v>4.4876941790750552E-2</v>
      </c>
    </row>
    <row r="158" spans="1:12" ht="15">
      <c r="A158" s="46" t="s">
        <v>109</v>
      </c>
      <c r="B158" s="90" t="s">
        <v>23</v>
      </c>
      <c r="C158" s="91">
        <v>12205.479920493144</v>
      </c>
      <c r="D158" s="91">
        <v>12358.211753016969</v>
      </c>
      <c r="E158" s="92">
        <v>12449.589518903007</v>
      </c>
      <c r="F158" s="92">
        <v>12605.375988077309</v>
      </c>
      <c r="G158" s="1122">
        <v>-1.2358732442542846</v>
      </c>
      <c r="H158" s="93">
        <v>364.04698795180724</v>
      </c>
      <c r="I158" s="93">
        <v>0.51681980805427097</v>
      </c>
      <c r="J158" s="93">
        <v>2.4025974025974026</v>
      </c>
      <c r="K158" s="93">
        <v>41.91362126245847</v>
      </c>
      <c r="L158" s="1123">
        <v>-2.6594612266876965</v>
      </c>
    </row>
    <row r="159" spans="1:12" ht="15">
      <c r="A159" s="39" t="s">
        <v>110</v>
      </c>
      <c r="B159" s="40" t="s">
        <v>23</v>
      </c>
      <c r="C159" s="94">
        <v>11577.145120957581</v>
      </c>
      <c r="D159" s="94">
        <v>11917.898868370732</v>
      </c>
      <c r="E159" s="95">
        <v>11808.688023376733</v>
      </c>
      <c r="F159" s="95">
        <v>12156.256845738148</v>
      </c>
      <c r="G159" s="1124">
        <v>-2.8591763630205635</v>
      </c>
      <c r="H159" s="96">
        <v>385.28178807947023</v>
      </c>
      <c r="I159" s="96">
        <v>-0.1498992406106614</v>
      </c>
      <c r="J159" s="96">
        <v>-4.5813586097946288</v>
      </c>
      <c r="K159" s="96">
        <v>8.0265780730897003</v>
      </c>
      <c r="L159" s="1125">
        <v>-1.1340586852315742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24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25" t="s">
        <v>100</v>
      </c>
    </row>
    <row r="161" spans="1:12" ht="15">
      <c r="A161" s="39" t="s">
        <v>98</v>
      </c>
      <c r="B161" s="40" t="s">
        <v>23</v>
      </c>
      <c r="C161" s="94">
        <v>10826.240516235081</v>
      </c>
      <c r="D161" s="94">
        <v>10907.140446910631</v>
      </c>
      <c r="E161" s="95">
        <v>11042.765326559782</v>
      </c>
      <c r="F161" s="95">
        <v>11125.283255848844</v>
      </c>
      <c r="G161" s="1124">
        <v>-0.74171531089494502</v>
      </c>
      <c r="H161" s="96">
        <v>286.77323456790128</v>
      </c>
      <c r="I161" s="96">
        <v>0.51072047421548361</v>
      </c>
      <c r="J161" s="96">
        <v>25.620347394540943</v>
      </c>
      <c r="K161" s="96">
        <v>26.910299003322258</v>
      </c>
      <c r="L161" s="1125">
        <v>3.5817895966652387</v>
      </c>
    </row>
    <row r="162" spans="1:12" ht="15.75" thickBot="1">
      <c r="A162" s="41" t="s">
        <v>112</v>
      </c>
      <c r="B162" s="42" t="s">
        <v>23</v>
      </c>
      <c r="C162" s="97">
        <v>12970.531263720797</v>
      </c>
      <c r="D162" s="97">
        <v>13015.134799564939</v>
      </c>
      <c r="E162" s="98">
        <v>13229.941888995214</v>
      </c>
      <c r="F162" s="98">
        <v>13275.437495556238</v>
      </c>
      <c r="G162" s="1126">
        <v>-0.3427051392939256</v>
      </c>
      <c r="H162" s="99">
        <v>289.78313113807047</v>
      </c>
      <c r="I162" s="99">
        <v>0.10989656979972702</v>
      </c>
      <c r="J162" s="99">
        <v>9.6958174904942958</v>
      </c>
      <c r="K162" s="99">
        <v>23.003322259136212</v>
      </c>
      <c r="L162" s="1127">
        <v>0.166853373463276</v>
      </c>
    </row>
    <row r="163" spans="1:12" ht="15" thickBot="1">
      <c r="A163" s="35"/>
      <c r="B163" s="43"/>
      <c r="C163" s="86"/>
      <c r="D163" s="86"/>
      <c r="E163" s="86"/>
      <c r="F163" s="86"/>
      <c r="G163" s="1118"/>
      <c r="H163" s="85"/>
      <c r="I163" s="85"/>
      <c r="J163" s="85"/>
      <c r="K163" s="85"/>
      <c r="L163" s="1119"/>
    </row>
    <row r="164" spans="1:12" ht="14.25">
      <c r="A164" s="44" t="s">
        <v>113</v>
      </c>
      <c r="B164" s="45" t="s">
        <v>25</v>
      </c>
      <c r="C164" s="100" t="s">
        <v>257</v>
      </c>
      <c r="D164" s="100" t="s">
        <v>100</v>
      </c>
      <c r="E164" s="101" t="s">
        <v>257</v>
      </c>
      <c r="F164" s="101" t="s">
        <v>100</v>
      </c>
      <c r="G164" s="1128" t="s">
        <v>100</v>
      </c>
      <c r="H164" s="102" t="s">
        <v>257</v>
      </c>
      <c r="I164" s="102" t="s">
        <v>100</v>
      </c>
      <c r="J164" s="103" t="s">
        <v>100</v>
      </c>
      <c r="K164" s="103" t="s">
        <v>100</v>
      </c>
      <c r="L164" s="1129" t="s">
        <v>100</v>
      </c>
    </row>
    <row r="165" spans="1:12" ht="15">
      <c r="A165" s="46" t="s">
        <v>113</v>
      </c>
      <c r="B165" s="47" t="s">
        <v>26</v>
      </c>
      <c r="C165" s="94" t="s">
        <v>257</v>
      </c>
      <c r="D165" s="94" t="s">
        <v>100</v>
      </c>
      <c r="E165" s="95" t="s">
        <v>257</v>
      </c>
      <c r="F165" s="95" t="s">
        <v>100</v>
      </c>
      <c r="G165" s="1124" t="s">
        <v>100</v>
      </c>
      <c r="H165" s="96" t="s">
        <v>257</v>
      </c>
      <c r="I165" s="96" t="s">
        <v>100</v>
      </c>
      <c r="J165" s="104" t="s">
        <v>100</v>
      </c>
      <c r="K165" s="104" t="s">
        <v>100</v>
      </c>
      <c r="L165" s="1130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24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30" t="s">
        <v>100</v>
      </c>
    </row>
    <row r="167" spans="1:12" ht="14.25">
      <c r="A167" s="44" t="s">
        <v>113</v>
      </c>
      <c r="B167" s="48" t="s">
        <v>28</v>
      </c>
      <c r="C167" s="105" t="s">
        <v>257</v>
      </c>
      <c r="D167" s="105" t="s">
        <v>100</v>
      </c>
      <c r="E167" s="106" t="s">
        <v>257</v>
      </c>
      <c r="F167" s="106" t="s">
        <v>100</v>
      </c>
      <c r="G167" s="1131" t="s">
        <v>100</v>
      </c>
      <c r="H167" s="107" t="s">
        <v>257</v>
      </c>
      <c r="I167" s="107" t="s">
        <v>100</v>
      </c>
      <c r="J167" s="108" t="s">
        <v>100</v>
      </c>
      <c r="K167" s="108" t="s">
        <v>100</v>
      </c>
      <c r="L167" s="1132" t="s">
        <v>100</v>
      </c>
    </row>
    <row r="168" spans="1:12" ht="15">
      <c r="A168" s="46" t="s">
        <v>113</v>
      </c>
      <c r="B168" s="47" t="s">
        <v>29</v>
      </c>
      <c r="C168" s="94" t="s">
        <v>257</v>
      </c>
      <c r="D168" s="94" t="s">
        <v>100</v>
      </c>
      <c r="E168" s="95" t="s">
        <v>257</v>
      </c>
      <c r="F168" s="95" t="s">
        <v>100</v>
      </c>
      <c r="G168" s="1124" t="s">
        <v>100</v>
      </c>
      <c r="H168" s="96" t="s">
        <v>257</v>
      </c>
      <c r="I168" s="96" t="s">
        <v>100</v>
      </c>
      <c r="J168" s="104" t="s">
        <v>100</v>
      </c>
      <c r="K168" s="104" t="s">
        <v>100</v>
      </c>
      <c r="L168" s="1130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124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130" t="s">
        <v>100</v>
      </c>
    </row>
    <row r="170" spans="1:12" ht="14.25">
      <c r="A170" s="44" t="s">
        <v>113</v>
      </c>
      <c r="B170" s="48" t="s">
        <v>31</v>
      </c>
      <c r="C170" s="105">
        <v>11611.848170783465</v>
      </c>
      <c r="D170" s="105">
        <v>11964.351260504203</v>
      </c>
      <c r="E170" s="106">
        <v>11844.085134199135</v>
      </c>
      <c r="F170" s="106">
        <v>12203.638285714287</v>
      </c>
      <c r="G170" s="1131">
        <v>-2.9462783400918173</v>
      </c>
      <c r="H170" s="107">
        <v>288.77499999999998</v>
      </c>
      <c r="I170" s="107">
        <v>-6.8467741935483941</v>
      </c>
      <c r="J170" s="108">
        <v>14.285714285714285</v>
      </c>
      <c r="K170" s="108">
        <v>0.10631229235880399</v>
      </c>
      <c r="L170" s="1132">
        <v>5.0098321561990733E-3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 t="s">
        <v>257</v>
      </c>
      <c r="G171" s="1124" t="s">
        <v>100</v>
      </c>
      <c r="H171" s="96" t="s">
        <v>257</v>
      </c>
      <c r="I171" s="96" t="s">
        <v>100</v>
      </c>
      <c r="J171" s="104" t="s">
        <v>100</v>
      </c>
      <c r="K171" s="104" t="s">
        <v>100</v>
      </c>
      <c r="L171" s="1130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257</v>
      </c>
      <c r="G172" s="1133" t="s">
        <v>100</v>
      </c>
      <c r="H172" s="104" t="s">
        <v>257</v>
      </c>
      <c r="I172" s="104" t="s">
        <v>100</v>
      </c>
      <c r="J172" s="104" t="s">
        <v>100</v>
      </c>
      <c r="K172" s="104" t="s">
        <v>100</v>
      </c>
      <c r="L172" s="1130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18"/>
      <c r="H173" s="85"/>
      <c r="I173" s="85"/>
      <c r="J173" s="85"/>
      <c r="K173" s="85"/>
      <c r="L173" s="1119"/>
    </row>
    <row r="174" spans="1:12" ht="14.25">
      <c r="A174" s="44" t="s">
        <v>114</v>
      </c>
      <c r="B174" s="45" t="s">
        <v>25</v>
      </c>
      <c r="C174" s="100">
        <v>12903.490935583855</v>
      </c>
      <c r="D174" s="100">
        <v>13059.722823529413</v>
      </c>
      <c r="E174" s="101">
        <v>13161.560754295533</v>
      </c>
      <c r="F174" s="101">
        <v>13320.917280000001</v>
      </c>
      <c r="G174" s="1128">
        <v>-1.196287930889909</v>
      </c>
      <c r="H174" s="102">
        <v>425.85243902439021</v>
      </c>
      <c r="I174" s="102">
        <v>-1.4638120845082825</v>
      </c>
      <c r="J174" s="103">
        <v>30.851063829787233</v>
      </c>
      <c r="K174" s="103">
        <v>3.2691029900332227</v>
      </c>
      <c r="L174" s="1129">
        <v>0.54840834459183307</v>
      </c>
    </row>
    <row r="175" spans="1:12" ht="15">
      <c r="A175" s="46" t="s">
        <v>114</v>
      </c>
      <c r="B175" s="47" t="s">
        <v>26</v>
      </c>
      <c r="C175" s="94">
        <v>13112.243137254902</v>
      </c>
      <c r="D175" s="94">
        <v>13240.993137254902</v>
      </c>
      <c r="E175" s="95">
        <v>13374.487999999999</v>
      </c>
      <c r="F175" s="95">
        <v>13505.813</v>
      </c>
      <c r="G175" s="1124">
        <v>-0.97235908715751307</v>
      </c>
      <c r="H175" s="96">
        <v>415.7</v>
      </c>
      <c r="I175" s="96">
        <v>-2.1191429244172357</v>
      </c>
      <c r="J175" s="104">
        <v>19.35483870967742</v>
      </c>
      <c r="K175" s="104">
        <v>1.4750830564784052</v>
      </c>
      <c r="L175" s="1130">
        <v>0.12920751378665418</v>
      </c>
    </row>
    <row r="176" spans="1:12" ht="15">
      <c r="A176" s="46" t="s">
        <v>114</v>
      </c>
      <c r="B176" s="47" t="s">
        <v>27</v>
      </c>
      <c r="C176" s="94">
        <v>12739.181372549019</v>
      </c>
      <c r="D176" s="94">
        <v>12888.221568627452</v>
      </c>
      <c r="E176" s="95">
        <v>12993.965</v>
      </c>
      <c r="F176" s="95">
        <v>13145.986000000001</v>
      </c>
      <c r="G176" s="1124">
        <v>-1.1564062216405877</v>
      </c>
      <c r="H176" s="96">
        <v>434.2</v>
      </c>
      <c r="I176" s="96">
        <v>-1.2059158134243484</v>
      </c>
      <c r="J176" s="104">
        <v>42.105263157894733</v>
      </c>
      <c r="K176" s="104">
        <v>1.7940199335548173</v>
      </c>
      <c r="L176" s="1130">
        <v>0.41920083080517911</v>
      </c>
    </row>
    <row r="177" spans="1:12" ht="14.25">
      <c r="A177" s="44" t="s">
        <v>114</v>
      </c>
      <c r="B177" s="48" t="s">
        <v>28</v>
      </c>
      <c r="C177" s="105">
        <v>12428.329620763318</v>
      </c>
      <c r="D177" s="105">
        <v>12605.369134955306</v>
      </c>
      <c r="E177" s="106">
        <v>12676.896213178585</v>
      </c>
      <c r="F177" s="106">
        <v>12857.476517654413</v>
      </c>
      <c r="G177" s="1131">
        <v>-1.4044770311489694</v>
      </c>
      <c r="H177" s="107">
        <v>389.37142857142851</v>
      </c>
      <c r="I177" s="107">
        <v>-3.1707841478669355E-2</v>
      </c>
      <c r="J177" s="108">
        <v>4.3610547667342798</v>
      </c>
      <c r="K177" s="108">
        <v>13.674418604651162</v>
      </c>
      <c r="L177" s="1132">
        <v>-0.59475650388718826</v>
      </c>
    </row>
    <row r="178" spans="1:12" ht="15">
      <c r="A178" s="46" t="s">
        <v>114</v>
      </c>
      <c r="B178" s="47" t="s">
        <v>29</v>
      </c>
      <c r="C178" s="94">
        <v>12516.579411764706</v>
      </c>
      <c r="D178" s="94">
        <v>12612.00588235294</v>
      </c>
      <c r="E178" s="95">
        <v>12766.911</v>
      </c>
      <c r="F178" s="95">
        <v>12864.245999999999</v>
      </c>
      <c r="G178" s="1124">
        <v>-0.75663198604876747</v>
      </c>
      <c r="H178" s="96">
        <v>378</v>
      </c>
      <c r="I178" s="96">
        <v>-0.13210039630118892</v>
      </c>
      <c r="J178" s="104">
        <v>10.25</v>
      </c>
      <c r="K178" s="104">
        <v>5.8604651162790695</v>
      </c>
      <c r="L178" s="1130">
        <v>7.1753104701645753E-2</v>
      </c>
    </row>
    <row r="179" spans="1:12" ht="15">
      <c r="A179" s="46" t="s">
        <v>114</v>
      </c>
      <c r="B179" s="47" t="s">
        <v>30</v>
      </c>
      <c r="C179" s="94">
        <v>12365.441176470587</v>
      </c>
      <c r="D179" s="94">
        <v>12601.05</v>
      </c>
      <c r="E179" s="95">
        <v>12612.75</v>
      </c>
      <c r="F179" s="95">
        <v>12853.071</v>
      </c>
      <c r="G179" s="1124">
        <v>-1.8697554848953992</v>
      </c>
      <c r="H179" s="96">
        <v>397.9</v>
      </c>
      <c r="I179" s="96">
        <v>0.22670025188916304</v>
      </c>
      <c r="J179" s="104">
        <v>0.34129692832764508</v>
      </c>
      <c r="K179" s="104">
        <v>7.8139534883720927</v>
      </c>
      <c r="L179" s="1130">
        <v>-0.66650960858883401</v>
      </c>
    </row>
    <row r="180" spans="1:12" ht="14.25">
      <c r="A180" s="44" t="s">
        <v>114</v>
      </c>
      <c r="B180" s="48" t="s">
        <v>31</v>
      </c>
      <c r="C180" s="105">
        <v>11952.830086396278</v>
      </c>
      <c r="D180" s="105">
        <v>12124.577353744811</v>
      </c>
      <c r="E180" s="106">
        <v>12191.886688124203</v>
      </c>
      <c r="F180" s="106">
        <v>12367.068900819708</v>
      </c>
      <c r="G180" s="1131">
        <v>-1.4165216843248405</v>
      </c>
      <c r="H180" s="107">
        <v>342.08690792974988</v>
      </c>
      <c r="I180" s="107">
        <v>0.27831809422574094</v>
      </c>
      <c r="J180" s="108">
        <v>-1.4165792235047219</v>
      </c>
      <c r="K180" s="108">
        <v>24.970099667774086</v>
      </c>
      <c r="L180" s="1132">
        <v>-2.6131130673923373</v>
      </c>
    </row>
    <row r="181" spans="1:12" ht="15">
      <c r="A181" s="46" t="s">
        <v>114</v>
      </c>
      <c r="B181" s="47" t="s">
        <v>32</v>
      </c>
      <c r="C181" s="94">
        <v>11944.70882352941</v>
      </c>
      <c r="D181" s="94">
        <v>12109.213725490195</v>
      </c>
      <c r="E181" s="95">
        <v>12183.602999999999</v>
      </c>
      <c r="F181" s="95">
        <v>12351.397999999999</v>
      </c>
      <c r="G181" s="1124">
        <v>-1.3585101864582461</v>
      </c>
      <c r="H181" s="96">
        <v>329.7</v>
      </c>
      <c r="I181" s="96">
        <v>-9.0909090909094353E-2</v>
      </c>
      <c r="J181" s="104">
        <v>-3.0888030888030888</v>
      </c>
      <c r="K181" s="104">
        <v>13.342192691029901</v>
      </c>
      <c r="L181" s="1130">
        <v>-1.6505714189556286</v>
      </c>
    </row>
    <row r="182" spans="1:12" ht="15.75" thickBot="1">
      <c r="A182" s="49" t="s">
        <v>114</v>
      </c>
      <c r="B182" s="50" t="s">
        <v>33</v>
      </c>
      <c r="C182" s="109">
        <v>11961.451960784314</v>
      </c>
      <c r="D182" s="109">
        <v>12141.613725490195</v>
      </c>
      <c r="E182" s="110">
        <v>12200.681</v>
      </c>
      <c r="F182" s="110">
        <v>12384.446</v>
      </c>
      <c r="G182" s="1133">
        <v>-1.4838370646535131</v>
      </c>
      <c r="H182" s="104">
        <v>356.3</v>
      </c>
      <c r="I182" s="104">
        <v>0.53611738148985166</v>
      </c>
      <c r="J182" s="104">
        <v>0.57471264367816088</v>
      </c>
      <c r="K182" s="104">
        <v>11.627906976744185</v>
      </c>
      <c r="L182" s="1130">
        <v>-0.96254164843671219</v>
      </c>
    </row>
    <row r="183" spans="1:12" ht="15.75" thickBot="1">
      <c r="A183" s="51"/>
      <c r="B183" s="52"/>
      <c r="C183" s="111"/>
      <c r="D183" s="111"/>
      <c r="E183" s="111"/>
      <c r="F183" s="111"/>
      <c r="G183" s="1134"/>
      <c r="H183" s="112"/>
      <c r="I183" s="112"/>
      <c r="J183" s="112"/>
      <c r="K183" s="112"/>
      <c r="L183" s="1135"/>
    </row>
    <row r="184" spans="1:12" ht="15">
      <c r="A184" s="46" t="s">
        <v>115</v>
      </c>
      <c r="B184" s="53" t="s">
        <v>30</v>
      </c>
      <c r="C184" s="113">
        <v>11786.962745098039</v>
      </c>
      <c r="D184" s="113">
        <v>12070.477450980392</v>
      </c>
      <c r="E184" s="114">
        <v>12022.701999999999</v>
      </c>
      <c r="F184" s="114">
        <v>12311.887000000001</v>
      </c>
      <c r="G184" s="1136">
        <v>-2.3488276005132378</v>
      </c>
      <c r="H184" s="115">
        <v>410.3</v>
      </c>
      <c r="I184" s="115">
        <v>-1.4885954381752675</v>
      </c>
      <c r="J184" s="115">
        <v>-5.9405940594059405</v>
      </c>
      <c r="K184" s="115">
        <v>2.5249169435215948</v>
      </c>
      <c r="L184" s="1137">
        <v>-0.39838262232500421</v>
      </c>
    </row>
    <row r="185" spans="1:12" ht="15.75" thickBot="1">
      <c r="A185" s="49" t="s">
        <v>115</v>
      </c>
      <c r="B185" s="50" t="s">
        <v>33</v>
      </c>
      <c r="C185" s="109">
        <v>11471.443137254901</v>
      </c>
      <c r="D185" s="109">
        <v>11837.736274509803</v>
      </c>
      <c r="E185" s="110">
        <v>11700.871999999999</v>
      </c>
      <c r="F185" s="110">
        <v>12074.491</v>
      </c>
      <c r="G185" s="1133">
        <v>-3.0942836430951881</v>
      </c>
      <c r="H185" s="104">
        <v>373.8</v>
      </c>
      <c r="I185" s="104">
        <v>0.61911170928667869</v>
      </c>
      <c r="J185" s="104">
        <v>-3.9443155452436192</v>
      </c>
      <c r="K185" s="104">
        <v>5.5016611295681059</v>
      </c>
      <c r="L185" s="1130">
        <v>-0.73567606290656862</v>
      </c>
    </row>
    <row r="186" spans="1:12" ht="15.75" thickBot="1">
      <c r="A186" s="51"/>
      <c r="B186" s="52"/>
      <c r="C186" s="111"/>
      <c r="D186" s="111"/>
      <c r="E186" s="111"/>
      <c r="F186" s="111"/>
      <c r="G186" s="1134"/>
      <c r="H186" s="112"/>
      <c r="I186" s="112"/>
      <c r="J186" s="112"/>
      <c r="K186" s="112"/>
      <c r="L186" s="1135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28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29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24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30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24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30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24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30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1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2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24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30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24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30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1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2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24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30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3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30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34"/>
      <c r="H197" s="112"/>
      <c r="I197" s="112"/>
      <c r="J197" s="112"/>
      <c r="K197" s="112"/>
      <c r="L197" s="1135"/>
    </row>
    <row r="198" spans="1:12" ht="14.25">
      <c r="A198" s="44" t="s">
        <v>24</v>
      </c>
      <c r="B198" s="45" t="s">
        <v>28</v>
      </c>
      <c r="C198" s="100">
        <v>11910.559991800263</v>
      </c>
      <c r="D198" s="100">
        <v>11929.208070603485</v>
      </c>
      <c r="E198" s="101">
        <v>12148.771191636268</v>
      </c>
      <c r="F198" s="101">
        <v>12167.792232015554</v>
      </c>
      <c r="G198" s="1128">
        <v>-0.15632285641135929</v>
      </c>
      <c r="H198" s="102">
        <v>358.66308411214953</v>
      </c>
      <c r="I198" s="102">
        <v>-1.2144325485838632</v>
      </c>
      <c r="J198" s="103">
        <v>25.882352941176475</v>
      </c>
      <c r="K198" s="103">
        <v>2.8438538205980066</v>
      </c>
      <c r="L198" s="1129">
        <v>0.38365121567760152</v>
      </c>
    </row>
    <row r="199" spans="1:12" ht="15">
      <c r="A199" s="46" t="s">
        <v>24</v>
      </c>
      <c r="B199" s="47" t="s">
        <v>29</v>
      </c>
      <c r="C199" s="94">
        <v>11744.288235294118</v>
      </c>
      <c r="D199" s="94">
        <v>11801.641176470588</v>
      </c>
      <c r="E199" s="95">
        <v>11979.174000000001</v>
      </c>
      <c r="F199" s="95">
        <v>12037.674000000001</v>
      </c>
      <c r="G199" s="1124">
        <v>-0.4859742837362101</v>
      </c>
      <c r="H199" s="96">
        <v>348.1</v>
      </c>
      <c r="I199" s="96">
        <v>6.4200550290431062</v>
      </c>
      <c r="J199" s="104">
        <v>-7.1428571428571423</v>
      </c>
      <c r="K199" s="104">
        <v>0.34551495016611294</v>
      </c>
      <c r="L199" s="1130">
        <v>-5.969489064430672E-2</v>
      </c>
    </row>
    <row r="200" spans="1:12" ht="15">
      <c r="A200" s="46" t="s">
        <v>24</v>
      </c>
      <c r="B200" s="47" t="s">
        <v>30</v>
      </c>
      <c r="C200" s="94">
        <v>11928.410784313724</v>
      </c>
      <c r="D200" s="94">
        <v>12007.338235294117</v>
      </c>
      <c r="E200" s="95">
        <v>12166.978999999999</v>
      </c>
      <c r="F200" s="95">
        <v>12247.485000000001</v>
      </c>
      <c r="G200" s="1124">
        <v>-0.65732678994913019</v>
      </c>
      <c r="H200" s="96">
        <v>350.3</v>
      </c>
      <c r="I200" s="96">
        <v>-0.76487252124645566</v>
      </c>
      <c r="J200" s="104">
        <v>49.350649350649348</v>
      </c>
      <c r="K200" s="104">
        <v>1.5282392026578073</v>
      </c>
      <c r="L200" s="1130">
        <v>0.41391214042915303</v>
      </c>
    </row>
    <row r="201" spans="1:12" ht="15">
      <c r="A201" s="46" t="s">
        <v>24</v>
      </c>
      <c r="B201" s="47" t="s">
        <v>35</v>
      </c>
      <c r="C201" s="94">
        <v>11939.208823529412</v>
      </c>
      <c r="D201" s="94">
        <v>11891.577450980392</v>
      </c>
      <c r="E201" s="95">
        <v>12177.993</v>
      </c>
      <c r="F201" s="95">
        <v>12129.409</v>
      </c>
      <c r="G201" s="1124">
        <v>0.40054713300541472</v>
      </c>
      <c r="H201" s="96">
        <v>375.6</v>
      </c>
      <c r="I201" s="96">
        <v>-3.8156209987195844</v>
      </c>
      <c r="J201" s="104">
        <v>12.307692307692308</v>
      </c>
      <c r="K201" s="104">
        <v>0.97009966777408629</v>
      </c>
      <c r="L201" s="1130">
        <v>2.9433965892754821E-2</v>
      </c>
    </row>
    <row r="202" spans="1:12" ht="14.25">
      <c r="A202" s="44" t="s">
        <v>24</v>
      </c>
      <c r="B202" s="48" t="s">
        <v>31</v>
      </c>
      <c r="C202" s="105">
        <v>11175.182340599102</v>
      </c>
      <c r="D202" s="105">
        <v>11281.409599584182</v>
      </c>
      <c r="E202" s="106">
        <v>11398.685987411083</v>
      </c>
      <c r="F202" s="106">
        <v>11507.037791575865</v>
      </c>
      <c r="G202" s="1131">
        <v>-0.94161335112764588</v>
      </c>
      <c r="H202" s="107">
        <v>296.3181956027293</v>
      </c>
      <c r="I202" s="107">
        <v>0.23070309490306798</v>
      </c>
      <c r="J202" s="108">
        <v>26.826923076923077</v>
      </c>
      <c r="K202" s="108">
        <v>17.528239202657808</v>
      </c>
      <c r="L202" s="1132">
        <v>2.4775879725565044</v>
      </c>
    </row>
    <row r="203" spans="1:12" ht="15">
      <c r="A203" s="46" t="s">
        <v>24</v>
      </c>
      <c r="B203" s="47" t="s">
        <v>32</v>
      </c>
      <c r="C203" s="94">
        <v>10795</v>
      </c>
      <c r="D203" s="94">
        <v>10910.165686274509</v>
      </c>
      <c r="E203" s="95">
        <v>11010.9</v>
      </c>
      <c r="F203" s="95">
        <v>11128.369000000001</v>
      </c>
      <c r="G203" s="1124">
        <v>-1.0555814603200249</v>
      </c>
      <c r="H203" s="96">
        <v>272.60000000000002</v>
      </c>
      <c r="I203" s="96">
        <v>1.830407172207708</v>
      </c>
      <c r="J203" s="104">
        <v>25.179856115107913</v>
      </c>
      <c r="K203" s="104">
        <v>4.6245847176079735</v>
      </c>
      <c r="L203" s="1130">
        <v>0.601429869561664</v>
      </c>
    </row>
    <row r="204" spans="1:12" ht="15">
      <c r="A204" s="46" t="s">
        <v>24</v>
      </c>
      <c r="B204" s="47" t="s">
        <v>33</v>
      </c>
      <c r="C204" s="94">
        <v>11273.098039215685</v>
      </c>
      <c r="D204" s="94">
        <v>11341.642156862745</v>
      </c>
      <c r="E204" s="95">
        <v>11498.56</v>
      </c>
      <c r="F204" s="95">
        <v>11568.475</v>
      </c>
      <c r="G204" s="1124">
        <v>-0.60435796420877319</v>
      </c>
      <c r="H204" s="96">
        <v>294</v>
      </c>
      <c r="I204" s="96">
        <v>-0.37275499830566677</v>
      </c>
      <c r="J204" s="104">
        <v>17.338003502626968</v>
      </c>
      <c r="K204" s="104">
        <v>8.9036544850498327</v>
      </c>
      <c r="L204" s="1130">
        <v>0.64026808852305983</v>
      </c>
    </row>
    <row r="205" spans="1:12" ht="15">
      <c r="A205" s="46" t="s">
        <v>24</v>
      </c>
      <c r="B205" s="47" t="s">
        <v>36</v>
      </c>
      <c r="C205" s="94">
        <v>11344.607843137255</v>
      </c>
      <c r="D205" s="94">
        <v>11552.272549019606</v>
      </c>
      <c r="E205" s="95">
        <v>11571.5</v>
      </c>
      <c r="F205" s="95">
        <v>11783.317999999999</v>
      </c>
      <c r="G205" s="1124">
        <v>-1.7976091284305433</v>
      </c>
      <c r="H205" s="96">
        <v>328.9</v>
      </c>
      <c r="I205" s="96">
        <v>-2.6635099141757919</v>
      </c>
      <c r="J205" s="104">
        <v>57.591623036649217</v>
      </c>
      <c r="K205" s="104">
        <v>4</v>
      </c>
      <c r="L205" s="1130">
        <v>1.2358900144717802</v>
      </c>
    </row>
    <row r="206" spans="1:12" ht="14.25">
      <c r="A206" s="44" t="s">
        <v>24</v>
      </c>
      <c r="B206" s="48" t="s">
        <v>37</v>
      </c>
      <c r="C206" s="105">
        <v>8884.7162766246965</v>
      </c>
      <c r="D206" s="105">
        <v>8944.0433149678593</v>
      </c>
      <c r="E206" s="106">
        <v>9062.4106021571915</v>
      </c>
      <c r="F206" s="106">
        <v>9122.9241812672171</v>
      </c>
      <c r="G206" s="1131">
        <v>-0.663313405961245</v>
      </c>
      <c r="H206" s="107">
        <v>229.91504065040652</v>
      </c>
      <c r="I206" s="107">
        <v>1.8516008946587132</v>
      </c>
      <c r="J206" s="108">
        <v>22.388059701492537</v>
      </c>
      <c r="K206" s="108">
        <v>6.5382059800664454</v>
      </c>
      <c r="L206" s="1132">
        <v>0.7205504084311336</v>
      </c>
    </row>
    <row r="207" spans="1:12" ht="15">
      <c r="A207" s="46" t="s">
        <v>24</v>
      </c>
      <c r="B207" s="47" t="s">
        <v>102</v>
      </c>
      <c r="C207" s="116">
        <v>8512.3490196078419</v>
      </c>
      <c r="D207" s="116">
        <v>8654.5568627450975</v>
      </c>
      <c r="E207" s="117">
        <v>8682.5959999999995</v>
      </c>
      <c r="F207" s="117">
        <v>8827.6479999999992</v>
      </c>
      <c r="G207" s="1138">
        <v>-1.6431556854101987</v>
      </c>
      <c r="H207" s="118">
        <v>215.4</v>
      </c>
      <c r="I207" s="118">
        <v>1.0793054903801087</v>
      </c>
      <c r="J207" s="119">
        <v>6.2222222222222223</v>
      </c>
      <c r="K207" s="119">
        <v>3.176079734219269</v>
      </c>
      <c r="L207" s="1139">
        <v>-8.0070772293031833E-2</v>
      </c>
    </row>
    <row r="208" spans="1:12" ht="15">
      <c r="A208" s="46" t="s">
        <v>24</v>
      </c>
      <c r="B208" s="47" t="s">
        <v>38</v>
      </c>
      <c r="C208" s="94">
        <v>9076.2607843137248</v>
      </c>
      <c r="D208" s="94">
        <v>8914.5637254901958</v>
      </c>
      <c r="E208" s="95">
        <v>9257.7860000000001</v>
      </c>
      <c r="F208" s="95">
        <v>9092.8549999999996</v>
      </c>
      <c r="G208" s="1124">
        <v>1.8138527448199766</v>
      </c>
      <c r="H208" s="96">
        <v>238.4</v>
      </c>
      <c r="I208" s="96">
        <v>0.63317855635289144</v>
      </c>
      <c r="J208" s="104">
        <v>46.616541353383454</v>
      </c>
      <c r="K208" s="104">
        <v>2.5913621262458473</v>
      </c>
      <c r="L208" s="1130">
        <v>0.66661538239635365</v>
      </c>
    </row>
    <row r="209" spans="1:12" ht="15.75" thickBot="1">
      <c r="A209" s="46" t="s">
        <v>24</v>
      </c>
      <c r="B209" s="47" t="s">
        <v>39</v>
      </c>
      <c r="C209" s="94">
        <v>9562.3715686274518</v>
      </c>
      <c r="D209" s="94">
        <v>10255.803921568628</v>
      </c>
      <c r="E209" s="95">
        <v>9753.6190000000006</v>
      </c>
      <c r="F209" s="95">
        <v>10460.92</v>
      </c>
      <c r="G209" s="1124">
        <v>-6.7613651571754625</v>
      </c>
      <c r="H209" s="96">
        <v>261.2</v>
      </c>
      <c r="I209" s="96">
        <v>1.7926734216679521</v>
      </c>
      <c r="J209" s="104">
        <v>31.818181818181817</v>
      </c>
      <c r="K209" s="104">
        <v>0.77076411960132896</v>
      </c>
      <c r="L209" s="1130">
        <v>0.13400579832781223</v>
      </c>
    </row>
    <row r="210" spans="1:12" ht="15.75" thickBot="1">
      <c r="A210" s="51"/>
      <c r="B210" s="52"/>
      <c r="C210" s="111"/>
      <c r="D210" s="111"/>
      <c r="E210" s="111"/>
      <c r="F210" s="111"/>
      <c r="G210" s="1134"/>
      <c r="H210" s="112"/>
      <c r="I210" s="112"/>
      <c r="J210" s="112"/>
      <c r="K210" s="112"/>
      <c r="L210" s="1135"/>
    </row>
    <row r="211" spans="1:12" ht="14.25">
      <c r="A211" s="44" t="s">
        <v>117</v>
      </c>
      <c r="B211" s="48" t="s">
        <v>25</v>
      </c>
      <c r="C211" s="105">
        <v>14112.270439573254</v>
      </c>
      <c r="D211" s="105">
        <v>13934.855346191887</v>
      </c>
      <c r="E211" s="106">
        <v>14394.515848364719</v>
      </c>
      <c r="F211" s="106">
        <v>14213.552453115726</v>
      </c>
      <c r="G211" s="1131">
        <v>1.2731749915857551</v>
      </c>
      <c r="H211" s="107">
        <v>336.32222222222219</v>
      </c>
      <c r="I211" s="107">
        <v>-1.2008688272612456</v>
      </c>
      <c r="J211" s="108">
        <v>-9.0909090909090917</v>
      </c>
      <c r="K211" s="108">
        <v>1.1960132890365449</v>
      </c>
      <c r="L211" s="1132">
        <v>-0.23669293382886747</v>
      </c>
    </row>
    <row r="212" spans="1:12" ht="15">
      <c r="A212" s="46" t="s">
        <v>117</v>
      </c>
      <c r="B212" s="47" t="s">
        <v>26</v>
      </c>
      <c r="C212" s="94">
        <v>13423.956862745097</v>
      </c>
      <c r="D212" s="94">
        <v>14005.926470588234</v>
      </c>
      <c r="E212" s="95">
        <v>13692.436</v>
      </c>
      <c r="F212" s="95">
        <v>14286.045</v>
      </c>
      <c r="G212" s="1124">
        <v>-4.1551668078884001</v>
      </c>
      <c r="H212" s="96">
        <v>313.60000000000002</v>
      </c>
      <c r="I212" s="96">
        <v>-8.5980763625765082</v>
      </c>
      <c r="J212" s="104">
        <v>-31.25</v>
      </c>
      <c r="K212" s="104">
        <v>0.14617940199335547</v>
      </c>
      <c r="L212" s="1130">
        <v>-8.5369078469741483E-2</v>
      </c>
    </row>
    <row r="213" spans="1:12" ht="15">
      <c r="A213" s="46" t="s">
        <v>117</v>
      </c>
      <c r="B213" s="47" t="s">
        <v>27</v>
      </c>
      <c r="C213" s="94">
        <v>14006.072549019607</v>
      </c>
      <c r="D213" s="94">
        <v>13953.339215686276</v>
      </c>
      <c r="E213" s="95">
        <v>14286.194</v>
      </c>
      <c r="F213" s="95">
        <v>14232.406000000001</v>
      </c>
      <c r="G213" s="1124">
        <v>0.3779262620810469</v>
      </c>
      <c r="H213" s="96">
        <v>334.2</v>
      </c>
      <c r="I213" s="96">
        <v>-8.9686098654711915E-2</v>
      </c>
      <c r="J213" s="104">
        <v>-25.862068965517242</v>
      </c>
      <c r="K213" s="104">
        <v>0.5714285714285714</v>
      </c>
      <c r="L213" s="1130">
        <v>-0.26793467025015505</v>
      </c>
    </row>
    <row r="214" spans="1:12" ht="15">
      <c r="A214" s="46" t="s">
        <v>117</v>
      </c>
      <c r="B214" s="47" t="s">
        <v>34</v>
      </c>
      <c r="C214" s="94">
        <v>14425.583333333332</v>
      </c>
      <c r="D214" s="94">
        <v>13849.864705882352</v>
      </c>
      <c r="E214" s="95">
        <v>14714.094999999999</v>
      </c>
      <c r="F214" s="95">
        <v>14126.861999999999</v>
      </c>
      <c r="G214" s="1124">
        <v>4.1568538009361191</v>
      </c>
      <c r="H214" s="96">
        <v>345.8</v>
      </c>
      <c r="I214" s="96">
        <v>-1.8728717366628738</v>
      </c>
      <c r="J214" s="104">
        <v>44</v>
      </c>
      <c r="K214" s="104">
        <v>0.47840531561461791</v>
      </c>
      <c r="L214" s="1130">
        <v>0.11661081489102892</v>
      </c>
    </row>
    <row r="215" spans="1:12" ht="14.25">
      <c r="A215" s="44" t="s">
        <v>117</v>
      </c>
      <c r="B215" s="48" t="s">
        <v>28</v>
      </c>
      <c r="C215" s="105">
        <v>13442.584891948307</v>
      </c>
      <c r="D215" s="105">
        <v>13507.439875882032</v>
      </c>
      <c r="E215" s="106">
        <v>13711.436589787274</v>
      </c>
      <c r="F215" s="106">
        <v>13777.588673399672</v>
      </c>
      <c r="G215" s="1131">
        <v>-0.48014268084601575</v>
      </c>
      <c r="H215" s="107">
        <v>308.01799100449773</v>
      </c>
      <c r="I215" s="107">
        <v>-0.56083760235544899</v>
      </c>
      <c r="J215" s="108">
        <v>2.3006134969325154</v>
      </c>
      <c r="K215" s="108">
        <v>8.8637873754152832</v>
      </c>
      <c r="L215" s="1132">
        <v>-0.57181320345591757</v>
      </c>
    </row>
    <row r="216" spans="1:12" ht="15">
      <c r="A216" s="46" t="s">
        <v>117</v>
      </c>
      <c r="B216" s="47" t="s">
        <v>29</v>
      </c>
      <c r="C216" s="94">
        <v>13214.776470588235</v>
      </c>
      <c r="D216" s="94">
        <v>13318.955882352941</v>
      </c>
      <c r="E216" s="95">
        <v>13479.072</v>
      </c>
      <c r="F216" s="95">
        <v>13585.334999999999</v>
      </c>
      <c r="G216" s="1124">
        <v>-0.78218902956753744</v>
      </c>
      <c r="H216" s="96">
        <v>293.60000000000002</v>
      </c>
      <c r="I216" s="96">
        <v>0.51352276617596704</v>
      </c>
      <c r="J216" s="104">
        <v>4.2857142857142856</v>
      </c>
      <c r="K216" s="104">
        <v>0.97009966777408629</v>
      </c>
      <c r="L216" s="1130">
        <v>-4.2924934251962865E-2</v>
      </c>
    </row>
    <row r="217" spans="1:12" ht="15">
      <c r="A217" s="46" t="s">
        <v>117</v>
      </c>
      <c r="B217" s="47" t="s">
        <v>30</v>
      </c>
      <c r="C217" s="94">
        <v>13530.094117647059</v>
      </c>
      <c r="D217" s="94">
        <v>13580.456862745099</v>
      </c>
      <c r="E217" s="95">
        <v>13800.696</v>
      </c>
      <c r="F217" s="95">
        <v>13852.066000000001</v>
      </c>
      <c r="G217" s="1124">
        <v>-0.37084720791830472</v>
      </c>
      <c r="H217" s="96">
        <v>302.2</v>
      </c>
      <c r="I217" s="96">
        <v>-0.49390846229832075</v>
      </c>
      <c r="J217" s="104">
        <v>2.0942408376963351</v>
      </c>
      <c r="K217" s="104">
        <v>5.1827242524916945</v>
      </c>
      <c r="L217" s="1130">
        <v>-0.34549571856474515</v>
      </c>
    </row>
    <row r="218" spans="1:12" ht="15">
      <c r="A218" s="46" t="s">
        <v>117</v>
      </c>
      <c r="B218" s="47" t="s">
        <v>35</v>
      </c>
      <c r="C218" s="94">
        <v>13360.508823529412</v>
      </c>
      <c r="D218" s="94">
        <v>13436.951960784314</v>
      </c>
      <c r="E218" s="95">
        <v>13627.718999999999</v>
      </c>
      <c r="F218" s="95">
        <v>13705.691000000001</v>
      </c>
      <c r="G218" s="1124">
        <v>-0.56890236325918608</v>
      </c>
      <c r="H218" s="96">
        <v>324.3</v>
      </c>
      <c r="I218" s="96">
        <v>-0.97709923664121789</v>
      </c>
      <c r="J218" s="104">
        <v>2</v>
      </c>
      <c r="K218" s="104">
        <v>2.7109634551495017</v>
      </c>
      <c r="L218" s="1130">
        <v>-0.18339255063921023</v>
      </c>
    </row>
    <row r="219" spans="1:12" ht="14.25">
      <c r="A219" s="44" t="s">
        <v>117</v>
      </c>
      <c r="B219" s="48" t="s">
        <v>31</v>
      </c>
      <c r="C219" s="105">
        <v>12475.85498805389</v>
      </c>
      <c r="D219" s="105">
        <v>12425.276866283075</v>
      </c>
      <c r="E219" s="106">
        <v>12725.372087814969</v>
      </c>
      <c r="F219" s="106">
        <v>12673.782403608737</v>
      </c>
      <c r="G219" s="1131">
        <v>0.40705830795660802</v>
      </c>
      <c r="H219" s="107">
        <v>272.99548254620123</v>
      </c>
      <c r="I219" s="107">
        <v>2.1040943734695396</v>
      </c>
      <c r="J219" s="108">
        <v>17.775090689238208</v>
      </c>
      <c r="K219" s="108">
        <v>12.943521594684384</v>
      </c>
      <c r="L219" s="1132">
        <v>0.97535951074805993</v>
      </c>
    </row>
    <row r="220" spans="1:12" ht="15">
      <c r="A220" s="46" t="s">
        <v>117</v>
      </c>
      <c r="B220" s="47" t="s">
        <v>32</v>
      </c>
      <c r="C220" s="94">
        <v>12195.600980392157</v>
      </c>
      <c r="D220" s="94">
        <v>12039.357843137255</v>
      </c>
      <c r="E220" s="95">
        <v>12439.513000000001</v>
      </c>
      <c r="F220" s="95">
        <v>12280.145</v>
      </c>
      <c r="G220" s="1124">
        <v>1.2977696924588464</v>
      </c>
      <c r="H220" s="96">
        <v>246.6</v>
      </c>
      <c r="I220" s="96">
        <v>1.2315270935960592</v>
      </c>
      <c r="J220" s="104">
        <v>9.5890410958904102</v>
      </c>
      <c r="K220" s="104">
        <v>3.1893687707641192</v>
      </c>
      <c r="L220" s="1130">
        <v>2.0048944425479664E-2</v>
      </c>
    </row>
    <row r="221" spans="1:12" ht="15">
      <c r="A221" s="46" t="s">
        <v>117</v>
      </c>
      <c r="B221" s="47" t="s">
        <v>33</v>
      </c>
      <c r="C221" s="94">
        <v>12549.297058823529</v>
      </c>
      <c r="D221" s="94">
        <v>12470.928431372549</v>
      </c>
      <c r="E221" s="95">
        <v>12800.282999999999</v>
      </c>
      <c r="F221" s="95">
        <v>12720.347</v>
      </c>
      <c r="G221" s="1124">
        <v>0.62841052999575953</v>
      </c>
      <c r="H221" s="96">
        <v>273.60000000000002</v>
      </c>
      <c r="I221" s="96">
        <v>1.9374068554396595</v>
      </c>
      <c r="J221" s="96">
        <v>4.8997772828507795</v>
      </c>
      <c r="K221" s="96">
        <v>6.2591362126245844</v>
      </c>
      <c r="L221" s="1125">
        <v>-0.2386930203710742</v>
      </c>
    </row>
    <row r="222" spans="1:12" ht="15.75" thickBot="1">
      <c r="A222" s="56" t="s">
        <v>117</v>
      </c>
      <c r="B222" s="57" t="s">
        <v>36</v>
      </c>
      <c r="C222" s="97">
        <v>12567.370588235295</v>
      </c>
      <c r="D222" s="97">
        <v>12744.565686274509</v>
      </c>
      <c r="E222" s="98">
        <v>12818.718000000001</v>
      </c>
      <c r="F222" s="98">
        <v>12999.457</v>
      </c>
      <c r="G222" s="1126">
        <v>-1.3903580741872492</v>
      </c>
      <c r="H222" s="99">
        <v>296</v>
      </c>
      <c r="I222" s="99">
        <v>-0.40376850605652376</v>
      </c>
      <c r="J222" s="99">
        <v>65.408805031446533</v>
      </c>
      <c r="K222" s="99">
        <v>3.4950166112956809</v>
      </c>
      <c r="L222" s="1127">
        <v>1.1940035866936549</v>
      </c>
    </row>
    <row r="223" spans="1:12">
      <c r="G223" s="80"/>
      <c r="H223" s="80"/>
      <c r="I223" s="80"/>
      <c r="J223" s="80"/>
      <c r="K223" s="80"/>
      <c r="L223" s="80"/>
    </row>
    <row r="224" spans="1:12" ht="13.5" thickBot="1">
      <c r="G224" s="80"/>
      <c r="H224" s="80"/>
      <c r="I224" s="80"/>
      <c r="J224" s="80"/>
      <c r="K224" s="80"/>
      <c r="L224" s="1140"/>
    </row>
    <row r="225" spans="1:12" ht="21" thickBot="1">
      <c r="A225" s="1086" t="s">
        <v>329</v>
      </c>
      <c r="B225" s="1076"/>
      <c r="C225" s="1076"/>
      <c r="D225" s="1076"/>
      <c r="E225" s="1076"/>
      <c r="F225" s="1076"/>
      <c r="G225" s="1077"/>
      <c r="H225" s="1077"/>
      <c r="I225" s="1077"/>
      <c r="J225" s="1077"/>
      <c r="K225" s="1077"/>
      <c r="L225" s="1141"/>
    </row>
    <row r="226" spans="1:12">
      <c r="A226" s="27"/>
      <c r="B226" s="28"/>
      <c r="C226" s="3" t="s">
        <v>9</v>
      </c>
      <c r="D226" s="3" t="s">
        <v>9</v>
      </c>
      <c r="E226" s="3"/>
      <c r="F226" s="3"/>
      <c r="G226" s="1078"/>
      <c r="H226" s="1179" t="s">
        <v>10</v>
      </c>
      <c r="I226" s="1180"/>
      <c r="J226" s="1111" t="s">
        <v>11</v>
      </c>
      <c r="K226" s="1079" t="s">
        <v>12</v>
      </c>
      <c r="L226" s="1080"/>
    </row>
    <row r="227" spans="1:12" ht="15.75">
      <c r="A227" s="29" t="s">
        <v>13</v>
      </c>
      <c r="B227" s="30" t="s">
        <v>14</v>
      </c>
      <c r="C227" s="1081" t="s">
        <v>40</v>
      </c>
      <c r="D227" s="1081" t="s">
        <v>40</v>
      </c>
      <c r="E227" s="1082" t="s">
        <v>41</v>
      </c>
      <c r="F227" s="1083"/>
      <c r="G227" s="1112"/>
      <c r="H227" s="1177" t="s">
        <v>15</v>
      </c>
      <c r="I227" s="1178"/>
      <c r="J227" s="1113" t="s">
        <v>16</v>
      </c>
      <c r="K227" s="1084" t="s">
        <v>17</v>
      </c>
      <c r="L227" s="1085"/>
    </row>
    <row r="228" spans="1:12" ht="26.25" thickBot="1">
      <c r="A228" s="31" t="s">
        <v>18</v>
      </c>
      <c r="B228" s="32" t="s">
        <v>19</v>
      </c>
      <c r="C228" s="979" t="s">
        <v>369</v>
      </c>
      <c r="D228" s="1148" t="s">
        <v>365</v>
      </c>
      <c r="E228" s="1071" t="s">
        <v>369</v>
      </c>
      <c r="F228" s="1072" t="s">
        <v>365</v>
      </c>
      <c r="G228" s="1110" t="s">
        <v>20</v>
      </c>
      <c r="H228" s="81" t="s">
        <v>369</v>
      </c>
      <c r="I228" s="993" t="s">
        <v>20</v>
      </c>
      <c r="J228" s="1114" t="s">
        <v>20</v>
      </c>
      <c r="K228" s="1073" t="s">
        <v>369</v>
      </c>
      <c r="L228" s="1115" t="s">
        <v>21</v>
      </c>
    </row>
    <row r="229" spans="1:12" ht="15" thickBot="1">
      <c r="A229" s="33" t="s">
        <v>22</v>
      </c>
      <c r="B229" s="34" t="s">
        <v>23</v>
      </c>
      <c r="C229" s="82">
        <v>10583.530938981348</v>
      </c>
      <c r="D229" s="82">
        <v>10843.044655049811</v>
      </c>
      <c r="E229" s="83">
        <v>10795.201557760976</v>
      </c>
      <c r="F229" s="704">
        <v>11060.86716742679</v>
      </c>
      <c r="G229" s="1116">
        <v>-2.4018515514603918</v>
      </c>
      <c r="H229" s="84">
        <v>310.91673469387757</v>
      </c>
      <c r="I229" s="84">
        <v>-0.64274847270858215</v>
      </c>
      <c r="J229" s="85">
        <v>15.023474178403756</v>
      </c>
      <c r="K229" s="84">
        <v>100</v>
      </c>
      <c r="L229" s="1117" t="s">
        <v>23</v>
      </c>
    </row>
    <row r="230" spans="1:12" ht="15" thickBot="1">
      <c r="A230" s="35"/>
      <c r="B230" s="36"/>
      <c r="C230" s="86"/>
      <c r="D230" s="86"/>
      <c r="E230" s="86"/>
      <c r="F230" s="86"/>
      <c r="G230" s="1118"/>
      <c r="H230" s="85"/>
      <c r="I230" s="85"/>
      <c r="J230" s="85"/>
      <c r="K230" s="85"/>
      <c r="L230" s="1119"/>
    </row>
    <row r="231" spans="1:12" ht="15">
      <c r="A231" s="37" t="s">
        <v>108</v>
      </c>
      <c r="B231" s="38" t="s">
        <v>23</v>
      </c>
      <c r="C231" s="87" t="s">
        <v>100</v>
      </c>
      <c r="D231" s="87" t="s">
        <v>100</v>
      </c>
      <c r="E231" s="88" t="s">
        <v>100</v>
      </c>
      <c r="F231" s="88" t="s">
        <v>100</v>
      </c>
      <c r="G231" s="1120" t="s">
        <v>100</v>
      </c>
      <c r="H231" s="89" t="s">
        <v>100</v>
      </c>
      <c r="I231" s="89" t="s">
        <v>100</v>
      </c>
      <c r="J231" s="89" t="s">
        <v>100</v>
      </c>
      <c r="K231" s="89" t="s">
        <v>100</v>
      </c>
      <c r="L231" s="1121" t="s">
        <v>100</v>
      </c>
    </row>
    <row r="232" spans="1:12" ht="15">
      <c r="A232" s="46" t="s">
        <v>109</v>
      </c>
      <c r="B232" s="90" t="s">
        <v>23</v>
      </c>
      <c r="C232" s="91">
        <v>11437.92471379663</v>
      </c>
      <c r="D232" s="91">
        <v>11756.970791740621</v>
      </c>
      <c r="E232" s="92">
        <v>11666.683208072564</v>
      </c>
      <c r="F232" s="92">
        <v>11992.110207575433</v>
      </c>
      <c r="G232" s="1122">
        <v>-2.7136758574591582</v>
      </c>
      <c r="H232" s="93">
        <v>363.85775577557752</v>
      </c>
      <c r="I232" s="93">
        <v>-0.33491601964053486</v>
      </c>
      <c r="J232" s="93">
        <v>18.359375</v>
      </c>
      <c r="K232" s="93">
        <v>24.73469387755102</v>
      </c>
      <c r="L232" s="1123">
        <v>0.69713519210501218</v>
      </c>
    </row>
    <row r="233" spans="1:12" ht="15">
      <c r="A233" s="39" t="s">
        <v>110</v>
      </c>
      <c r="B233" s="40" t="s">
        <v>23</v>
      </c>
      <c r="C233" s="94">
        <v>11396.846422801558</v>
      </c>
      <c r="D233" s="94">
        <v>11909.233747883927</v>
      </c>
      <c r="E233" s="95">
        <v>11624.783351257589</v>
      </c>
      <c r="F233" s="95">
        <v>12147.418422841605</v>
      </c>
      <c r="G233" s="1124">
        <v>-4.3024373853893971</v>
      </c>
      <c r="H233" s="96">
        <v>384.37</v>
      </c>
      <c r="I233" s="96">
        <v>-5.930004894762595</v>
      </c>
      <c r="J233" s="96">
        <v>-58.333333333333336</v>
      </c>
      <c r="K233" s="96">
        <v>2.4489795918367347</v>
      </c>
      <c r="L233" s="1125">
        <v>-4.3115837884449544</v>
      </c>
    </row>
    <row r="234" spans="1:12" ht="15">
      <c r="A234" s="39" t="s">
        <v>111</v>
      </c>
      <c r="B234" s="40" t="s">
        <v>23</v>
      </c>
      <c r="C234" s="94" t="s">
        <v>257</v>
      </c>
      <c r="D234" s="94" t="s">
        <v>257</v>
      </c>
      <c r="E234" s="95" t="s">
        <v>257</v>
      </c>
      <c r="F234" s="95" t="s">
        <v>257</v>
      </c>
      <c r="G234" s="1124" t="s">
        <v>100</v>
      </c>
      <c r="H234" s="96" t="s">
        <v>257</v>
      </c>
      <c r="I234" s="96" t="s">
        <v>100</v>
      </c>
      <c r="J234" s="96" t="s">
        <v>100</v>
      </c>
      <c r="K234" s="96" t="s">
        <v>100</v>
      </c>
      <c r="L234" s="1125" t="s">
        <v>100</v>
      </c>
    </row>
    <row r="235" spans="1:12" ht="15">
      <c r="A235" s="39" t="s">
        <v>98</v>
      </c>
      <c r="B235" s="40" t="s">
        <v>23</v>
      </c>
      <c r="C235" s="94">
        <v>9530.3401810075102</v>
      </c>
      <c r="D235" s="94">
        <v>9545.056967437542</v>
      </c>
      <c r="E235" s="95">
        <v>9720.9469846276606</v>
      </c>
      <c r="F235" s="95">
        <v>9735.9581067862928</v>
      </c>
      <c r="G235" s="1124">
        <v>-0.15418227968923645</v>
      </c>
      <c r="H235" s="96">
        <v>284.839696969697</v>
      </c>
      <c r="I235" s="96">
        <v>1.0768305944907219</v>
      </c>
      <c r="J235" s="96">
        <v>25.475285171102662</v>
      </c>
      <c r="K235" s="96">
        <v>53.877551020408163</v>
      </c>
      <c r="L235" s="1125">
        <v>4.4878796589058183</v>
      </c>
    </row>
    <row r="236" spans="1:12" ht="15.75" thickBot="1">
      <c r="A236" s="41" t="s">
        <v>112</v>
      </c>
      <c r="B236" s="42" t="s">
        <v>23</v>
      </c>
      <c r="C236" s="97">
        <v>11926.078573629482</v>
      </c>
      <c r="D236" s="97">
        <v>12038.910170612889</v>
      </c>
      <c r="E236" s="98">
        <v>12164.600145102071</v>
      </c>
      <c r="F236" s="98">
        <v>12308.436427806619</v>
      </c>
      <c r="G236" s="1126">
        <v>-1.1685991437515137</v>
      </c>
      <c r="H236" s="99">
        <v>302.61688888888881</v>
      </c>
      <c r="I236" s="99">
        <v>3.0994071403811172</v>
      </c>
      <c r="J236" s="99">
        <v>7.1428571428571423</v>
      </c>
      <c r="K236" s="99">
        <v>18.367346938775512</v>
      </c>
      <c r="L236" s="1127">
        <v>-1.3509629203794162</v>
      </c>
    </row>
    <row r="237" spans="1:12" ht="15" thickBot="1">
      <c r="A237" s="35"/>
      <c r="B237" s="43"/>
      <c r="C237" s="86"/>
      <c r="D237" s="86"/>
      <c r="E237" s="86"/>
      <c r="F237" s="86"/>
      <c r="G237" s="1118"/>
      <c r="H237" s="85"/>
      <c r="I237" s="85"/>
      <c r="J237" s="85"/>
      <c r="K237" s="85"/>
      <c r="L237" s="1119"/>
    </row>
    <row r="238" spans="1:12" ht="14.25">
      <c r="A238" s="44" t="s">
        <v>113</v>
      </c>
      <c r="B238" s="45" t="s">
        <v>25</v>
      </c>
      <c r="C238" s="100" t="s">
        <v>100</v>
      </c>
      <c r="D238" s="100" t="s">
        <v>100</v>
      </c>
      <c r="E238" s="101" t="s">
        <v>100</v>
      </c>
      <c r="F238" s="101" t="s">
        <v>100</v>
      </c>
      <c r="G238" s="1128" t="s">
        <v>100</v>
      </c>
      <c r="H238" s="102" t="s">
        <v>100</v>
      </c>
      <c r="I238" s="102" t="s">
        <v>100</v>
      </c>
      <c r="J238" s="103" t="s">
        <v>100</v>
      </c>
      <c r="K238" s="103" t="s">
        <v>100</v>
      </c>
      <c r="L238" s="1129" t="s">
        <v>100</v>
      </c>
    </row>
    <row r="239" spans="1:12" ht="15">
      <c r="A239" s="46" t="s">
        <v>113</v>
      </c>
      <c r="B239" s="47" t="s">
        <v>26</v>
      </c>
      <c r="C239" s="94" t="s">
        <v>100</v>
      </c>
      <c r="D239" s="94" t="s">
        <v>100</v>
      </c>
      <c r="E239" s="95" t="s">
        <v>100</v>
      </c>
      <c r="F239" s="95" t="s">
        <v>100</v>
      </c>
      <c r="G239" s="1124" t="s">
        <v>100</v>
      </c>
      <c r="H239" s="96" t="s">
        <v>100</v>
      </c>
      <c r="I239" s="96" t="s">
        <v>100</v>
      </c>
      <c r="J239" s="104" t="s">
        <v>100</v>
      </c>
      <c r="K239" s="104" t="s">
        <v>100</v>
      </c>
      <c r="L239" s="1130" t="s">
        <v>100</v>
      </c>
    </row>
    <row r="240" spans="1:12" ht="15">
      <c r="A240" s="46" t="s">
        <v>113</v>
      </c>
      <c r="B240" s="47" t="s">
        <v>27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24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30" t="s">
        <v>100</v>
      </c>
    </row>
    <row r="241" spans="1:12" ht="14.25">
      <c r="A241" s="44" t="s">
        <v>113</v>
      </c>
      <c r="B241" s="48" t="s">
        <v>28</v>
      </c>
      <c r="C241" s="105" t="s">
        <v>100</v>
      </c>
      <c r="D241" s="105" t="s">
        <v>100</v>
      </c>
      <c r="E241" s="106" t="s">
        <v>100</v>
      </c>
      <c r="F241" s="106" t="s">
        <v>100</v>
      </c>
      <c r="G241" s="1131" t="s">
        <v>100</v>
      </c>
      <c r="H241" s="107" t="s">
        <v>100</v>
      </c>
      <c r="I241" s="107" t="s">
        <v>100</v>
      </c>
      <c r="J241" s="108" t="s">
        <v>100</v>
      </c>
      <c r="K241" s="108" t="s">
        <v>100</v>
      </c>
      <c r="L241" s="1132" t="s">
        <v>100</v>
      </c>
    </row>
    <row r="242" spans="1:12" ht="15">
      <c r="A242" s="46" t="s">
        <v>113</v>
      </c>
      <c r="B242" s="47" t="s">
        <v>29</v>
      </c>
      <c r="C242" s="94" t="s">
        <v>100</v>
      </c>
      <c r="D242" s="94" t="s">
        <v>100</v>
      </c>
      <c r="E242" s="95" t="s">
        <v>100</v>
      </c>
      <c r="F242" s="95" t="s">
        <v>100</v>
      </c>
      <c r="G242" s="1124" t="s">
        <v>100</v>
      </c>
      <c r="H242" s="96" t="s">
        <v>100</v>
      </c>
      <c r="I242" s="96" t="s">
        <v>100</v>
      </c>
      <c r="J242" s="104" t="s">
        <v>100</v>
      </c>
      <c r="K242" s="104" t="s">
        <v>100</v>
      </c>
      <c r="L242" s="1130" t="s">
        <v>100</v>
      </c>
    </row>
    <row r="243" spans="1:12" ht="15">
      <c r="A243" s="46" t="s">
        <v>113</v>
      </c>
      <c r="B243" s="47" t="s">
        <v>30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24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30" t="s">
        <v>100</v>
      </c>
    </row>
    <row r="244" spans="1:12" ht="14.25">
      <c r="A244" s="44" t="s">
        <v>113</v>
      </c>
      <c r="B244" s="48" t="s">
        <v>31</v>
      </c>
      <c r="C244" s="105" t="s">
        <v>100</v>
      </c>
      <c r="D244" s="105" t="s">
        <v>100</v>
      </c>
      <c r="E244" s="106" t="s">
        <v>100</v>
      </c>
      <c r="F244" s="106" t="s">
        <v>100</v>
      </c>
      <c r="G244" s="1131" t="s">
        <v>100</v>
      </c>
      <c r="H244" s="107" t="s">
        <v>100</v>
      </c>
      <c r="I244" s="107" t="s">
        <v>100</v>
      </c>
      <c r="J244" s="108" t="s">
        <v>100</v>
      </c>
      <c r="K244" s="108" t="s">
        <v>100</v>
      </c>
      <c r="L244" s="1132" t="s">
        <v>100</v>
      </c>
    </row>
    <row r="245" spans="1:12" ht="15">
      <c r="A245" s="46" t="s">
        <v>113</v>
      </c>
      <c r="B245" s="47" t="s">
        <v>32</v>
      </c>
      <c r="C245" s="94" t="s">
        <v>100</v>
      </c>
      <c r="D245" s="94" t="s">
        <v>100</v>
      </c>
      <c r="E245" s="95" t="s">
        <v>100</v>
      </c>
      <c r="F245" s="95" t="s">
        <v>100</v>
      </c>
      <c r="G245" s="1124" t="s">
        <v>100</v>
      </c>
      <c r="H245" s="96" t="s">
        <v>100</v>
      </c>
      <c r="I245" s="96" t="s">
        <v>100</v>
      </c>
      <c r="J245" s="104" t="s">
        <v>100</v>
      </c>
      <c r="K245" s="104" t="s">
        <v>100</v>
      </c>
      <c r="L245" s="1130" t="s">
        <v>100</v>
      </c>
    </row>
    <row r="246" spans="1:12" ht="15.75" thickBot="1">
      <c r="A246" s="49" t="s">
        <v>113</v>
      </c>
      <c r="B246" s="50" t="s">
        <v>33</v>
      </c>
      <c r="C246" s="109" t="s">
        <v>100</v>
      </c>
      <c r="D246" s="109" t="s">
        <v>100</v>
      </c>
      <c r="E246" s="110" t="s">
        <v>100</v>
      </c>
      <c r="F246" s="110" t="s">
        <v>100</v>
      </c>
      <c r="G246" s="1133" t="s">
        <v>100</v>
      </c>
      <c r="H246" s="104" t="s">
        <v>100</v>
      </c>
      <c r="I246" s="104" t="s">
        <v>100</v>
      </c>
      <c r="J246" s="104" t="s">
        <v>100</v>
      </c>
      <c r="K246" s="104" t="s">
        <v>100</v>
      </c>
      <c r="L246" s="1130" t="s">
        <v>100</v>
      </c>
    </row>
    <row r="247" spans="1:12" ht="15" thickBot="1">
      <c r="A247" s="35"/>
      <c r="B247" s="43"/>
      <c r="C247" s="86"/>
      <c r="D247" s="86"/>
      <c r="E247" s="86"/>
      <c r="F247" s="86"/>
      <c r="G247" s="1118"/>
      <c r="H247" s="85"/>
      <c r="I247" s="85"/>
      <c r="J247" s="85"/>
      <c r="K247" s="85"/>
      <c r="L247" s="1119"/>
    </row>
    <row r="248" spans="1:12" ht="14.25">
      <c r="A248" s="44" t="s">
        <v>114</v>
      </c>
      <c r="B248" s="45" t="s">
        <v>25</v>
      </c>
      <c r="C248" s="100">
        <v>12121.038299562972</v>
      </c>
      <c r="D248" s="100">
        <v>11928.719530949635</v>
      </c>
      <c r="E248" s="101">
        <v>12363.459065554231</v>
      </c>
      <c r="F248" s="101">
        <v>12167.293921568627</v>
      </c>
      <c r="G248" s="1128">
        <v>1.6122331329390067</v>
      </c>
      <c r="H248" s="102">
        <v>399.51428571428568</v>
      </c>
      <c r="I248" s="102">
        <v>-8.6093364487508417</v>
      </c>
      <c r="J248" s="103">
        <v>50</v>
      </c>
      <c r="K248" s="103">
        <v>1.7142857142857144</v>
      </c>
      <c r="L248" s="1129">
        <v>0.3997317236753859</v>
      </c>
    </row>
    <row r="249" spans="1:12" ht="15">
      <c r="A249" s="46" t="s">
        <v>114</v>
      </c>
      <c r="B249" s="47" t="s">
        <v>26</v>
      </c>
      <c r="C249" s="94">
        <v>12188.807843137256</v>
      </c>
      <c r="D249" s="94">
        <v>11906.137254901962</v>
      </c>
      <c r="E249" s="95">
        <v>12432.584000000001</v>
      </c>
      <c r="F249" s="95">
        <v>12144.26</v>
      </c>
      <c r="G249" s="1124">
        <v>2.3741586560235084</v>
      </c>
      <c r="H249" s="96">
        <v>389.4</v>
      </c>
      <c r="I249" s="96">
        <v>-7.9214944431307641</v>
      </c>
      <c r="J249" s="104">
        <v>142.85714285714286</v>
      </c>
      <c r="K249" s="104">
        <v>1.3877551020408163</v>
      </c>
      <c r="L249" s="1130">
        <v>0.73047810673565206</v>
      </c>
    </row>
    <row r="250" spans="1:12" ht="15">
      <c r="A250" s="46" t="s">
        <v>114</v>
      </c>
      <c r="B250" s="47" t="s">
        <v>27</v>
      </c>
      <c r="C250" s="94" t="s">
        <v>257</v>
      </c>
      <c r="D250" s="94" t="s">
        <v>257</v>
      </c>
      <c r="E250" s="95" t="s">
        <v>257</v>
      </c>
      <c r="F250" s="95" t="s">
        <v>257</v>
      </c>
      <c r="G250" s="1124" t="s">
        <v>100</v>
      </c>
      <c r="H250" s="96" t="s">
        <v>257</v>
      </c>
      <c r="I250" s="96" t="s">
        <v>100</v>
      </c>
      <c r="J250" s="104" t="s">
        <v>100</v>
      </c>
      <c r="K250" s="104" t="s">
        <v>100</v>
      </c>
      <c r="L250" s="1130" t="s">
        <v>100</v>
      </c>
    </row>
    <row r="251" spans="1:12" ht="14.25">
      <c r="A251" s="44" t="s">
        <v>114</v>
      </c>
      <c r="B251" s="48" t="s">
        <v>28</v>
      </c>
      <c r="C251" s="105">
        <v>11674.570178059132</v>
      </c>
      <c r="D251" s="105">
        <v>12010.481561972048</v>
      </c>
      <c r="E251" s="106">
        <v>11908.061581620315</v>
      </c>
      <c r="F251" s="106">
        <v>12250.691193211489</v>
      </c>
      <c r="G251" s="1131">
        <v>-2.7968186136390085</v>
      </c>
      <c r="H251" s="107">
        <v>380.26666666666671</v>
      </c>
      <c r="I251" s="107">
        <v>-3.1841312430025726</v>
      </c>
      <c r="J251" s="108">
        <v>11.538461538461538</v>
      </c>
      <c r="K251" s="108">
        <v>7.1020408163265314</v>
      </c>
      <c r="L251" s="1132">
        <v>-0.22190284564529961</v>
      </c>
    </row>
    <row r="252" spans="1:12" ht="15">
      <c r="A252" s="46" t="s">
        <v>114</v>
      </c>
      <c r="B252" s="47" t="s">
        <v>29</v>
      </c>
      <c r="C252" s="94">
        <v>11670.209803921569</v>
      </c>
      <c r="D252" s="94">
        <v>11819.043137254903</v>
      </c>
      <c r="E252" s="95">
        <v>11903.614</v>
      </c>
      <c r="F252" s="95">
        <v>12055.424000000001</v>
      </c>
      <c r="G252" s="1124">
        <v>-1.2592671979019676</v>
      </c>
      <c r="H252" s="96">
        <v>377.1</v>
      </c>
      <c r="I252" s="96">
        <v>-1.3859832635983145</v>
      </c>
      <c r="J252" s="104">
        <v>38.775510204081634</v>
      </c>
      <c r="K252" s="104">
        <v>5.5510204081632653</v>
      </c>
      <c r="L252" s="1130">
        <v>0.95008144102711434</v>
      </c>
    </row>
    <row r="253" spans="1:12" ht="15">
      <c r="A253" s="46" t="s">
        <v>114</v>
      </c>
      <c r="B253" s="47" t="s">
        <v>30</v>
      </c>
      <c r="C253" s="94">
        <v>11689.597058823529</v>
      </c>
      <c r="D253" s="94">
        <v>12311.956862745097</v>
      </c>
      <c r="E253" s="95">
        <v>11923.388999999999</v>
      </c>
      <c r="F253" s="95">
        <v>12558.196</v>
      </c>
      <c r="G253" s="1124">
        <v>-5.0549219012030129</v>
      </c>
      <c r="H253" s="96">
        <v>391.6</v>
      </c>
      <c r="I253" s="96">
        <v>-4.5576407506702381</v>
      </c>
      <c r="J253" s="104">
        <v>-34.482758620689658</v>
      </c>
      <c r="K253" s="104">
        <v>1.5510204081632653</v>
      </c>
      <c r="L253" s="1130">
        <v>-1.1719842866724153</v>
      </c>
    </row>
    <row r="254" spans="1:12" ht="14.25">
      <c r="A254" s="44" t="s">
        <v>114</v>
      </c>
      <c r="B254" s="48" t="s">
        <v>31</v>
      </c>
      <c r="C254" s="105">
        <v>11240.780850138835</v>
      </c>
      <c r="D254" s="105">
        <v>11601.438652695644</v>
      </c>
      <c r="E254" s="106">
        <v>11465.596467141613</v>
      </c>
      <c r="F254" s="106">
        <v>11833.467425749557</v>
      </c>
      <c r="G254" s="1131">
        <v>-3.1087334368915309</v>
      </c>
      <c r="H254" s="107">
        <v>352.69692307692304</v>
      </c>
      <c r="I254" s="107">
        <v>2.00707422839116</v>
      </c>
      <c r="J254" s="108">
        <v>18.902439024390244</v>
      </c>
      <c r="K254" s="108">
        <v>15.918367346938775</v>
      </c>
      <c r="L254" s="1132">
        <v>0.51930631407492456</v>
      </c>
    </row>
    <row r="255" spans="1:12" ht="15">
      <c r="A255" s="46" t="s">
        <v>114</v>
      </c>
      <c r="B255" s="47" t="s">
        <v>32</v>
      </c>
      <c r="C255" s="94">
        <v>11200.475490196079</v>
      </c>
      <c r="D255" s="94">
        <v>11573.12843137255</v>
      </c>
      <c r="E255" s="95">
        <v>11424.485000000001</v>
      </c>
      <c r="F255" s="95">
        <v>11804.591</v>
      </c>
      <c r="G255" s="1124">
        <v>-3.2199844958626671</v>
      </c>
      <c r="H255" s="96">
        <v>338.9</v>
      </c>
      <c r="I255" s="96">
        <v>1.4063435068821031</v>
      </c>
      <c r="J255" s="104">
        <v>25.454545454545453</v>
      </c>
      <c r="K255" s="104">
        <v>11.26530612244898</v>
      </c>
      <c r="L255" s="1130">
        <v>0.93666762479639765</v>
      </c>
    </row>
    <row r="256" spans="1:12" ht="15.75" thickBot="1">
      <c r="A256" s="49" t="s">
        <v>114</v>
      </c>
      <c r="B256" s="50" t="s">
        <v>33</v>
      </c>
      <c r="C256" s="109">
        <v>11326.427450980393</v>
      </c>
      <c r="D256" s="109">
        <v>11653.629411764705</v>
      </c>
      <c r="E256" s="110">
        <v>11552.956</v>
      </c>
      <c r="F256" s="110">
        <v>11886.701999999999</v>
      </c>
      <c r="G256" s="1133">
        <v>-2.8077258099008389</v>
      </c>
      <c r="H256" s="104">
        <v>386.1</v>
      </c>
      <c r="I256" s="104">
        <v>4.5491470349309528</v>
      </c>
      <c r="J256" s="104">
        <v>5.5555555555555554</v>
      </c>
      <c r="K256" s="104">
        <v>4.6530612244897966</v>
      </c>
      <c r="L256" s="1130">
        <v>-0.41736131072147131</v>
      </c>
    </row>
    <row r="257" spans="1:12" ht="15.75" thickBot="1">
      <c r="A257" s="51"/>
      <c r="B257" s="52"/>
      <c r="C257" s="111"/>
      <c r="D257" s="111"/>
      <c r="E257" s="111"/>
      <c r="F257" s="111"/>
      <c r="G257" s="1134"/>
      <c r="H257" s="112"/>
      <c r="I257" s="112"/>
      <c r="J257" s="112"/>
      <c r="K257" s="112"/>
      <c r="L257" s="1135"/>
    </row>
    <row r="258" spans="1:12" ht="15">
      <c r="A258" s="46" t="s">
        <v>115</v>
      </c>
      <c r="B258" s="53" t="s">
        <v>30</v>
      </c>
      <c r="C258" s="113" t="s">
        <v>257</v>
      </c>
      <c r="D258" s="113">
        <v>12219.03137254902</v>
      </c>
      <c r="E258" s="114" t="s">
        <v>257</v>
      </c>
      <c r="F258" s="114">
        <v>12463.412</v>
      </c>
      <c r="G258" s="1136" t="s">
        <v>100</v>
      </c>
      <c r="H258" s="115" t="s">
        <v>257</v>
      </c>
      <c r="I258" s="115" t="s">
        <v>100</v>
      </c>
      <c r="J258" s="115" t="s">
        <v>100</v>
      </c>
      <c r="K258" s="115" t="s">
        <v>100</v>
      </c>
      <c r="L258" s="1137" t="s">
        <v>100</v>
      </c>
    </row>
    <row r="259" spans="1:12" ht="15.75" thickBot="1">
      <c r="A259" s="49" t="s">
        <v>115</v>
      </c>
      <c r="B259" s="50" t="s">
        <v>33</v>
      </c>
      <c r="C259" s="109">
        <v>11325.903921568628</v>
      </c>
      <c r="D259" s="109">
        <v>11708.143137254901</v>
      </c>
      <c r="E259" s="110">
        <v>11552.422</v>
      </c>
      <c r="F259" s="110">
        <v>11942.306</v>
      </c>
      <c r="G259" s="1133">
        <v>-3.2647296091726341</v>
      </c>
      <c r="H259" s="104">
        <v>382.9</v>
      </c>
      <c r="I259" s="104">
        <v>-1.263537906137193</v>
      </c>
      <c r="J259" s="104">
        <v>-54.347826086956516</v>
      </c>
      <c r="K259" s="104">
        <v>1.7142857142857144</v>
      </c>
      <c r="L259" s="1130">
        <v>-2.6049631120053656</v>
      </c>
    </row>
    <row r="260" spans="1:12" ht="15.75" thickBot="1">
      <c r="A260" s="51"/>
      <c r="B260" s="52"/>
      <c r="C260" s="111"/>
      <c r="D260" s="111"/>
      <c r="E260" s="111"/>
      <c r="F260" s="111"/>
      <c r="G260" s="1134"/>
      <c r="H260" s="112"/>
      <c r="I260" s="112"/>
      <c r="J260" s="112"/>
      <c r="K260" s="112"/>
      <c r="L260" s="1135"/>
    </row>
    <row r="261" spans="1:12" ht="14.25">
      <c r="A261" s="44" t="s">
        <v>116</v>
      </c>
      <c r="B261" s="45" t="s">
        <v>25</v>
      </c>
      <c r="C261" s="100" t="s">
        <v>100</v>
      </c>
      <c r="D261" s="100" t="s">
        <v>257</v>
      </c>
      <c r="E261" s="101" t="s">
        <v>100</v>
      </c>
      <c r="F261" s="101" t="s">
        <v>257</v>
      </c>
      <c r="G261" s="1128" t="s">
        <v>100</v>
      </c>
      <c r="H261" s="102" t="s">
        <v>100</v>
      </c>
      <c r="I261" s="102" t="s">
        <v>100</v>
      </c>
      <c r="J261" s="103" t="s">
        <v>100</v>
      </c>
      <c r="K261" s="103" t="s">
        <v>100</v>
      </c>
      <c r="L261" s="1129" t="s">
        <v>100</v>
      </c>
    </row>
    <row r="262" spans="1:12" ht="15">
      <c r="A262" s="39" t="s">
        <v>116</v>
      </c>
      <c r="B262" s="47" t="s">
        <v>26</v>
      </c>
      <c r="C262" s="94" t="s">
        <v>100</v>
      </c>
      <c r="D262" s="94" t="s">
        <v>100</v>
      </c>
      <c r="E262" s="95" t="s">
        <v>100</v>
      </c>
      <c r="F262" s="95" t="s">
        <v>100</v>
      </c>
      <c r="G262" s="1124" t="s">
        <v>100</v>
      </c>
      <c r="H262" s="96" t="s">
        <v>100</v>
      </c>
      <c r="I262" s="96" t="s">
        <v>100</v>
      </c>
      <c r="J262" s="104" t="s">
        <v>100</v>
      </c>
      <c r="K262" s="104" t="s">
        <v>100</v>
      </c>
      <c r="L262" s="1130" t="s">
        <v>100</v>
      </c>
    </row>
    <row r="263" spans="1:12" ht="15">
      <c r="A263" s="39" t="s">
        <v>116</v>
      </c>
      <c r="B263" s="47" t="s">
        <v>27</v>
      </c>
      <c r="C263" s="94" t="s">
        <v>100</v>
      </c>
      <c r="D263" s="94" t="s">
        <v>257</v>
      </c>
      <c r="E263" s="95" t="s">
        <v>100</v>
      </c>
      <c r="F263" s="95" t="s">
        <v>257</v>
      </c>
      <c r="G263" s="1124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30" t="s">
        <v>100</v>
      </c>
    </row>
    <row r="264" spans="1:12" ht="15">
      <c r="A264" s="39" t="s">
        <v>116</v>
      </c>
      <c r="B264" s="47" t="s">
        <v>34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24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30" t="s">
        <v>100</v>
      </c>
    </row>
    <row r="265" spans="1:12" ht="14.25">
      <c r="A265" s="54" t="s">
        <v>116</v>
      </c>
      <c r="B265" s="48" t="s">
        <v>28</v>
      </c>
      <c r="C265" s="105">
        <v>11583.980392156862</v>
      </c>
      <c r="D265" s="105" t="s">
        <v>100</v>
      </c>
      <c r="E265" s="106">
        <v>11815.66</v>
      </c>
      <c r="F265" s="106" t="s">
        <v>100</v>
      </c>
      <c r="G265" s="1131" t="s">
        <v>100</v>
      </c>
      <c r="H265" s="107">
        <v>430</v>
      </c>
      <c r="I265" s="107" t="s">
        <v>100</v>
      </c>
      <c r="J265" s="108" t="s">
        <v>100</v>
      </c>
      <c r="K265" s="108" t="s">
        <v>100</v>
      </c>
      <c r="L265" s="1132" t="s">
        <v>100</v>
      </c>
    </row>
    <row r="266" spans="1:12" ht="15">
      <c r="A266" s="39" t="s">
        <v>116</v>
      </c>
      <c r="B266" s="47" t="s">
        <v>30</v>
      </c>
      <c r="C266" s="94">
        <v>11583.980392156862</v>
      </c>
      <c r="D266" s="94" t="s">
        <v>100</v>
      </c>
      <c r="E266" s="95">
        <v>11815.66</v>
      </c>
      <c r="F266" s="95" t="s">
        <v>100</v>
      </c>
      <c r="G266" s="1124" t="s">
        <v>100</v>
      </c>
      <c r="H266" s="96">
        <v>430</v>
      </c>
      <c r="I266" s="96" t="s">
        <v>100</v>
      </c>
      <c r="J266" s="104" t="s">
        <v>100</v>
      </c>
      <c r="K266" s="104" t="s">
        <v>100</v>
      </c>
      <c r="L266" s="1130" t="s">
        <v>100</v>
      </c>
    </row>
    <row r="267" spans="1:12" ht="15">
      <c r="A267" s="39" t="s">
        <v>116</v>
      </c>
      <c r="B267" s="47" t="s">
        <v>35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24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30" t="s">
        <v>100</v>
      </c>
    </row>
    <row r="268" spans="1:12" ht="14.25">
      <c r="A268" s="54" t="s">
        <v>116</v>
      </c>
      <c r="B268" s="48" t="s">
        <v>31</v>
      </c>
      <c r="C268" s="105" t="s">
        <v>100</v>
      </c>
      <c r="D268" s="105" t="s">
        <v>100</v>
      </c>
      <c r="E268" s="106" t="s">
        <v>100</v>
      </c>
      <c r="F268" s="106" t="s">
        <v>100</v>
      </c>
      <c r="G268" s="1131" t="s">
        <v>100</v>
      </c>
      <c r="H268" s="107" t="s">
        <v>100</v>
      </c>
      <c r="I268" s="107" t="s">
        <v>100</v>
      </c>
      <c r="J268" s="108" t="s">
        <v>100</v>
      </c>
      <c r="K268" s="108" t="s">
        <v>100</v>
      </c>
      <c r="L268" s="1132" t="s">
        <v>100</v>
      </c>
    </row>
    <row r="269" spans="1:12" ht="15">
      <c r="A269" s="39" t="s">
        <v>116</v>
      </c>
      <c r="B269" s="47" t="s">
        <v>33</v>
      </c>
      <c r="C269" s="94" t="s">
        <v>100</v>
      </c>
      <c r="D269" s="94" t="s">
        <v>100</v>
      </c>
      <c r="E269" s="95" t="s">
        <v>100</v>
      </c>
      <c r="F269" s="95" t="s">
        <v>100</v>
      </c>
      <c r="G269" s="1124" t="s">
        <v>100</v>
      </c>
      <c r="H269" s="96" t="s">
        <v>100</v>
      </c>
      <c r="I269" s="96" t="s">
        <v>100</v>
      </c>
      <c r="J269" s="104" t="s">
        <v>100</v>
      </c>
      <c r="K269" s="104" t="s">
        <v>100</v>
      </c>
      <c r="L269" s="1130" t="s">
        <v>100</v>
      </c>
    </row>
    <row r="270" spans="1:12" ht="15.75" thickBot="1">
      <c r="A270" s="55" t="s">
        <v>116</v>
      </c>
      <c r="B270" s="47" t="s">
        <v>36</v>
      </c>
      <c r="C270" s="109" t="s">
        <v>100</v>
      </c>
      <c r="D270" s="109" t="s">
        <v>100</v>
      </c>
      <c r="E270" s="110" t="s">
        <v>100</v>
      </c>
      <c r="F270" s="110" t="s">
        <v>100</v>
      </c>
      <c r="G270" s="1133" t="s">
        <v>100</v>
      </c>
      <c r="H270" s="104" t="s">
        <v>100</v>
      </c>
      <c r="I270" s="104" t="s">
        <v>100</v>
      </c>
      <c r="J270" s="104" t="s">
        <v>100</v>
      </c>
      <c r="K270" s="104" t="s">
        <v>100</v>
      </c>
      <c r="L270" s="1130" t="s">
        <v>100</v>
      </c>
    </row>
    <row r="271" spans="1:12" ht="15.75" thickBot="1">
      <c r="A271" s="51"/>
      <c r="B271" s="52"/>
      <c r="C271" s="111"/>
      <c r="D271" s="111"/>
      <c r="E271" s="111"/>
      <c r="F271" s="111"/>
      <c r="G271" s="1134"/>
      <c r="H271" s="112"/>
      <c r="I271" s="112"/>
      <c r="J271" s="112"/>
      <c r="K271" s="112"/>
      <c r="L271" s="1135"/>
    </row>
    <row r="272" spans="1:12" ht="14.25">
      <c r="A272" s="44" t="s">
        <v>24</v>
      </c>
      <c r="B272" s="45" t="s">
        <v>28</v>
      </c>
      <c r="C272" s="100">
        <v>10519.25098752228</v>
      </c>
      <c r="D272" s="100">
        <v>10543.726921228144</v>
      </c>
      <c r="E272" s="101">
        <v>10729.636007272726</v>
      </c>
      <c r="F272" s="101">
        <v>10754.601459652707</v>
      </c>
      <c r="G272" s="1128">
        <v>-0.23213740159170895</v>
      </c>
      <c r="H272" s="102">
        <v>336.75510204081633</v>
      </c>
      <c r="I272" s="102">
        <v>-7.1248148080977431</v>
      </c>
      <c r="J272" s="103">
        <v>81.481481481481481</v>
      </c>
      <c r="K272" s="103">
        <v>4</v>
      </c>
      <c r="L272" s="1129">
        <v>1.464788732394366</v>
      </c>
    </row>
    <row r="273" spans="1:12" ht="15">
      <c r="A273" s="46" t="s">
        <v>24</v>
      </c>
      <c r="B273" s="47" t="s">
        <v>29</v>
      </c>
      <c r="C273" s="94">
        <v>10133.849019607842</v>
      </c>
      <c r="D273" s="94">
        <v>10383.609803921569</v>
      </c>
      <c r="E273" s="95">
        <v>10336.526</v>
      </c>
      <c r="F273" s="95">
        <v>10591.281999999999</v>
      </c>
      <c r="G273" s="1124">
        <v>-2.4053367665972774</v>
      </c>
      <c r="H273" s="96">
        <v>305</v>
      </c>
      <c r="I273" s="96">
        <v>-13.179618559635642</v>
      </c>
      <c r="J273" s="104">
        <v>50</v>
      </c>
      <c r="K273" s="104">
        <v>0.97959183673469385</v>
      </c>
      <c r="L273" s="1130">
        <v>0.2284181278145061</v>
      </c>
    </row>
    <row r="274" spans="1:12" ht="15">
      <c r="A274" s="46" t="s">
        <v>24</v>
      </c>
      <c r="B274" s="47" t="s">
        <v>30</v>
      </c>
      <c r="C274" s="94" t="s">
        <v>257</v>
      </c>
      <c r="D274" s="94">
        <v>10531.017647058825</v>
      </c>
      <c r="E274" s="95" t="s">
        <v>257</v>
      </c>
      <c r="F274" s="95">
        <v>10741.638000000001</v>
      </c>
      <c r="G274" s="1124" t="s">
        <v>100</v>
      </c>
      <c r="H274" s="96" t="s">
        <v>257</v>
      </c>
      <c r="I274" s="96" t="s">
        <v>100</v>
      </c>
      <c r="J274" s="104" t="s">
        <v>100</v>
      </c>
      <c r="K274" s="104" t="s">
        <v>100</v>
      </c>
      <c r="L274" s="1130" t="s">
        <v>100</v>
      </c>
    </row>
    <row r="275" spans="1:12" ht="15">
      <c r="A275" s="46" t="s">
        <v>24</v>
      </c>
      <c r="B275" s="47" t="s">
        <v>35</v>
      </c>
      <c r="C275" s="94">
        <v>10593.725490196079</v>
      </c>
      <c r="D275" s="94">
        <v>10774.746078431401</v>
      </c>
      <c r="E275" s="95">
        <v>10805.6</v>
      </c>
      <c r="F275" s="95">
        <v>10990.241</v>
      </c>
      <c r="G275" s="1124">
        <v>-1.680045050877407</v>
      </c>
      <c r="H275" s="96">
        <v>364</v>
      </c>
      <c r="I275" s="96">
        <v>-1.1675264729839836</v>
      </c>
      <c r="J275" s="104">
        <v>150</v>
      </c>
      <c r="K275" s="104">
        <v>1.2244897959183674</v>
      </c>
      <c r="L275" s="1130">
        <v>0.6611095142282265</v>
      </c>
    </row>
    <row r="276" spans="1:12" ht="14.25">
      <c r="A276" s="44" t="s">
        <v>24</v>
      </c>
      <c r="B276" s="48" t="s">
        <v>31</v>
      </c>
      <c r="C276" s="105">
        <v>10122.480614921264</v>
      </c>
      <c r="D276" s="105">
        <v>10334.924342854061</v>
      </c>
      <c r="E276" s="106">
        <v>10324.930227219689</v>
      </c>
      <c r="F276" s="106">
        <v>10541.622829711143</v>
      </c>
      <c r="G276" s="1131">
        <v>-2.0555905479819887</v>
      </c>
      <c r="H276" s="107">
        <v>318.48513513513512</v>
      </c>
      <c r="I276" s="107">
        <v>-0.99130166655818741</v>
      </c>
      <c r="J276" s="108">
        <v>30.973451327433626</v>
      </c>
      <c r="K276" s="108">
        <v>24.163265306122451</v>
      </c>
      <c r="L276" s="1132">
        <v>2.9426080291271468</v>
      </c>
    </row>
    <row r="277" spans="1:12" ht="15">
      <c r="A277" s="46" t="s">
        <v>24</v>
      </c>
      <c r="B277" s="47" t="s">
        <v>32</v>
      </c>
      <c r="C277" s="94">
        <v>10043.505882352942</v>
      </c>
      <c r="D277" s="94">
        <v>10073.156862745098</v>
      </c>
      <c r="E277" s="95">
        <v>10244.376</v>
      </c>
      <c r="F277" s="95">
        <v>10274.620000000001</v>
      </c>
      <c r="G277" s="1124">
        <v>-0.29435638495633509</v>
      </c>
      <c r="H277" s="96">
        <v>296.2</v>
      </c>
      <c r="I277" s="96">
        <v>1.7869415807560098</v>
      </c>
      <c r="J277" s="104">
        <v>42.5</v>
      </c>
      <c r="K277" s="104">
        <v>9.3061224489795933</v>
      </c>
      <c r="L277" s="1130">
        <v>1.7943853597777153</v>
      </c>
    </row>
    <row r="278" spans="1:12" ht="15">
      <c r="A278" s="46" t="s">
        <v>24</v>
      </c>
      <c r="B278" s="47" t="s">
        <v>33</v>
      </c>
      <c r="C278" s="94">
        <v>10037.178431372549</v>
      </c>
      <c r="D278" s="94">
        <v>10451.144117647058</v>
      </c>
      <c r="E278" s="95">
        <v>10237.922</v>
      </c>
      <c r="F278" s="95">
        <v>10660.166999999999</v>
      </c>
      <c r="G278" s="1124">
        <v>-3.9609604615012035</v>
      </c>
      <c r="H278" s="96">
        <v>324.8</v>
      </c>
      <c r="I278" s="96">
        <v>-2.3451593505712598</v>
      </c>
      <c r="J278" s="104">
        <v>26.086956521739129</v>
      </c>
      <c r="K278" s="104">
        <v>11.836734693877551</v>
      </c>
      <c r="L278" s="1130">
        <v>1.0386126281498509</v>
      </c>
    </row>
    <row r="279" spans="1:12" ht="15">
      <c r="A279" s="46" t="s">
        <v>24</v>
      </c>
      <c r="B279" s="47" t="s">
        <v>36</v>
      </c>
      <c r="C279" s="94">
        <v>10620.903921568628</v>
      </c>
      <c r="D279" s="94">
        <v>10482.510784313725</v>
      </c>
      <c r="E279" s="95">
        <v>10833.322</v>
      </c>
      <c r="F279" s="95">
        <v>10692.161</v>
      </c>
      <c r="G279" s="1124">
        <v>1.3202289041476281</v>
      </c>
      <c r="H279" s="96">
        <v>362.4</v>
      </c>
      <c r="I279" s="96">
        <v>0.58284762697750925</v>
      </c>
      <c r="J279" s="104">
        <v>19.35483870967742</v>
      </c>
      <c r="K279" s="104">
        <v>3.0204081632653064</v>
      </c>
      <c r="L279" s="1130">
        <v>0.1096100411995784</v>
      </c>
    </row>
    <row r="280" spans="1:12" ht="14.25">
      <c r="A280" s="44" t="s">
        <v>24</v>
      </c>
      <c r="B280" s="48" t="s">
        <v>37</v>
      </c>
      <c r="C280" s="105">
        <v>8596.271722991929</v>
      </c>
      <c r="D280" s="105">
        <v>8522.9986094087835</v>
      </c>
      <c r="E280" s="106">
        <v>8768.1971574517684</v>
      </c>
      <c r="F280" s="106">
        <v>8693.4585815969585</v>
      </c>
      <c r="G280" s="1131">
        <v>0.85971049557908641</v>
      </c>
      <c r="H280" s="107">
        <v>245.14793650793652</v>
      </c>
      <c r="I280" s="107">
        <v>1.8011305931989032</v>
      </c>
      <c r="J280" s="108">
        <v>15.384615384615385</v>
      </c>
      <c r="K280" s="108">
        <v>25.714285714285712</v>
      </c>
      <c r="L280" s="1132">
        <v>8.0482897384303698E-2</v>
      </c>
    </row>
    <row r="281" spans="1:12" ht="15">
      <c r="A281" s="46" t="s">
        <v>24</v>
      </c>
      <c r="B281" s="47" t="s">
        <v>102</v>
      </c>
      <c r="C281" s="116">
        <v>8572.0519607843144</v>
      </c>
      <c r="D281" s="116">
        <v>8282.9088235294112</v>
      </c>
      <c r="E281" s="117">
        <v>8743.4930000000004</v>
      </c>
      <c r="F281" s="117">
        <v>8448.5669999999991</v>
      </c>
      <c r="G281" s="1138">
        <v>3.4908405176878086</v>
      </c>
      <c r="H281" s="118">
        <v>235.5</v>
      </c>
      <c r="I281" s="118">
        <v>2.928321678321673</v>
      </c>
      <c r="J281" s="119">
        <v>16.019417475728158</v>
      </c>
      <c r="K281" s="119">
        <v>19.510204081632654</v>
      </c>
      <c r="L281" s="1139">
        <v>0.16748107693781833</v>
      </c>
    </row>
    <row r="282" spans="1:12" ht="15">
      <c r="A282" s="46" t="s">
        <v>24</v>
      </c>
      <c r="B282" s="47" t="s">
        <v>38</v>
      </c>
      <c r="C282" s="94">
        <v>8539.126470588235</v>
      </c>
      <c r="D282" s="94">
        <v>9060.3882352941164</v>
      </c>
      <c r="E282" s="95">
        <v>8709.9089999999997</v>
      </c>
      <c r="F282" s="95">
        <v>9241.5959999999995</v>
      </c>
      <c r="G282" s="1124">
        <v>-5.7531945780793698</v>
      </c>
      <c r="H282" s="96">
        <v>271.89999999999998</v>
      </c>
      <c r="I282" s="96">
        <v>-1.0553129548762858</v>
      </c>
      <c r="J282" s="104">
        <v>19.642857142857142</v>
      </c>
      <c r="K282" s="104">
        <v>5.4693877551020407</v>
      </c>
      <c r="L282" s="1130">
        <v>0.21117179266072661</v>
      </c>
    </row>
    <row r="283" spans="1:12" ht="15.75" thickBot="1">
      <c r="A283" s="46" t="s">
        <v>24</v>
      </c>
      <c r="B283" s="47" t="s">
        <v>39</v>
      </c>
      <c r="C283" s="94">
        <v>9480.2852941176461</v>
      </c>
      <c r="D283" s="94" t="s">
        <v>257</v>
      </c>
      <c r="E283" s="95">
        <v>9669.8909999999996</v>
      </c>
      <c r="F283" s="95" t="s">
        <v>257</v>
      </c>
      <c r="G283" s="1124" t="s">
        <v>100</v>
      </c>
      <c r="H283" s="96">
        <v>302.2</v>
      </c>
      <c r="I283" s="96" t="s">
        <v>100</v>
      </c>
      <c r="J283" s="104" t="s">
        <v>100</v>
      </c>
      <c r="K283" s="104" t="s">
        <v>100</v>
      </c>
      <c r="L283" s="1130" t="s">
        <v>100</v>
      </c>
    </row>
    <row r="284" spans="1:12" ht="15.75" thickBot="1">
      <c r="A284" s="51"/>
      <c r="B284" s="52"/>
      <c r="C284" s="111"/>
      <c r="D284" s="111"/>
      <c r="E284" s="111"/>
      <c r="F284" s="111"/>
      <c r="G284" s="1134"/>
      <c r="H284" s="112"/>
      <c r="I284" s="112"/>
      <c r="J284" s="112"/>
      <c r="K284" s="112"/>
      <c r="L284" s="1135"/>
    </row>
    <row r="285" spans="1:12" ht="14.25">
      <c r="A285" s="44" t="s">
        <v>117</v>
      </c>
      <c r="B285" s="48" t="s">
        <v>25</v>
      </c>
      <c r="C285" s="105">
        <v>12266.507941765296</v>
      </c>
      <c r="D285" s="105">
        <v>12510.548213239603</v>
      </c>
      <c r="E285" s="106">
        <v>12511.838100600602</v>
      </c>
      <c r="F285" s="106">
        <v>12760.759177504395</v>
      </c>
      <c r="G285" s="1131">
        <v>-1.9506760800141822</v>
      </c>
      <c r="H285" s="107">
        <v>341.54358974358973</v>
      </c>
      <c r="I285" s="107">
        <v>2.0411069338153087</v>
      </c>
      <c r="J285" s="108">
        <v>129.41176470588235</v>
      </c>
      <c r="K285" s="108">
        <v>3.1836734693877551</v>
      </c>
      <c r="L285" s="1132">
        <v>1.5874293379323559</v>
      </c>
    </row>
    <row r="286" spans="1:12" ht="15">
      <c r="A286" s="46" t="s">
        <v>117</v>
      </c>
      <c r="B286" s="47" t="s">
        <v>26</v>
      </c>
      <c r="C286" s="94" t="s">
        <v>257</v>
      </c>
      <c r="D286" s="94" t="s">
        <v>257</v>
      </c>
      <c r="E286" s="95" t="s">
        <v>257</v>
      </c>
      <c r="F286" s="95" t="s">
        <v>257</v>
      </c>
      <c r="G286" s="1124" t="s">
        <v>100</v>
      </c>
      <c r="H286" s="96" t="s">
        <v>257</v>
      </c>
      <c r="I286" s="96" t="s">
        <v>100</v>
      </c>
      <c r="J286" s="104" t="s">
        <v>100</v>
      </c>
      <c r="K286" s="104" t="s">
        <v>100</v>
      </c>
      <c r="L286" s="1130" t="s">
        <v>100</v>
      </c>
    </row>
    <row r="287" spans="1:12" ht="15">
      <c r="A287" s="46" t="s">
        <v>117</v>
      </c>
      <c r="B287" s="47" t="s">
        <v>27</v>
      </c>
      <c r="C287" s="94">
        <v>12272.03137254902</v>
      </c>
      <c r="D287" s="94">
        <v>12875.603921568627</v>
      </c>
      <c r="E287" s="95">
        <v>12517.472</v>
      </c>
      <c r="F287" s="95">
        <v>13133.116</v>
      </c>
      <c r="G287" s="1124">
        <v>-4.6877222435254531</v>
      </c>
      <c r="H287" s="96">
        <v>342.3</v>
      </c>
      <c r="I287" s="96">
        <v>4.0109389243391034</v>
      </c>
      <c r="J287" s="104">
        <v>136.36363636363635</v>
      </c>
      <c r="K287" s="104">
        <v>2.1224489795918369</v>
      </c>
      <c r="L287" s="1130">
        <v>1.0895851298265786</v>
      </c>
    </row>
    <row r="288" spans="1:12" ht="15">
      <c r="A288" s="46" t="s">
        <v>117</v>
      </c>
      <c r="B288" s="47" t="s">
        <v>34</v>
      </c>
      <c r="C288" s="94">
        <v>12599.313725490196</v>
      </c>
      <c r="D288" s="94">
        <v>12220.725490196077</v>
      </c>
      <c r="E288" s="95">
        <v>12851.3</v>
      </c>
      <c r="F288" s="95">
        <v>12465.14</v>
      </c>
      <c r="G288" s="1124">
        <v>3.0979194778397985</v>
      </c>
      <c r="H288" s="96">
        <v>373.8</v>
      </c>
      <c r="I288" s="96">
        <v>-5.3670886075949342</v>
      </c>
      <c r="J288" s="104">
        <v>300</v>
      </c>
      <c r="K288" s="104">
        <v>0.65306122448979598</v>
      </c>
      <c r="L288" s="1130">
        <v>0.46526779725974904</v>
      </c>
    </row>
    <row r="289" spans="1:12" ht="14.25">
      <c r="A289" s="44" t="s">
        <v>117</v>
      </c>
      <c r="B289" s="48" t="s">
        <v>28</v>
      </c>
      <c r="C289" s="105">
        <v>11968.856913869842</v>
      </c>
      <c r="D289" s="105">
        <v>12353.771945238892</v>
      </c>
      <c r="E289" s="106">
        <v>12208.23405214724</v>
      </c>
      <c r="F289" s="106">
        <v>12600.84738414367</v>
      </c>
      <c r="G289" s="1131">
        <v>-3.1157692814411577</v>
      </c>
      <c r="H289" s="107">
        <v>306.80470588235289</v>
      </c>
      <c r="I289" s="107">
        <v>2.1289278530549254</v>
      </c>
      <c r="J289" s="108">
        <v>11.842105263157894</v>
      </c>
      <c r="K289" s="108">
        <v>6.9387755102040813</v>
      </c>
      <c r="L289" s="1132">
        <v>-0.19737472453770266</v>
      </c>
    </row>
    <row r="290" spans="1:12" ht="15">
      <c r="A290" s="46" t="s">
        <v>117</v>
      </c>
      <c r="B290" s="47" t="s">
        <v>29</v>
      </c>
      <c r="C290" s="94">
        <v>11810.127450980392</v>
      </c>
      <c r="D290" s="94">
        <v>12104.907843137255</v>
      </c>
      <c r="E290" s="95">
        <v>12046.33</v>
      </c>
      <c r="F290" s="95">
        <v>12347.005999999999</v>
      </c>
      <c r="G290" s="1124">
        <v>-2.4352138486042652</v>
      </c>
      <c r="H290" s="96">
        <v>268.39999999999998</v>
      </c>
      <c r="I290" s="96">
        <v>-4.1428571428571512</v>
      </c>
      <c r="J290" s="104">
        <v>72.727272727272734</v>
      </c>
      <c r="K290" s="104">
        <v>1.5510204081632653</v>
      </c>
      <c r="L290" s="1130">
        <v>0.51815655839800701</v>
      </c>
    </row>
    <row r="291" spans="1:12" ht="15">
      <c r="A291" s="46" t="s">
        <v>117</v>
      </c>
      <c r="B291" s="47" t="s">
        <v>30</v>
      </c>
      <c r="C291" s="94">
        <v>11950.690196078431</v>
      </c>
      <c r="D291" s="94">
        <v>12374.776470588236</v>
      </c>
      <c r="E291" s="95">
        <v>12189.704</v>
      </c>
      <c r="F291" s="95">
        <v>12622.272000000001</v>
      </c>
      <c r="G291" s="1124">
        <v>-3.4270216962524738</v>
      </c>
      <c r="H291" s="96">
        <v>311.89999999999998</v>
      </c>
      <c r="I291" s="96">
        <v>3.3465871438038324</v>
      </c>
      <c r="J291" s="104">
        <v>-7.1428571428571423</v>
      </c>
      <c r="K291" s="104">
        <v>4.2448979591836737</v>
      </c>
      <c r="L291" s="1130">
        <v>-1.0133180032576403</v>
      </c>
    </row>
    <row r="292" spans="1:12" ht="15">
      <c r="A292" s="46" t="s">
        <v>117</v>
      </c>
      <c r="B292" s="47" t="s">
        <v>35</v>
      </c>
      <c r="C292" s="94">
        <v>12200.828431372549</v>
      </c>
      <c r="D292" s="94" t="s">
        <v>257</v>
      </c>
      <c r="E292" s="95">
        <v>12444.844999999999</v>
      </c>
      <c r="F292" s="95" t="s">
        <v>257</v>
      </c>
      <c r="G292" s="1124" t="s">
        <v>100</v>
      </c>
      <c r="H292" s="96">
        <v>340</v>
      </c>
      <c r="I292" s="96" t="s">
        <v>100</v>
      </c>
      <c r="J292" s="104" t="s">
        <v>100</v>
      </c>
      <c r="K292" s="104" t="s">
        <v>100</v>
      </c>
      <c r="L292" s="1130" t="s">
        <v>100</v>
      </c>
    </row>
    <row r="293" spans="1:12" ht="14.25">
      <c r="A293" s="44" t="s">
        <v>117</v>
      </c>
      <c r="B293" s="48" t="s">
        <v>31</v>
      </c>
      <c r="C293" s="105">
        <v>11729.139629849849</v>
      </c>
      <c r="D293" s="105">
        <v>11751.183129596928</v>
      </c>
      <c r="E293" s="106">
        <v>11963.722422446846</v>
      </c>
      <c r="F293" s="106">
        <v>12029.16533544686</v>
      </c>
      <c r="G293" s="1131">
        <v>-0.544035360518074</v>
      </c>
      <c r="H293" s="107">
        <v>284.06138613861384</v>
      </c>
      <c r="I293" s="107">
        <v>0.35413531116954894</v>
      </c>
      <c r="J293" s="108">
        <v>-13.675213675213676</v>
      </c>
      <c r="K293" s="108">
        <v>8.2448979591836746</v>
      </c>
      <c r="L293" s="1132">
        <v>-2.7410175337740732</v>
      </c>
    </row>
    <row r="294" spans="1:12" ht="15">
      <c r="A294" s="46" t="s">
        <v>117</v>
      </c>
      <c r="B294" s="47" t="s">
        <v>32</v>
      </c>
      <c r="C294" s="94">
        <v>12115.682352941176</v>
      </c>
      <c r="D294" s="94">
        <v>11747.043137254903</v>
      </c>
      <c r="E294" s="95">
        <v>12357.995999999999</v>
      </c>
      <c r="F294" s="95">
        <v>11981.984</v>
      </c>
      <c r="G294" s="1124">
        <v>3.1381447346282454</v>
      </c>
      <c r="H294" s="96">
        <v>243.2</v>
      </c>
      <c r="I294" s="96">
        <v>0.49586776859503656</v>
      </c>
      <c r="J294" s="104">
        <v>-26.666666666666668</v>
      </c>
      <c r="K294" s="104">
        <v>1.7959183673469388</v>
      </c>
      <c r="L294" s="1130">
        <v>-1.0209830411037657</v>
      </c>
    </row>
    <row r="295" spans="1:12" ht="15">
      <c r="A295" s="46" t="s">
        <v>117</v>
      </c>
      <c r="B295" s="47" t="s">
        <v>33</v>
      </c>
      <c r="C295" s="94">
        <v>11642.501960784315</v>
      </c>
      <c r="D295" s="94">
        <v>11806.135294117646</v>
      </c>
      <c r="E295" s="95">
        <v>11875.352000000001</v>
      </c>
      <c r="F295" s="95">
        <v>12042.258</v>
      </c>
      <c r="G295" s="1124">
        <v>-1.3860025254399884</v>
      </c>
      <c r="H295" s="96">
        <v>288.60000000000002</v>
      </c>
      <c r="I295" s="96">
        <v>-1.3333333333333257</v>
      </c>
      <c r="J295" s="96">
        <v>-19.047619047619047</v>
      </c>
      <c r="K295" s="96">
        <v>4.1632653061224492</v>
      </c>
      <c r="L295" s="1125">
        <v>-1.7522276516240298</v>
      </c>
    </row>
    <row r="296" spans="1:12" ht="15.75" thickBot="1">
      <c r="A296" s="56" t="s">
        <v>117</v>
      </c>
      <c r="B296" s="57" t="s">
        <v>36</v>
      </c>
      <c r="C296" s="97" t="s">
        <v>257</v>
      </c>
      <c r="D296" s="97">
        <v>11637.179411764706</v>
      </c>
      <c r="E296" s="98" t="s">
        <v>257</v>
      </c>
      <c r="F296" s="98">
        <v>12042.790999999999</v>
      </c>
      <c r="G296" s="1126" t="s">
        <v>100</v>
      </c>
      <c r="H296" s="99" t="s">
        <v>257</v>
      </c>
      <c r="I296" s="99" t="s">
        <v>100</v>
      </c>
      <c r="J296" s="99" t="s">
        <v>100</v>
      </c>
      <c r="K296" s="99" t="s">
        <v>100</v>
      </c>
      <c r="L296" s="1127" t="s">
        <v>100</v>
      </c>
    </row>
    <row r="297" spans="1:12">
      <c r="G297" s="698"/>
      <c r="H297" s="80"/>
      <c r="I297" s="80"/>
      <c r="J297" s="80"/>
      <c r="K297" s="80"/>
      <c r="L297" s="80"/>
    </row>
    <row r="298" spans="1:12">
      <c r="G298" s="698"/>
      <c r="H298" s="80"/>
      <c r="I298" s="80"/>
      <c r="J298" s="80"/>
      <c r="K298" s="80"/>
      <c r="L298" s="80"/>
    </row>
    <row r="299" spans="1:12">
      <c r="G299" s="698"/>
      <c r="H299" s="80"/>
      <c r="I299" s="80"/>
      <c r="J299" s="80"/>
      <c r="K299" s="80"/>
      <c r="L299" s="80"/>
    </row>
    <row r="300" spans="1:12">
      <c r="G300" s="698"/>
      <c r="H300" s="80"/>
      <c r="I300" s="80"/>
      <c r="J300" s="80"/>
      <c r="K300" s="80"/>
      <c r="L300" s="80"/>
    </row>
    <row r="301" spans="1:12">
      <c r="G301" s="698"/>
      <c r="H301" s="80"/>
      <c r="I301" s="80"/>
      <c r="J301" s="80"/>
      <c r="K301" s="80"/>
      <c r="L301" s="80"/>
    </row>
    <row r="302" spans="1:12">
      <c r="G302" s="698"/>
      <c r="H302" s="80"/>
      <c r="I302" s="80"/>
      <c r="J302" s="80"/>
      <c r="K302" s="80"/>
      <c r="L302" s="80"/>
    </row>
    <row r="303" spans="1:12">
      <c r="G303" s="698"/>
      <c r="H303" s="80"/>
      <c r="I303" s="80"/>
      <c r="J303" s="80"/>
      <c r="K303" s="80"/>
      <c r="L303" s="80"/>
    </row>
    <row r="304" spans="1:12">
      <c r="G304" s="698"/>
      <c r="H304" s="80"/>
      <c r="I304" s="80"/>
      <c r="J304" s="80"/>
      <c r="K304" s="80"/>
      <c r="L304" s="80"/>
    </row>
    <row r="305" spans="7:12">
      <c r="G305" s="698"/>
      <c r="H305" s="80"/>
      <c r="I305" s="80"/>
      <c r="J305" s="80"/>
      <c r="K305" s="80"/>
      <c r="L305" s="80"/>
    </row>
    <row r="306" spans="7:12">
      <c r="G306" s="698"/>
      <c r="H306" s="80"/>
      <c r="I306" s="80"/>
      <c r="J306" s="80"/>
      <c r="K306" s="80"/>
      <c r="L306" s="80"/>
    </row>
    <row r="307" spans="7:12">
      <c r="G307" s="698"/>
      <c r="H307" s="80"/>
      <c r="I307" s="80"/>
      <c r="J307" s="80"/>
      <c r="K307" s="80"/>
      <c r="L307" s="80"/>
    </row>
    <row r="308" spans="7:12">
      <c r="G308" s="698"/>
      <c r="H308" s="80"/>
      <c r="I308" s="80"/>
      <c r="J308" s="80"/>
      <c r="K308" s="80"/>
      <c r="L308" s="80"/>
    </row>
    <row r="309" spans="7:12">
      <c r="G309" s="698"/>
      <c r="H309" s="80"/>
      <c r="I309" s="80"/>
      <c r="J309" s="80"/>
      <c r="K309" s="80"/>
      <c r="L309" s="80"/>
    </row>
    <row r="310" spans="7:12">
      <c r="G310" s="698"/>
      <c r="H310" s="80"/>
      <c r="I310" s="80"/>
      <c r="J310" s="80"/>
      <c r="K310" s="80"/>
      <c r="L310" s="80"/>
    </row>
    <row r="311" spans="7:12">
      <c r="G311" s="698"/>
      <c r="H311" s="80"/>
      <c r="I311" s="80"/>
      <c r="J311" s="80"/>
      <c r="K311" s="80"/>
      <c r="L311" s="80"/>
    </row>
    <row r="312" spans="7:12">
      <c r="G312" s="698"/>
      <c r="H312" s="80"/>
      <c r="I312" s="80"/>
      <c r="J312" s="80"/>
      <c r="K312" s="80"/>
      <c r="L312" s="80"/>
    </row>
    <row r="313" spans="7:12">
      <c r="G313" s="698"/>
      <c r="H313" s="80"/>
      <c r="I313" s="80"/>
      <c r="J313" s="80"/>
      <c r="K313" s="80"/>
      <c r="L313" s="80"/>
    </row>
    <row r="314" spans="7:12">
      <c r="G314" s="698"/>
      <c r="H314" s="80"/>
      <c r="I314" s="80"/>
      <c r="J314" s="80"/>
      <c r="K314" s="80"/>
      <c r="L314" s="80"/>
    </row>
    <row r="315" spans="7:12">
      <c r="G315" s="698"/>
      <c r="H315" s="80"/>
      <c r="I315" s="80"/>
      <c r="J315" s="80"/>
      <c r="K315" s="80"/>
      <c r="L315" s="80"/>
    </row>
    <row r="316" spans="7:12">
      <c r="G316" s="698"/>
      <c r="H316" s="80"/>
      <c r="I316" s="80"/>
      <c r="J316" s="80"/>
      <c r="K316" s="80"/>
      <c r="L316" s="80"/>
    </row>
    <row r="317" spans="7:12">
      <c r="G317" s="698"/>
      <c r="H317" s="80"/>
      <c r="I317" s="80"/>
      <c r="J317" s="80"/>
      <c r="K317" s="80"/>
      <c r="L317" s="80"/>
    </row>
    <row r="318" spans="7:12">
      <c r="G318" s="698"/>
      <c r="H318" s="80"/>
      <c r="I318" s="80"/>
      <c r="J318" s="80"/>
      <c r="K318" s="80"/>
      <c r="L318" s="80"/>
    </row>
    <row r="319" spans="7:12">
      <c r="G319" s="80"/>
      <c r="H319" s="80"/>
      <c r="I319" s="80"/>
      <c r="J319" s="80"/>
      <c r="K319" s="80"/>
      <c r="L319" s="80"/>
    </row>
    <row r="320" spans="7:12">
      <c r="G320" s="80"/>
      <c r="H320" s="80"/>
      <c r="I320" s="80"/>
      <c r="J320" s="80"/>
      <c r="K320" s="80"/>
      <c r="L320" s="80"/>
    </row>
    <row r="321" spans="7:12">
      <c r="G321" s="80"/>
      <c r="H321" s="80"/>
      <c r="I321" s="80"/>
      <c r="J321" s="80"/>
      <c r="K321" s="80"/>
      <c r="L321" s="80"/>
    </row>
    <row r="322" spans="7:12">
      <c r="G322" s="80"/>
      <c r="H322" s="80"/>
      <c r="I322" s="80"/>
      <c r="J322" s="80"/>
      <c r="K322" s="80"/>
      <c r="L322" s="80"/>
    </row>
    <row r="323" spans="7:12">
      <c r="G323" s="80"/>
      <c r="H323" s="80"/>
      <c r="I323" s="80"/>
      <c r="J323" s="80"/>
      <c r="K323" s="80"/>
      <c r="L323" s="80"/>
    </row>
    <row r="324" spans="7:12">
      <c r="G324" s="80"/>
      <c r="H324" s="80"/>
      <c r="I324" s="80"/>
      <c r="J324" s="80"/>
      <c r="K324" s="80"/>
      <c r="L324" s="80"/>
    </row>
    <row r="325" spans="7:12">
      <c r="G325" s="80"/>
      <c r="H325" s="80"/>
      <c r="I325" s="80"/>
      <c r="J325" s="80"/>
      <c r="K325" s="80"/>
      <c r="L325" s="80"/>
    </row>
    <row r="326" spans="7:12">
      <c r="G326" s="80"/>
      <c r="H326" s="80"/>
      <c r="I326" s="80"/>
      <c r="J326" s="80"/>
      <c r="K326" s="80"/>
      <c r="L326" s="80"/>
    </row>
    <row r="327" spans="7:12">
      <c r="G327" s="80"/>
      <c r="H327" s="80"/>
      <c r="I327" s="80"/>
      <c r="J327" s="80"/>
      <c r="K327" s="80"/>
      <c r="L327" s="80"/>
    </row>
    <row r="328" spans="7:12">
      <c r="G328" s="80"/>
      <c r="H328" s="80"/>
      <c r="I328" s="80"/>
      <c r="J328" s="80"/>
      <c r="K328" s="80"/>
      <c r="L328" s="80"/>
    </row>
    <row r="329" spans="7:12">
      <c r="G329" s="80"/>
      <c r="H329" s="80"/>
      <c r="I329" s="80"/>
      <c r="J329" s="80"/>
      <c r="K329" s="80"/>
      <c r="L329" s="80"/>
    </row>
    <row r="330" spans="7:12">
      <c r="G330" s="80"/>
      <c r="H330" s="80"/>
      <c r="I330" s="80"/>
      <c r="J330" s="80"/>
      <c r="K330" s="80"/>
      <c r="L330" s="80"/>
    </row>
    <row r="331" spans="7:12">
      <c r="G331" s="80"/>
      <c r="H331" s="80"/>
      <c r="I331" s="80"/>
      <c r="J331" s="80"/>
      <c r="K331" s="80"/>
      <c r="L331" s="80"/>
    </row>
    <row r="332" spans="7:12">
      <c r="G332" s="80"/>
      <c r="H332" s="80"/>
      <c r="I332" s="80"/>
      <c r="J332" s="80"/>
      <c r="K332" s="80"/>
      <c r="L332" s="80"/>
    </row>
    <row r="333" spans="7:12">
      <c r="G333" s="80"/>
      <c r="H333" s="80"/>
      <c r="I333" s="80"/>
      <c r="J333" s="80"/>
      <c r="K333" s="80"/>
      <c r="L333" s="80"/>
    </row>
    <row r="334" spans="7:12">
      <c r="G334" s="80"/>
      <c r="H334" s="80"/>
      <c r="I334" s="80"/>
      <c r="J334" s="80"/>
      <c r="K334" s="80"/>
      <c r="L334" s="80"/>
    </row>
    <row r="335" spans="7:12">
      <c r="G335" s="80"/>
      <c r="H335" s="80"/>
      <c r="I335" s="80"/>
      <c r="J335" s="80"/>
      <c r="K335" s="80"/>
      <c r="L335" s="80"/>
    </row>
    <row r="336" spans="7:12">
      <c r="G336" s="80"/>
      <c r="H336" s="80"/>
      <c r="I336" s="80"/>
      <c r="J336" s="80"/>
      <c r="K336" s="80"/>
      <c r="L336" s="80"/>
    </row>
    <row r="337" spans="7:12">
      <c r="G337" s="80"/>
      <c r="H337" s="80"/>
      <c r="I337" s="80"/>
      <c r="J337" s="80"/>
      <c r="K337" s="80"/>
      <c r="L337" s="80"/>
    </row>
    <row r="338" spans="7:12">
      <c r="G338" s="80"/>
      <c r="H338" s="80"/>
      <c r="I338" s="80"/>
      <c r="J338" s="80"/>
      <c r="K338" s="80"/>
      <c r="L338" s="80"/>
    </row>
    <row r="339" spans="7:12">
      <c r="G339" s="80"/>
      <c r="H339" s="80"/>
      <c r="I339" s="80"/>
      <c r="J339" s="80"/>
      <c r="K339" s="80"/>
      <c r="L339" s="80"/>
    </row>
    <row r="340" spans="7:12">
      <c r="G340" s="80"/>
      <c r="H340" s="80"/>
      <c r="I340" s="80"/>
      <c r="J340" s="80"/>
      <c r="K340" s="80"/>
      <c r="L340" s="80"/>
    </row>
    <row r="341" spans="7:12">
      <c r="G341" s="80"/>
      <c r="H341" s="80"/>
      <c r="I341" s="80"/>
      <c r="J341" s="80"/>
      <c r="K341" s="80"/>
      <c r="L341" s="80"/>
    </row>
    <row r="342" spans="7:12">
      <c r="G342" s="80"/>
      <c r="H342" s="80"/>
      <c r="I342" s="80"/>
      <c r="J342" s="80"/>
      <c r="K342" s="80"/>
      <c r="L342" s="80"/>
    </row>
    <row r="343" spans="7:12">
      <c r="G343" s="80"/>
      <c r="H343" s="80"/>
      <c r="I343" s="80"/>
      <c r="J343" s="80"/>
      <c r="K343" s="80"/>
      <c r="L343" s="80"/>
    </row>
    <row r="344" spans="7:12">
      <c r="G344" s="80"/>
      <c r="H344" s="80"/>
      <c r="I344" s="80"/>
      <c r="J344" s="80"/>
      <c r="K344" s="80"/>
      <c r="L344" s="80"/>
    </row>
    <row r="345" spans="7:12">
      <c r="G345" s="80"/>
      <c r="H345" s="80"/>
      <c r="I345" s="80"/>
      <c r="J345" s="80"/>
      <c r="K345" s="80"/>
      <c r="L345" s="80"/>
    </row>
    <row r="346" spans="7:12">
      <c r="G346" s="80"/>
      <c r="H346" s="80"/>
      <c r="I346" s="80"/>
      <c r="J346" s="80"/>
      <c r="K346" s="80"/>
      <c r="L346" s="80"/>
    </row>
    <row r="347" spans="7:12">
      <c r="G347" s="80"/>
      <c r="H347" s="80"/>
      <c r="I347" s="80"/>
      <c r="J347" s="80"/>
      <c r="K347" s="80"/>
      <c r="L347" s="80"/>
    </row>
    <row r="348" spans="7:12">
      <c r="G348" s="80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</sheetData>
  <mergeCells count="8">
    <mergeCell ref="H153:I153"/>
    <mergeCell ref="H227:I227"/>
    <mergeCell ref="H4:I4"/>
    <mergeCell ref="H5:I5"/>
    <mergeCell ref="H78:I78"/>
    <mergeCell ref="H79:I79"/>
    <mergeCell ref="H152:I152"/>
    <mergeCell ref="H226:I226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2" sqref="A2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82" t="s">
        <v>128</v>
      </c>
      <c r="B1" s="1182"/>
      <c r="C1" s="1182"/>
      <c r="D1" s="1182"/>
      <c r="E1" s="1182"/>
      <c r="F1" s="1182"/>
      <c r="G1" s="1182"/>
      <c r="H1" s="1182"/>
    </row>
    <row r="2" spans="1:18" ht="40.5" customHeight="1">
      <c r="A2" s="909" t="s">
        <v>129</v>
      </c>
      <c r="B2" s="3" t="s">
        <v>9</v>
      </c>
      <c r="C2" s="3"/>
      <c r="D2" s="910" t="s">
        <v>130</v>
      </c>
      <c r="E2" s="1183" t="s">
        <v>131</v>
      </c>
      <c r="F2" s="1184"/>
      <c r="G2" s="1185"/>
      <c r="H2" s="911" t="s">
        <v>132</v>
      </c>
    </row>
    <row r="3" spans="1:18" ht="27.75" thickBot="1">
      <c r="A3" s="637"/>
      <c r="B3" s="1145" t="s">
        <v>369</v>
      </c>
      <c r="C3" s="1145" t="s">
        <v>365</v>
      </c>
      <c r="D3" s="925" t="s">
        <v>70</v>
      </c>
      <c r="E3" s="993" t="s">
        <v>369</v>
      </c>
      <c r="F3" s="656" t="s">
        <v>365</v>
      </c>
      <c r="G3" s="926" t="s">
        <v>133</v>
      </c>
      <c r="H3" s="927" t="s">
        <v>134</v>
      </c>
    </row>
    <row r="4" spans="1:18" ht="15.75">
      <c r="A4" s="691" t="s">
        <v>8</v>
      </c>
      <c r="B4" s="912"/>
      <c r="C4" s="912"/>
      <c r="D4" s="913"/>
      <c r="E4" s="914"/>
      <c r="F4" s="914"/>
      <c r="G4" s="915"/>
      <c r="H4" s="916"/>
    </row>
    <row r="5" spans="1:18" ht="15">
      <c r="A5" s="458" t="s">
        <v>312</v>
      </c>
      <c r="B5" s="145">
        <v>12305.207239376259</v>
      </c>
      <c r="C5" s="145">
        <v>12560.455079390595</v>
      </c>
      <c r="D5" s="887">
        <v>-2.032154395688659</v>
      </c>
      <c r="E5" s="928">
        <v>100</v>
      </c>
      <c r="F5" s="929">
        <v>100</v>
      </c>
      <c r="G5" s="677" t="s">
        <v>100</v>
      </c>
      <c r="H5" s="680">
        <v>11.853421504512058</v>
      </c>
    </row>
    <row r="6" spans="1:18">
      <c r="A6" s="665" t="s">
        <v>135</v>
      </c>
      <c r="B6" s="94">
        <v>9894.0609999999997</v>
      </c>
      <c r="C6" s="94">
        <v>9941.8539999999994</v>
      </c>
      <c r="D6" s="888">
        <v>-0.48072522489265751</v>
      </c>
      <c r="E6" s="930">
        <v>13.266525996720604</v>
      </c>
      <c r="F6" s="931">
        <v>14.091556757151727</v>
      </c>
      <c r="G6" s="675">
        <v>-5.8547879034898251</v>
      </c>
      <c r="H6" s="676">
        <v>5.3046409126264029</v>
      </c>
    </row>
    <row r="7" spans="1:18">
      <c r="A7" s="665" t="s">
        <v>136</v>
      </c>
      <c r="B7" s="94">
        <v>15032.513999999999</v>
      </c>
      <c r="C7" s="94">
        <v>15251.686</v>
      </c>
      <c r="D7" s="888">
        <v>-1.4370345678504033</v>
      </c>
      <c r="E7" s="930">
        <v>12.302958641729326</v>
      </c>
      <c r="F7" s="931">
        <v>11.836615395856928</v>
      </c>
      <c r="G7" s="675">
        <v>3.9398360956767116</v>
      </c>
      <c r="H7" s="676">
        <v>16.260262979196245</v>
      </c>
    </row>
    <row r="8" spans="1:18" ht="13.5" thickBot="1">
      <c r="A8" s="666" t="s">
        <v>137</v>
      </c>
      <c r="B8" s="97">
        <v>12284.162</v>
      </c>
      <c r="C8" s="97">
        <v>12628.566000000001</v>
      </c>
      <c r="D8" s="889">
        <v>-2.7271821677932429</v>
      </c>
      <c r="E8" s="932">
        <v>74.430515361550064</v>
      </c>
      <c r="F8" s="933">
        <v>74.07182784699134</v>
      </c>
      <c r="G8" s="678">
        <v>0.48424282886559483</v>
      </c>
      <c r="H8" s="681">
        <v>12.395063676988475</v>
      </c>
    </row>
    <row r="9" spans="1:18" ht="15">
      <c r="A9" s="638" t="s">
        <v>313</v>
      </c>
      <c r="B9" s="146">
        <v>11162.475066840681</v>
      </c>
      <c r="C9" s="146">
        <v>10936.140305612338</v>
      </c>
      <c r="D9" s="890">
        <v>2.0696036709787831</v>
      </c>
      <c r="E9" s="934">
        <v>100</v>
      </c>
      <c r="F9" s="935">
        <v>100</v>
      </c>
      <c r="G9" s="679" t="s">
        <v>100</v>
      </c>
      <c r="H9" s="682">
        <v>25.303216135186695</v>
      </c>
    </row>
    <row r="10" spans="1:18">
      <c r="A10" s="665" t="s">
        <v>135</v>
      </c>
      <c r="B10" s="94">
        <v>9011.0920000000006</v>
      </c>
      <c r="C10" s="94">
        <v>9221.81</v>
      </c>
      <c r="D10" s="888">
        <v>-2.2849961124768234</v>
      </c>
      <c r="E10" s="930">
        <v>2.7225681321768764</v>
      </c>
      <c r="F10" s="931">
        <v>3.4750613246116115</v>
      </c>
      <c r="G10" s="675">
        <v>-21.654098219945432</v>
      </c>
      <c r="H10" s="676">
        <v>-1.8300653594771314</v>
      </c>
    </row>
    <row r="11" spans="1:18">
      <c r="A11" s="665" t="s">
        <v>136</v>
      </c>
      <c r="B11" s="94">
        <v>15233.975</v>
      </c>
      <c r="C11" s="94">
        <v>14796.592000000001</v>
      </c>
      <c r="D11" s="888">
        <v>2.9559712128306286</v>
      </c>
      <c r="E11" s="930">
        <v>6.6541595294416211</v>
      </c>
      <c r="F11" s="931">
        <v>2.6767057327155448</v>
      </c>
      <c r="G11" s="675">
        <v>148.59510883517666</v>
      </c>
      <c r="H11" s="676">
        <v>211.49766652524397</v>
      </c>
    </row>
    <row r="12" spans="1:18" ht="13.5" thickBot="1">
      <c r="A12" s="667" t="s">
        <v>137</v>
      </c>
      <c r="B12" s="94">
        <v>10928.152</v>
      </c>
      <c r="C12" s="94">
        <v>10889.513000000001</v>
      </c>
      <c r="D12" s="888">
        <v>0.35482762176783489</v>
      </c>
      <c r="E12" s="930">
        <v>90.623272338381511</v>
      </c>
      <c r="F12" s="931">
        <v>93.848232942672851</v>
      </c>
      <c r="G12" s="675">
        <v>-3.4363573006870629</v>
      </c>
      <c r="H12" s="676">
        <v>20.997349919529519</v>
      </c>
      <c r="P12"/>
      <c r="Q12"/>
      <c r="R12"/>
    </row>
    <row r="13" spans="1:18" ht="15.75">
      <c r="A13" s="691" t="s">
        <v>138</v>
      </c>
      <c r="B13" s="695"/>
      <c r="C13" s="695"/>
      <c r="D13" s="891"/>
      <c r="E13" s="936"/>
      <c r="F13" s="936"/>
      <c r="G13" s="696"/>
      <c r="H13" s="697"/>
      <c r="P13"/>
      <c r="Q13"/>
      <c r="R13"/>
    </row>
    <row r="14" spans="1:18" ht="15">
      <c r="A14" s="458" t="s">
        <v>312</v>
      </c>
      <c r="B14" s="145">
        <v>11963.684082975366</v>
      </c>
      <c r="C14" s="145">
        <v>12586.092870969444</v>
      </c>
      <c r="D14" s="887">
        <v>-4.9452105142947111</v>
      </c>
      <c r="E14" s="928">
        <v>100</v>
      </c>
      <c r="F14" s="929">
        <v>100</v>
      </c>
      <c r="G14" s="677" t="s">
        <v>100</v>
      </c>
      <c r="H14" s="680">
        <v>12.616321001987817</v>
      </c>
      <c r="P14"/>
      <c r="Q14"/>
      <c r="R14"/>
    </row>
    <row r="15" spans="1:18">
      <c r="A15" s="665" t="s">
        <v>135</v>
      </c>
      <c r="B15" s="94">
        <v>11062.999</v>
      </c>
      <c r="C15" s="94">
        <v>10961.073</v>
      </c>
      <c r="D15" s="888">
        <v>0.92989071416639124</v>
      </c>
      <c r="E15" s="930">
        <v>2.6179727893281681</v>
      </c>
      <c r="F15" s="931">
        <v>3.9192921350291141</v>
      </c>
      <c r="G15" s="675">
        <v>-33.202917794013317</v>
      </c>
      <c r="H15" s="676">
        <v>-24.775583482944342</v>
      </c>
    </row>
    <row r="16" spans="1:18">
      <c r="A16" s="665" t="s">
        <v>136</v>
      </c>
      <c r="B16" s="94">
        <v>14989.138000000001</v>
      </c>
      <c r="C16" s="94">
        <v>15400.5</v>
      </c>
      <c r="D16" s="888">
        <v>-2.6710950943151142</v>
      </c>
      <c r="E16" s="930">
        <v>2.3930395663787309</v>
      </c>
      <c r="F16" s="931">
        <v>2.1126884444209901</v>
      </c>
      <c r="G16" s="675">
        <v>13.269875295530131</v>
      </c>
      <c r="H16" s="676">
        <v>27.560366361365535</v>
      </c>
    </row>
    <row r="17" spans="1:13" ht="13.5" thickBot="1">
      <c r="A17" s="666" t="s">
        <v>137</v>
      </c>
      <c r="B17" s="97">
        <v>11912.288</v>
      </c>
      <c r="C17" s="97">
        <v>12590.593999999999</v>
      </c>
      <c r="D17" s="889">
        <v>-5.3874026912471225</v>
      </c>
      <c r="E17" s="932">
        <v>94.988987644293104</v>
      </c>
      <c r="F17" s="933">
        <v>93.968019420549894</v>
      </c>
      <c r="G17" s="678">
        <v>1.0865060581663537</v>
      </c>
      <c r="H17" s="681">
        <v>13.839904152158461</v>
      </c>
    </row>
    <row r="18" spans="1:13" ht="15">
      <c r="A18" s="638" t="s">
        <v>313</v>
      </c>
      <c r="B18" s="146">
        <v>11195.746270380367</v>
      </c>
      <c r="C18" s="146">
        <v>11103.123426439766</v>
      </c>
      <c r="D18" s="890">
        <v>0.83420529866432458</v>
      </c>
      <c r="E18" s="934">
        <v>100</v>
      </c>
      <c r="F18" s="935">
        <v>100</v>
      </c>
      <c r="G18" s="679" t="s">
        <v>100</v>
      </c>
      <c r="H18" s="682">
        <v>8.1755485893416893</v>
      </c>
    </row>
    <row r="19" spans="1:13">
      <c r="A19" s="665" t="s">
        <v>135</v>
      </c>
      <c r="B19" s="94" t="s">
        <v>257</v>
      </c>
      <c r="C19" s="94" t="s">
        <v>257</v>
      </c>
      <c r="D19" s="888" t="s">
        <v>100</v>
      </c>
      <c r="E19" s="930">
        <v>0.3626488267730878</v>
      </c>
      <c r="F19" s="931">
        <v>0.56068069861173309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257</v>
      </c>
      <c r="C20" s="94" t="s">
        <v>257</v>
      </c>
      <c r="D20" s="888" t="s">
        <v>100</v>
      </c>
      <c r="E20" s="930">
        <v>8.9420258656377816E-2</v>
      </c>
      <c r="F20" s="931">
        <v>0.22391401701746527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11191.565000000001</v>
      </c>
      <c r="C21" s="94">
        <v>11078.683000000001</v>
      </c>
      <c r="D21" s="888">
        <v>1.018911724435112</v>
      </c>
      <c r="E21" s="930">
        <v>99.547930914570529</v>
      </c>
      <c r="F21" s="931">
        <v>99.215405284370803</v>
      </c>
      <c r="G21" s="675">
        <v>0.33515524050588924</v>
      </c>
      <c r="H21" s="676">
        <v>8.5381046093848667</v>
      </c>
    </row>
    <row r="22" spans="1:13" ht="15.75">
      <c r="A22" s="691" t="s">
        <v>139</v>
      </c>
      <c r="B22" s="695"/>
      <c r="C22" s="695"/>
      <c r="D22" s="891"/>
      <c r="E22" s="936"/>
      <c r="F22" s="936"/>
      <c r="G22" s="696"/>
      <c r="H22" s="697"/>
    </row>
    <row r="23" spans="1:13" ht="15">
      <c r="A23" s="458" t="s">
        <v>312</v>
      </c>
      <c r="B23" s="145">
        <v>12587.390678964144</v>
      </c>
      <c r="C23" s="145">
        <v>12470.889006592472</v>
      </c>
      <c r="D23" s="887">
        <v>0.93418899254164212</v>
      </c>
      <c r="E23" s="928">
        <v>100</v>
      </c>
      <c r="F23" s="929">
        <v>100</v>
      </c>
      <c r="G23" s="677" t="s">
        <v>100</v>
      </c>
      <c r="H23" s="680">
        <v>16.199404550932176</v>
      </c>
    </row>
    <row r="24" spans="1:13">
      <c r="A24" s="665" t="s">
        <v>135</v>
      </c>
      <c r="B24" s="94">
        <v>9805.5290000000005</v>
      </c>
      <c r="C24" s="94">
        <v>9780.2630000000008</v>
      </c>
      <c r="D24" s="888">
        <v>0.25833661119337609</v>
      </c>
      <c r="E24" s="930">
        <v>25.663041986304503</v>
      </c>
      <c r="F24" s="931">
        <v>29.744098674416957</v>
      </c>
      <c r="G24" s="675">
        <v>-13.720559270543944</v>
      </c>
      <c r="H24" s="676">
        <v>0.25619637750238727</v>
      </c>
    </row>
    <row r="25" spans="1:13">
      <c r="A25" s="665" t="s">
        <v>136</v>
      </c>
      <c r="B25" s="94">
        <v>14976.612999999999</v>
      </c>
      <c r="C25" s="94">
        <v>15132.74</v>
      </c>
      <c r="D25" s="888">
        <v>-1.03171666201891</v>
      </c>
      <c r="E25" s="930">
        <v>23.123732251521297</v>
      </c>
      <c r="F25" s="931">
        <v>21.411356064365208</v>
      </c>
      <c r="G25" s="675">
        <v>7.9975139454431199</v>
      </c>
      <c r="H25" s="676">
        <v>25.492468134414842</v>
      </c>
    </row>
    <row r="26" spans="1:13" ht="16.5" thickBot="1">
      <c r="A26" s="666" t="s">
        <v>137</v>
      </c>
      <c r="B26" s="97">
        <v>12902.608</v>
      </c>
      <c r="C26" s="97">
        <v>12942.516</v>
      </c>
      <c r="D26" s="889">
        <v>-0.30834808317022322</v>
      </c>
      <c r="E26" s="932">
        <v>51.213225762174197</v>
      </c>
      <c r="F26" s="933">
        <v>48.844545261217839</v>
      </c>
      <c r="G26" s="678">
        <v>4.8494268669895284</v>
      </c>
      <c r="H26" s="681">
        <v>21.834409694506931</v>
      </c>
      <c r="J26" s="129"/>
      <c r="K26" s="122"/>
      <c r="L26" s="122"/>
      <c r="M26" s="122"/>
    </row>
    <row r="27" spans="1:13" ht="15">
      <c r="A27" s="638" t="s">
        <v>313</v>
      </c>
      <c r="B27" s="146">
        <v>11155.739735644038</v>
      </c>
      <c r="C27" s="146">
        <v>10625.173277047394</v>
      </c>
      <c r="D27" s="890">
        <v>4.9934852332505413</v>
      </c>
      <c r="E27" s="934">
        <v>100</v>
      </c>
      <c r="F27" s="935">
        <v>100</v>
      </c>
      <c r="G27" s="679" t="s">
        <v>100</v>
      </c>
      <c r="H27" s="682">
        <v>74.110177643814538</v>
      </c>
      <c r="J27" s="1181"/>
      <c r="K27" s="1181"/>
      <c r="L27" s="1181"/>
      <c r="M27" s="1181"/>
    </row>
    <row r="28" spans="1:13">
      <c r="A28" s="665" t="s">
        <v>135</v>
      </c>
      <c r="B28" s="94" t="s">
        <v>257</v>
      </c>
      <c r="C28" s="94" t="s">
        <v>257</v>
      </c>
      <c r="D28" s="888" t="s">
        <v>100</v>
      </c>
      <c r="E28" s="930">
        <v>0.19521897675789165</v>
      </c>
      <c r="F28" s="931">
        <v>0.48098505739755015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8" t="s">
        <v>100</v>
      </c>
      <c r="E29" s="930">
        <v>12.681866735423036</v>
      </c>
      <c r="F29" s="931">
        <v>0.12184954787404605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10653.001</v>
      </c>
      <c r="C30" s="94">
        <v>10631.591</v>
      </c>
      <c r="D30" s="888">
        <v>0.20138095982059367</v>
      </c>
      <c r="E30" s="930">
        <v>87.122914287819071</v>
      </c>
      <c r="F30" s="931">
        <v>99.397165394728404</v>
      </c>
      <c r="G30" s="675">
        <v>-12.348693303441333</v>
      </c>
      <c r="H30" s="676">
        <v>52.609845796502995</v>
      </c>
    </row>
    <row r="31" spans="1:13" ht="15.75">
      <c r="A31" s="691" t="s">
        <v>140</v>
      </c>
      <c r="B31" s="695"/>
      <c r="C31" s="695"/>
      <c r="D31" s="891"/>
      <c r="E31" s="936"/>
      <c r="F31" s="936"/>
      <c r="G31" s="696"/>
      <c r="H31" s="697"/>
    </row>
    <row r="32" spans="1:13" ht="15">
      <c r="A32" s="458" t="s">
        <v>312</v>
      </c>
      <c r="B32" s="145">
        <v>12448.314750308655</v>
      </c>
      <c r="C32" s="145">
        <v>12712.986060050891</v>
      </c>
      <c r="D32" s="887">
        <v>-2.0818972701774259</v>
      </c>
      <c r="E32" s="928">
        <v>100</v>
      </c>
      <c r="F32" s="929">
        <v>100</v>
      </c>
      <c r="G32" s="677" t="s">
        <v>100</v>
      </c>
      <c r="H32" s="680">
        <v>-0.38592027141646523</v>
      </c>
    </row>
    <row r="33" spans="1:8">
      <c r="A33" s="665" t="s">
        <v>135</v>
      </c>
      <c r="B33" s="94" t="s">
        <v>257</v>
      </c>
      <c r="C33" s="94" t="s">
        <v>257</v>
      </c>
      <c r="D33" s="888" t="s">
        <v>100</v>
      </c>
      <c r="E33" s="930">
        <v>7.6844480395078563</v>
      </c>
      <c r="F33" s="931">
        <v>1.1577608142493638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8" t="s">
        <v>100</v>
      </c>
      <c r="E34" s="930">
        <v>9.1063902252118023</v>
      </c>
      <c r="F34" s="931">
        <v>12.366412213740457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12378.64</v>
      </c>
      <c r="C35" s="97">
        <v>12303.686</v>
      </c>
      <c r="D35" s="889">
        <v>0.60919955206919063</v>
      </c>
      <c r="E35" s="932">
        <v>83.209161735280347</v>
      </c>
      <c r="F35" s="933">
        <v>86.475826972010168</v>
      </c>
      <c r="G35" s="678">
        <v>-3.7775472650722968</v>
      </c>
      <c r="H35" s="681">
        <v>-4.1488892158305175</v>
      </c>
    </row>
    <row r="36" spans="1:8" ht="15">
      <c r="A36" s="638" t="s">
        <v>313</v>
      </c>
      <c r="B36" s="146">
        <v>11082.368546076583</v>
      </c>
      <c r="C36" s="146">
        <v>10667.300798773891</v>
      </c>
      <c r="D36" s="890">
        <v>3.8910288097472598</v>
      </c>
      <c r="E36" s="934">
        <v>100</v>
      </c>
      <c r="F36" s="935">
        <v>100</v>
      </c>
      <c r="G36" s="679" t="s">
        <v>100</v>
      </c>
      <c r="H36" s="682">
        <v>37.029691068638066</v>
      </c>
    </row>
    <row r="37" spans="1:8">
      <c r="A37" s="665" t="s">
        <v>135</v>
      </c>
      <c r="B37" s="94" t="s">
        <v>257</v>
      </c>
      <c r="C37" s="94" t="s">
        <v>257</v>
      </c>
      <c r="D37" s="888" t="s">
        <v>100</v>
      </c>
      <c r="E37" s="930">
        <v>11.982981709724111</v>
      </c>
      <c r="F37" s="931">
        <v>16.059622550787353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8" t="s">
        <v>100</v>
      </c>
      <c r="E38" s="930">
        <v>16.864774770823281</v>
      </c>
      <c r="F38" s="931">
        <v>13.300877509316022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10353.181</v>
      </c>
      <c r="C39" s="97" t="s">
        <v>257</v>
      </c>
      <c r="D39" s="889" t="s">
        <v>100</v>
      </c>
      <c r="E39" s="932">
        <v>71.152243519452611</v>
      </c>
      <c r="F39" s="933">
        <v>70.639499939896623</v>
      </c>
      <c r="G39" s="678" t="s">
        <v>100</v>
      </c>
      <c r="H39" s="681" t="s">
        <v>100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86"/>
      <c r="B41" s="1186"/>
      <c r="C41" s="1186"/>
      <c r="D41" s="1186"/>
    </row>
    <row r="42" spans="1:8" ht="15">
      <c r="A42" s="130" t="s">
        <v>61</v>
      </c>
      <c r="B42" s="131"/>
    </row>
    <row r="43" spans="1:8" ht="15">
      <c r="A43" s="128" t="s">
        <v>96</v>
      </c>
      <c r="B43" s="1187" t="s">
        <v>62</v>
      </c>
      <c r="C43" s="1188"/>
      <c r="D43" s="1188"/>
      <c r="E43" s="1188"/>
      <c r="F43" s="1188"/>
      <c r="G43" s="1188"/>
      <c r="H43" s="1189"/>
    </row>
    <row r="44" spans="1:8" ht="15">
      <c r="A44" s="128" t="s">
        <v>63</v>
      </c>
      <c r="B44" s="1187" t="s">
        <v>64</v>
      </c>
      <c r="C44" s="1188"/>
      <c r="D44" s="1188"/>
      <c r="E44" s="1188"/>
      <c r="F44" s="1188"/>
      <c r="G44" s="1188"/>
      <c r="H44" s="1189"/>
    </row>
    <row r="45" spans="1:8" ht="15">
      <c r="A45" s="128" t="s">
        <v>65</v>
      </c>
      <c r="B45" s="1187" t="s">
        <v>66</v>
      </c>
      <c r="C45" s="1188"/>
      <c r="D45" s="1188"/>
      <c r="E45" s="1188"/>
      <c r="F45" s="1188"/>
      <c r="G45" s="1188"/>
      <c r="H45" s="1189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2" t="s">
        <v>382</v>
      </c>
      <c r="B2" s="903"/>
      <c r="C2" s="903"/>
      <c r="D2" s="903"/>
      <c r="E2" s="903"/>
      <c r="F2" s="122"/>
      <c r="G2" s="122"/>
      <c r="H2" s="122"/>
    </row>
    <row r="3" spans="1:8" ht="30.75" customHeight="1">
      <c r="A3" s="1190" t="s">
        <v>141</v>
      </c>
      <c r="B3" s="1192" t="s">
        <v>142</v>
      </c>
      <c r="C3" s="1192"/>
      <c r="D3" s="1193" t="s">
        <v>319</v>
      </c>
      <c r="E3" s="1194"/>
    </row>
    <row r="4" spans="1:8" ht="16.5" thickBot="1">
      <c r="A4" s="1191"/>
      <c r="B4" s="966" t="s">
        <v>143</v>
      </c>
      <c r="C4" s="966" t="s">
        <v>144</v>
      </c>
      <c r="D4" s="967" t="s">
        <v>143</v>
      </c>
      <c r="E4" s="968" t="s">
        <v>144</v>
      </c>
      <c r="G4" s="132" t="s">
        <v>145</v>
      </c>
      <c r="H4" s="133"/>
    </row>
    <row r="5" spans="1:8" ht="17.25" customHeight="1" thickBot="1">
      <c r="A5" s="960" t="s">
        <v>146</v>
      </c>
      <c r="B5" s="961">
        <v>27014.572</v>
      </c>
      <c r="C5" s="961">
        <v>21480.142</v>
      </c>
      <c r="D5" s="962">
        <v>1.4172092282375386</v>
      </c>
      <c r="E5" s="963">
        <v>-3.1019093218504734</v>
      </c>
      <c r="G5" s="134" t="s">
        <v>59</v>
      </c>
      <c r="H5" s="135" t="s">
        <v>60</v>
      </c>
    </row>
    <row r="6" spans="1:8" ht="18" customHeight="1">
      <c r="A6" s="984" t="s">
        <v>147</v>
      </c>
      <c r="B6" s="1052" t="s">
        <v>100</v>
      </c>
      <c r="C6" s="985" t="s">
        <v>257</v>
      </c>
      <c r="D6" s="641" t="s">
        <v>100</v>
      </c>
      <c r="E6" s="1069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 t="s">
        <v>257</v>
      </c>
      <c r="C7" s="640" t="s">
        <v>257</v>
      </c>
      <c r="D7" s="969" t="s">
        <v>100</v>
      </c>
      <c r="E7" s="970" t="s">
        <v>100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69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69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20023.830999999998</v>
      </c>
      <c r="D10" s="641" t="s">
        <v>100</v>
      </c>
      <c r="E10" s="971">
        <v>-3.5649066535671077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69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21418.455000000002</v>
      </c>
      <c r="D12" s="641" t="s">
        <v>100</v>
      </c>
      <c r="E12" s="971">
        <v>-2.1251792273445531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7" t="s">
        <v>257</v>
      </c>
      <c r="C13" s="644">
        <v>19128.041000000001</v>
      </c>
      <c r="D13" s="1070" t="s">
        <v>100</v>
      </c>
      <c r="E13" s="972">
        <v>-3.6237357381396786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77"/>
    </row>
    <row r="24" spans="1:4" ht="15">
      <c r="D24" s="977"/>
    </row>
    <row r="25" spans="1:4" ht="15">
      <c r="A25" s="978"/>
      <c r="D25" s="977"/>
    </row>
    <row r="26" spans="1:4" ht="15">
      <c r="A26" s="978"/>
      <c r="D26" s="977"/>
    </row>
    <row r="27" spans="1:4" ht="15">
      <c r="A27" s="978"/>
      <c r="D27" s="977"/>
    </row>
    <row r="28" spans="1:4" ht="15">
      <c r="A28" s="978"/>
      <c r="D28" s="977"/>
    </row>
    <row r="29" spans="1:4" ht="15">
      <c r="A29" s="978"/>
      <c r="D29" s="977"/>
    </row>
    <row r="30" spans="1:4" ht="15">
      <c r="A30" s="978"/>
      <c r="D30" s="977"/>
    </row>
    <row r="31" spans="1:4" ht="15">
      <c r="A31" s="978"/>
      <c r="D31" s="977"/>
    </row>
    <row r="32" spans="1:4" ht="15">
      <c r="A32" s="978"/>
      <c r="D32" s="977"/>
    </row>
    <row r="33" spans="1:13" ht="15">
      <c r="A33" s="978"/>
      <c r="D33" s="977"/>
    </row>
    <row r="34" spans="1:13" ht="15">
      <c r="A34" s="978"/>
      <c r="D34" s="977"/>
    </row>
    <row r="35" spans="1:13" ht="15">
      <c r="A35" s="978"/>
      <c r="D35" s="977"/>
      <c r="M35" s="127" t="s">
        <v>123</v>
      </c>
    </row>
    <row r="36" spans="1:13" ht="15">
      <c r="A36" s="978"/>
      <c r="D36" s="977"/>
    </row>
    <row r="37" spans="1:13" ht="15">
      <c r="A37" s="978"/>
      <c r="D37" s="977"/>
    </row>
    <row r="38" spans="1:13" ht="15">
      <c r="A38" s="978"/>
      <c r="D38" s="977"/>
    </row>
    <row r="39" spans="1:13" ht="15">
      <c r="A39" s="978"/>
      <c r="D39" s="977"/>
    </row>
    <row r="40" spans="1:13" ht="15">
      <c r="A40" s="978"/>
      <c r="D40" s="977"/>
    </row>
    <row r="41" spans="1:13" ht="15">
      <c r="A41" s="978"/>
      <c r="D41" s="977"/>
    </row>
    <row r="42" spans="1:13" ht="15">
      <c r="A42" s="978"/>
      <c r="D42" s="977"/>
    </row>
    <row r="43" spans="1:13" ht="15">
      <c r="A43" s="978"/>
      <c r="D43" s="977"/>
    </row>
    <row r="44" spans="1:13" ht="15">
      <c r="A44" s="978"/>
      <c r="D44" s="977"/>
    </row>
    <row r="45" spans="1:13" ht="15">
      <c r="D45" s="977"/>
    </row>
    <row r="46" spans="1:13" ht="15">
      <c r="A46" s="978"/>
      <c r="D46" s="977"/>
    </row>
    <row r="47" spans="1:13" ht="15">
      <c r="A47" s="978"/>
      <c r="D47" s="977"/>
    </row>
    <row r="48" spans="1:13" ht="15">
      <c r="A48" s="978"/>
      <c r="D48" s="977"/>
    </row>
    <row r="49" spans="1:4" ht="15">
      <c r="A49" s="978"/>
      <c r="D49" s="977"/>
    </row>
    <row r="50" spans="1:4" ht="15">
      <c r="A50" s="978"/>
      <c r="D50" s="977"/>
    </row>
    <row r="51" spans="1:4" ht="15">
      <c r="A51" s="978"/>
      <c r="D51" s="977"/>
    </row>
    <row r="52" spans="1:4" ht="15">
      <c r="A52" s="978"/>
      <c r="D52" s="977"/>
    </row>
    <row r="53" spans="1:4" ht="15">
      <c r="A53" s="978"/>
      <c r="D53" s="977"/>
    </row>
    <row r="54" spans="1:4" ht="15">
      <c r="A54" s="978"/>
    </row>
    <row r="55" spans="1:4" ht="15">
      <c r="A55" s="978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1" t="s">
        <v>315</v>
      </c>
      <c r="B1" s="1201"/>
      <c r="C1" s="1201"/>
      <c r="D1" s="1201"/>
      <c r="E1" s="1201"/>
      <c r="F1" s="1201"/>
      <c r="G1" s="657"/>
      <c r="H1" s="657"/>
    </row>
    <row r="2" spans="1:8" ht="13.5" customHeight="1" thickBot="1"/>
    <row r="3" spans="1:8" ht="27" customHeight="1">
      <c r="A3" s="1195" t="s">
        <v>73</v>
      </c>
      <c r="B3" s="1197" t="s">
        <v>118</v>
      </c>
      <c r="C3" s="1202" t="s">
        <v>82</v>
      </c>
      <c r="D3" s="1203"/>
      <c r="E3" s="1204"/>
      <c r="F3" s="1199" t="s">
        <v>119</v>
      </c>
      <c r="G3" s="1200"/>
      <c r="H3" s="122"/>
    </row>
    <row r="4" spans="1:8" ht="32.25" customHeight="1" thickBot="1">
      <c r="A4" s="1196"/>
      <c r="B4" s="1198"/>
      <c r="C4" s="948">
        <v>43632</v>
      </c>
      <c r="D4" s="949">
        <v>43625</v>
      </c>
      <c r="E4" s="950">
        <v>43268</v>
      </c>
      <c r="F4" s="951" t="s">
        <v>355</v>
      </c>
      <c r="G4" s="952" t="s">
        <v>120</v>
      </c>
      <c r="H4" s="122"/>
    </row>
    <row r="5" spans="1:8" ht="29.25" customHeight="1">
      <c r="A5" s="1017" t="s">
        <v>124</v>
      </c>
      <c r="B5" s="1014" t="s">
        <v>330</v>
      </c>
      <c r="C5" s="953">
        <v>662.24</v>
      </c>
      <c r="D5" s="904">
        <v>680.66</v>
      </c>
      <c r="E5" s="954">
        <v>633.29999999999995</v>
      </c>
      <c r="F5" s="1061">
        <v>-2.7061969265124963</v>
      </c>
      <c r="G5" s="955">
        <v>4.5697141954839813</v>
      </c>
    </row>
    <row r="6" spans="1:8" ht="28.5" customHeight="1" thickBot="1">
      <c r="A6" s="1018" t="s">
        <v>125</v>
      </c>
      <c r="B6" s="1015" t="s">
        <v>330</v>
      </c>
      <c r="C6" s="1062">
        <v>905.31</v>
      </c>
      <c r="D6" s="1063">
        <v>908.66</v>
      </c>
      <c r="E6" s="1064">
        <v>855.5</v>
      </c>
      <c r="F6" s="1065">
        <v>-0.36867475183237103</v>
      </c>
      <c r="G6" s="1056">
        <v>5.82232612507305</v>
      </c>
    </row>
    <row r="7" spans="1:8" ht="32.25" customHeight="1" thickBot="1">
      <c r="A7" s="1019" t="s">
        <v>121</v>
      </c>
      <c r="B7" s="1016" t="s">
        <v>122</v>
      </c>
      <c r="C7" s="1062" t="s">
        <v>257</v>
      </c>
      <c r="D7" s="1066" t="s">
        <v>257</v>
      </c>
      <c r="E7" s="1067" t="s">
        <v>257</v>
      </c>
      <c r="F7" s="1066" t="s">
        <v>100</v>
      </c>
      <c r="G7" s="1109" t="s">
        <v>100</v>
      </c>
    </row>
    <row r="8" spans="1:8" s="122" customFormat="1" ht="15.75">
      <c r="A8" s="1006"/>
      <c r="B8" s="1007"/>
      <c r="C8"/>
      <c r="D8" s="981"/>
      <c r="E8" s="982"/>
      <c r="F8" s="983"/>
      <c r="G8" s="983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Z25" sqref="Z25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08" t="s">
        <v>89</v>
      </c>
      <c r="C1" s="1208"/>
      <c r="D1" s="1208"/>
      <c r="E1" s="1208"/>
      <c r="F1" s="8"/>
      <c r="G1" s="7"/>
    </row>
    <row r="2" spans="2:17" ht="20.25" thickBot="1">
      <c r="B2" s="908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2"/>
      <c r="C3" s="723" t="s">
        <v>320</v>
      </c>
      <c r="D3" s="683"/>
      <c r="E3" s="724" t="s">
        <v>69</v>
      </c>
      <c r="F3" s="1206"/>
    </row>
    <row r="4" spans="2:17" ht="34.5" customHeight="1" thickBot="1">
      <c r="B4" s="725" t="s">
        <v>43</v>
      </c>
      <c r="C4" s="648">
        <v>43630</v>
      </c>
      <c r="D4" s="648">
        <v>43623</v>
      </c>
      <c r="E4" s="726" t="s">
        <v>316</v>
      </c>
      <c r="F4" s="1207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7"/>
      <c r="D5" s="727"/>
      <c r="E5" s="728"/>
      <c r="F5" s="10"/>
      <c r="G5" s="1205" t="s">
        <v>354</v>
      </c>
      <c r="H5" s="1205"/>
      <c r="I5" s="1205"/>
      <c r="J5" s="1205"/>
      <c r="K5" s="1205"/>
      <c r="L5" s="1205"/>
      <c r="M5" s="1205"/>
      <c r="N5" s="1205"/>
      <c r="O5" s="1205"/>
      <c r="P5" s="1205"/>
      <c r="Q5" s="1205"/>
    </row>
    <row r="6" spans="2:17" ht="21" customHeight="1">
      <c r="B6" s="957" t="s">
        <v>44</v>
      </c>
      <c r="C6" s="959">
        <v>10.25</v>
      </c>
      <c r="D6" s="939">
        <v>10.25</v>
      </c>
      <c r="E6" s="940">
        <v>0</v>
      </c>
      <c r="F6" s="10"/>
      <c r="G6" s="1205"/>
      <c r="H6" s="1205"/>
      <c r="I6" s="1205"/>
      <c r="J6" s="1205"/>
      <c r="K6" s="1205"/>
      <c r="L6" s="1205"/>
      <c r="M6" s="1205"/>
      <c r="N6" s="1205"/>
      <c r="O6" s="1205"/>
      <c r="P6" s="1205"/>
      <c r="Q6" s="1205"/>
    </row>
    <row r="7" spans="2:17" ht="15.75">
      <c r="B7" s="650" t="s">
        <v>45</v>
      </c>
      <c r="C7" s="651">
        <v>17</v>
      </c>
      <c r="D7" s="651">
        <v>17</v>
      </c>
      <c r="E7" s="941">
        <v>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>
        <v>14.5</v>
      </c>
      <c r="D8" s="658">
        <v>14.5</v>
      </c>
      <c r="E8" s="1053">
        <v>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>
        <v>137</v>
      </c>
      <c r="D9" s="659">
        <v>113</v>
      </c>
      <c r="E9" s="942">
        <v>21.238938053097346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>
        <v>92</v>
      </c>
      <c r="D10" s="659">
        <v>87</v>
      </c>
      <c r="E10" s="942">
        <v>5.7471264367816088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58" t="s">
        <v>353</v>
      </c>
      <c r="C11" s="943">
        <v>3</v>
      </c>
      <c r="D11" s="943">
        <v>3</v>
      </c>
      <c r="E11" s="944">
        <v>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5"/>
      <c r="D12" s="945"/>
      <c r="E12" s="946"/>
      <c r="F12" s="10"/>
      <c r="G12" s="23"/>
      <c r="H12" s="23"/>
      <c r="I12" s="24"/>
      <c r="J12" s="13"/>
      <c r="K12" s="12"/>
      <c r="L12" s="14"/>
    </row>
    <row r="13" spans="2:17" ht="15.75">
      <c r="B13" s="957" t="s">
        <v>44</v>
      </c>
      <c r="C13" s="939" t="s">
        <v>257</v>
      </c>
      <c r="D13" s="959">
        <v>7.05</v>
      </c>
      <c r="E13" s="940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 t="s">
        <v>257</v>
      </c>
      <c r="D14" s="1147">
        <v>7.1</v>
      </c>
      <c r="E14" s="941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>
        <v>7.07</v>
      </c>
      <c r="E15" s="1068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257</v>
      </c>
      <c r="D16" s="659">
        <v>165</v>
      </c>
      <c r="E16" s="942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257</v>
      </c>
      <c r="D17" s="659">
        <v>149</v>
      </c>
      <c r="E17" s="942" t="s">
        <v>100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58" t="s">
        <v>353</v>
      </c>
      <c r="C18" s="943" t="s">
        <v>257</v>
      </c>
      <c r="D18" s="943">
        <v>3</v>
      </c>
      <c r="E18" s="944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5"/>
      <c r="D19" s="945"/>
      <c r="E19" s="946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7" t="s">
        <v>44</v>
      </c>
      <c r="C20" s="939" t="s">
        <v>257</v>
      </c>
      <c r="D20" s="939">
        <v>5</v>
      </c>
      <c r="E20" s="940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 t="s">
        <v>257</v>
      </c>
      <c r="D21" s="651">
        <v>5</v>
      </c>
      <c r="E21" s="941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>
        <v>5</v>
      </c>
      <c r="E22" s="1053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257</v>
      </c>
      <c r="D23" s="659">
        <v>85</v>
      </c>
      <c r="E23" s="942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257</v>
      </c>
      <c r="D24" s="659">
        <v>70</v>
      </c>
      <c r="E24" s="942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353</v>
      </c>
      <c r="C25" s="668" t="s">
        <v>257</v>
      </c>
      <c r="D25" s="668">
        <v>3</v>
      </c>
      <c r="E25" s="947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 t="s">
        <v>95</v>
      </c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Pankiewicz Anna</cp:lastModifiedBy>
  <cp:lastPrinted>2017-01-05T10:25:59Z</cp:lastPrinted>
  <dcterms:created xsi:type="dcterms:W3CDTF">2005-01-11T09:21:45Z</dcterms:created>
  <dcterms:modified xsi:type="dcterms:W3CDTF">2019-06-21T10:12:21Z</dcterms:modified>
</cp:coreProperties>
</file>