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HHCY\Documents\```ST7\Besti@\2026\I kwartał\2026.05.18 dane ostateczne\Zbiorówki_2026_k1_2026.05.18\Publikacja\"/>
    </mc:Choice>
  </mc:AlternateContent>
  <xr:revisionPtr revIDLastSave="0" documentId="13_ncr:1_{3FF4F210-4F3D-46C0-809E-353D00C0CB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och_wyd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10" i="4" l="1"/>
  <c r="C109" i="4"/>
  <c r="C108" i="4"/>
  <c r="D106" i="4"/>
  <c r="C106" i="4"/>
  <c r="D105" i="4"/>
  <c r="C105" i="4"/>
  <c r="D104" i="4"/>
  <c r="C104" i="4"/>
  <c r="D103" i="4"/>
  <c r="C103" i="4"/>
  <c r="D102" i="4"/>
  <c r="C102" i="4"/>
  <c r="D101" i="4"/>
  <c r="C101" i="4"/>
  <c r="D100" i="4"/>
  <c r="C100" i="4"/>
  <c r="D99" i="4"/>
  <c r="C99" i="4"/>
  <c r="D98" i="4"/>
  <c r="C98" i="4"/>
  <c r="D93" i="4"/>
  <c r="C93" i="4"/>
  <c r="D92" i="4"/>
  <c r="C92" i="4"/>
  <c r="D91" i="4"/>
  <c r="C91" i="4"/>
  <c r="D90" i="4"/>
  <c r="C90" i="4"/>
  <c r="D89" i="4"/>
  <c r="C89" i="4"/>
  <c r="D88" i="4"/>
  <c r="C88" i="4"/>
  <c r="D87" i="4"/>
  <c r="C87" i="4"/>
  <c r="D86" i="4"/>
  <c r="C86" i="4"/>
  <c r="D85" i="4"/>
  <c r="D84" i="4"/>
  <c r="C84" i="4"/>
  <c r="D83" i="4"/>
  <c r="C83" i="4"/>
  <c r="D82" i="4"/>
  <c r="C82" i="4"/>
  <c r="D81" i="4"/>
  <c r="C81" i="4"/>
  <c r="D80" i="4"/>
  <c r="C80" i="4"/>
  <c r="D79" i="4"/>
  <c r="C79" i="4"/>
  <c r="D78" i="4"/>
  <c r="C78" i="4"/>
  <c r="D77" i="4"/>
  <c r="C77" i="4"/>
  <c r="G70" i="4"/>
  <c r="F70" i="4"/>
  <c r="E70" i="4"/>
  <c r="D70" i="4"/>
  <c r="C70" i="4"/>
  <c r="G69" i="4"/>
  <c r="F69" i="4"/>
  <c r="E69" i="4"/>
  <c r="D69" i="4"/>
  <c r="C69" i="4"/>
  <c r="G65" i="4"/>
  <c r="F65" i="4"/>
  <c r="E65" i="4"/>
  <c r="D65" i="4"/>
  <c r="C65" i="4"/>
  <c r="G64" i="4"/>
  <c r="F64" i="4"/>
  <c r="E64" i="4"/>
  <c r="D64" i="4"/>
  <c r="C64" i="4"/>
  <c r="I57" i="4"/>
  <c r="H57" i="4"/>
  <c r="G57" i="4"/>
  <c r="F57" i="4"/>
  <c r="E57" i="4"/>
  <c r="D57" i="4"/>
  <c r="C57" i="4"/>
  <c r="I56" i="4"/>
  <c r="H56" i="4"/>
  <c r="G56" i="4"/>
  <c r="F56" i="4"/>
  <c r="E56" i="4"/>
  <c r="D56" i="4"/>
  <c r="J56" i="4" s="1"/>
  <c r="C56" i="4"/>
  <c r="K56" i="4" s="1"/>
  <c r="I55" i="4"/>
  <c r="I58" i="4" s="1"/>
  <c r="H55" i="4"/>
  <c r="G55" i="4"/>
  <c r="F55" i="4"/>
  <c r="E55" i="4"/>
  <c r="D55" i="4"/>
  <c r="C55" i="4"/>
  <c r="I54" i="4"/>
  <c r="H54" i="4"/>
  <c r="G54" i="4"/>
  <c r="F54" i="4"/>
  <c r="E54" i="4"/>
  <c r="D54" i="4"/>
  <c r="C54" i="4"/>
  <c r="I53" i="4"/>
  <c r="H53" i="4"/>
  <c r="G53" i="4"/>
  <c r="F53" i="4"/>
  <c r="E53" i="4"/>
  <c r="D53" i="4"/>
  <c r="C53" i="4"/>
  <c r="I51" i="4"/>
  <c r="H51" i="4"/>
  <c r="G51" i="4"/>
  <c r="F51" i="4"/>
  <c r="E51" i="4"/>
  <c r="D51" i="4"/>
  <c r="C51" i="4"/>
  <c r="I50" i="4"/>
  <c r="H50" i="4"/>
  <c r="G50" i="4"/>
  <c r="F50" i="4"/>
  <c r="E50" i="4"/>
  <c r="D50" i="4"/>
  <c r="C50" i="4"/>
  <c r="I49" i="4"/>
  <c r="H49" i="4"/>
  <c r="G49" i="4"/>
  <c r="F49" i="4"/>
  <c r="E49" i="4"/>
  <c r="D49" i="4"/>
  <c r="C49" i="4"/>
  <c r="D39" i="4"/>
  <c r="C39" i="4"/>
  <c r="D36" i="4"/>
  <c r="C36" i="4"/>
  <c r="D35" i="4"/>
  <c r="C35" i="4"/>
  <c r="D34" i="4"/>
  <c r="C34" i="4"/>
  <c r="D33" i="4"/>
  <c r="C33" i="4"/>
  <c r="D32" i="4"/>
  <c r="C32" i="4"/>
  <c r="D31" i="4"/>
  <c r="C31" i="4"/>
  <c r="D30" i="4"/>
  <c r="C30" i="4"/>
  <c r="D29" i="4"/>
  <c r="C29" i="4"/>
  <c r="D28" i="4"/>
  <c r="C28" i="4"/>
  <c r="K28" i="4" s="1"/>
  <c r="D27" i="4"/>
  <c r="J27" i="4" s="1"/>
  <c r="C27" i="4"/>
  <c r="D26" i="4"/>
  <c r="C26" i="4"/>
  <c r="D25" i="4"/>
  <c r="C25" i="4"/>
  <c r="D24" i="4"/>
  <c r="C24" i="4"/>
  <c r="D23" i="4"/>
  <c r="C23" i="4"/>
  <c r="D22" i="4"/>
  <c r="C22" i="4"/>
  <c r="D21" i="4"/>
  <c r="C21" i="4"/>
  <c r="D20" i="4"/>
  <c r="C20" i="4"/>
  <c r="D19" i="4"/>
  <c r="C19" i="4"/>
  <c r="D18" i="4"/>
  <c r="C18" i="4"/>
  <c r="D17" i="4"/>
  <c r="C17" i="4"/>
  <c r="D16" i="4"/>
  <c r="C16" i="4"/>
  <c r="D15" i="4"/>
  <c r="C15" i="4"/>
  <c r="D11" i="4"/>
  <c r="C11" i="4"/>
  <c r="D10" i="4"/>
  <c r="C10" i="4"/>
  <c r="D9" i="4"/>
  <c r="C9" i="4"/>
  <c r="D8" i="4"/>
  <c r="C8" i="4"/>
  <c r="D6" i="4"/>
  <c r="C6" i="4"/>
  <c r="C59" i="4" s="1"/>
  <c r="K85" i="4"/>
  <c r="K49" i="4"/>
  <c r="C52" i="4"/>
  <c r="K79" i="4"/>
  <c r="K18" i="4"/>
  <c r="K53" i="4"/>
  <c r="K91" i="4"/>
  <c r="K29" i="4"/>
  <c r="K8" i="4"/>
  <c r="K31" i="4"/>
  <c r="K9" i="4"/>
  <c r="K32" i="4"/>
  <c r="K24" i="4"/>
  <c r="K35" i="4"/>
  <c r="K77" i="4"/>
  <c r="K86" i="4"/>
  <c r="K11" i="4"/>
  <c r="K25" i="4"/>
  <c r="K36" i="4"/>
  <c r="K55" i="4"/>
  <c r="J78" i="4"/>
  <c r="J81" i="4"/>
  <c r="J85" i="4"/>
  <c r="J79" i="4"/>
  <c r="J87" i="4"/>
  <c r="J83" i="4"/>
  <c r="J84" i="4"/>
  <c r="J86" i="4"/>
  <c r="J77" i="4"/>
  <c r="J82" i="4"/>
  <c r="J80" i="4"/>
  <c r="J89" i="4"/>
  <c r="J91" i="4"/>
  <c r="J88" i="4"/>
  <c r="J92" i="4"/>
  <c r="J90" i="4"/>
  <c r="J93" i="4"/>
  <c r="K19" i="4"/>
  <c r="K30" i="4"/>
  <c r="J57" i="4"/>
  <c r="J50" i="4"/>
  <c r="J53" i="4"/>
  <c r="D52" i="4"/>
  <c r="J52" i="4" s="1"/>
  <c r="J49" i="4"/>
  <c r="J54" i="4"/>
  <c r="J51" i="4"/>
  <c r="J55" i="4"/>
  <c r="K82" i="4"/>
  <c r="I52" i="4"/>
  <c r="K83" i="4"/>
  <c r="K92" i="4"/>
  <c r="K20" i="4"/>
  <c r="K84" i="4"/>
  <c r="K23" i="4"/>
  <c r="K57" i="4"/>
  <c r="K10" i="4"/>
  <c r="K78" i="4"/>
  <c r="D108" i="4"/>
  <c r="B42" i="4" s="1"/>
  <c r="K17" i="4"/>
  <c r="K26" i="4"/>
  <c r="K39" i="4"/>
  <c r="K90" i="4"/>
  <c r="K15" i="4"/>
  <c r="C14" i="4"/>
  <c r="K21" i="4"/>
  <c r="K27" i="4"/>
  <c r="K33" i="4"/>
  <c r="E52" i="4"/>
  <c r="K51" i="4"/>
  <c r="K80" i="4"/>
  <c r="D14" i="4"/>
  <c r="J14" i="4" s="1"/>
  <c r="F52" i="4"/>
  <c r="F58" i="4"/>
  <c r="K87" i="4"/>
  <c r="K93" i="4"/>
  <c r="C38" i="4"/>
  <c r="K16" i="4"/>
  <c r="K22" i="4"/>
  <c r="K34" i="4"/>
  <c r="G52" i="4"/>
  <c r="K54" i="4"/>
  <c r="K81" i="4"/>
  <c r="J18" i="4"/>
  <c r="J15" i="4"/>
  <c r="J35" i="4"/>
  <c r="J24" i="4"/>
  <c r="J39" i="4"/>
  <c r="J33" i="4"/>
  <c r="D38" i="4"/>
  <c r="J38" i="4" s="1"/>
  <c r="D40" i="4"/>
  <c r="J40" i="4" s="1"/>
  <c r="J6" i="4"/>
  <c r="J11" i="4"/>
  <c r="J34" i="4"/>
  <c r="J10" i="4"/>
  <c r="J29" i="4"/>
  <c r="J21" i="4"/>
  <c r="J36" i="4"/>
  <c r="J9" i="4"/>
  <c r="D59" i="4"/>
  <c r="J8" i="4"/>
  <c r="J23" i="4"/>
  <c r="J28" i="4"/>
  <c r="J25" i="4"/>
  <c r="J31" i="4"/>
  <c r="J19" i="4"/>
  <c r="J22" i="4"/>
  <c r="J20" i="4"/>
  <c r="J17" i="4"/>
  <c r="J32" i="4"/>
  <c r="J30" i="4"/>
  <c r="J26" i="4"/>
  <c r="J16" i="4"/>
  <c r="H52" i="4"/>
  <c r="H58" i="4"/>
  <c r="K88" i="4"/>
  <c r="K50" i="4"/>
  <c r="K89" i="4"/>
  <c r="C40" i="4"/>
  <c r="B73" i="4" l="1"/>
  <c r="B1" i="4"/>
  <c r="E58" i="4"/>
  <c r="D58" i="4"/>
  <c r="J58" i="4" s="1"/>
  <c r="C58" i="4"/>
  <c r="G58" i="4"/>
  <c r="K52" i="4"/>
  <c r="K14" i="4"/>
  <c r="D13" i="4"/>
  <c r="C13" i="4"/>
  <c r="K40" i="4"/>
  <c r="K38" i="4"/>
  <c r="K6" i="4"/>
  <c r="K58" i="4" l="1"/>
  <c r="D7" i="4"/>
  <c r="J13" i="4"/>
  <c r="K13" i="4"/>
  <c r="C7" i="4"/>
  <c r="L8" i="4" l="1"/>
  <c r="J7" i="4"/>
  <c r="D12" i="4"/>
  <c r="L7" i="4"/>
  <c r="L11" i="4"/>
  <c r="L9" i="4"/>
  <c r="L10" i="4"/>
  <c r="C12" i="4"/>
  <c r="K12" i="4" s="1"/>
  <c r="K7" i="4"/>
  <c r="L12" i="4" l="1"/>
  <c r="J12" i="4"/>
</calcChain>
</file>

<file path=xl/sharedStrings.xml><?xml version="1.0" encoding="utf-8"?>
<sst xmlns="http://schemas.openxmlformats.org/spreadsheetml/2006/main" count="394" uniqueCount="105">
  <si>
    <t xml:space="preserve">Wyszczególnienie </t>
  </si>
  <si>
    <t xml:space="preserve">Wykonanie </t>
  </si>
  <si>
    <t xml:space="preserve">Struktura </t>
  </si>
  <si>
    <t>Struktura dochodów  własnych</t>
  </si>
  <si>
    <t>w %%</t>
  </si>
  <si>
    <t>DOCHODY OGÓŁEM</t>
  </si>
  <si>
    <t>w tym:   inwestycyjne</t>
  </si>
  <si>
    <t xml:space="preserve">na zadania własne </t>
  </si>
  <si>
    <t>otrzymane z funduszy celowych</t>
  </si>
  <si>
    <t>na zadania z zakresu adm. rządowej</t>
  </si>
  <si>
    <t xml:space="preserve">na zadania realizowane na podstawie porozumień  z org. adm. rządowej </t>
  </si>
  <si>
    <t>na zadania realizowane na podstawie porozumień między jst</t>
  </si>
  <si>
    <t>Zobowiązania wg stanu na koniec 
okresu sprawozdawczego</t>
  </si>
  <si>
    <t>w tym:   wydatki na inwestycje</t>
  </si>
  <si>
    <t xml:space="preserve">wydatki majątkowe      </t>
  </si>
  <si>
    <t xml:space="preserve">WYNIK  </t>
  </si>
  <si>
    <t>Wyszczególnienie</t>
  </si>
  <si>
    <t>Plan (po zmianach)</t>
  </si>
  <si>
    <t>Wskaźnik 
(3:2)</t>
  </si>
  <si>
    <t>dochody z majątku</t>
  </si>
  <si>
    <t xml:space="preserve">pozostałe dochody </t>
  </si>
  <si>
    <t>Struktura</t>
  </si>
  <si>
    <t>Wskaźnik</t>
  </si>
  <si>
    <t>w tym wymagalne:</t>
  </si>
  <si>
    <t>pozostałe wydatki</t>
  </si>
  <si>
    <t>wydatki na obsługę długu</t>
  </si>
  <si>
    <t>dotacje</t>
  </si>
  <si>
    <t>Razem dochody własne 
z tego:</t>
  </si>
  <si>
    <t>Dotacje celowe 
z tego:</t>
  </si>
  <si>
    <t>WYDATKI OGÓŁEM 
z tego:</t>
  </si>
  <si>
    <t>wydatki bieżące 
z tego:</t>
  </si>
  <si>
    <t>Przychody ogółem 
z tego:</t>
  </si>
  <si>
    <t>Rozchody ogółem 
z tego:</t>
  </si>
  <si>
    <t>kwartał</t>
  </si>
  <si>
    <t>rok</t>
  </si>
  <si>
    <t>stanNa</t>
  </si>
  <si>
    <t>wydatki z tytułu udzielania poręczeń i gwarancji</t>
  </si>
  <si>
    <t>świadczenia na rzecz osób fizycznych</t>
  </si>
  <si>
    <t>w tym: inwestycyjne § 620</t>
  </si>
  <si>
    <t>Dotacje §§ 200 i 620</t>
  </si>
  <si>
    <t>w złotych</t>
  </si>
  <si>
    <t>z tytułu pomocy finansowej udzielanej między jst na dofinansowanie własnych zadań</t>
  </si>
  <si>
    <t>sprzedaż papierów wartościowych wyemitowanych przez jednostkę samorządu terytorialnego</t>
  </si>
  <si>
    <t>kredyty i pożyczki</t>
  </si>
  <si>
    <t>prywatyzacja majątku jednostki samorządu terytorialnego</t>
  </si>
  <si>
    <t>wolne środki jako nadwyżka środków pieniężnych na rachunku  bieżącym budżetu jednostki samorządu terytorialnego, wynikających  z rozliczeń wyemitowanych papierów wartościowych, kredytów i  pożyczek z lat ubiegłych</t>
  </si>
  <si>
    <t>Dotacje §§ 205 i 625</t>
  </si>
  <si>
    <t>w tym: inwestycyjne § 625</t>
  </si>
  <si>
    <t>majątkowe</t>
  </si>
  <si>
    <t>bieżące</t>
  </si>
  <si>
    <r>
      <t xml:space="preserve">Plan 
(po zmianach)
</t>
    </r>
    <r>
      <rPr>
        <b/>
        <sz val="9"/>
        <rFont val="Arial"/>
        <family val="2"/>
        <charset val="238"/>
      </rPr>
      <t>R1</t>
    </r>
  </si>
  <si>
    <r>
      <t xml:space="preserve">Zaangażowanie
</t>
    </r>
    <r>
      <rPr>
        <b/>
        <sz val="9"/>
        <rFont val="Arial"/>
        <family val="2"/>
        <charset val="238"/>
      </rPr>
      <t>R10</t>
    </r>
  </si>
  <si>
    <r>
      <t xml:space="preserve">Wydatki
 wykonane
</t>
    </r>
    <r>
      <rPr>
        <b/>
        <sz val="9"/>
        <rFont val="Arial"/>
        <family val="2"/>
        <charset val="238"/>
      </rPr>
      <t>R4</t>
    </r>
  </si>
  <si>
    <r>
      <t xml:space="preserve">Wydatki, które nie wygasły 
z upływem roku budżetowego) 
(art.263 ust. 2 ustawy 
o finansach publicznych) 
</t>
    </r>
    <r>
      <rPr>
        <b/>
        <sz val="9"/>
        <rFont val="Arial"/>
        <family val="2"/>
        <charset val="238"/>
      </rPr>
      <t>R9</t>
    </r>
  </si>
  <si>
    <r>
      <t xml:space="preserve">ogółem
</t>
    </r>
    <r>
      <rPr>
        <b/>
        <sz val="9"/>
        <rFont val="Arial"/>
        <family val="2"/>
        <charset val="238"/>
      </rPr>
      <t>R11</t>
    </r>
  </si>
  <si>
    <r>
      <t xml:space="preserve">powstałe w latach ubiegłych
</t>
    </r>
    <r>
      <rPr>
        <b/>
        <sz val="9"/>
        <rFont val="Arial"/>
        <family val="2"/>
        <charset val="238"/>
      </rPr>
      <t>R12U</t>
    </r>
  </si>
  <si>
    <r>
      <t xml:space="preserve">powstałe w roku bieżącym
</t>
    </r>
    <r>
      <rPr>
        <b/>
        <sz val="9"/>
        <rFont val="Arial"/>
        <family val="2"/>
        <charset val="238"/>
      </rPr>
      <t>R12B</t>
    </r>
  </si>
  <si>
    <r>
      <t xml:space="preserve">Plan 
(po zmianach)
</t>
    </r>
    <r>
      <rPr>
        <b/>
        <sz val="9"/>
        <color indexed="8"/>
        <rFont val="Arial"/>
        <family val="2"/>
        <charset val="238"/>
      </rPr>
      <t>R1</t>
    </r>
  </si>
  <si>
    <r>
      <t xml:space="preserve">Dochody 
wykonane
(wpływy minus zwroty) 
</t>
    </r>
    <r>
      <rPr>
        <b/>
        <sz val="9"/>
        <color indexed="8"/>
        <rFont val="Arial"/>
        <family val="2"/>
        <charset val="238"/>
      </rPr>
      <t>R4</t>
    </r>
  </si>
  <si>
    <t>Dotacje ogółem                                  z tego:</t>
  </si>
  <si>
    <t>kredyty, pożyczki, emisja papierów wartościowych w tym:</t>
  </si>
  <si>
    <t>ze sprzedaży papierów wartościowych</t>
  </si>
  <si>
    <t>spłata  udzielonych pożyczek</t>
  </si>
  <si>
    <t>prywatyzacja majątku JST</t>
  </si>
  <si>
    <t>wolne środki, o których mowa w art. 217 ust. 2 pkt 6 ustawy o finansach publicznych</t>
  </si>
  <si>
    <t>spłaty kredytów i pożyczek, wykup papierów wartościowych w tym:</t>
  </si>
  <si>
    <t>wykup papierów wartościowych</t>
  </si>
  <si>
    <t>Wpływy z wpłat gmin i powiatów na rzecz związków</t>
  </si>
  <si>
    <t>udziały w podatku dochodowym PIT (tylko w związkach metropolitalnych)</t>
  </si>
  <si>
    <t>na finansowanie lub dofinansowanie zadań inwestycyjnych obiektów zabytkowych oraz prac remontowych i konserwatorskich przy zabytkach</t>
  </si>
  <si>
    <t>w tym: inwestycyjne</t>
  </si>
  <si>
    <t>wynagrodzenia i składki od nich naliczane</t>
  </si>
  <si>
    <t>nadwyżka z lat ubiegłych, pomniejszona o niewykorzystane środki pieniężne, o których mowa w art. 217 ust. 2 pkt 8 ustawy o finansach publicznych</t>
  </si>
  <si>
    <t>udzielone pożyczki</t>
  </si>
  <si>
    <t>niewykorzystane środki pieniężne, o których mowa w art. 217 ust. 2 pkt 8 ustawy o finansach publicznych</t>
  </si>
  <si>
    <t>nadwyżka budżetu jednostki samorządu terytorialnego z lat ubiegłych, pomniejszona o środki określone w art. 217 ust. 2 pkt 8 ustawy o finansach publicznych</t>
  </si>
  <si>
    <t>niewykorzystane środki pieniężne na rachunku bieżącym budżetu, wynikające z rozliczenia dochodów i wydatków nimi finansowanych związanych ze szczególnymi zasadami wykonywania budżetu określonymi w odrębnych ustawach oraz wynikających z rozliczenia środków określonych w art. 5 ust. 1 pkt 2 ustawy o finansach publicznych i dotacji na realizację programu, projektu lub zadania finansowanego z udziałem tych środków</t>
  </si>
  <si>
    <t>spłaty udzielonych pożyczek w latach ubiegłych</t>
  </si>
  <si>
    <t>#</t>
  </si>
  <si>
    <r>
      <t xml:space="preserve">Obniżenie górnych stawek podatkowych
</t>
    </r>
    <r>
      <rPr>
        <b/>
        <sz val="10"/>
        <color indexed="8"/>
        <rFont val="Arial"/>
        <family val="2"/>
        <charset val="238"/>
      </rPr>
      <t>R7</t>
    </r>
  </si>
  <si>
    <r>
      <t xml:space="preserve">Ulgi i zwolnienia
</t>
    </r>
    <r>
      <rPr>
        <b/>
        <sz val="10"/>
        <color indexed="8"/>
        <rFont val="Arial"/>
        <family val="2"/>
        <charset val="238"/>
      </rPr>
      <t>R8</t>
    </r>
  </si>
  <si>
    <r>
      <t xml:space="preserve">Umorzenie zaległości podatkowych
</t>
    </r>
    <r>
      <rPr>
        <b/>
        <sz val="10"/>
        <color indexed="8"/>
        <rFont val="Arial"/>
        <family val="2"/>
        <charset val="238"/>
      </rPr>
      <t>R11Z</t>
    </r>
  </si>
  <si>
    <r>
      <t xml:space="preserve">Rozłożenie na raty, odroczenie terminu płatności
</t>
    </r>
    <r>
      <rPr>
        <b/>
        <sz val="10"/>
        <color indexed="8"/>
        <rFont val="Arial"/>
        <family val="2"/>
        <charset val="238"/>
      </rPr>
      <t>R11R</t>
    </r>
  </si>
  <si>
    <r>
      <t xml:space="preserve">Potrącenia 
</t>
    </r>
    <r>
      <rPr>
        <b/>
        <sz val="10"/>
        <color indexed="8"/>
        <rFont val="Arial"/>
        <family val="2"/>
        <charset val="238"/>
      </rPr>
      <t>R3</t>
    </r>
  </si>
  <si>
    <t>Wpływy z innych lokalnych opłat pobieranych przez JST na podstawie odrębnych ustaw</t>
  </si>
  <si>
    <t>otrzymane z Funduszu Pomocy lub z innych środków (*)</t>
  </si>
  <si>
    <t>(*) na finansowanie lub dofinansowanie realizacji zadań w zakresie pomocy obywatelom Ukrainy</t>
  </si>
  <si>
    <t>tytul</t>
  </si>
  <si>
    <t>FINANSOWANIE DEFICYTU (E1+E2+E3+E4+E5+E6+E7+E8) 
z tego:</t>
  </si>
  <si>
    <t>stan niespłaconych na koniec okresu sprawozdawczego zobowiązań przeznaczonych na cel, o którym mowa w art. 89 ust. 1 pkt 1 ustawy o finansach publicznych</t>
  </si>
  <si>
    <t>inne źródła, w tym:</t>
  </si>
  <si>
    <t>środki z lokat dokonanych w latach ubiegłych</t>
  </si>
  <si>
    <t>inne cele, w tym:</t>
  </si>
  <si>
    <t>lokaty na okres wykraczający poza rok budżetowy</t>
  </si>
  <si>
    <t>dodatni (nadwyżka)</t>
  </si>
  <si>
    <t>ujemny (deficyt)</t>
  </si>
  <si>
    <t>liczba JST</t>
  </si>
  <si>
    <t>kwota</t>
  </si>
  <si>
    <t>Wynik budżetu</t>
  </si>
  <si>
    <t>zrównoważony</t>
  </si>
  <si>
    <t>Planowany</t>
  </si>
  <si>
    <t>Wykonany</t>
  </si>
  <si>
    <t>Wynik operacyjny (Db-Wb)</t>
  </si>
  <si>
    <t>=""</t>
  </si>
  <si>
    <t>otrzymane ze środków z Funduszu Przeciwdziałania COVID-19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</si>
</sst>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#,##0.0"/>
    <numFmt numFmtId="166" formatCode="dd/mm/yy\ h:mm;@"/>
    <numFmt numFmtId="167" formatCode="#,##0.00_ ;[Red]\-#,##0.00\ "/>
  </numFmts>
  <fonts count="39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  <charset val="238"/>
    </font>
    <font>
      <b/>
      <sz val="9"/>
      <color indexed="8"/>
      <name val="Arial"/>
      <family val="2"/>
      <charset val="238"/>
    </font>
    <font>
      <sz val="14"/>
      <name val="Arial"/>
      <family val="2"/>
      <charset val="238"/>
    </font>
    <font>
      <sz val="9"/>
      <name val="Arial CE"/>
      <charset val="238"/>
    </font>
    <font>
      <b/>
      <sz val="9"/>
      <name val="Arial"/>
      <family val="2"/>
      <charset val="238"/>
    </font>
    <font>
      <sz val="14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color rgb="FF242424"/>
      <name val="Arial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14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2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2" fillId="12" borderId="0" applyNumberFormat="0" applyBorder="0" applyAlignment="0" applyProtection="0"/>
    <xf numFmtId="0" fontId="12" fillId="3" borderId="0" applyNumberFormat="0" applyBorder="0" applyAlignment="0" applyProtection="0"/>
    <xf numFmtId="0" fontId="12" fillId="10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6" borderId="0" applyNumberFormat="0" applyBorder="0" applyAlignment="0" applyProtection="0"/>
    <xf numFmtId="0" fontId="12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3" borderId="0" applyNumberFormat="0" applyBorder="0" applyAlignment="0" applyProtection="0"/>
    <xf numFmtId="0" fontId="12" fillId="15" borderId="0" applyNumberFormat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3" fillId="18" borderId="0" applyNumberFormat="0" applyBorder="0" applyAlignment="0" applyProtection="0"/>
    <xf numFmtId="0" fontId="14" fillId="7" borderId="1" applyNumberFormat="0" applyAlignment="0" applyProtection="0"/>
    <xf numFmtId="0" fontId="15" fillId="17" borderId="2" applyNumberFormat="0" applyAlignment="0" applyProtection="0"/>
    <xf numFmtId="164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8" borderId="0" applyNumberFormat="0" applyBorder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21" fillId="6" borderId="1" applyNumberFormat="0" applyAlignment="0" applyProtection="0"/>
    <xf numFmtId="0" fontId="22" fillId="0" borderId="7" applyNumberFormat="0" applyFill="0" applyAlignment="0" applyProtection="0"/>
    <xf numFmtId="0" fontId="23" fillId="10" borderId="0" applyNumberFormat="0" applyBorder="0" applyAlignment="0" applyProtection="0"/>
    <xf numFmtId="0" fontId="36" fillId="0" borderId="0"/>
    <xf numFmtId="0" fontId="36" fillId="0" borderId="0"/>
    <xf numFmtId="0" fontId="1" fillId="4" borderId="8" applyNumberFormat="0" applyFont="0" applyAlignment="0" applyProtection="0"/>
    <xf numFmtId="0" fontId="24" fillId="7" borderId="3" applyNumberFormat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</cellStyleXfs>
  <cellXfs count="162">
    <xf numFmtId="0" fontId="0" fillId="0" borderId="0" xfId="0"/>
    <xf numFmtId="0" fontId="2" fillId="0" borderId="0" xfId="0" applyFont="1"/>
    <xf numFmtId="0" fontId="5" fillId="0" borderId="0" xfId="0" applyFont="1" applyFill="1" applyAlignment="1">
      <alignment horizontal="left" vertical="center"/>
    </xf>
    <xf numFmtId="165" fontId="2" fillId="0" borderId="0" xfId="0" applyNumberFormat="1" applyFont="1" applyFill="1"/>
    <xf numFmtId="0" fontId="7" fillId="0" borderId="0" xfId="0" applyFont="1" applyFill="1" applyAlignment="1">
      <alignment vertical="center"/>
    </xf>
    <xf numFmtId="0" fontId="2" fillId="0" borderId="0" xfId="0" applyFont="1" applyFill="1"/>
    <xf numFmtId="0" fontId="4" fillId="0" borderId="0" xfId="0" applyFont="1" applyFill="1" applyBorder="1" applyAlignment="1">
      <alignment horizontal="left" vertical="center"/>
    </xf>
    <xf numFmtId="3" fontId="4" fillId="0" borderId="0" xfId="0" applyNumberFormat="1" applyFont="1" applyFill="1" applyBorder="1" applyAlignment="1">
      <alignment horizontal="left" vertical="center"/>
    </xf>
    <xf numFmtId="3" fontId="4" fillId="0" borderId="0" xfId="0" applyNumberFormat="1" applyFont="1" applyFill="1" applyBorder="1" applyAlignment="1">
      <alignment horizontal="right" vertical="center"/>
    </xf>
    <xf numFmtId="165" fontId="4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/>
    <xf numFmtId="0" fontId="3" fillId="19" borderId="1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5" fillId="19" borderId="10" xfId="0" applyFont="1" applyFill="1" applyBorder="1" applyAlignment="1">
      <alignment horizontal="center" vertical="center"/>
    </xf>
    <xf numFmtId="4" fontId="3" fillId="0" borderId="10" xfId="0" applyNumberFormat="1" applyFont="1" applyBorder="1" applyAlignment="1">
      <alignment horizontal="right" vertical="center"/>
    </xf>
    <xf numFmtId="4" fontId="10" fillId="20" borderId="10" xfId="0" applyNumberFormat="1" applyFont="1" applyFill="1" applyBorder="1" applyAlignment="1">
      <alignment horizontal="right" vertical="center"/>
    </xf>
    <xf numFmtId="4" fontId="10" fillId="20" borderId="10" xfId="0" applyNumberFormat="1" applyFont="1" applyFill="1" applyBorder="1" applyAlignment="1">
      <alignment horizontal="right" vertical="center" wrapText="1"/>
    </xf>
    <xf numFmtId="165" fontId="5" fillId="0" borderId="0" xfId="0" applyNumberFormat="1" applyFont="1" applyAlignment="1">
      <alignment horizontal="right" vertical="center"/>
    </xf>
    <xf numFmtId="0" fontId="3" fillId="0" borderId="10" xfId="0" applyFont="1" applyBorder="1" applyAlignment="1">
      <alignment horizontal="left" vertical="center" wrapText="1" indent="2"/>
    </xf>
    <xf numFmtId="165" fontId="10" fillId="20" borderId="10" xfId="0" applyNumberFormat="1" applyFont="1" applyFill="1" applyBorder="1" applyAlignment="1">
      <alignment horizontal="right" vertical="center"/>
    </xf>
    <xf numFmtId="165" fontId="3" fillId="0" borderId="10" xfId="0" applyNumberFormat="1" applyFont="1" applyFill="1" applyBorder="1" applyAlignment="1">
      <alignment horizontal="right" vertical="center"/>
    </xf>
    <xf numFmtId="165" fontId="9" fillId="20" borderId="10" xfId="0" applyNumberFormat="1" applyFont="1" applyFill="1" applyBorder="1" applyAlignment="1">
      <alignment horizontal="right" vertical="center"/>
    </xf>
    <xf numFmtId="0" fontId="5" fillId="0" borderId="0" xfId="0" applyFont="1"/>
    <xf numFmtId="0" fontId="5" fillId="19" borderId="10" xfId="0" applyNumberFormat="1" applyFont="1" applyFill="1" applyBorder="1" applyAlignment="1">
      <alignment horizontal="center" vertical="center" wrapText="1"/>
    </xf>
    <xf numFmtId="0" fontId="5" fillId="19" borderId="10" xfId="0" applyFont="1" applyFill="1" applyBorder="1" applyAlignment="1">
      <alignment horizontal="center"/>
    </xf>
    <xf numFmtId="165" fontId="9" fillId="20" borderId="10" xfId="28" applyNumberFormat="1" applyFont="1" applyFill="1" applyBorder="1" applyAlignment="1">
      <alignment horizontal="right" vertical="center"/>
    </xf>
    <xf numFmtId="0" fontId="5" fillId="19" borderId="11" xfId="0" applyFont="1" applyFill="1" applyBorder="1" applyAlignment="1">
      <alignment horizontal="center"/>
    </xf>
    <xf numFmtId="4" fontId="9" fillId="20" borderId="11" xfId="0" applyNumberFormat="1" applyFont="1" applyFill="1" applyBorder="1" applyAlignment="1">
      <alignment horizontal="right" vertical="center"/>
    </xf>
    <xf numFmtId="4" fontId="5" fillId="0" borderId="11" xfId="0" applyNumberFormat="1" applyFont="1" applyBorder="1" applyAlignment="1">
      <alignment horizontal="right" vertical="center"/>
    </xf>
    <xf numFmtId="4" fontId="5" fillId="20" borderId="11" xfId="0" applyNumberFormat="1" applyFont="1" applyFill="1" applyBorder="1" applyAlignment="1">
      <alignment horizontal="right" vertical="center"/>
    </xf>
    <xf numFmtId="4" fontId="5" fillId="21" borderId="11" xfId="0" applyNumberFormat="1" applyFont="1" applyFill="1" applyBorder="1" applyAlignment="1">
      <alignment horizontal="right" vertical="center"/>
    </xf>
    <xf numFmtId="4" fontId="9" fillId="22" borderId="11" xfId="0" applyNumberFormat="1" applyFont="1" applyFill="1" applyBorder="1" applyAlignment="1">
      <alignment horizontal="right" vertical="center"/>
    </xf>
    <xf numFmtId="165" fontId="9" fillId="21" borderId="10" xfId="28" applyNumberFormat="1" applyFont="1" applyFill="1" applyBorder="1" applyAlignment="1">
      <alignment horizontal="right" vertical="center"/>
    </xf>
    <xf numFmtId="165" fontId="9" fillId="21" borderId="10" xfId="0" applyNumberFormat="1" applyFont="1" applyFill="1" applyBorder="1" applyAlignment="1">
      <alignment horizontal="right" vertical="center"/>
    </xf>
    <xf numFmtId="165" fontId="9" fillId="22" borderId="10" xfId="0" applyNumberFormat="1" applyFont="1" applyFill="1" applyBorder="1" applyAlignment="1">
      <alignment horizontal="right" vertical="center"/>
    </xf>
    <xf numFmtId="4" fontId="3" fillId="0" borderId="0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7" fillId="19" borderId="10" xfId="0" applyFont="1" applyFill="1" applyBorder="1" applyAlignment="1">
      <alignment horizontal="center" vertical="center" wrapText="1"/>
    </xf>
    <xf numFmtId="0" fontId="4" fillId="19" borderId="10" xfId="0" applyFont="1" applyFill="1" applyBorder="1" applyAlignment="1">
      <alignment horizontal="center" vertical="center" wrapText="1"/>
    </xf>
    <xf numFmtId="0" fontId="7" fillId="19" borderId="10" xfId="0" applyFont="1" applyFill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9" fillId="19" borderId="1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2" fillId="19" borderId="10" xfId="0" applyFont="1" applyFill="1" applyBorder="1" applyAlignment="1">
      <alignment horizontal="center" vertical="center" wrapText="1"/>
    </xf>
    <xf numFmtId="0" fontId="7" fillId="19" borderId="10" xfId="0" applyNumberFormat="1" applyFont="1" applyFill="1" applyBorder="1" applyAlignment="1">
      <alignment horizontal="center" vertical="center" wrapText="1"/>
    </xf>
    <xf numFmtId="0" fontId="7" fillId="19" borderId="11" xfId="0" applyFont="1" applyFill="1" applyBorder="1" applyAlignment="1">
      <alignment horizontal="center"/>
    </xf>
    <xf numFmtId="0" fontId="7" fillId="19" borderId="10" xfId="0" applyFont="1" applyFill="1" applyBorder="1" applyAlignment="1">
      <alignment horizontal="center"/>
    </xf>
    <xf numFmtId="0" fontId="30" fillId="0" borderId="0" xfId="0" applyFont="1" applyAlignment="1">
      <alignment horizontal="center" vertical="center" wrapText="1"/>
    </xf>
    <xf numFmtId="4" fontId="10" fillId="22" borderId="10" xfId="0" applyNumberFormat="1" applyFont="1" applyFill="1" applyBorder="1" applyAlignment="1">
      <alignment horizontal="right" vertical="center"/>
    </xf>
    <xf numFmtId="165" fontId="10" fillId="22" borderId="10" xfId="0" applyNumberFormat="1" applyFont="1" applyFill="1" applyBorder="1" applyAlignment="1">
      <alignment horizontal="right" vertical="center"/>
    </xf>
    <xf numFmtId="4" fontId="3" fillId="0" borderId="10" xfId="0" applyNumberFormat="1" applyFont="1" applyFill="1" applyBorder="1" applyAlignment="1">
      <alignment horizontal="right" vertical="center"/>
    </xf>
    <xf numFmtId="4" fontId="5" fillId="0" borderId="10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3" fillId="0" borderId="10" xfId="0" applyFont="1" applyFill="1" applyBorder="1" applyAlignment="1">
      <alignment horizontal="left" vertical="center" wrapText="1" indent="2"/>
    </xf>
    <xf numFmtId="165" fontId="3" fillId="22" borderId="10" xfId="0" applyNumberFormat="1" applyFont="1" applyFill="1" applyBorder="1" applyAlignment="1">
      <alignment horizontal="right" vertical="center"/>
    </xf>
    <xf numFmtId="4" fontId="9" fillId="22" borderId="10" xfId="0" applyNumberFormat="1" applyFont="1" applyFill="1" applyBorder="1" applyAlignment="1">
      <alignment horizontal="right" vertical="center"/>
    </xf>
    <xf numFmtId="4" fontId="10" fillId="22" borderId="10" xfId="0" applyNumberFormat="1" applyFont="1" applyFill="1" applyBorder="1" applyAlignment="1">
      <alignment horizontal="right" vertical="center" wrapText="1"/>
    </xf>
    <xf numFmtId="165" fontId="9" fillId="0" borderId="10" xfId="0" applyNumberFormat="1" applyFont="1" applyFill="1" applyBorder="1" applyAlignment="1">
      <alignment horizontal="right" vertical="center"/>
    </xf>
    <xf numFmtId="4" fontId="3" fillId="0" borderId="10" xfId="0" applyNumberFormat="1" applyFont="1" applyFill="1" applyBorder="1" applyAlignment="1">
      <alignment horizontal="right" vertical="center" wrapText="1"/>
    </xf>
    <xf numFmtId="4" fontId="5" fillId="0" borderId="0" xfId="0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left" vertical="center" wrapText="1" indent="1"/>
    </xf>
    <xf numFmtId="4" fontId="5" fillId="0" borderId="11" xfId="0" applyNumberFormat="1" applyFont="1" applyFill="1" applyBorder="1" applyAlignment="1">
      <alignment horizontal="right" vertical="center"/>
    </xf>
    <xf numFmtId="165" fontId="9" fillId="0" borderId="10" xfId="28" applyNumberFormat="1" applyFont="1" applyFill="1" applyBorder="1" applyAlignment="1">
      <alignment horizontal="right" vertical="center"/>
    </xf>
    <xf numFmtId="165" fontId="3" fillId="21" borderId="10" xfId="0" applyNumberFormat="1" applyFont="1" applyFill="1" applyBorder="1" applyAlignment="1">
      <alignment horizontal="right" vertical="center"/>
    </xf>
    <xf numFmtId="4" fontId="10" fillId="22" borderId="10" xfId="0" applyNumberFormat="1" applyFont="1" applyFill="1" applyBorder="1" applyAlignment="1">
      <alignment horizontal="right" vertical="center" wrapText="1"/>
    </xf>
    <xf numFmtId="4" fontId="9" fillId="22" borderId="10" xfId="0" applyNumberFormat="1" applyFont="1" applyFill="1" applyBorder="1" applyAlignment="1">
      <alignment horizontal="right" vertical="center"/>
    </xf>
    <xf numFmtId="0" fontId="7" fillId="19" borderId="11" xfId="0" applyFont="1" applyFill="1" applyBorder="1" applyAlignment="1">
      <alignment horizontal="center" vertical="center"/>
    </xf>
    <xf numFmtId="0" fontId="5" fillId="19" borderId="11" xfId="0" applyFont="1" applyFill="1" applyBorder="1" applyAlignment="1">
      <alignment horizontal="center" vertical="center"/>
    </xf>
    <xf numFmtId="4" fontId="3" fillId="0" borderId="15" xfId="0" applyNumberFormat="1" applyFont="1" applyFill="1" applyBorder="1" applyAlignment="1">
      <alignment horizontal="right" vertical="center"/>
    </xf>
    <xf numFmtId="4" fontId="10" fillId="0" borderId="16" xfId="0" applyNumberFormat="1" applyFont="1" applyFill="1" applyBorder="1" applyAlignment="1">
      <alignment horizontal="right" vertical="center" wrapText="1"/>
    </xf>
    <xf numFmtId="4" fontId="10" fillId="0" borderId="17" xfId="0" applyNumberFormat="1" applyFont="1" applyFill="1" applyBorder="1" applyAlignment="1">
      <alignment horizontal="right" vertical="center" wrapText="1"/>
    </xf>
    <xf numFmtId="4" fontId="9" fillId="0" borderId="0" xfId="0" applyNumberFormat="1" applyFont="1" applyFill="1" applyBorder="1" applyAlignment="1">
      <alignment horizontal="right" vertical="center"/>
    </xf>
    <xf numFmtId="4" fontId="3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9" fillId="22" borderId="10" xfId="0" applyNumberFormat="1" applyFont="1" applyFill="1" applyBorder="1" applyAlignment="1">
      <alignment vertical="center"/>
    </xf>
    <xf numFmtId="4" fontId="10" fillId="22" borderId="10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/>
    </xf>
    <xf numFmtId="4" fontId="3" fillId="0" borderId="10" xfId="0" applyNumberFormat="1" applyFont="1" applyFill="1" applyBorder="1" applyAlignment="1">
      <alignment vertical="center" wrapText="1"/>
    </xf>
    <xf numFmtId="4" fontId="3" fillId="0" borderId="11" xfId="0" applyNumberFormat="1" applyFont="1" applyFill="1" applyBorder="1" applyAlignment="1">
      <alignment vertical="center" wrapText="1"/>
    </xf>
    <xf numFmtId="4" fontId="3" fillId="0" borderId="16" xfId="0" applyNumberFormat="1" applyFont="1" applyFill="1" applyBorder="1" applyAlignment="1">
      <alignment vertical="center" wrapText="1"/>
    </xf>
    <xf numFmtId="0" fontId="7" fillId="19" borderId="10" xfId="0" applyFont="1" applyFill="1" applyBorder="1" applyAlignment="1">
      <alignment vertical="center"/>
    </xf>
    <xf numFmtId="4" fontId="5" fillId="21" borderId="10" xfId="0" applyNumberFormat="1" applyFont="1" applyFill="1" applyBorder="1" applyAlignment="1">
      <alignment horizontal="right" vertical="center"/>
    </xf>
    <xf numFmtId="4" fontId="5" fillId="20" borderId="10" xfId="0" applyNumberFormat="1" applyFont="1" applyFill="1" applyBorder="1" applyAlignment="1">
      <alignment horizontal="right" vertical="center"/>
    </xf>
    <xf numFmtId="4" fontId="10" fillId="22" borderId="10" xfId="0" applyNumberFormat="1" applyFont="1" applyFill="1" applyBorder="1" applyAlignment="1">
      <alignment horizontal="center" vertical="center"/>
    </xf>
    <xf numFmtId="4" fontId="10" fillId="0" borderId="10" xfId="0" applyNumberFormat="1" applyFont="1" applyFill="1" applyBorder="1" applyAlignment="1">
      <alignment horizontal="center" vertical="center"/>
    </xf>
    <xf numFmtId="4" fontId="3" fillId="22" borderId="10" xfId="0" applyNumberFormat="1" applyFont="1" applyFill="1" applyBorder="1" applyAlignment="1">
      <alignment horizontal="center" vertical="center"/>
    </xf>
    <xf numFmtId="4" fontId="3" fillId="0" borderId="1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22" borderId="10" xfId="0" applyFont="1" applyFill="1" applyBorder="1" applyAlignment="1">
      <alignment vertical="center" wrapText="1"/>
    </xf>
    <xf numFmtId="0" fontId="6" fillId="22" borderId="10" xfId="0" applyFont="1" applyFill="1" applyBorder="1" applyAlignment="1">
      <alignment horizontal="left" vertical="center" wrapText="1"/>
    </xf>
    <xf numFmtId="0" fontId="6" fillId="20" borderId="10" xfId="0" applyFont="1" applyFill="1" applyBorder="1" applyAlignment="1">
      <alignment horizontal="left" vertical="center" wrapText="1" indent="1"/>
    </xf>
    <xf numFmtId="0" fontId="6" fillId="22" borderId="10" xfId="0" applyFont="1" applyFill="1" applyBorder="1" applyAlignment="1">
      <alignment horizontal="left" vertical="center" wrapText="1" indent="1"/>
    </xf>
    <xf numFmtId="0" fontId="3" fillId="0" borderId="10" xfId="0" applyFont="1" applyFill="1" applyBorder="1" applyAlignment="1">
      <alignment horizontal="left" vertical="center" wrapText="1" indent="3"/>
    </xf>
    <xf numFmtId="0" fontId="6" fillId="22" borderId="10" xfId="0" applyFont="1" applyFill="1" applyBorder="1" applyAlignment="1">
      <alignment horizontal="left" vertical="center" wrapText="1" indent="2"/>
    </xf>
    <xf numFmtId="0" fontId="3" fillId="0" borderId="10" xfId="0" applyFont="1" applyFill="1" applyBorder="1" applyAlignment="1">
      <alignment horizontal="left" vertical="center" wrapText="1" indent="4"/>
    </xf>
    <xf numFmtId="0" fontId="3" fillId="0" borderId="10" xfId="0" applyFont="1" applyFill="1" applyBorder="1" applyAlignment="1">
      <alignment horizontal="left" vertical="top" wrapText="1" indent="3"/>
    </xf>
    <xf numFmtId="0" fontId="3" fillId="21" borderId="10" xfId="0" applyFont="1" applyFill="1" applyBorder="1" applyAlignment="1">
      <alignment horizontal="left" vertical="center" wrapText="1" indent="3"/>
    </xf>
    <xf numFmtId="0" fontId="3" fillId="0" borderId="10" xfId="0" applyFont="1" applyBorder="1" applyAlignment="1">
      <alignment horizontal="left" vertical="center" wrapText="1" indent="3"/>
    </xf>
    <xf numFmtId="4" fontId="9" fillId="20" borderId="11" xfId="0" applyNumberFormat="1" applyFont="1" applyFill="1" applyBorder="1" applyAlignment="1">
      <alignment horizontal="center" vertical="center"/>
    </xf>
    <xf numFmtId="4" fontId="5" fillId="0" borderId="11" xfId="0" applyNumberFormat="1" applyFont="1" applyBorder="1" applyAlignment="1">
      <alignment horizontal="center" vertical="center"/>
    </xf>
    <xf numFmtId="4" fontId="9" fillId="22" borderId="11" xfId="0" applyNumberFormat="1" applyFont="1" applyFill="1" applyBorder="1" applyAlignment="1">
      <alignment horizontal="center" vertical="center"/>
    </xf>
    <xf numFmtId="4" fontId="5" fillId="21" borderId="11" xfId="0" applyNumberFormat="1" applyFont="1" applyFill="1" applyBorder="1" applyAlignment="1">
      <alignment horizontal="center" vertical="center"/>
    </xf>
    <xf numFmtId="0" fontId="8" fillId="20" borderId="10" xfId="0" applyFont="1" applyFill="1" applyBorder="1" applyAlignment="1">
      <alignment vertical="center" wrapText="1"/>
    </xf>
    <xf numFmtId="0" fontId="37" fillId="22" borderId="10" xfId="39" applyFont="1" applyFill="1" applyBorder="1" applyAlignment="1">
      <alignment vertical="center" wrapText="1"/>
    </xf>
    <xf numFmtId="0" fontId="5" fillId="0" borderId="10" xfId="0" applyFont="1" applyBorder="1" applyAlignment="1">
      <alignment horizontal="left" vertical="center" wrapText="1" indent="1"/>
    </xf>
    <xf numFmtId="0" fontId="5" fillId="0" borderId="10" xfId="0" applyFont="1" applyFill="1" applyBorder="1" applyAlignment="1">
      <alignment horizontal="left" vertical="center" wrapText="1" indent="2"/>
    </xf>
    <xf numFmtId="0" fontId="37" fillId="0" borderId="10" xfId="39" applyFont="1" applyBorder="1" applyAlignment="1">
      <alignment horizontal="left" vertical="center" wrapText="1" indent="1"/>
    </xf>
    <xf numFmtId="0" fontId="33" fillId="0" borderId="0" xfId="0" applyFont="1" applyAlignment="1">
      <alignment vertical="center" wrapText="1"/>
    </xf>
    <xf numFmtId="0" fontId="30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38" fillId="0" borderId="0" xfId="0" applyFont="1"/>
    <xf numFmtId="49" fontId="2" fillId="0" borderId="0" xfId="0" applyNumberFormat="1" applyFont="1"/>
    <xf numFmtId="0" fontId="9" fillId="0" borderId="10" xfId="0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right" vertical="center" wrapText="1"/>
    </xf>
    <xf numFmtId="3" fontId="35" fillId="0" borderId="10" xfId="0" applyNumberFormat="1" applyFont="1" applyBorder="1" applyAlignment="1">
      <alignment vertical="center" wrapText="1"/>
    </xf>
    <xf numFmtId="167" fontId="35" fillId="0" borderId="10" xfId="0" applyNumberFormat="1" applyFont="1" applyBorder="1" applyAlignment="1">
      <alignment vertical="center" wrapText="1"/>
    </xf>
    <xf numFmtId="166" fontId="7" fillId="0" borderId="11" xfId="0" applyNumberFormat="1" applyFont="1" applyBorder="1" applyAlignment="1">
      <alignment horizontal="center" vertical="center"/>
    </xf>
    <xf numFmtId="166" fontId="7" fillId="0" borderId="13" xfId="0" applyNumberFormat="1" applyFont="1" applyBorder="1" applyAlignment="1">
      <alignment horizontal="center" vertical="center"/>
    </xf>
    <xf numFmtId="0" fontId="7" fillId="19" borderId="16" xfId="0" applyFont="1" applyFill="1" applyBorder="1" applyAlignment="1">
      <alignment horizontal="center" vertical="center"/>
    </xf>
    <xf numFmtId="0" fontId="7" fillId="19" borderId="17" xfId="0" applyFont="1" applyFill="1" applyBorder="1" applyAlignment="1">
      <alignment horizontal="center" vertical="center"/>
    </xf>
    <xf numFmtId="0" fontId="7" fillId="19" borderId="19" xfId="0" applyFont="1" applyFill="1" applyBorder="1" applyAlignment="1">
      <alignment horizontal="center" vertical="center"/>
    </xf>
    <xf numFmtId="0" fontId="7" fillId="19" borderId="22" xfId="0" applyFont="1" applyFill="1" applyBorder="1" applyAlignment="1">
      <alignment horizontal="center" vertical="center"/>
    </xf>
    <xf numFmtId="0" fontId="7" fillId="19" borderId="0" xfId="0" applyFont="1" applyFill="1" applyBorder="1" applyAlignment="1">
      <alignment horizontal="center" vertical="center"/>
    </xf>
    <xf numFmtId="0" fontId="7" fillId="19" borderId="23" xfId="0" applyFont="1" applyFill="1" applyBorder="1" applyAlignment="1">
      <alignment horizontal="center" vertical="center"/>
    </xf>
    <xf numFmtId="0" fontId="7" fillId="19" borderId="20" xfId="0" applyFont="1" applyFill="1" applyBorder="1" applyAlignment="1">
      <alignment horizontal="center" vertical="center"/>
    </xf>
    <xf numFmtId="0" fontId="7" fillId="19" borderId="21" xfId="0" applyFont="1" applyFill="1" applyBorder="1" applyAlignment="1">
      <alignment horizontal="center" vertical="center"/>
    </xf>
    <xf numFmtId="0" fontId="7" fillId="19" borderId="12" xfId="0" applyFont="1" applyFill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 wrapText="1"/>
    </xf>
    <xf numFmtId="0" fontId="29" fillId="19" borderId="10" xfId="0" applyFont="1" applyFill="1" applyBorder="1" applyAlignment="1">
      <alignment horizontal="center" vertical="center"/>
    </xf>
    <xf numFmtId="0" fontId="7" fillId="19" borderId="15" xfId="0" applyFont="1" applyFill="1" applyBorder="1" applyAlignment="1">
      <alignment horizontal="center" vertical="center" wrapText="1"/>
    </xf>
    <xf numFmtId="0" fontId="7" fillId="19" borderId="24" xfId="0" applyFont="1" applyFill="1" applyBorder="1" applyAlignment="1">
      <alignment horizontal="center" vertical="center" wrapText="1"/>
    </xf>
    <xf numFmtId="0" fontId="7" fillId="19" borderId="14" xfId="0" applyFont="1" applyFill="1" applyBorder="1" applyAlignment="1">
      <alignment horizontal="center" vertical="center" wrapText="1"/>
    </xf>
    <xf numFmtId="0" fontId="7" fillId="19" borderId="10" xfId="0" applyFont="1" applyFill="1" applyBorder="1" applyAlignment="1">
      <alignment horizontal="center" vertical="center" wrapText="1"/>
    </xf>
    <xf numFmtId="0" fontId="7" fillId="19" borderId="11" xfId="0" applyFont="1" applyFill="1" applyBorder="1" applyAlignment="1">
      <alignment horizontal="center" vertical="top" wrapText="1"/>
    </xf>
    <xf numFmtId="0" fontId="31" fillId="0" borderId="13" xfId="0" applyFont="1" applyBorder="1" applyAlignment="1">
      <alignment horizontal="center" vertical="top" wrapText="1"/>
    </xf>
    <xf numFmtId="0" fontId="6" fillId="22" borderId="10" xfId="0" applyFont="1" applyFill="1" applyBorder="1" applyAlignment="1">
      <alignment horizontal="left" vertical="center" wrapText="1"/>
    </xf>
    <xf numFmtId="0" fontId="4" fillId="19" borderId="11" xfId="0" applyFont="1" applyFill="1" applyBorder="1" applyAlignment="1">
      <alignment horizontal="center" vertical="center"/>
    </xf>
    <xf numFmtId="0" fontId="4" fillId="19" borderId="18" xfId="0" applyFont="1" applyFill="1" applyBorder="1" applyAlignment="1">
      <alignment horizontal="center" vertical="center"/>
    </xf>
    <xf numFmtId="0" fontId="4" fillId="19" borderId="13" xfId="0" applyFont="1" applyFill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/>
    </xf>
    <xf numFmtId="0" fontId="7" fillId="19" borderId="10" xfId="0" applyFont="1" applyFill="1" applyBorder="1" applyAlignment="1">
      <alignment horizontal="center" vertical="center"/>
    </xf>
    <xf numFmtId="4" fontId="10" fillId="0" borderId="17" xfId="0" applyNumberFormat="1" applyFont="1" applyFill="1" applyBorder="1" applyAlignment="1">
      <alignment horizontal="right" vertical="center" wrapText="1"/>
    </xf>
    <xf numFmtId="0" fontId="7" fillId="19" borderId="13" xfId="0" applyFont="1" applyFill="1" applyBorder="1" applyAlignment="1">
      <alignment horizontal="center" vertical="center"/>
    </xf>
    <xf numFmtId="0" fontId="7" fillId="19" borderId="11" xfId="0" applyFont="1" applyFill="1" applyBorder="1" applyAlignment="1">
      <alignment horizontal="center" vertical="center" wrapText="1"/>
    </xf>
    <xf numFmtId="0" fontId="7" fillId="19" borderId="13" xfId="0" applyFont="1" applyFill="1" applyBorder="1" applyAlignment="1">
      <alignment horizontal="center" vertical="center" wrapText="1"/>
    </xf>
    <xf numFmtId="0" fontId="5" fillId="19" borderId="11" xfId="0" applyFont="1" applyFill="1" applyBorder="1" applyAlignment="1">
      <alignment horizontal="center" vertical="center" wrapText="1"/>
    </xf>
    <xf numFmtId="0" fontId="5" fillId="19" borderId="13" xfId="0" applyFont="1" applyFill="1" applyBorder="1" applyAlignment="1">
      <alignment horizontal="center" vertical="center" wrapText="1"/>
    </xf>
    <xf numFmtId="0" fontId="4" fillId="19" borderId="16" xfId="0" applyFont="1" applyFill="1" applyBorder="1" applyAlignment="1">
      <alignment horizontal="center" vertical="center"/>
    </xf>
    <xf numFmtId="0" fontId="4" fillId="19" borderId="17" xfId="0" applyFont="1" applyFill="1" applyBorder="1" applyAlignment="1">
      <alignment horizontal="center" vertical="center"/>
    </xf>
    <xf numFmtId="0" fontId="4" fillId="19" borderId="19" xfId="0" applyFont="1" applyFill="1" applyBorder="1" applyAlignment="1">
      <alignment horizontal="center" vertical="center"/>
    </xf>
    <xf numFmtId="0" fontId="4" fillId="19" borderId="20" xfId="0" applyFont="1" applyFill="1" applyBorder="1" applyAlignment="1">
      <alignment horizontal="center" vertical="center"/>
    </xf>
    <xf numFmtId="0" fontId="4" fillId="19" borderId="21" xfId="0" applyFont="1" applyFill="1" applyBorder="1" applyAlignment="1">
      <alignment horizontal="center" vertical="center"/>
    </xf>
    <xf numFmtId="0" fontId="4" fillId="19" borderId="12" xfId="0" applyFont="1" applyFill="1" applyBorder="1" applyAlignment="1">
      <alignment horizontal="center" vertical="center"/>
    </xf>
    <xf numFmtId="0" fontId="34" fillId="0" borderId="10" xfId="0" applyFont="1" applyBorder="1" applyAlignment="1">
      <alignment horizontal="center" vertical="center" wrapText="1"/>
    </xf>
  </cellXfs>
  <cellStyles count="46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Dziesiętny 2" xfId="28" xr:uid="{00000000-0005-0000-0000-00001B000000}"/>
    <cellStyle name="Dziesiętny 3" xfId="29" xr:uid="{00000000-0005-0000-0000-00001C000000}"/>
    <cellStyle name="Explanatory Text" xfId="30" xr:uid="{00000000-0005-0000-0000-00001D000000}"/>
    <cellStyle name="Good" xfId="31" xr:uid="{00000000-0005-0000-0000-00001E000000}"/>
    <cellStyle name="Heading 1" xfId="32" xr:uid="{00000000-0005-0000-0000-00001F000000}"/>
    <cellStyle name="Heading 2" xfId="33" xr:uid="{00000000-0005-0000-0000-000020000000}"/>
    <cellStyle name="Heading 3" xfId="34" xr:uid="{00000000-0005-0000-0000-000021000000}"/>
    <cellStyle name="Heading 4" xfId="35" xr:uid="{00000000-0005-0000-0000-000022000000}"/>
    <cellStyle name="Input" xfId="36" xr:uid="{00000000-0005-0000-0000-000023000000}"/>
    <cellStyle name="Linked Cell" xfId="37" xr:uid="{00000000-0005-0000-0000-000024000000}"/>
    <cellStyle name="Neutral" xfId="38" xr:uid="{00000000-0005-0000-0000-000025000000}"/>
    <cellStyle name="Normalny" xfId="0" builtinId="0"/>
    <cellStyle name="Normalny 2" xfId="39" xr:uid="{00000000-0005-0000-0000-000027000000}"/>
    <cellStyle name="Normalny 2 2" xfId="40" xr:uid="{00000000-0005-0000-0000-000028000000}"/>
    <cellStyle name="Note" xfId="41" xr:uid="{00000000-0005-0000-0000-000029000000}"/>
    <cellStyle name="Output" xfId="42" xr:uid="{00000000-0005-0000-0000-00002A000000}"/>
    <cellStyle name="Title" xfId="43" xr:uid="{00000000-0005-0000-0000-00002B000000}"/>
    <cellStyle name="Total" xfId="44" xr:uid="{00000000-0005-0000-0000-00002C000000}"/>
    <cellStyle name="Warning Text" xfId="45" xr:uid="{00000000-0005-0000-0000-00002D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outlinePr summaryBelow="0"/>
  </sheetPr>
  <dimension ref="A1:Z111"/>
  <sheetViews>
    <sheetView tabSelected="1" topLeftCell="B1" zoomScaleNormal="100" workbookViewId="0">
      <selection activeCell="B1" sqref="B1"/>
    </sheetView>
  </sheetViews>
  <sheetFormatPr defaultRowHeight="12.75" outlineLevelRow="1" outlineLevelCol="1" x14ac:dyDescent="0.2"/>
  <cols>
    <col min="1" max="1" width="5.7109375" style="1" hidden="1" customWidth="1"/>
    <col min="2" max="2" width="30.7109375" style="1" customWidth="1"/>
    <col min="3" max="3" width="15.7109375" style="1" customWidth="1"/>
    <col min="4" max="4" width="13.7109375" style="1" customWidth="1"/>
    <col min="5" max="5" width="14.140625" style="1" bestFit="1" customWidth="1" outlineLevel="1"/>
    <col min="6" max="8" width="13.7109375" style="1" customWidth="1" outlineLevel="1"/>
    <col min="9" max="9" width="12.85546875" style="1" customWidth="1" outlineLevel="1"/>
    <col min="10" max="11" width="8.42578125" style="1" bestFit="1" customWidth="1"/>
    <col min="12" max="12" width="9.140625" style="1" bestFit="1" customWidth="1"/>
    <col min="13" max="13" width="8.140625" style="1" customWidth="1"/>
    <col min="14" max="16384" width="9.140625" style="1"/>
  </cols>
  <sheetData>
    <row r="1" spans="2:12" ht="18" customHeight="1" x14ac:dyDescent="0.2">
      <c r="B1" s="112" t="str">
        <f>CONCATENATE("Informacja z wykonania budżetów związków jednostek samorządu terytorialnego za ",$D$108," ",$C$109," rok    ",$C$111,"")</f>
        <v>Informacja z wykonania budżetów związków jednostek samorządu terytorialnego za I Kwartał 2026 rok    =""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2:12" ht="13.5" customHeight="1" x14ac:dyDescent="0.2"/>
    <row r="3" spans="2:12" ht="66.75" customHeight="1" x14ac:dyDescent="0.2">
      <c r="B3" s="136" t="s">
        <v>0</v>
      </c>
      <c r="C3" s="39" t="s">
        <v>57</v>
      </c>
      <c r="D3" s="39" t="s">
        <v>58</v>
      </c>
      <c r="E3" s="11" t="s">
        <v>79</v>
      </c>
      <c r="F3" s="11" t="s">
        <v>80</v>
      </c>
      <c r="G3" s="11" t="s">
        <v>81</v>
      </c>
      <c r="H3" s="11" t="s">
        <v>82</v>
      </c>
      <c r="I3" s="11" t="s">
        <v>83</v>
      </c>
      <c r="J3" s="41" t="s">
        <v>2</v>
      </c>
      <c r="K3" s="39" t="s">
        <v>18</v>
      </c>
      <c r="L3" s="39" t="s">
        <v>3</v>
      </c>
    </row>
    <row r="4" spans="2:12" x14ac:dyDescent="0.2">
      <c r="B4" s="136"/>
      <c r="C4" s="144" t="s">
        <v>40</v>
      </c>
      <c r="D4" s="146"/>
      <c r="E4" s="155" t="s">
        <v>78</v>
      </c>
      <c r="F4" s="156"/>
      <c r="G4" s="156"/>
      <c r="H4" s="156"/>
      <c r="I4" s="157"/>
      <c r="J4" s="144" t="s">
        <v>4</v>
      </c>
      <c r="K4" s="145"/>
      <c r="L4" s="146"/>
    </row>
    <row r="5" spans="2:12" x14ac:dyDescent="0.2">
      <c r="B5" s="41">
        <v>1</v>
      </c>
      <c r="C5" s="40">
        <v>2</v>
      </c>
      <c r="D5" s="40">
        <v>3</v>
      </c>
      <c r="E5" s="158"/>
      <c r="F5" s="159"/>
      <c r="G5" s="159"/>
      <c r="H5" s="159"/>
      <c r="I5" s="160"/>
      <c r="J5" s="40">
        <v>4</v>
      </c>
      <c r="K5" s="40">
        <v>5</v>
      </c>
      <c r="L5" s="40">
        <v>6</v>
      </c>
    </row>
    <row r="6" spans="2:12" ht="14.1" customHeight="1" x14ac:dyDescent="0.2">
      <c r="B6" s="92" t="s">
        <v>5</v>
      </c>
      <c r="C6" s="51">
        <f>6142869372.31</f>
        <v>6142869372.3100004</v>
      </c>
      <c r="D6" s="51">
        <f>1456333961.28</f>
        <v>1456333961.28</v>
      </c>
      <c r="E6" s="86" t="s">
        <v>78</v>
      </c>
      <c r="F6" s="86" t="s">
        <v>78</v>
      </c>
      <c r="G6" s="86" t="s">
        <v>78</v>
      </c>
      <c r="H6" s="86" t="s">
        <v>78</v>
      </c>
      <c r="I6" s="86" t="s">
        <v>78</v>
      </c>
      <c r="J6" s="52">
        <f t="shared" ref="J6:J40" si="0">IF($D$6=0,"",100*$D6/$D$6)</f>
        <v>100</v>
      </c>
      <c r="K6" s="52">
        <f t="shared" ref="K6:K40" si="1">IF(C6=0,"",100*D6/C6)</f>
        <v>23.707714962077269</v>
      </c>
      <c r="L6" s="52"/>
    </row>
    <row r="7" spans="2:12" ht="27" customHeight="1" x14ac:dyDescent="0.2">
      <c r="B7" s="94" t="s">
        <v>27</v>
      </c>
      <c r="C7" s="15">
        <f>C6-C13</f>
        <v>5407278310.4500008</v>
      </c>
      <c r="D7" s="15">
        <f>D6-D13</f>
        <v>1356244546.21</v>
      </c>
      <c r="E7" s="86" t="s">
        <v>78</v>
      </c>
      <c r="F7" s="86" t="s">
        <v>78</v>
      </c>
      <c r="G7" s="86" t="s">
        <v>78</v>
      </c>
      <c r="H7" s="86" t="s">
        <v>78</v>
      </c>
      <c r="I7" s="86" t="s">
        <v>78</v>
      </c>
      <c r="J7" s="19">
        <f t="shared" si="0"/>
        <v>93.12730337057927</v>
      </c>
      <c r="K7" s="19">
        <f t="shared" si="1"/>
        <v>25.081833564751943</v>
      </c>
      <c r="L7" s="19">
        <f t="shared" ref="L7:L12" si="2">IF($D$7=0,"",100*$D7/$D$7)</f>
        <v>100</v>
      </c>
    </row>
    <row r="8" spans="2:12" ht="22.5" outlineLevel="1" x14ac:dyDescent="0.2">
      <c r="B8" s="18" t="s">
        <v>68</v>
      </c>
      <c r="C8" s="53">
        <f>664778888</f>
        <v>664778888</v>
      </c>
      <c r="D8" s="54">
        <f>166194720</f>
        <v>166194720</v>
      </c>
      <c r="E8" s="87" t="s">
        <v>78</v>
      </c>
      <c r="F8" s="87" t="s">
        <v>78</v>
      </c>
      <c r="G8" s="87" t="s">
        <v>78</v>
      </c>
      <c r="H8" s="87" t="s">
        <v>78</v>
      </c>
      <c r="I8" s="87" t="s">
        <v>78</v>
      </c>
      <c r="J8" s="20">
        <f t="shared" si="0"/>
        <v>11.411855001577266</v>
      </c>
      <c r="K8" s="20">
        <f t="shared" si="1"/>
        <v>24.999999699148088</v>
      </c>
      <c r="L8" s="20">
        <f t="shared" si="2"/>
        <v>12.254037847704385</v>
      </c>
    </row>
    <row r="9" spans="2:12" ht="22.5" outlineLevel="1" x14ac:dyDescent="0.2">
      <c r="B9" s="56" t="s">
        <v>67</v>
      </c>
      <c r="C9" s="53">
        <f>1857224975.33</f>
        <v>1857224975.3299999</v>
      </c>
      <c r="D9" s="54">
        <f>477802916.51</f>
        <v>477802916.50999999</v>
      </c>
      <c r="E9" s="87" t="s">
        <v>78</v>
      </c>
      <c r="F9" s="87" t="s">
        <v>78</v>
      </c>
      <c r="G9" s="87" t="s">
        <v>78</v>
      </c>
      <c r="H9" s="87" t="s">
        <v>78</v>
      </c>
      <c r="I9" s="87" t="s">
        <v>78</v>
      </c>
      <c r="J9" s="20">
        <f t="shared" si="0"/>
        <v>32.808609097466203</v>
      </c>
      <c r="K9" s="20">
        <f t="shared" si="1"/>
        <v>25.726711780036336</v>
      </c>
      <c r="L9" s="20">
        <f t="shared" si="2"/>
        <v>35.229849797015689</v>
      </c>
    </row>
    <row r="10" spans="2:12" ht="33.75" outlineLevel="1" x14ac:dyDescent="0.2">
      <c r="B10" s="56" t="s">
        <v>84</v>
      </c>
      <c r="C10" s="53">
        <f>990940514.76</f>
        <v>990940514.75999999</v>
      </c>
      <c r="D10" s="54">
        <f>251969514.22</f>
        <v>251969514.22</v>
      </c>
      <c r="E10" s="87" t="s">
        <v>78</v>
      </c>
      <c r="F10" s="87" t="s">
        <v>78</v>
      </c>
      <c r="G10" s="87" t="s">
        <v>78</v>
      </c>
      <c r="H10" s="87" t="s">
        <v>78</v>
      </c>
      <c r="I10" s="87" t="s">
        <v>78</v>
      </c>
      <c r="J10" s="20">
        <f t="shared" si="0"/>
        <v>17.301630046348652</v>
      </c>
      <c r="K10" s="20">
        <f t="shared" si="1"/>
        <v>25.427309759458723</v>
      </c>
      <c r="L10" s="20">
        <f t="shared" si="2"/>
        <v>18.578472070108898</v>
      </c>
    </row>
    <row r="11" spans="2:12" ht="12.75" customHeight="1" outlineLevel="1" x14ac:dyDescent="0.2">
      <c r="B11" s="56" t="s">
        <v>19</v>
      </c>
      <c r="C11" s="53">
        <f>95006714.19</f>
        <v>95006714.189999998</v>
      </c>
      <c r="D11" s="54">
        <f>21685840.74</f>
        <v>21685840.739999998</v>
      </c>
      <c r="E11" s="87" t="s">
        <v>78</v>
      </c>
      <c r="F11" s="87" t="s">
        <v>78</v>
      </c>
      <c r="G11" s="87" t="s">
        <v>78</v>
      </c>
      <c r="H11" s="87" t="s">
        <v>78</v>
      </c>
      <c r="I11" s="87" t="s">
        <v>78</v>
      </c>
      <c r="J11" s="20">
        <f t="shared" si="0"/>
        <v>1.4890705920872638</v>
      </c>
      <c r="K11" s="20">
        <f t="shared" si="1"/>
        <v>22.825587564928711</v>
      </c>
      <c r="L11" s="20">
        <f t="shared" si="2"/>
        <v>1.5989624290546034</v>
      </c>
    </row>
    <row r="12" spans="2:12" ht="12.75" customHeight="1" outlineLevel="1" x14ac:dyDescent="0.2">
      <c r="B12" s="56" t="s">
        <v>20</v>
      </c>
      <c r="C12" s="53">
        <f>C7-SUM(C8:C11)</f>
        <v>1799327218.1700006</v>
      </c>
      <c r="D12" s="53">
        <f>D7-SUM(D8:D11)</f>
        <v>438591554.74000001</v>
      </c>
      <c r="E12" s="87" t="s">
        <v>78</v>
      </c>
      <c r="F12" s="87" t="s">
        <v>78</v>
      </c>
      <c r="G12" s="87" t="s">
        <v>78</v>
      </c>
      <c r="H12" s="87" t="s">
        <v>78</v>
      </c>
      <c r="I12" s="87" t="s">
        <v>78</v>
      </c>
      <c r="J12" s="20">
        <f t="shared" si="0"/>
        <v>30.116138633099887</v>
      </c>
      <c r="K12" s="20">
        <f t="shared" si="1"/>
        <v>24.375308188027525</v>
      </c>
      <c r="L12" s="20">
        <f t="shared" si="2"/>
        <v>32.338677856116426</v>
      </c>
    </row>
    <row r="13" spans="2:12" ht="27" customHeight="1" x14ac:dyDescent="0.2">
      <c r="B13" s="95" t="s">
        <v>59</v>
      </c>
      <c r="C13" s="51">
        <f>C14+C33+C35</f>
        <v>735591061.86000001</v>
      </c>
      <c r="D13" s="51">
        <f>D14+D33+D35</f>
        <v>100089415.06999999</v>
      </c>
      <c r="E13" s="86" t="s">
        <v>78</v>
      </c>
      <c r="F13" s="86" t="s">
        <v>78</v>
      </c>
      <c r="G13" s="86" t="s">
        <v>78</v>
      </c>
      <c r="H13" s="86" t="s">
        <v>78</v>
      </c>
      <c r="I13" s="86" t="s">
        <v>78</v>
      </c>
      <c r="J13" s="52">
        <f t="shared" si="0"/>
        <v>6.8726966294207328</v>
      </c>
      <c r="K13" s="52">
        <f t="shared" si="1"/>
        <v>13.606665477543462</v>
      </c>
      <c r="L13" s="55"/>
    </row>
    <row r="14" spans="2:12" ht="27" customHeight="1" outlineLevel="1" x14ac:dyDescent="0.2">
      <c r="B14" s="97" t="s">
        <v>28</v>
      </c>
      <c r="C14" s="51">
        <f>C15+C17+C19+C21+C23+C25+C27+C29+C31</f>
        <v>325642074.80000001</v>
      </c>
      <c r="D14" s="51">
        <f>D15+D17+D19+D21+D23+D25+D27+D29+D31</f>
        <v>40438331.030000001</v>
      </c>
      <c r="E14" s="86" t="s">
        <v>78</v>
      </c>
      <c r="F14" s="86" t="s">
        <v>78</v>
      </c>
      <c r="G14" s="86" t="s">
        <v>78</v>
      </c>
      <c r="H14" s="86" t="s">
        <v>78</v>
      </c>
      <c r="I14" s="86" t="s">
        <v>78</v>
      </c>
      <c r="J14" s="52">
        <f t="shared" si="0"/>
        <v>2.7767210066609977</v>
      </c>
      <c r="K14" s="52">
        <f t="shared" si="1"/>
        <v>12.418030150076909</v>
      </c>
      <c r="L14" s="17"/>
    </row>
    <row r="15" spans="2:12" ht="22.5" outlineLevel="1" x14ac:dyDescent="0.2">
      <c r="B15" s="96" t="s">
        <v>9</v>
      </c>
      <c r="C15" s="53">
        <f>0</f>
        <v>0</v>
      </c>
      <c r="D15" s="53">
        <f>0</f>
        <v>0</v>
      </c>
      <c r="E15" s="87" t="s">
        <v>78</v>
      </c>
      <c r="F15" s="87" t="s">
        <v>78</v>
      </c>
      <c r="G15" s="87" t="s">
        <v>78</v>
      </c>
      <c r="H15" s="87" t="s">
        <v>78</v>
      </c>
      <c r="I15" s="87" t="s">
        <v>78</v>
      </c>
      <c r="J15" s="20">
        <f t="shared" si="0"/>
        <v>0</v>
      </c>
      <c r="K15" s="20" t="str">
        <f t="shared" si="1"/>
        <v/>
      </c>
      <c r="L15" s="17"/>
    </row>
    <row r="16" spans="2:12" ht="12.75" customHeight="1" outlineLevel="1" x14ac:dyDescent="0.2">
      <c r="B16" s="98" t="s">
        <v>6</v>
      </c>
      <c r="C16" s="53">
        <f>0</f>
        <v>0</v>
      </c>
      <c r="D16" s="53">
        <f>0</f>
        <v>0</v>
      </c>
      <c r="E16" s="87" t="s">
        <v>78</v>
      </c>
      <c r="F16" s="87" t="s">
        <v>78</v>
      </c>
      <c r="G16" s="87" t="s">
        <v>78</v>
      </c>
      <c r="H16" s="87" t="s">
        <v>78</v>
      </c>
      <c r="I16" s="87" t="s">
        <v>78</v>
      </c>
      <c r="J16" s="20">
        <f t="shared" si="0"/>
        <v>0</v>
      </c>
      <c r="K16" s="20" t="str">
        <f t="shared" si="1"/>
        <v/>
      </c>
      <c r="L16" s="17"/>
    </row>
    <row r="17" spans="2:12" ht="12.75" customHeight="1" outlineLevel="1" x14ac:dyDescent="0.2">
      <c r="B17" s="96" t="s">
        <v>7</v>
      </c>
      <c r="C17" s="53">
        <f>0</f>
        <v>0</v>
      </c>
      <c r="D17" s="53">
        <f>0</f>
        <v>0</v>
      </c>
      <c r="E17" s="87" t="s">
        <v>78</v>
      </c>
      <c r="F17" s="87" t="s">
        <v>78</v>
      </c>
      <c r="G17" s="87" t="s">
        <v>78</v>
      </c>
      <c r="H17" s="87" t="s">
        <v>78</v>
      </c>
      <c r="I17" s="87" t="s">
        <v>78</v>
      </c>
      <c r="J17" s="20">
        <f t="shared" si="0"/>
        <v>0</v>
      </c>
      <c r="K17" s="20" t="str">
        <f t="shared" si="1"/>
        <v/>
      </c>
      <c r="L17" s="17"/>
    </row>
    <row r="18" spans="2:12" ht="12.75" customHeight="1" outlineLevel="1" x14ac:dyDescent="0.2">
      <c r="B18" s="98" t="s">
        <v>6</v>
      </c>
      <c r="C18" s="53">
        <f>0</f>
        <v>0</v>
      </c>
      <c r="D18" s="53">
        <f>0</f>
        <v>0</v>
      </c>
      <c r="E18" s="87" t="s">
        <v>78</v>
      </c>
      <c r="F18" s="87" t="s">
        <v>78</v>
      </c>
      <c r="G18" s="87" t="s">
        <v>78</v>
      </c>
      <c r="H18" s="87" t="s">
        <v>78</v>
      </c>
      <c r="I18" s="87" t="s">
        <v>78</v>
      </c>
      <c r="J18" s="20">
        <f t="shared" si="0"/>
        <v>0</v>
      </c>
      <c r="K18" s="20" t="str">
        <f t="shared" si="1"/>
        <v/>
      </c>
      <c r="L18" s="17"/>
    </row>
    <row r="19" spans="2:12" ht="33.75" outlineLevel="1" x14ac:dyDescent="0.2">
      <c r="B19" s="96" t="s">
        <v>10</v>
      </c>
      <c r="C19" s="53">
        <f>0</f>
        <v>0</v>
      </c>
      <c r="D19" s="53">
        <f>0</f>
        <v>0</v>
      </c>
      <c r="E19" s="87" t="s">
        <v>78</v>
      </c>
      <c r="F19" s="87" t="s">
        <v>78</v>
      </c>
      <c r="G19" s="87" t="s">
        <v>78</v>
      </c>
      <c r="H19" s="87" t="s">
        <v>78</v>
      </c>
      <c r="I19" s="87" t="s">
        <v>78</v>
      </c>
      <c r="J19" s="20">
        <f t="shared" si="0"/>
        <v>0</v>
      </c>
      <c r="K19" s="20" t="str">
        <f t="shared" si="1"/>
        <v/>
      </c>
      <c r="L19" s="17"/>
    </row>
    <row r="20" spans="2:12" ht="12.75" customHeight="1" outlineLevel="1" x14ac:dyDescent="0.2">
      <c r="B20" s="98" t="s">
        <v>6</v>
      </c>
      <c r="C20" s="53">
        <f>0</f>
        <v>0</v>
      </c>
      <c r="D20" s="53">
        <f>0</f>
        <v>0</v>
      </c>
      <c r="E20" s="87" t="s">
        <v>78</v>
      </c>
      <c r="F20" s="87" t="s">
        <v>78</v>
      </c>
      <c r="G20" s="87" t="s">
        <v>78</v>
      </c>
      <c r="H20" s="87" t="s">
        <v>78</v>
      </c>
      <c r="I20" s="87" t="s">
        <v>78</v>
      </c>
      <c r="J20" s="20">
        <f t="shared" si="0"/>
        <v>0</v>
      </c>
      <c r="K20" s="20" t="str">
        <f t="shared" si="1"/>
        <v/>
      </c>
      <c r="L20" s="17"/>
    </row>
    <row r="21" spans="2:12" ht="22.5" outlineLevel="1" x14ac:dyDescent="0.2">
      <c r="B21" s="99" t="s">
        <v>11</v>
      </c>
      <c r="C21" s="53">
        <f>37355604.52</f>
        <v>37355604.520000003</v>
      </c>
      <c r="D21" s="53">
        <f>10731598.02</f>
        <v>10731598.02</v>
      </c>
      <c r="E21" s="87" t="s">
        <v>78</v>
      </c>
      <c r="F21" s="87" t="s">
        <v>78</v>
      </c>
      <c r="G21" s="87" t="s">
        <v>78</v>
      </c>
      <c r="H21" s="87" t="s">
        <v>78</v>
      </c>
      <c r="I21" s="87" t="s">
        <v>78</v>
      </c>
      <c r="J21" s="20">
        <f t="shared" si="0"/>
        <v>0.73689128354651512</v>
      </c>
      <c r="K21" s="20">
        <f t="shared" si="1"/>
        <v>28.728214033464127</v>
      </c>
      <c r="L21" s="17"/>
    </row>
    <row r="22" spans="2:12" ht="12.75" customHeight="1" outlineLevel="1" x14ac:dyDescent="0.2">
      <c r="B22" s="98" t="s">
        <v>6</v>
      </c>
      <c r="C22" s="53">
        <f>774624</f>
        <v>774624</v>
      </c>
      <c r="D22" s="53">
        <f>0</f>
        <v>0</v>
      </c>
      <c r="E22" s="87" t="s">
        <v>78</v>
      </c>
      <c r="F22" s="87" t="s">
        <v>78</v>
      </c>
      <c r="G22" s="87" t="s">
        <v>78</v>
      </c>
      <c r="H22" s="87" t="s">
        <v>78</v>
      </c>
      <c r="I22" s="87" t="s">
        <v>78</v>
      </c>
      <c r="J22" s="20">
        <f t="shared" si="0"/>
        <v>0</v>
      </c>
      <c r="K22" s="20">
        <f t="shared" si="1"/>
        <v>0</v>
      </c>
      <c r="L22" s="17"/>
    </row>
    <row r="23" spans="2:12" ht="34.5" customHeight="1" outlineLevel="1" x14ac:dyDescent="0.2">
      <c r="B23" s="99" t="s">
        <v>41</v>
      </c>
      <c r="C23" s="53">
        <f>16180350.61</f>
        <v>16180350.609999999</v>
      </c>
      <c r="D23" s="53">
        <f>741643.43</f>
        <v>741643.43</v>
      </c>
      <c r="E23" s="87" t="s">
        <v>78</v>
      </c>
      <c r="F23" s="87" t="s">
        <v>78</v>
      </c>
      <c r="G23" s="87" t="s">
        <v>78</v>
      </c>
      <c r="H23" s="87" t="s">
        <v>78</v>
      </c>
      <c r="I23" s="87" t="s">
        <v>78</v>
      </c>
      <c r="J23" s="20">
        <f t="shared" si="0"/>
        <v>5.0925368062429532E-2</v>
      </c>
      <c r="K23" s="20">
        <f t="shared" si="1"/>
        <v>4.5836054352347562</v>
      </c>
      <c r="L23" s="17"/>
    </row>
    <row r="24" spans="2:12" ht="12.75" customHeight="1" outlineLevel="1" x14ac:dyDescent="0.2">
      <c r="B24" s="98" t="s">
        <v>6</v>
      </c>
      <c r="C24" s="53">
        <f>12999008.48</f>
        <v>12999008.48</v>
      </c>
      <c r="D24" s="53">
        <f>80010</f>
        <v>80010</v>
      </c>
      <c r="E24" s="87" t="s">
        <v>78</v>
      </c>
      <c r="F24" s="87" t="s">
        <v>78</v>
      </c>
      <c r="G24" s="87" t="s">
        <v>78</v>
      </c>
      <c r="H24" s="87" t="s">
        <v>78</v>
      </c>
      <c r="I24" s="87" t="s">
        <v>78</v>
      </c>
      <c r="J24" s="20">
        <f t="shared" si="0"/>
        <v>5.4939321699040561E-3</v>
      </c>
      <c r="K24" s="20">
        <f t="shared" si="1"/>
        <v>0.61550848376706346</v>
      </c>
      <c r="L24" s="17"/>
    </row>
    <row r="25" spans="2:12" ht="12.75" customHeight="1" outlineLevel="1" x14ac:dyDescent="0.2">
      <c r="B25" s="96" t="s">
        <v>8</v>
      </c>
      <c r="C25" s="53">
        <f>10170653</f>
        <v>10170653</v>
      </c>
      <c r="D25" s="53">
        <f>0</f>
        <v>0</v>
      </c>
      <c r="E25" s="87" t="s">
        <v>78</v>
      </c>
      <c r="F25" s="87" t="s">
        <v>78</v>
      </c>
      <c r="G25" s="87" t="s">
        <v>78</v>
      </c>
      <c r="H25" s="87" t="s">
        <v>78</v>
      </c>
      <c r="I25" s="87" t="s">
        <v>78</v>
      </c>
      <c r="J25" s="20">
        <f t="shared" si="0"/>
        <v>0</v>
      </c>
      <c r="K25" s="20">
        <f t="shared" si="1"/>
        <v>0</v>
      </c>
      <c r="L25" s="17"/>
    </row>
    <row r="26" spans="2:12" ht="12.75" customHeight="1" outlineLevel="1" x14ac:dyDescent="0.2">
      <c r="B26" s="98" t="s">
        <v>6</v>
      </c>
      <c r="C26" s="53">
        <f>10170653</f>
        <v>10170653</v>
      </c>
      <c r="D26" s="53">
        <f>0</f>
        <v>0</v>
      </c>
      <c r="E26" s="87" t="s">
        <v>78</v>
      </c>
      <c r="F26" s="87" t="s">
        <v>78</v>
      </c>
      <c r="G26" s="87" t="s">
        <v>78</v>
      </c>
      <c r="H26" s="87" t="s">
        <v>78</v>
      </c>
      <c r="I26" s="87" t="s">
        <v>78</v>
      </c>
      <c r="J26" s="20">
        <f t="shared" si="0"/>
        <v>0</v>
      </c>
      <c r="K26" s="20">
        <f t="shared" si="1"/>
        <v>0</v>
      </c>
      <c r="L26" s="17"/>
    </row>
    <row r="27" spans="2:12" ht="67.5" outlineLevel="1" x14ac:dyDescent="0.2">
      <c r="B27" s="100" t="s">
        <v>69</v>
      </c>
      <c r="C27" s="53">
        <f>0</f>
        <v>0</v>
      </c>
      <c r="D27" s="53">
        <f>0</f>
        <v>0</v>
      </c>
      <c r="E27" s="87" t="s">
        <v>78</v>
      </c>
      <c r="F27" s="87" t="s">
        <v>78</v>
      </c>
      <c r="G27" s="87" t="s">
        <v>78</v>
      </c>
      <c r="H27" s="87" t="s">
        <v>78</v>
      </c>
      <c r="I27" s="87" t="s">
        <v>78</v>
      </c>
      <c r="J27" s="20">
        <f t="shared" si="0"/>
        <v>0</v>
      </c>
      <c r="K27" s="20" t="str">
        <f t="shared" si="1"/>
        <v/>
      </c>
      <c r="L27" s="17"/>
    </row>
    <row r="28" spans="2:12" ht="12.75" customHeight="1" outlineLevel="1" x14ac:dyDescent="0.2">
      <c r="B28" s="98" t="s">
        <v>70</v>
      </c>
      <c r="C28" s="53">
        <f>0</f>
        <v>0</v>
      </c>
      <c r="D28" s="53">
        <f>0</f>
        <v>0</v>
      </c>
      <c r="E28" s="87" t="s">
        <v>78</v>
      </c>
      <c r="F28" s="87" t="s">
        <v>78</v>
      </c>
      <c r="G28" s="87" t="s">
        <v>78</v>
      </c>
      <c r="H28" s="87" t="s">
        <v>78</v>
      </c>
      <c r="I28" s="87" t="s">
        <v>78</v>
      </c>
      <c r="J28" s="20">
        <f t="shared" si="0"/>
        <v>0</v>
      </c>
      <c r="K28" s="20" t="str">
        <f t="shared" si="1"/>
        <v/>
      </c>
      <c r="L28" s="17"/>
    </row>
    <row r="29" spans="2:12" ht="33.75" outlineLevel="1" x14ac:dyDescent="0.2">
      <c r="B29" s="100" t="s">
        <v>104</v>
      </c>
      <c r="C29" s="53">
        <f>261935466.67</f>
        <v>261935466.66999999</v>
      </c>
      <c r="D29" s="53">
        <f>28965089.58</f>
        <v>28965089.579999998</v>
      </c>
      <c r="E29" s="87" t="s">
        <v>78</v>
      </c>
      <c r="F29" s="87" t="s">
        <v>78</v>
      </c>
      <c r="G29" s="87" t="s">
        <v>78</v>
      </c>
      <c r="H29" s="87" t="s">
        <v>78</v>
      </c>
      <c r="I29" s="87" t="s">
        <v>78</v>
      </c>
      <c r="J29" s="66">
        <f t="shared" si="0"/>
        <v>1.9889043550520531</v>
      </c>
      <c r="K29" s="66">
        <f t="shared" si="1"/>
        <v>11.058101427895496</v>
      </c>
      <c r="L29" s="17"/>
    </row>
    <row r="30" spans="2:12" ht="12.75" customHeight="1" outlineLevel="1" x14ac:dyDescent="0.2">
      <c r="B30" s="98" t="s">
        <v>6</v>
      </c>
      <c r="C30" s="53">
        <f>261935466.67</f>
        <v>261935466.66999999</v>
      </c>
      <c r="D30" s="53">
        <f>28965089.58</f>
        <v>28965089.579999998</v>
      </c>
      <c r="E30" s="87" t="s">
        <v>78</v>
      </c>
      <c r="F30" s="87" t="s">
        <v>78</v>
      </c>
      <c r="G30" s="87" t="s">
        <v>78</v>
      </c>
      <c r="H30" s="87" t="s">
        <v>78</v>
      </c>
      <c r="I30" s="87" t="s">
        <v>78</v>
      </c>
      <c r="J30" s="20">
        <f t="shared" si="0"/>
        <v>1.9889043550520531</v>
      </c>
      <c r="K30" s="20">
        <f t="shared" si="1"/>
        <v>11.058101427895496</v>
      </c>
      <c r="L30" s="17"/>
    </row>
    <row r="31" spans="2:12" ht="22.5" outlineLevel="1" x14ac:dyDescent="0.2">
      <c r="B31" s="100" t="s">
        <v>85</v>
      </c>
      <c r="C31" s="53">
        <f>0</f>
        <v>0</v>
      </c>
      <c r="D31" s="53">
        <f>0</f>
        <v>0</v>
      </c>
      <c r="E31" s="87" t="s">
        <v>78</v>
      </c>
      <c r="F31" s="87" t="s">
        <v>78</v>
      </c>
      <c r="G31" s="87" t="s">
        <v>78</v>
      </c>
      <c r="H31" s="87" t="s">
        <v>78</v>
      </c>
      <c r="I31" s="87" t="s">
        <v>78</v>
      </c>
      <c r="J31" s="20">
        <f t="shared" si="0"/>
        <v>0</v>
      </c>
      <c r="K31" s="20" t="str">
        <f t="shared" si="1"/>
        <v/>
      </c>
      <c r="L31" s="17"/>
    </row>
    <row r="32" spans="2:12" ht="12.75" customHeight="1" outlineLevel="1" x14ac:dyDescent="0.2">
      <c r="B32" s="98" t="s">
        <v>6</v>
      </c>
      <c r="C32" s="53">
        <f>0</f>
        <v>0</v>
      </c>
      <c r="D32" s="53">
        <f>0</f>
        <v>0</v>
      </c>
      <c r="E32" s="87" t="s">
        <v>78</v>
      </c>
      <c r="F32" s="87" t="s">
        <v>78</v>
      </c>
      <c r="G32" s="87" t="s">
        <v>78</v>
      </c>
      <c r="H32" s="87" t="s">
        <v>78</v>
      </c>
      <c r="I32" s="87" t="s">
        <v>78</v>
      </c>
      <c r="J32" s="20">
        <f t="shared" si="0"/>
        <v>0</v>
      </c>
      <c r="K32" s="20" t="str">
        <f t="shared" si="1"/>
        <v/>
      </c>
      <c r="L32" s="17"/>
    </row>
    <row r="33" spans="1:26" s="5" customFormat="1" ht="13.5" customHeight="1" outlineLevel="1" x14ac:dyDescent="0.2">
      <c r="A33" s="2"/>
      <c r="B33" s="97" t="s">
        <v>39</v>
      </c>
      <c r="C33" s="53">
        <f>4993341.01</f>
        <v>4993341.01</v>
      </c>
      <c r="D33" s="53">
        <f>57196.53</f>
        <v>57196.53</v>
      </c>
      <c r="E33" s="86" t="s">
        <v>78</v>
      </c>
      <c r="F33" s="86" t="s">
        <v>78</v>
      </c>
      <c r="G33" s="86" t="s">
        <v>78</v>
      </c>
      <c r="H33" s="86" t="s">
        <v>78</v>
      </c>
      <c r="I33" s="86" t="s">
        <v>78</v>
      </c>
      <c r="J33" s="19">
        <f t="shared" si="0"/>
        <v>3.9274322731393885E-3</v>
      </c>
      <c r="K33" s="19">
        <f t="shared" si="1"/>
        <v>1.1454561161645958</v>
      </c>
      <c r="L33" s="42"/>
      <c r="M33" s="12"/>
      <c r="N33" s="12"/>
      <c r="O33" s="9"/>
      <c r="P33" s="9"/>
      <c r="Q33" s="3"/>
    </row>
    <row r="34" spans="1:26" s="5" customFormat="1" ht="12.75" customHeight="1" outlineLevel="1" x14ac:dyDescent="0.2">
      <c r="A34" s="2"/>
      <c r="B34" s="101" t="s">
        <v>38</v>
      </c>
      <c r="C34" s="53">
        <f>4993341.01</f>
        <v>4993341.01</v>
      </c>
      <c r="D34" s="53">
        <f>57196.53</f>
        <v>57196.53</v>
      </c>
      <c r="E34" s="87" t="s">
        <v>78</v>
      </c>
      <c r="F34" s="87" t="s">
        <v>78</v>
      </c>
      <c r="G34" s="87" t="s">
        <v>78</v>
      </c>
      <c r="H34" s="87" t="s">
        <v>78</v>
      </c>
      <c r="I34" s="87" t="s">
        <v>78</v>
      </c>
      <c r="J34" s="20">
        <f t="shared" si="0"/>
        <v>3.9274322731393885E-3</v>
      </c>
      <c r="K34" s="20">
        <f t="shared" si="1"/>
        <v>1.1454561161645958</v>
      </c>
      <c r="L34" s="42"/>
      <c r="M34" s="12"/>
      <c r="N34" s="12"/>
      <c r="O34" s="9"/>
      <c r="P34" s="9"/>
      <c r="Q34" s="3"/>
    </row>
    <row r="35" spans="1:26" s="5" customFormat="1" ht="13.5" customHeight="1" outlineLevel="1" x14ac:dyDescent="0.2">
      <c r="A35" s="2"/>
      <c r="B35" s="97" t="s">
        <v>46</v>
      </c>
      <c r="C35" s="53">
        <f>404955646.05</f>
        <v>404955646.05000001</v>
      </c>
      <c r="D35" s="53">
        <f>59593887.51</f>
        <v>59593887.509999998</v>
      </c>
      <c r="E35" s="86" t="s">
        <v>78</v>
      </c>
      <c r="F35" s="86" t="s">
        <v>78</v>
      </c>
      <c r="G35" s="86" t="s">
        <v>78</v>
      </c>
      <c r="H35" s="86" t="s">
        <v>78</v>
      </c>
      <c r="I35" s="86" t="s">
        <v>78</v>
      </c>
      <c r="J35" s="57">
        <f t="shared" si="0"/>
        <v>4.0920481904865955</v>
      </c>
      <c r="K35" s="57">
        <f t="shared" si="1"/>
        <v>14.71615177891406</v>
      </c>
      <c r="L35" s="42"/>
      <c r="M35" s="12"/>
      <c r="N35" s="12"/>
      <c r="O35" s="9"/>
      <c r="P35" s="9"/>
      <c r="Q35" s="3"/>
    </row>
    <row r="36" spans="1:26" s="5" customFormat="1" ht="12.75" customHeight="1" outlineLevel="1" x14ac:dyDescent="0.2">
      <c r="A36" s="2"/>
      <c r="B36" s="101" t="s">
        <v>47</v>
      </c>
      <c r="C36" s="53">
        <f>380376204.24</f>
        <v>380376204.24000001</v>
      </c>
      <c r="D36" s="53">
        <f>58958856.13</f>
        <v>58958856.130000003</v>
      </c>
      <c r="E36" s="87" t="s">
        <v>78</v>
      </c>
      <c r="F36" s="87" t="s">
        <v>78</v>
      </c>
      <c r="G36" s="87" t="s">
        <v>78</v>
      </c>
      <c r="H36" s="87" t="s">
        <v>78</v>
      </c>
      <c r="I36" s="87" t="s">
        <v>78</v>
      </c>
      <c r="J36" s="20">
        <f t="shared" si="0"/>
        <v>4.0484433994919629</v>
      </c>
      <c r="K36" s="20">
        <f t="shared" si="1"/>
        <v>15.500143140604994</v>
      </c>
      <c r="L36" s="42"/>
      <c r="M36" s="12"/>
      <c r="N36" s="12"/>
      <c r="O36" s="9"/>
      <c r="P36" s="9"/>
      <c r="Q36" s="3"/>
    </row>
    <row r="37" spans="1:26" s="5" customFormat="1" ht="8.25" customHeight="1" x14ac:dyDescent="0.2">
      <c r="A37" s="2"/>
      <c r="B37" s="90"/>
      <c r="C37" s="35"/>
      <c r="D37" s="35"/>
      <c r="E37" s="35"/>
      <c r="F37" s="35"/>
      <c r="G37" s="35"/>
      <c r="H37" s="35"/>
      <c r="I37" s="35"/>
      <c r="J37" s="35"/>
      <c r="K37" s="35"/>
      <c r="L37" s="42"/>
      <c r="M37" s="12"/>
      <c r="N37" s="12"/>
      <c r="O37" s="9"/>
      <c r="P37" s="9"/>
      <c r="Q37" s="3"/>
    </row>
    <row r="38" spans="1:26" s="5" customFormat="1" ht="13.5" customHeight="1" x14ac:dyDescent="0.2">
      <c r="A38" s="2"/>
      <c r="B38" s="92" t="s">
        <v>5</v>
      </c>
      <c r="C38" s="51">
        <f>+C6</f>
        <v>6142869372.3100004</v>
      </c>
      <c r="D38" s="51">
        <f>+D6</f>
        <v>1456333961.28</v>
      </c>
      <c r="E38" s="88" t="s">
        <v>78</v>
      </c>
      <c r="F38" s="88" t="s">
        <v>78</v>
      </c>
      <c r="G38" s="88" t="s">
        <v>78</v>
      </c>
      <c r="H38" s="88" t="s">
        <v>78</v>
      </c>
      <c r="I38" s="88" t="s">
        <v>78</v>
      </c>
      <c r="J38" s="57">
        <f t="shared" si="0"/>
        <v>100</v>
      </c>
      <c r="K38" s="57">
        <f t="shared" si="1"/>
        <v>23.707714962077269</v>
      </c>
      <c r="L38" s="42"/>
      <c r="M38" s="12"/>
      <c r="N38" s="12"/>
      <c r="O38" s="9"/>
      <c r="P38" s="9"/>
      <c r="Q38" s="3"/>
    </row>
    <row r="39" spans="1:26" s="5" customFormat="1" ht="13.5" customHeight="1" x14ac:dyDescent="0.2">
      <c r="A39" s="2"/>
      <c r="B39" s="91" t="s">
        <v>48</v>
      </c>
      <c r="C39" s="14">
        <f>1038609410.02</f>
        <v>1038609410.02</v>
      </c>
      <c r="D39" s="14">
        <f>136484380.26</f>
        <v>136484380.25999999</v>
      </c>
      <c r="E39" s="89" t="s">
        <v>78</v>
      </c>
      <c r="F39" s="89" t="s">
        <v>78</v>
      </c>
      <c r="G39" s="89" t="s">
        <v>78</v>
      </c>
      <c r="H39" s="89" t="s">
        <v>78</v>
      </c>
      <c r="I39" s="89" t="s">
        <v>78</v>
      </c>
      <c r="J39" s="20">
        <f t="shared" si="0"/>
        <v>9.3717776202953651</v>
      </c>
      <c r="K39" s="20">
        <f t="shared" si="1"/>
        <v>13.141069100979143</v>
      </c>
      <c r="L39" s="42"/>
      <c r="M39" s="12"/>
      <c r="N39" s="12"/>
      <c r="O39" s="9"/>
      <c r="P39" s="9"/>
      <c r="Q39" s="3"/>
    </row>
    <row r="40" spans="1:26" s="5" customFormat="1" ht="13.5" customHeight="1" x14ac:dyDescent="0.2">
      <c r="A40" s="2"/>
      <c r="B40" s="91" t="s">
        <v>49</v>
      </c>
      <c r="C40" s="14">
        <f>C38-C39</f>
        <v>5104259962.2900009</v>
      </c>
      <c r="D40" s="14">
        <f>D38-D39</f>
        <v>1319849581.02</v>
      </c>
      <c r="E40" s="89" t="s">
        <v>78</v>
      </c>
      <c r="F40" s="89" t="s">
        <v>78</v>
      </c>
      <c r="G40" s="89" t="s">
        <v>78</v>
      </c>
      <c r="H40" s="89" t="s">
        <v>78</v>
      </c>
      <c r="I40" s="89" t="s">
        <v>78</v>
      </c>
      <c r="J40" s="20">
        <f t="shared" si="0"/>
        <v>90.628222379704638</v>
      </c>
      <c r="K40" s="20">
        <f t="shared" si="1"/>
        <v>25.857804868305649</v>
      </c>
      <c r="L40" s="42"/>
      <c r="M40" s="12"/>
      <c r="N40" s="12"/>
      <c r="O40" s="9"/>
      <c r="P40" s="9"/>
      <c r="Q40" s="3"/>
    </row>
    <row r="41" spans="1:26" s="5" customFormat="1" x14ac:dyDescent="0.2">
      <c r="A41" s="2"/>
      <c r="B41" s="117" t="s">
        <v>86</v>
      </c>
      <c r="C41" s="7"/>
      <c r="D41" s="8"/>
      <c r="E41" s="8"/>
      <c r="F41" s="12"/>
      <c r="G41" s="12"/>
      <c r="H41" s="12"/>
      <c r="I41" s="12"/>
      <c r="J41" s="12"/>
      <c r="K41" s="9"/>
      <c r="L41" s="9"/>
      <c r="M41" s="3"/>
    </row>
    <row r="42" spans="1:26" ht="18" customHeight="1" x14ac:dyDescent="0.2">
      <c r="B42" s="112" t="str">
        <f>CONCATENATE("Informacja z wykonania budżetów związków jednostek samorządu terytorialnego za ",$D$108," ",$C$109," rok        ",$C$111,"")</f>
        <v>Informacja z wykonania budżetów związków jednostek samorządu terytorialnego za I Kwartał 2026 rok        =""</v>
      </c>
      <c r="C42" s="113"/>
      <c r="D42" s="113"/>
      <c r="E42" s="113"/>
      <c r="F42" s="113"/>
      <c r="G42" s="113"/>
      <c r="H42" s="113"/>
      <c r="I42" s="113"/>
      <c r="J42" s="113"/>
      <c r="K42" s="113"/>
      <c r="L42" s="113"/>
      <c r="M42" s="50"/>
    </row>
    <row r="43" spans="1:26" s="5" customFormat="1" ht="6" hidden="1" customHeight="1" x14ac:dyDescent="0.2">
      <c r="B43" s="6"/>
      <c r="C43" s="7"/>
      <c r="D43" s="8"/>
      <c r="E43" s="8"/>
      <c r="F43" s="4"/>
      <c r="G43" s="4"/>
      <c r="H43" s="4"/>
      <c r="I43" s="4"/>
      <c r="J43" s="4"/>
      <c r="K43" s="9"/>
      <c r="L43" s="9"/>
      <c r="M43" s="3"/>
    </row>
    <row r="44" spans="1:26" ht="29.25" customHeight="1" x14ac:dyDescent="0.2">
      <c r="B44" s="136" t="s">
        <v>0</v>
      </c>
      <c r="C44" s="140" t="s">
        <v>50</v>
      </c>
      <c r="D44" s="140" t="s">
        <v>52</v>
      </c>
      <c r="E44" s="140" t="s">
        <v>51</v>
      </c>
      <c r="F44" s="140" t="s">
        <v>12</v>
      </c>
      <c r="G44" s="140"/>
      <c r="H44" s="140"/>
      <c r="I44" s="137" t="s">
        <v>53</v>
      </c>
      <c r="J44" s="140" t="s">
        <v>2</v>
      </c>
      <c r="K44" s="135" t="s">
        <v>18</v>
      </c>
      <c r="L44" s="37"/>
      <c r="M44" s="12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18" customHeight="1" x14ac:dyDescent="0.2">
      <c r="B45" s="136"/>
      <c r="C45" s="140"/>
      <c r="D45" s="140"/>
      <c r="E45" s="148"/>
      <c r="F45" s="151" t="s">
        <v>54</v>
      </c>
      <c r="G45" s="150" t="s">
        <v>23</v>
      </c>
      <c r="H45" s="148"/>
      <c r="I45" s="138"/>
      <c r="J45" s="140"/>
      <c r="K45" s="135"/>
      <c r="L45" s="45"/>
      <c r="M45" s="12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64.5" customHeight="1" x14ac:dyDescent="0.2">
      <c r="B46" s="136"/>
      <c r="C46" s="140"/>
      <c r="D46" s="140"/>
      <c r="E46" s="148"/>
      <c r="F46" s="148"/>
      <c r="G46" s="38" t="s">
        <v>55</v>
      </c>
      <c r="H46" s="38" t="s">
        <v>56</v>
      </c>
      <c r="I46" s="139"/>
      <c r="J46" s="140"/>
      <c r="K46" s="135"/>
      <c r="L46" s="45"/>
      <c r="M46" s="12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13.5" customHeight="1" x14ac:dyDescent="0.2">
      <c r="B47" s="136"/>
      <c r="C47" s="144" t="s">
        <v>40</v>
      </c>
      <c r="D47" s="145"/>
      <c r="E47" s="145"/>
      <c r="F47" s="145"/>
      <c r="G47" s="145"/>
      <c r="H47" s="145"/>
      <c r="I47" s="146"/>
      <c r="J47" s="147" t="s">
        <v>4</v>
      </c>
      <c r="K47" s="147"/>
      <c r="L47" s="37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11.25" customHeight="1" x14ac:dyDescent="0.2">
      <c r="B48" s="41">
        <v>1</v>
      </c>
      <c r="C48" s="40">
        <v>2</v>
      </c>
      <c r="D48" s="40">
        <v>3</v>
      </c>
      <c r="E48" s="40">
        <v>4</v>
      </c>
      <c r="F48" s="41">
        <v>5</v>
      </c>
      <c r="G48" s="41">
        <v>6</v>
      </c>
      <c r="H48" s="40">
        <v>7</v>
      </c>
      <c r="I48" s="83">
        <v>8</v>
      </c>
      <c r="J48" s="41">
        <v>9</v>
      </c>
      <c r="K48" s="40">
        <v>10</v>
      </c>
      <c r="L48" s="37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2:13" ht="27" customHeight="1" x14ac:dyDescent="0.2">
      <c r="B49" s="93" t="s">
        <v>29</v>
      </c>
      <c r="C49" s="58">
        <f>6373040848.23</f>
        <v>6373040848.2299995</v>
      </c>
      <c r="D49" s="68">
        <f>1101713057.6</f>
        <v>1101713057.5999999</v>
      </c>
      <c r="E49" s="68">
        <f>2655141317.33</f>
        <v>2655141317.3299999</v>
      </c>
      <c r="F49" s="58">
        <f>241721577.17</f>
        <v>241721577.16999999</v>
      </c>
      <c r="G49" s="58">
        <f>0</f>
        <v>0</v>
      </c>
      <c r="H49" s="58">
        <f>22875279.46</f>
        <v>22875279.460000001</v>
      </c>
      <c r="I49" s="77">
        <f>0</f>
        <v>0</v>
      </c>
      <c r="J49" s="34">
        <f>IF($D$49=0,"",100*$D49/$D$49)</f>
        <v>100</v>
      </c>
      <c r="K49" s="34">
        <f>IF(C49=0,"",100*D49/C49)</f>
        <v>17.287086083968557</v>
      </c>
      <c r="L49" s="22"/>
      <c r="M49" s="74"/>
    </row>
    <row r="50" spans="2:13" x14ac:dyDescent="0.2">
      <c r="B50" s="94" t="s">
        <v>14</v>
      </c>
      <c r="C50" s="16">
        <f>1536416736.61</f>
        <v>1536416736.6099999</v>
      </c>
      <c r="D50" s="16">
        <f>144128000.73</f>
        <v>144128000.72999999</v>
      </c>
      <c r="E50" s="16">
        <f>721149167.59</f>
        <v>721149167.59000003</v>
      </c>
      <c r="F50" s="16">
        <f>20317845.67</f>
        <v>20317845.670000002</v>
      </c>
      <c r="G50" s="16">
        <f>0</f>
        <v>0</v>
      </c>
      <c r="H50" s="16">
        <f>0</f>
        <v>0</v>
      </c>
      <c r="I50" s="78">
        <f>0</f>
        <v>0</v>
      </c>
      <c r="J50" s="34">
        <f t="shared" ref="J50:J58" si="3">IF($D$49=0,"",100*$D50/$D$49)</f>
        <v>13.082172325702677</v>
      </c>
      <c r="K50" s="34">
        <f t="shared" ref="K50:K58" si="4">IF(C50=0,"",100*D50/C50)</f>
        <v>9.3807882520213042</v>
      </c>
      <c r="L50" s="22"/>
      <c r="M50" s="76"/>
    </row>
    <row r="51" spans="2:13" ht="12.75" customHeight="1" outlineLevel="1" x14ac:dyDescent="0.2">
      <c r="B51" s="56" t="s">
        <v>13</v>
      </c>
      <c r="C51" s="53">
        <f>1530835524.12</f>
        <v>1530835524.1199999</v>
      </c>
      <c r="D51" s="53">
        <f>139028000.73</f>
        <v>139028000.72999999</v>
      </c>
      <c r="E51" s="53">
        <f>715909167.59</f>
        <v>715909167.59000003</v>
      </c>
      <c r="F51" s="53">
        <f>20317845.67</f>
        <v>20317845.670000002</v>
      </c>
      <c r="G51" s="53">
        <f>0</f>
        <v>0</v>
      </c>
      <c r="H51" s="53">
        <f>0</f>
        <v>0</v>
      </c>
      <c r="I51" s="79">
        <f>0</f>
        <v>0</v>
      </c>
      <c r="J51" s="34">
        <f t="shared" si="3"/>
        <v>12.619256871917463</v>
      </c>
      <c r="K51" s="34">
        <f t="shared" si="4"/>
        <v>9.0818378943694924</v>
      </c>
      <c r="L51" s="22"/>
      <c r="M51" s="75"/>
    </row>
    <row r="52" spans="2:13" ht="27" customHeight="1" x14ac:dyDescent="0.2">
      <c r="B52" s="95" t="s">
        <v>30</v>
      </c>
      <c r="C52" s="59">
        <f t="shared" ref="C52:I52" si="5">C49-C50</f>
        <v>4836624111.6199999</v>
      </c>
      <c r="D52" s="67">
        <f>D49-D50</f>
        <v>957585056.86999989</v>
      </c>
      <c r="E52" s="67">
        <f>E49-E50</f>
        <v>1933992149.7399998</v>
      </c>
      <c r="F52" s="59">
        <f t="shared" si="5"/>
        <v>221403731.5</v>
      </c>
      <c r="G52" s="59">
        <f t="shared" si="5"/>
        <v>0</v>
      </c>
      <c r="H52" s="59">
        <f t="shared" si="5"/>
        <v>22875279.460000001</v>
      </c>
      <c r="I52" s="78">
        <f t="shared" si="5"/>
        <v>0</v>
      </c>
      <c r="J52" s="34">
        <f t="shared" si="3"/>
        <v>86.917827674297314</v>
      </c>
      <c r="K52" s="34">
        <f t="shared" si="4"/>
        <v>19.798624717794375</v>
      </c>
      <c r="L52" s="22"/>
      <c r="M52" s="76"/>
    </row>
    <row r="53" spans="2:13" ht="22.5" outlineLevel="1" x14ac:dyDescent="0.2">
      <c r="B53" s="56" t="s">
        <v>71</v>
      </c>
      <c r="C53" s="53">
        <f>391580474.96</f>
        <v>391580474.95999998</v>
      </c>
      <c r="D53" s="53">
        <f>97997721.13</f>
        <v>97997721.129999995</v>
      </c>
      <c r="E53" s="53">
        <f>265221574.89</f>
        <v>265221574.88999999</v>
      </c>
      <c r="F53" s="53">
        <f>12454522.86</f>
        <v>12454522.859999999</v>
      </c>
      <c r="G53" s="53">
        <f>0</f>
        <v>0</v>
      </c>
      <c r="H53" s="53">
        <f>16565</f>
        <v>16565</v>
      </c>
      <c r="I53" s="79">
        <f>0</f>
        <v>0</v>
      </c>
      <c r="J53" s="34">
        <f t="shared" si="3"/>
        <v>8.8950312836884002</v>
      </c>
      <c r="K53" s="34">
        <f t="shared" si="4"/>
        <v>25.026202121035396</v>
      </c>
      <c r="L53" s="22"/>
      <c r="M53" s="75"/>
    </row>
    <row r="54" spans="2:13" ht="12.75" customHeight="1" outlineLevel="1" x14ac:dyDescent="0.2">
      <c r="B54" s="56" t="s">
        <v>26</v>
      </c>
      <c r="C54" s="61">
        <f>63114207.86</f>
        <v>63114207.859999999</v>
      </c>
      <c r="D54" s="61">
        <f>14752861.87</f>
        <v>14752861.869999999</v>
      </c>
      <c r="E54" s="61">
        <f>50097154.46</f>
        <v>50097154.460000001</v>
      </c>
      <c r="F54" s="61">
        <f>728308.67</f>
        <v>728308.67</v>
      </c>
      <c r="G54" s="61">
        <f>0</f>
        <v>0</v>
      </c>
      <c r="H54" s="61">
        <f>0</f>
        <v>0</v>
      </c>
      <c r="I54" s="80">
        <f>0</f>
        <v>0</v>
      </c>
      <c r="J54" s="34">
        <f t="shared" si="3"/>
        <v>1.3390838719963993</v>
      </c>
      <c r="K54" s="34">
        <f t="shared" si="4"/>
        <v>23.374866563682165</v>
      </c>
      <c r="L54" s="22"/>
      <c r="M54" s="75"/>
    </row>
    <row r="55" spans="2:13" ht="12.75" customHeight="1" outlineLevel="1" x14ac:dyDescent="0.2">
      <c r="B55" s="56" t="s">
        <v>25</v>
      </c>
      <c r="C55" s="53">
        <f>19504229.16</f>
        <v>19504229.16</v>
      </c>
      <c r="D55" s="53">
        <f>2334533.14</f>
        <v>2334533.14</v>
      </c>
      <c r="E55" s="53">
        <f>5255949.65</f>
        <v>5255949.6500000004</v>
      </c>
      <c r="F55" s="53">
        <f>138583.98</f>
        <v>138583.98000000001</v>
      </c>
      <c r="G55" s="53">
        <f>0</f>
        <v>0</v>
      </c>
      <c r="H55" s="53">
        <f>0</f>
        <v>0</v>
      </c>
      <c r="I55" s="79">
        <f>0</f>
        <v>0</v>
      </c>
      <c r="J55" s="34">
        <f t="shared" si="3"/>
        <v>0.21190028781955322</v>
      </c>
      <c r="K55" s="34">
        <f t="shared" si="4"/>
        <v>11.969368903784968</v>
      </c>
      <c r="L55" s="22"/>
      <c r="M55" s="75"/>
    </row>
    <row r="56" spans="2:13" ht="22.5" customHeight="1" outlineLevel="1" x14ac:dyDescent="0.2">
      <c r="B56" s="56" t="s">
        <v>36</v>
      </c>
      <c r="C56" s="61">
        <f>0</f>
        <v>0</v>
      </c>
      <c r="D56" s="61">
        <f>0</f>
        <v>0</v>
      </c>
      <c r="E56" s="61">
        <f>0</f>
        <v>0</v>
      </c>
      <c r="F56" s="61">
        <f>0</f>
        <v>0</v>
      </c>
      <c r="G56" s="61">
        <f>0</f>
        <v>0</v>
      </c>
      <c r="H56" s="61">
        <f>0</f>
        <v>0</v>
      </c>
      <c r="I56" s="80">
        <f>0</f>
        <v>0</v>
      </c>
      <c r="J56" s="34">
        <f t="shared" si="3"/>
        <v>0</v>
      </c>
      <c r="K56" s="34" t="str">
        <f t="shared" si="4"/>
        <v/>
      </c>
      <c r="L56" s="22"/>
      <c r="M56" s="75"/>
    </row>
    <row r="57" spans="2:13" ht="22.5" outlineLevel="1" x14ac:dyDescent="0.2">
      <c r="B57" s="56" t="s">
        <v>37</v>
      </c>
      <c r="C57" s="61">
        <f>3458176.2</f>
        <v>3458176.2</v>
      </c>
      <c r="D57" s="61">
        <f>386666.43</f>
        <v>386666.43</v>
      </c>
      <c r="E57" s="61">
        <f>998996.84</f>
        <v>998996.84</v>
      </c>
      <c r="F57" s="61">
        <f>58123.16</f>
        <v>58123.16</v>
      </c>
      <c r="G57" s="61">
        <f>0</f>
        <v>0</v>
      </c>
      <c r="H57" s="61">
        <f>0</f>
        <v>0</v>
      </c>
      <c r="I57" s="81">
        <f>0</f>
        <v>0</v>
      </c>
      <c r="J57" s="34">
        <f t="shared" si="3"/>
        <v>3.5096836452344869E-2</v>
      </c>
      <c r="K57" s="34">
        <f t="shared" si="4"/>
        <v>11.181224079906627</v>
      </c>
      <c r="L57" s="22"/>
      <c r="M57" s="75"/>
    </row>
    <row r="58" spans="2:13" ht="12.75" customHeight="1" outlineLevel="1" x14ac:dyDescent="0.2">
      <c r="B58" s="56" t="s">
        <v>24</v>
      </c>
      <c r="C58" s="53">
        <f t="shared" ref="C58:I58" si="6">C52-C53-C54-C55-C56-C57</f>
        <v>4358967023.4400005</v>
      </c>
      <c r="D58" s="53">
        <f>D52-D53-D54-D55-D56-D57</f>
        <v>842113274.29999995</v>
      </c>
      <c r="E58" s="71">
        <f>E52-E53-E54-E55-E56-E57</f>
        <v>1612418473.8999999</v>
      </c>
      <c r="F58" s="71">
        <f t="shared" si="6"/>
        <v>208024192.83000001</v>
      </c>
      <c r="G58" s="71">
        <f t="shared" si="6"/>
        <v>0</v>
      </c>
      <c r="H58" s="71">
        <f t="shared" si="6"/>
        <v>22858714.460000001</v>
      </c>
      <c r="I58" s="82">
        <f t="shared" si="6"/>
        <v>0</v>
      </c>
      <c r="J58" s="34">
        <f t="shared" si="3"/>
        <v>76.436715394340638</v>
      </c>
      <c r="K58" s="34">
        <f t="shared" si="4"/>
        <v>19.319101745243827</v>
      </c>
      <c r="L58" s="22"/>
      <c r="M58" s="75"/>
    </row>
    <row r="59" spans="2:13" x14ac:dyDescent="0.2">
      <c r="B59" s="93" t="s">
        <v>15</v>
      </c>
      <c r="C59" s="59">
        <f>C6-C49</f>
        <v>-230171475.91999912</v>
      </c>
      <c r="D59" s="67">
        <f>D6-D49</f>
        <v>354620903.68000007</v>
      </c>
      <c r="E59" s="72"/>
      <c r="F59" s="73"/>
      <c r="G59" s="73"/>
      <c r="H59" s="73"/>
      <c r="I59" s="149"/>
      <c r="J59" s="149"/>
      <c r="K59" s="62"/>
      <c r="L59" s="62"/>
      <c r="M59" s="43"/>
    </row>
    <row r="60" spans="2:13" outlineLevel="1" x14ac:dyDescent="0.2"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</row>
    <row r="61" spans="2:13" outlineLevel="1" x14ac:dyDescent="0.2"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</row>
    <row r="62" spans="2:13" outlineLevel="1" x14ac:dyDescent="0.2">
      <c r="B62" s="143" t="s">
        <v>98</v>
      </c>
      <c r="C62" s="161" t="s">
        <v>94</v>
      </c>
      <c r="D62" s="161"/>
      <c r="E62" s="161" t="s">
        <v>95</v>
      </c>
      <c r="F62" s="161"/>
      <c r="G62" s="119" t="s">
        <v>99</v>
      </c>
      <c r="H62" s="37"/>
      <c r="I62" s="37"/>
      <c r="J62" s="37"/>
      <c r="K62" s="37"/>
      <c r="L62" s="37"/>
      <c r="M62" s="37"/>
    </row>
    <row r="63" spans="2:13" outlineLevel="1" x14ac:dyDescent="0.2">
      <c r="B63" s="143"/>
      <c r="C63" s="120" t="s">
        <v>96</v>
      </c>
      <c r="D63" s="120" t="s">
        <v>97</v>
      </c>
      <c r="E63" s="120" t="s">
        <v>96</v>
      </c>
      <c r="F63" s="120" t="s">
        <v>97</v>
      </c>
      <c r="G63" s="120" t="s">
        <v>96</v>
      </c>
      <c r="H63" s="37"/>
      <c r="I63" s="37"/>
      <c r="J63" s="37"/>
      <c r="K63" s="37"/>
      <c r="L63" s="37"/>
      <c r="M63" s="37"/>
    </row>
    <row r="64" spans="2:13" outlineLevel="1" x14ac:dyDescent="0.2">
      <c r="B64" s="121" t="s">
        <v>100</v>
      </c>
      <c r="C64" s="122">
        <f>4</f>
        <v>4</v>
      </c>
      <c r="D64" s="123">
        <f>9841738</f>
        <v>9841738</v>
      </c>
      <c r="E64" s="122">
        <f>105</f>
        <v>105</v>
      </c>
      <c r="F64" s="123">
        <f>+-240013213.92</f>
        <v>-240013213.91999999</v>
      </c>
      <c r="G64" s="122">
        <f>149</f>
        <v>149</v>
      </c>
      <c r="H64" s="37"/>
      <c r="I64" s="37"/>
      <c r="J64" s="37"/>
      <c r="K64" s="37"/>
      <c r="L64" s="37"/>
      <c r="M64" s="37"/>
    </row>
    <row r="65" spans="2:16" outlineLevel="1" x14ac:dyDescent="0.2">
      <c r="B65" s="121" t="s">
        <v>101</v>
      </c>
      <c r="C65" s="122">
        <f>141</f>
        <v>141</v>
      </c>
      <c r="D65" s="123">
        <f>399578417.9</f>
        <v>399578417.89999998</v>
      </c>
      <c r="E65" s="122">
        <f>50</f>
        <v>50</v>
      </c>
      <c r="F65" s="123">
        <f>+-44957514.22</f>
        <v>-44957514.219999999</v>
      </c>
      <c r="G65" s="122">
        <f>67</f>
        <v>67</v>
      </c>
      <c r="H65" s="37"/>
      <c r="I65" s="37"/>
      <c r="J65" s="37"/>
      <c r="K65" s="37"/>
      <c r="L65" s="37"/>
      <c r="M65" s="37"/>
    </row>
    <row r="66" spans="2:16" outlineLevel="1" x14ac:dyDescent="0.2">
      <c r="B66" s="22"/>
      <c r="C66" s="22"/>
      <c r="D66" s="22"/>
      <c r="E66" s="22"/>
      <c r="F66" s="22"/>
      <c r="G66" s="22"/>
      <c r="H66" s="37"/>
      <c r="I66" s="37"/>
      <c r="J66" s="37"/>
      <c r="K66" s="37"/>
      <c r="L66" s="37"/>
      <c r="M66" s="37"/>
    </row>
    <row r="67" spans="2:16" outlineLevel="1" x14ac:dyDescent="0.2">
      <c r="B67" s="143" t="s">
        <v>102</v>
      </c>
      <c r="C67" s="161" t="s">
        <v>94</v>
      </c>
      <c r="D67" s="161"/>
      <c r="E67" s="161" t="s">
        <v>95</v>
      </c>
      <c r="F67" s="161"/>
      <c r="G67" s="119" t="s">
        <v>99</v>
      </c>
      <c r="H67" s="37"/>
      <c r="I67" s="37"/>
      <c r="J67" s="37"/>
      <c r="K67" s="37"/>
      <c r="L67" s="37"/>
      <c r="M67" s="37"/>
    </row>
    <row r="68" spans="2:16" outlineLevel="1" x14ac:dyDescent="0.2">
      <c r="B68" s="143"/>
      <c r="C68" s="120" t="s">
        <v>96</v>
      </c>
      <c r="D68" s="120" t="s">
        <v>97</v>
      </c>
      <c r="E68" s="120" t="s">
        <v>96</v>
      </c>
      <c r="F68" s="120" t="s">
        <v>97</v>
      </c>
      <c r="G68" s="120" t="s">
        <v>96</v>
      </c>
      <c r="H68" s="37"/>
      <c r="I68" s="37"/>
      <c r="J68" s="37"/>
      <c r="K68" s="37"/>
      <c r="L68" s="37"/>
      <c r="M68" s="37"/>
    </row>
    <row r="69" spans="2:16" outlineLevel="1" x14ac:dyDescent="0.2">
      <c r="B69" s="121" t="s">
        <v>100</v>
      </c>
      <c r="C69" s="122">
        <f>44</f>
        <v>44</v>
      </c>
      <c r="D69" s="123">
        <f>343994082.26</f>
        <v>343994082.25999999</v>
      </c>
      <c r="E69" s="122">
        <f>74</f>
        <v>74</v>
      </c>
      <c r="F69" s="123">
        <f>+-76358231.59</f>
        <v>-76358231.590000004</v>
      </c>
      <c r="G69" s="122">
        <f>140</f>
        <v>140</v>
      </c>
      <c r="H69" s="37"/>
      <c r="I69" s="37"/>
      <c r="J69" s="37"/>
      <c r="K69" s="37"/>
      <c r="L69" s="37"/>
      <c r="M69" s="37"/>
    </row>
    <row r="70" spans="2:16" outlineLevel="1" x14ac:dyDescent="0.2">
      <c r="B70" s="121" t="s">
        <v>101</v>
      </c>
      <c r="C70" s="122">
        <f>153</f>
        <v>153</v>
      </c>
      <c r="D70" s="123">
        <f>392418398.96</f>
        <v>392418398.95999998</v>
      </c>
      <c r="E70" s="122">
        <f>38</f>
        <v>38</v>
      </c>
      <c r="F70" s="123">
        <f>+-30153874.81</f>
        <v>-30153874.809999999</v>
      </c>
      <c r="G70" s="122">
        <f>67</f>
        <v>67</v>
      </c>
      <c r="H70" s="37"/>
      <c r="I70" s="37"/>
      <c r="J70" s="37"/>
      <c r="K70" s="37"/>
      <c r="L70" s="37"/>
      <c r="M70" s="37"/>
    </row>
    <row r="71" spans="2:16" outlineLevel="1" x14ac:dyDescent="0.2"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</row>
    <row r="72" spans="2:16" x14ac:dyDescent="0.2"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</row>
    <row r="73" spans="2:16" ht="18" customHeight="1" x14ac:dyDescent="0.2">
      <c r="B73" s="112" t="str">
        <f>CONCATENATE("Informacja z wykonania budżetów związków jednostek samorządu terytorialnego za ",$D$108," ",$C$109," rok        ",$C$111,"")</f>
        <v>Informacja z wykonania budżetów związków jednostek samorządu terytorialnego za I Kwartał 2026 rok        =""</v>
      </c>
      <c r="C73" s="113"/>
      <c r="D73" s="113"/>
      <c r="E73" s="113"/>
      <c r="F73" s="113"/>
      <c r="G73" s="113"/>
      <c r="H73" s="113"/>
      <c r="I73" s="113"/>
      <c r="J73" s="113"/>
      <c r="K73" s="113"/>
      <c r="L73" s="113"/>
      <c r="M73" s="50"/>
    </row>
    <row r="74" spans="2:16" x14ac:dyDescent="0.2">
      <c r="B74" s="46" t="s">
        <v>16</v>
      </c>
      <c r="C74" s="69" t="s">
        <v>17</v>
      </c>
      <c r="D74" s="69" t="s">
        <v>1</v>
      </c>
      <c r="E74" s="126" t="s">
        <v>78</v>
      </c>
      <c r="F74" s="127"/>
      <c r="G74" s="127"/>
      <c r="H74" s="127"/>
      <c r="I74" s="128"/>
      <c r="J74" s="40" t="s">
        <v>21</v>
      </c>
      <c r="K74" s="40" t="s">
        <v>22</v>
      </c>
      <c r="L74" s="37"/>
      <c r="M74" s="37"/>
      <c r="N74" s="37"/>
      <c r="O74" s="37"/>
      <c r="P74" s="37"/>
    </row>
    <row r="75" spans="2:16" x14ac:dyDescent="0.2">
      <c r="B75" s="46"/>
      <c r="C75" s="151" t="s">
        <v>40</v>
      </c>
      <c r="D75" s="152"/>
      <c r="E75" s="129"/>
      <c r="F75" s="130"/>
      <c r="G75" s="130"/>
      <c r="H75" s="130"/>
      <c r="I75" s="131"/>
      <c r="J75" s="141" t="s">
        <v>4</v>
      </c>
      <c r="K75" s="142"/>
      <c r="L75" s="37"/>
      <c r="M75" s="37"/>
      <c r="N75" s="37"/>
      <c r="O75" s="37"/>
      <c r="P75" s="37"/>
    </row>
    <row r="76" spans="2:16" x14ac:dyDescent="0.2">
      <c r="B76" s="47">
        <v>1</v>
      </c>
      <c r="C76" s="48">
        <v>2</v>
      </c>
      <c r="D76" s="48">
        <v>3</v>
      </c>
      <c r="E76" s="132"/>
      <c r="F76" s="133"/>
      <c r="G76" s="133"/>
      <c r="H76" s="133"/>
      <c r="I76" s="134"/>
      <c r="J76" s="49">
        <v>4</v>
      </c>
      <c r="K76" s="49">
        <v>5</v>
      </c>
      <c r="L76" s="37"/>
      <c r="M76" s="37"/>
      <c r="N76" s="37"/>
      <c r="O76" s="37"/>
      <c r="P76" s="37"/>
    </row>
    <row r="77" spans="2:16" ht="27" customHeight="1" x14ac:dyDescent="0.2">
      <c r="B77" s="106" t="s">
        <v>31</v>
      </c>
      <c r="C77" s="27">
        <f>306595386.22</f>
        <v>306595386.22000003</v>
      </c>
      <c r="D77" s="27">
        <f>603240962.67</f>
        <v>603240962.66999996</v>
      </c>
      <c r="E77" s="102" t="s">
        <v>78</v>
      </c>
      <c r="F77" s="102" t="s">
        <v>78</v>
      </c>
      <c r="G77" s="102" t="s">
        <v>78</v>
      </c>
      <c r="H77" s="102" t="s">
        <v>78</v>
      </c>
      <c r="I77" s="102" t="s">
        <v>78</v>
      </c>
      <c r="J77" s="25">
        <f>IF($D$77=0,"",100*$D77/$D$77)</f>
        <v>100</v>
      </c>
      <c r="K77" s="21">
        <f t="shared" ref="K77:K91" si="7">IF(C77=0,"",100*D77/C77)</f>
        <v>196.75474249868176</v>
      </c>
      <c r="L77" s="37"/>
      <c r="M77" s="37"/>
      <c r="N77" s="37"/>
      <c r="O77" s="37"/>
      <c r="P77" s="37"/>
    </row>
    <row r="78" spans="2:16" ht="22.5" x14ac:dyDescent="0.2">
      <c r="B78" s="108" t="s">
        <v>60</v>
      </c>
      <c r="C78" s="28">
        <f>69932121.8</f>
        <v>69932121.799999997</v>
      </c>
      <c r="D78" s="28">
        <f>250000</f>
        <v>250000</v>
      </c>
      <c r="E78" s="103" t="s">
        <v>78</v>
      </c>
      <c r="F78" s="103" t="s">
        <v>78</v>
      </c>
      <c r="G78" s="103" t="s">
        <v>78</v>
      </c>
      <c r="H78" s="103" t="s">
        <v>78</v>
      </c>
      <c r="I78" s="103" t="s">
        <v>78</v>
      </c>
      <c r="J78" s="32">
        <f t="shared" ref="J78:J87" si="8">IF($D$77=0,"",100*$D78/$D$77)</f>
        <v>4.1442809005124093E-2</v>
      </c>
      <c r="K78" s="33">
        <f t="shared" si="7"/>
        <v>0.3574895106357262</v>
      </c>
      <c r="L78" s="37"/>
      <c r="M78" s="37"/>
      <c r="N78" s="37"/>
      <c r="O78" s="37"/>
      <c r="P78" s="37"/>
    </row>
    <row r="79" spans="2:16" ht="22.5" x14ac:dyDescent="0.2">
      <c r="B79" s="109" t="s">
        <v>61</v>
      </c>
      <c r="C79" s="64">
        <f>5000000</f>
        <v>5000000</v>
      </c>
      <c r="D79" s="64">
        <f>0</f>
        <v>0</v>
      </c>
      <c r="E79" s="103" t="s">
        <v>78</v>
      </c>
      <c r="F79" s="103" t="s">
        <v>78</v>
      </c>
      <c r="G79" s="103" t="s">
        <v>78</v>
      </c>
      <c r="H79" s="103" t="s">
        <v>78</v>
      </c>
      <c r="I79" s="103" t="s">
        <v>78</v>
      </c>
      <c r="J79" s="65">
        <f t="shared" si="8"/>
        <v>0</v>
      </c>
      <c r="K79" s="60">
        <f t="shared" si="7"/>
        <v>0</v>
      </c>
      <c r="L79" s="37"/>
      <c r="M79" s="37"/>
      <c r="N79" s="37"/>
      <c r="O79" s="37"/>
      <c r="P79" s="37"/>
    </row>
    <row r="80" spans="2:16" ht="12.75" customHeight="1" x14ac:dyDescent="0.2">
      <c r="B80" s="63" t="s">
        <v>62</v>
      </c>
      <c r="C80" s="64">
        <f>0</f>
        <v>0</v>
      </c>
      <c r="D80" s="64">
        <f>0</f>
        <v>0</v>
      </c>
      <c r="E80" s="103" t="s">
        <v>78</v>
      </c>
      <c r="F80" s="103" t="s">
        <v>78</v>
      </c>
      <c r="G80" s="103" t="s">
        <v>78</v>
      </c>
      <c r="H80" s="103" t="s">
        <v>78</v>
      </c>
      <c r="I80" s="103" t="s">
        <v>78</v>
      </c>
      <c r="J80" s="65">
        <f t="shared" si="8"/>
        <v>0</v>
      </c>
      <c r="K80" s="60" t="str">
        <f t="shared" si="7"/>
        <v/>
      </c>
      <c r="L80" s="37"/>
      <c r="M80" s="37"/>
      <c r="N80" s="37"/>
      <c r="O80" s="37"/>
      <c r="P80" s="37"/>
    </row>
    <row r="81" spans="2:16" ht="56.25" x14ac:dyDescent="0.2">
      <c r="B81" s="63" t="s">
        <v>72</v>
      </c>
      <c r="C81" s="64">
        <f>125849696.75</f>
        <v>125849696.75</v>
      </c>
      <c r="D81" s="64">
        <f>407372360.36</f>
        <v>407372360.36000001</v>
      </c>
      <c r="E81" s="103" t="s">
        <v>78</v>
      </c>
      <c r="F81" s="103" t="s">
        <v>78</v>
      </c>
      <c r="G81" s="103" t="s">
        <v>78</v>
      </c>
      <c r="H81" s="103" t="s">
        <v>78</v>
      </c>
      <c r="I81" s="103" t="s">
        <v>78</v>
      </c>
      <c r="J81" s="65">
        <f t="shared" si="8"/>
        <v>67.53061969746426</v>
      </c>
      <c r="K81" s="60">
        <f t="shared" si="7"/>
        <v>323.69753037168124</v>
      </c>
      <c r="L81" s="37"/>
      <c r="M81" s="37"/>
      <c r="N81" s="37"/>
      <c r="O81" s="37"/>
      <c r="P81" s="37"/>
    </row>
    <row r="82" spans="2:16" ht="35.25" customHeight="1" x14ac:dyDescent="0.2">
      <c r="B82" s="63" t="s">
        <v>74</v>
      </c>
      <c r="C82" s="64">
        <f>54782996.93</f>
        <v>54782996.93</v>
      </c>
      <c r="D82" s="64">
        <f>79449513.26</f>
        <v>79449513.260000005</v>
      </c>
      <c r="E82" s="103" t="s">
        <v>78</v>
      </c>
      <c r="F82" s="103" t="s">
        <v>78</v>
      </c>
      <c r="G82" s="103" t="s">
        <v>78</v>
      </c>
      <c r="H82" s="103" t="s">
        <v>78</v>
      </c>
      <c r="I82" s="103" t="s">
        <v>78</v>
      </c>
      <c r="J82" s="65">
        <f t="shared" si="8"/>
        <v>13.170444014337017</v>
      </c>
      <c r="K82" s="60">
        <f t="shared" si="7"/>
        <v>145.02586151231944</v>
      </c>
      <c r="L82" s="37"/>
      <c r="M82" s="37"/>
      <c r="N82" s="37"/>
      <c r="O82" s="37"/>
      <c r="P82" s="37"/>
    </row>
    <row r="83" spans="2:16" ht="12.75" customHeight="1" x14ac:dyDescent="0.2">
      <c r="B83" s="63" t="s">
        <v>63</v>
      </c>
      <c r="C83" s="64">
        <f>0</f>
        <v>0</v>
      </c>
      <c r="D83" s="64">
        <f>0</f>
        <v>0</v>
      </c>
      <c r="E83" s="103" t="s">
        <v>78</v>
      </c>
      <c r="F83" s="103" t="s">
        <v>78</v>
      </c>
      <c r="G83" s="103" t="s">
        <v>78</v>
      </c>
      <c r="H83" s="103" t="s">
        <v>78</v>
      </c>
      <c r="I83" s="103" t="s">
        <v>78</v>
      </c>
      <c r="J83" s="65">
        <f t="shared" si="8"/>
        <v>0</v>
      </c>
      <c r="K83" s="60" t="str">
        <f t="shared" si="7"/>
        <v/>
      </c>
      <c r="L83" s="37"/>
      <c r="M83" s="37"/>
      <c r="N83" s="37"/>
      <c r="O83" s="37"/>
      <c r="P83" s="37"/>
    </row>
    <row r="84" spans="2:16" ht="33.75" x14ac:dyDescent="0.2">
      <c r="B84" s="63" t="s">
        <v>64</v>
      </c>
      <c r="C84" s="64">
        <f>51396628.74</f>
        <v>51396628.740000002</v>
      </c>
      <c r="D84" s="64">
        <f>96942182.95</f>
        <v>96942182.950000003</v>
      </c>
      <c r="E84" s="103" t="s">
        <v>78</v>
      </c>
      <c r="F84" s="103" t="s">
        <v>78</v>
      </c>
      <c r="G84" s="103" t="s">
        <v>78</v>
      </c>
      <c r="H84" s="103" t="s">
        <v>78</v>
      </c>
      <c r="I84" s="103" t="s">
        <v>78</v>
      </c>
      <c r="J84" s="65">
        <f t="shared" si="8"/>
        <v>16.070225490146587</v>
      </c>
      <c r="K84" s="60">
        <f t="shared" si="7"/>
        <v>188.61583984506296</v>
      </c>
      <c r="L84" s="37"/>
      <c r="M84" s="37"/>
      <c r="N84" s="37"/>
      <c r="O84" s="37"/>
      <c r="P84" s="37"/>
    </row>
    <row r="85" spans="2:16" ht="56.25" x14ac:dyDescent="0.2">
      <c r="B85" s="63" t="s">
        <v>89</v>
      </c>
      <c r="C85" s="64"/>
      <c r="D85" s="64">
        <f>5300000</f>
        <v>5300000</v>
      </c>
      <c r="E85" s="103" t="s">
        <v>78</v>
      </c>
      <c r="F85" s="103" t="s">
        <v>78</v>
      </c>
      <c r="G85" s="103" t="s">
        <v>78</v>
      </c>
      <c r="H85" s="103" t="s">
        <v>78</v>
      </c>
      <c r="I85" s="103" t="s">
        <v>78</v>
      </c>
      <c r="J85" s="65">
        <f t="shared" si="8"/>
        <v>0.87858755090863072</v>
      </c>
      <c r="K85" s="60" t="str">
        <f>IF(C85=0,"",100*D85/C85)</f>
        <v/>
      </c>
      <c r="L85" s="37"/>
      <c r="M85" s="37"/>
      <c r="N85" s="37"/>
      <c r="O85" s="37"/>
      <c r="P85" s="37"/>
    </row>
    <row r="86" spans="2:16" x14ac:dyDescent="0.2">
      <c r="B86" s="63" t="s">
        <v>90</v>
      </c>
      <c r="C86" s="64">
        <f>4633942</f>
        <v>4633942</v>
      </c>
      <c r="D86" s="64">
        <f>13926906.1</f>
        <v>13926906.1</v>
      </c>
      <c r="E86" s="103" t="s">
        <v>78</v>
      </c>
      <c r="F86" s="103" t="s">
        <v>78</v>
      </c>
      <c r="G86" s="103" t="s">
        <v>78</v>
      </c>
      <c r="H86" s="103" t="s">
        <v>78</v>
      </c>
      <c r="I86" s="103" t="s">
        <v>78</v>
      </c>
      <c r="J86" s="65">
        <f t="shared" si="8"/>
        <v>2.3086804381383907</v>
      </c>
      <c r="K86" s="60">
        <f>IF(C86=0,"",100*D86/C86)</f>
        <v>300.54122602311378</v>
      </c>
      <c r="L86" s="37"/>
      <c r="M86" s="37"/>
      <c r="N86" s="37"/>
      <c r="O86" s="37"/>
      <c r="P86" s="37"/>
    </row>
    <row r="87" spans="2:16" ht="22.5" x14ac:dyDescent="0.2">
      <c r="B87" s="109" t="s">
        <v>91</v>
      </c>
      <c r="C87" s="64">
        <f>1074300</f>
        <v>1074300</v>
      </c>
      <c r="D87" s="64">
        <f>13926906.1</f>
        <v>13926906.1</v>
      </c>
      <c r="E87" s="103" t="s">
        <v>78</v>
      </c>
      <c r="F87" s="103" t="s">
        <v>78</v>
      </c>
      <c r="G87" s="103" t="s">
        <v>78</v>
      </c>
      <c r="H87" s="103" t="s">
        <v>78</v>
      </c>
      <c r="I87" s="103" t="s">
        <v>78</v>
      </c>
      <c r="J87" s="65">
        <f t="shared" si="8"/>
        <v>2.3086804381383907</v>
      </c>
      <c r="K87" s="60">
        <f t="shared" si="7"/>
        <v>1296.3702969375406</v>
      </c>
      <c r="L87" s="37"/>
      <c r="M87" s="37"/>
      <c r="N87" s="37"/>
      <c r="O87" s="37"/>
      <c r="P87" s="37"/>
    </row>
    <row r="88" spans="2:16" ht="27" customHeight="1" x14ac:dyDescent="0.2">
      <c r="B88" s="106" t="s">
        <v>32</v>
      </c>
      <c r="C88" s="31">
        <f>76423910.3</f>
        <v>76423910.299999997</v>
      </c>
      <c r="D88" s="31">
        <f>34476319.03</f>
        <v>34476319.030000001</v>
      </c>
      <c r="E88" s="104" t="s">
        <v>78</v>
      </c>
      <c r="F88" s="104" t="s">
        <v>78</v>
      </c>
      <c r="G88" s="104" t="s">
        <v>78</v>
      </c>
      <c r="H88" s="104" t="s">
        <v>78</v>
      </c>
      <c r="I88" s="104" t="s">
        <v>78</v>
      </c>
      <c r="J88" s="25">
        <f t="shared" ref="J88:J93" si="9">IF($D$88=0,"",100*$D88/$D$88)</f>
        <v>100</v>
      </c>
      <c r="K88" s="21">
        <f t="shared" si="7"/>
        <v>45.11195369965256</v>
      </c>
      <c r="L88" s="37"/>
      <c r="M88" s="37"/>
      <c r="N88" s="37"/>
      <c r="O88" s="37"/>
      <c r="P88" s="37"/>
    </row>
    <row r="89" spans="2:16" ht="22.5" x14ac:dyDescent="0.2">
      <c r="B89" s="108" t="s">
        <v>65</v>
      </c>
      <c r="C89" s="28">
        <f>54195041.6</f>
        <v>54195041.600000001</v>
      </c>
      <c r="D89" s="30">
        <f>4408340.08</f>
        <v>4408340.08</v>
      </c>
      <c r="E89" s="105" t="s">
        <v>78</v>
      </c>
      <c r="F89" s="105" t="s">
        <v>78</v>
      </c>
      <c r="G89" s="105" t="s">
        <v>78</v>
      </c>
      <c r="H89" s="105" t="s">
        <v>78</v>
      </c>
      <c r="I89" s="105" t="s">
        <v>78</v>
      </c>
      <c r="J89" s="32">
        <f t="shared" si="9"/>
        <v>12.786574100802431</v>
      </c>
      <c r="K89" s="33">
        <f t="shared" si="7"/>
        <v>8.1342129277007515</v>
      </c>
      <c r="L89" s="37"/>
      <c r="M89" s="37"/>
      <c r="N89" s="37"/>
      <c r="O89" s="37"/>
      <c r="P89" s="37"/>
    </row>
    <row r="90" spans="2:16" ht="12.75" customHeight="1" x14ac:dyDescent="0.2">
      <c r="B90" s="109" t="s">
        <v>66</v>
      </c>
      <c r="C90" s="64">
        <f>4390000</f>
        <v>4390000</v>
      </c>
      <c r="D90" s="64">
        <f>0</f>
        <v>0</v>
      </c>
      <c r="E90" s="105" t="s">
        <v>78</v>
      </c>
      <c r="F90" s="105" t="s">
        <v>78</v>
      </c>
      <c r="G90" s="105" t="s">
        <v>78</v>
      </c>
      <c r="H90" s="105" t="s">
        <v>78</v>
      </c>
      <c r="I90" s="105" t="s">
        <v>78</v>
      </c>
      <c r="J90" s="65">
        <f t="shared" si="9"/>
        <v>0</v>
      </c>
      <c r="K90" s="60">
        <f t="shared" si="7"/>
        <v>0</v>
      </c>
      <c r="L90" s="37"/>
      <c r="M90" s="37"/>
      <c r="N90" s="37"/>
      <c r="O90" s="37"/>
      <c r="P90" s="37"/>
    </row>
    <row r="91" spans="2:16" ht="12.75" customHeight="1" x14ac:dyDescent="0.2">
      <c r="B91" s="63" t="s">
        <v>73</v>
      </c>
      <c r="C91" s="64">
        <f>0</f>
        <v>0</v>
      </c>
      <c r="D91" s="64">
        <f>0</f>
        <v>0</v>
      </c>
      <c r="E91" s="105" t="s">
        <v>78</v>
      </c>
      <c r="F91" s="105" t="s">
        <v>78</v>
      </c>
      <c r="G91" s="105" t="s">
        <v>78</v>
      </c>
      <c r="H91" s="105" t="s">
        <v>78</v>
      </c>
      <c r="I91" s="105" t="s">
        <v>78</v>
      </c>
      <c r="J91" s="65">
        <f t="shared" si="9"/>
        <v>0</v>
      </c>
      <c r="K91" s="60" t="str">
        <f t="shared" si="7"/>
        <v/>
      </c>
      <c r="L91" s="37"/>
      <c r="M91" s="37"/>
      <c r="N91" s="37"/>
      <c r="O91" s="37"/>
      <c r="P91" s="37"/>
    </row>
    <row r="92" spans="2:16" ht="12.75" customHeight="1" x14ac:dyDescent="0.2">
      <c r="B92" s="63" t="s">
        <v>92</v>
      </c>
      <c r="C92" s="64">
        <f>22228868.7</f>
        <v>22228868.699999999</v>
      </c>
      <c r="D92" s="64">
        <f>30067978.95</f>
        <v>30067978.949999999</v>
      </c>
      <c r="E92" s="105" t="s">
        <v>78</v>
      </c>
      <c r="F92" s="105" t="s">
        <v>78</v>
      </c>
      <c r="G92" s="105" t="s">
        <v>78</v>
      </c>
      <c r="H92" s="105" t="s">
        <v>78</v>
      </c>
      <c r="I92" s="105" t="s">
        <v>78</v>
      </c>
      <c r="J92" s="65">
        <f t="shared" si="9"/>
        <v>87.21342589919756</v>
      </c>
      <c r="K92" s="60">
        <f>IF(C92=0,"",100*D92/C92)</f>
        <v>135.26544852910126</v>
      </c>
      <c r="L92" s="37"/>
      <c r="M92" s="37"/>
      <c r="N92" s="37"/>
      <c r="O92" s="37"/>
      <c r="P92" s="37"/>
    </row>
    <row r="93" spans="2:16" ht="22.5" x14ac:dyDescent="0.2">
      <c r="B93" s="109" t="s">
        <v>93</v>
      </c>
      <c r="C93" s="64">
        <f>480923</f>
        <v>480923</v>
      </c>
      <c r="D93" s="64">
        <f>0</f>
        <v>0</v>
      </c>
      <c r="E93" s="105" t="s">
        <v>78</v>
      </c>
      <c r="F93" s="105" t="s">
        <v>78</v>
      </c>
      <c r="G93" s="105" t="s">
        <v>78</v>
      </c>
      <c r="H93" s="105" t="s">
        <v>78</v>
      </c>
      <c r="I93" s="105" t="s">
        <v>78</v>
      </c>
      <c r="J93" s="65">
        <f t="shared" si="9"/>
        <v>0</v>
      </c>
      <c r="K93" s="60">
        <f>IF(C93=0,"",100*D93/C93)</f>
        <v>0</v>
      </c>
      <c r="L93" s="37"/>
      <c r="M93" s="37"/>
      <c r="N93" s="37"/>
      <c r="O93" s="37"/>
      <c r="P93" s="37"/>
    </row>
    <row r="94" spans="2:16" x14ac:dyDescent="0.2">
      <c r="B94" s="22"/>
      <c r="C94" s="22"/>
      <c r="D94" s="22"/>
      <c r="E94" s="22"/>
      <c r="F94" s="22"/>
      <c r="G94" s="22"/>
      <c r="H94" s="22"/>
      <c r="I94" s="37"/>
      <c r="J94" s="37"/>
      <c r="K94" s="37"/>
      <c r="L94" s="37"/>
      <c r="M94" s="37"/>
    </row>
    <row r="95" spans="2:16" x14ac:dyDescent="0.2">
      <c r="B95" s="44" t="s">
        <v>16</v>
      </c>
      <c r="C95" s="70" t="s">
        <v>17</v>
      </c>
      <c r="D95" s="13" t="s">
        <v>1</v>
      </c>
      <c r="E95" s="37"/>
      <c r="F95" s="37"/>
      <c r="G95" s="37"/>
      <c r="H95" s="37"/>
      <c r="I95" s="37"/>
    </row>
    <row r="96" spans="2:16" x14ac:dyDescent="0.2">
      <c r="B96" s="44"/>
      <c r="C96" s="153" t="s">
        <v>40</v>
      </c>
      <c r="D96" s="154"/>
      <c r="E96" s="37"/>
      <c r="F96" s="37"/>
      <c r="G96" s="37"/>
      <c r="H96" s="37"/>
      <c r="I96" s="37"/>
    </row>
    <row r="97" spans="2:13" x14ac:dyDescent="0.2">
      <c r="B97" s="23">
        <v>1</v>
      </c>
      <c r="C97" s="26">
        <v>2</v>
      </c>
      <c r="D97" s="24">
        <v>3</v>
      </c>
      <c r="E97" s="37"/>
      <c r="F97" s="37"/>
      <c r="G97" s="37"/>
      <c r="H97" s="37"/>
      <c r="I97" s="37"/>
    </row>
    <row r="98" spans="2:13" ht="36.75" customHeight="1" x14ac:dyDescent="0.2">
      <c r="B98" s="107" t="s">
        <v>88</v>
      </c>
      <c r="C98" s="29">
        <f>240013213.92</f>
        <v>240013213.91999999</v>
      </c>
      <c r="D98" s="85">
        <f>0</f>
        <v>0</v>
      </c>
      <c r="E98" s="37"/>
      <c r="F98" s="37"/>
      <c r="G98" s="37"/>
      <c r="H98" s="37"/>
      <c r="I98" s="37"/>
    </row>
    <row r="99" spans="2:13" ht="36" customHeight="1" x14ac:dyDescent="0.2">
      <c r="B99" s="110" t="s">
        <v>42</v>
      </c>
      <c r="C99" s="30">
        <f>3169642</f>
        <v>3169642</v>
      </c>
      <c r="D99" s="84">
        <f>0</f>
        <v>0</v>
      </c>
      <c r="E99" s="37"/>
      <c r="F99" s="37"/>
      <c r="G99" s="37"/>
      <c r="H99" s="37"/>
      <c r="I99" s="37"/>
    </row>
    <row r="100" spans="2:13" ht="12.75" customHeight="1" x14ac:dyDescent="0.2">
      <c r="B100" s="110" t="s">
        <v>43</v>
      </c>
      <c r="C100" s="30">
        <f>32803295</f>
        <v>32803295</v>
      </c>
      <c r="D100" s="84">
        <f>0</f>
        <v>0</v>
      </c>
      <c r="E100" s="37"/>
      <c r="F100" s="37"/>
      <c r="G100" s="37"/>
      <c r="H100" s="37"/>
      <c r="I100" s="37"/>
    </row>
    <row r="101" spans="2:13" ht="25.5" customHeight="1" x14ac:dyDescent="0.2">
      <c r="B101" s="110" t="s">
        <v>44</v>
      </c>
      <c r="C101" s="30">
        <f>0</f>
        <v>0</v>
      </c>
      <c r="D101" s="84">
        <f>0</f>
        <v>0</v>
      </c>
      <c r="E101" s="37"/>
      <c r="F101" s="37"/>
      <c r="G101" s="37"/>
      <c r="H101" s="37"/>
      <c r="I101" s="37"/>
    </row>
    <row r="102" spans="2:13" ht="57.75" customHeight="1" x14ac:dyDescent="0.2">
      <c r="B102" s="110" t="s">
        <v>75</v>
      </c>
      <c r="C102" s="30">
        <f>124431979.21</f>
        <v>124431979.20999999</v>
      </c>
      <c r="D102" s="84">
        <f>0</f>
        <v>0</v>
      </c>
      <c r="E102" s="37"/>
      <c r="F102" s="37"/>
      <c r="G102" s="37"/>
      <c r="H102" s="37"/>
      <c r="I102" s="37"/>
    </row>
    <row r="103" spans="2:13" ht="84" customHeight="1" x14ac:dyDescent="0.2">
      <c r="B103" s="110" t="s">
        <v>45</v>
      </c>
      <c r="C103" s="30">
        <f>31334719.46</f>
        <v>31334719.460000001</v>
      </c>
      <c r="D103" s="84">
        <f>0</f>
        <v>0</v>
      </c>
      <c r="E103" s="37"/>
      <c r="F103" s="37"/>
      <c r="G103" s="37"/>
      <c r="H103" s="37"/>
      <c r="I103" s="37"/>
    </row>
    <row r="104" spans="2:13" ht="149.25" customHeight="1" x14ac:dyDescent="0.2">
      <c r="B104" s="110" t="s">
        <v>76</v>
      </c>
      <c r="C104" s="30">
        <f>47199278.25</f>
        <v>47199278.25</v>
      </c>
      <c r="D104" s="84">
        <f>0</f>
        <v>0</v>
      </c>
      <c r="E104" s="37"/>
      <c r="F104" s="37"/>
      <c r="G104" s="37"/>
      <c r="H104" s="37"/>
      <c r="I104" s="37"/>
    </row>
    <row r="105" spans="2:13" ht="24" customHeight="1" x14ac:dyDescent="0.2">
      <c r="B105" s="110" t="s">
        <v>77</v>
      </c>
      <c r="C105" s="30">
        <f>0</f>
        <v>0</v>
      </c>
      <c r="D105" s="84">
        <f>0</f>
        <v>0</v>
      </c>
      <c r="E105" s="37"/>
      <c r="F105" s="37"/>
      <c r="G105" s="37"/>
      <c r="H105" s="37"/>
      <c r="I105" s="37"/>
    </row>
    <row r="106" spans="2:13" ht="24" customHeight="1" x14ac:dyDescent="0.2">
      <c r="B106" s="110" t="s">
        <v>91</v>
      </c>
      <c r="C106" s="30">
        <f>1074300</f>
        <v>1074300</v>
      </c>
      <c r="D106" s="84">
        <f>0</f>
        <v>0</v>
      </c>
      <c r="E106" s="37"/>
      <c r="F106" s="37"/>
      <c r="G106" s="37"/>
      <c r="H106" s="37"/>
      <c r="I106" s="37"/>
    </row>
    <row r="107" spans="2:13" ht="13.5" customHeight="1" x14ac:dyDescent="0.2"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</row>
    <row r="108" spans="2:13" x14ac:dyDescent="0.2">
      <c r="B108" s="116" t="s">
        <v>33</v>
      </c>
      <c r="C108" s="114">
        <f>1</f>
        <v>1</v>
      </c>
      <c r="D108" s="114" t="str">
        <f>IF(C108=1,"I Kwartał",IF(C108=2,"II Kwartały",IF(C108=3,"III Kwartały",IF(C108=4,"IV Kwartały",IF(C108="M1","Styczeń",IF(C108="M11","Listopad",IF(C108="M12","Grudzień","-")))))))</f>
        <v>I Kwartał</v>
      </c>
      <c r="E108" s="37"/>
      <c r="F108" s="37"/>
      <c r="G108" s="37"/>
      <c r="H108" s="37"/>
      <c r="I108" s="37"/>
      <c r="J108" s="37"/>
      <c r="K108" s="37"/>
      <c r="L108" s="37"/>
      <c r="M108" s="37"/>
    </row>
    <row r="109" spans="2:13" ht="11.25" customHeight="1" x14ac:dyDescent="0.2">
      <c r="B109" s="116" t="s">
        <v>34</v>
      </c>
      <c r="C109" s="115">
        <f>2026</f>
        <v>2026</v>
      </c>
      <c r="D109" s="36"/>
      <c r="E109" s="37"/>
      <c r="F109" s="37"/>
      <c r="G109" s="37"/>
      <c r="H109" s="37"/>
      <c r="I109" s="37"/>
      <c r="J109" s="37"/>
      <c r="K109" s="37"/>
      <c r="L109" s="37"/>
      <c r="M109" s="37"/>
    </row>
    <row r="110" spans="2:13" ht="10.5" customHeight="1" x14ac:dyDescent="0.2">
      <c r="B110" s="116" t="s">
        <v>35</v>
      </c>
      <c r="C110" s="124" t="str">
        <f>"May 18 2026 12:00AM"</f>
        <v>May 18 2026 12:00AM</v>
      </c>
      <c r="D110" s="125"/>
      <c r="E110" s="37"/>
      <c r="F110" s="37"/>
      <c r="G110" s="37"/>
      <c r="H110" s="37"/>
      <c r="I110" s="37"/>
      <c r="J110" s="37"/>
      <c r="K110" s="37"/>
      <c r="L110" s="37"/>
      <c r="M110" s="37"/>
    </row>
    <row r="111" spans="2:13" hidden="1" x14ac:dyDescent="0.2">
      <c r="B111" s="1" t="s">
        <v>87</v>
      </c>
      <c r="C111" s="118" t="s">
        <v>103</v>
      </c>
    </row>
  </sheetData>
  <mergeCells count="28">
    <mergeCell ref="B3:B4"/>
    <mergeCell ref="F45:F46"/>
    <mergeCell ref="C75:D75"/>
    <mergeCell ref="C96:D96"/>
    <mergeCell ref="C47:I47"/>
    <mergeCell ref="E4:I5"/>
    <mergeCell ref="C4:D4"/>
    <mergeCell ref="E62:F62"/>
    <mergeCell ref="B67:B68"/>
    <mergeCell ref="C67:D67"/>
    <mergeCell ref="C62:D62"/>
    <mergeCell ref="E67:F67"/>
    <mergeCell ref="J4:L4"/>
    <mergeCell ref="J47:K47"/>
    <mergeCell ref="E44:E46"/>
    <mergeCell ref="C44:C46"/>
    <mergeCell ref="I59:J59"/>
    <mergeCell ref="G45:H45"/>
    <mergeCell ref="F44:H44"/>
    <mergeCell ref="C110:D110"/>
    <mergeCell ref="E74:I76"/>
    <mergeCell ref="K44:K46"/>
    <mergeCell ref="B44:B47"/>
    <mergeCell ref="I44:I46"/>
    <mergeCell ref="J44:J46"/>
    <mergeCell ref="D44:D46"/>
    <mergeCell ref="J75:K75"/>
    <mergeCell ref="B62:B63"/>
  </mergeCells>
  <phoneticPr fontId="0" type="noConversion"/>
  <pageMargins left="0.19685039370078741" right="0.19685039370078741" top="0.55118110236220474" bottom="0.39370078740157483" header="0.31496062992125984" footer="0.19685039370078741"/>
  <pageSetup paperSize="9" scale="95" orientation="landscape" useFirstPageNumber="1" r:id="rId1"/>
  <headerFooter alignWithMargins="0">
    <oddFooter>&amp;RStrona &amp;P z &amp;N</oddFooter>
  </headerFooter>
  <rowBreaks count="4" manualBreakCount="4">
    <brk id="28" max="16383" man="1"/>
    <brk id="40" max="16383" man="1"/>
    <brk id="72" max="16383" man="1"/>
    <brk id="9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doch_wyd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2025-02-07T10:59:12Z</cp:lastPrinted>
  <dcterms:created xsi:type="dcterms:W3CDTF">2001-05-17T08:58:03Z</dcterms:created>
  <dcterms:modified xsi:type="dcterms:W3CDTF">2026-05-29T11:54:38Z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2025-01-31T14:24:24.5667389+01:00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GRN-59a8bf38-d3d9-4808-a058-52611e7ed5a3</vt:lpwstr>
  </property>
  <property fmtid="{D5CDD505-2E9C-101B-9397-08002B2CF9AE}" pid="7" name="MFHash">
    <vt:lpwstr>wgvoo3FO2SjwtL5qdrgz+xzm7m5PrsTfiGGb6v7vF2c=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