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V kwartał\2026.03.18 dane ostateczne\Zbiorówki_2025_k4_2026.03.18\Publikacja\"/>
    </mc:Choice>
  </mc:AlternateContent>
  <xr:revisionPtr revIDLastSave="0" documentId="13_ncr:1_{2E6A13BE-6CAB-4E47-80E4-DAB7EC593D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doch_wyd!$A$1:$M$131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1" i="4" l="1"/>
  <c r="C130" i="4"/>
  <c r="C129" i="4"/>
  <c r="D127" i="4"/>
  <c r="C127" i="4"/>
  <c r="D126" i="4"/>
  <c r="C126" i="4"/>
  <c r="D125" i="4"/>
  <c r="C125" i="4"/>
  <c r="D124" i="4"/>
  <c r="C124" i="4"/>
  <c r="D123" i="4"/>
  <c r="C123" i="4"/>
  <c r="D122" i="4"/>
  <c r="C122" i="4"/>
  <c r="D121" i="4"/>
  <c r="C121" i="4"/>
  <c r="D120" i="4"/>
  <c r="C120" i="4"/>
  <c r="D119" i="4"/>
  <c r="C119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4" i="4"/>
  <c r="C104" i="4"/>
  <c r="D103" i="4"/>
  <c r="C103" i="4"/>
  <c r="D102" i="4"/>
  <c r="C102" i="4"/>
  <c r="D101" i="4"/>
  <c r="C101" i="4"/>
  <c r="D100" i="4"/>
  <c r="C100" i="4"/>
  <c r="D99" i="4"/>
  <c r="C99" i="4"/>
  <c r="D98" i="4"/>
  <c r="C98" i="4"/>
  <c r="I92" i="4"/>
  <c r="H92" i="4"/>
  <c r="G92" i="4"/>
  <c r="F92" i="4"/>
  <c r="E92" i="4"/>
  <c r="D92" i="4"/>
  <c r="C92" i="4"/>
  <c r="I91" i="4"/>
  <c r="H91" i="4"/>
  <c r="G91" i="4"/>
  <c r="F91" i="4"/>
  <c r="E91" i="4"/>
  <c r="D91" i="4"/>
  <c r="C91" i="4"/>
  <c r="G88" i="4"/>
  <c r="F88" i="4"/>
  <c r="E88" i="4"/>
  <c r="D88" i="4"/>
  <c r="C88" i="4"/>
  <c r="G87" i="4"/>
  <c r="F87" i="4"/>
  <c r="E87" i="4"/>
  <c r="D87" i="4"/>
  <c r="C87" i="4"/>
  <c r="G83" i="4"/>
  <c r="F83" i="4"/>
  <c r="E83" i="4"/>
  <c r="D83" i="4"/>
  <c r="C83" i="4"/>
  <c r="G82" i="4"/>
  <c r="F82" i="4"/>
  <c r="E82" i="4"/>
  <c r="D82" i="4"/>
  <c r="C82" i="4"/>
  <c r="I74" i="4"/>
  <c r="H74" i="4"/>
  <c r="G74" i="4"/>
  <c r="F74" i="4"/>
  <c r="E74" i="4"/>
  <c r="D74" i="4"/>
  <c r="C74" i="4"/>
  <c r="I73" i="4"/>
  <c r="H73" i="4"/>
  <c r="G73" i="4"/>
  <c r="F73" i="4"/>
  <c r="E73" i="4"/>
  <c r="D73" i="4"/>
  <c r="C73" i="4"/>
  <c r="I72" i="4"/>
  <c r="H72" i="4"/>
  <c r="G72" i="4"/>
  <c r="F72" i="4"/>
  <c r="E72" i="4"/>
  <c r="D72" i="4"/>
  <c r="C72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I68" i="4"/>
  <c r="H68" i="4"/>
  <c r="G68" i="4"/>
  <c r="F68" i="4"/>
  <c r="E68" i="4"/>
  <c r="D68" i="4"/>
  <c r="C68" i="4"/>
  <c r="I67" i="4"/>
  <c r="H67" i="4"/>
  <c r="G67" i="4"/>
  <c r="F67" i="4"/>
  <c r="E67" i="4"/>
  <c r="D67" i="4"/>
  <c r="D69" i="4" s="1"/>
  <c r="C67" i="4"/>
  <c r="I66" i="4"/>
  <c r="H66" i="4"/>
  <c r="G66" i="4"/>
  <c r="F66" i="4"/>
  <c r="E66" i="4"/>
  <c r="D66" i="4"/>
  <c r="C66" i="4"/>
  <c r="I56" i="4"/>
  <c r="H56" i="4"/>
  <c r="G56" i="4"/>
  <c r="F56" i="4"/>
  <c r="E56" i="4"/>
  <c r="D56" i="4"/>
  <c r="C56" i="4"/>
  <c r="D53" i="4"/>
  <c r="C53" i="4"/>
  <c r="D52" i="4"/>
  <c r="C52" i="4"/>
  <c r="D51" i="4"/>
  <c r="C51" i="4"/>
  <c r="D50" i="4"/>
  <c r="C50" i="4"/>
  <c r="D49" i="4"/>
  <c r="C49" i="4"/>
  <c r="D48" i="4"/>
  <c r="C48" i="4"/>
  <c r="D47" i="4"/>
  <c r="C47" i="4"/>
  <c r="D46" i="4"/>
  <c r="C46" i="4"/>
  <c r="D45" i="4"/>
  <c r="C45" i="4"/>
  <c r="D44" i="4"/>
  <c r="C44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K23" i="4" s="1"/>
  <c r="I22" i="4"/>
  <c r="H22" i="4"/>
  <c r="G22" i="4"/>
  <c r="F22" i="4"/>
  <c r="E22" i="4"/>
  <c r="D22" i="4"/>
  <c r="J22" i="4" s="1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J17" i="4" s="1"/>
  <c r="C17" i="4"/>
  <c r="I16" i="4"/>
  <c r="H16" i="4"/>
  <c r="G16" i="4"/>
  <c r="F16" i="4"/>
  <c r="E16" i="4"/>
  <c r="D16" i="4"/>
  <c r="C16" i="4"/>
  <c r="K16" i="4" s="1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K14" i="4" s="1"/>
  <c r="C14" i="4"/>
  <c r="I13" i="4"/>
  <c r="H13" i="4"/>
  <c r="G13" i="4"/>
  <c r="F13" i="4"/>
  <c r="E13" i="4"/>
  <c r="D13" i="4"/>
  <c r="C13" i="4"/>
  <c r="K13" i="4" s="1"/>
  <c r="I12" i="4"/>
  <c r="H12" i="4"/>
  <c r="G12" i="4"/>
  <c r="F12" i="4"/>
  <c r="E12" i="4"/>
  <c r="D12" i="4"/>
  <c r="C12" i="4"/>
  <c r="K12" i="4" s="1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K10" i="4" s="1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6" i="4"/>
  <c r="H6" i="4"/>
  <c r="G6" i="4"/>
  <c r="F6" i="4"/>
  <c r="E6" i="4"/>
  <c r="D6" i="4"/>
  <c r="J28" i="4" s="1"/>
  <c r="C6" i="4"/>
  <c r="K9" i="4"/>
  <c r="I93" i="4"/>
  <c r="K24" i="4"/>
  <c r="K92" i="4"/>
  <c r="K32" i="4"/>
  <c r="K33" i="4"/>
  <c r="K51" i="4"/>
  <c r="K11" i="4"/>
  <c r="K101" i="4"/>
  <c r="K72" i="4"/>
  <c r="K102" i="4"/>
  <c r="K103" i="4"/>
  <c r="K113" i="4"/>
  <c r="K43" i="4"/>
  <c r="K114" i="4"/>
  <c r="K44" i="4"/>
  <c r="K91" i="4"/>
  <c r="C93" i="4"/>
  <c r="K45" i="4"/>
  <c r="C76" i="4"/>
  <c r="K6" i="4"/>
  <c r="C55" i="4"/>
  <c r="K55" i="4" s="1"/>
  <c r="K73" i="4"/>
  <c r="K18" i="4"/>
  <c r="K106" i="4"/>
  <c r="K37" i="4"/>
  <c r="J15" i="4"/>
  <c r="J6" i="4"/>
  <c r="D55" i="4"/>
  <c r="J36" i="4"/>
  <c r="J10" i="4"/>
  <c r="J53" i="4"/>
  <c r="J23" i="4"/>
  <c r="J8" i="4"/>
  <c r="J48" i="4"/>
  <c r="J34" i="4"/>
  <c r="J32" i="4"/>
  <c r="D76" i="4"/>
  <c r="J52" i="4"/>
  <c r="J40" i="4"/>
  <c r="J19" i="4"/>
  <c r="J30" i="4"/>
  <c r="J29" i="4"/>
  <c r="J16" i="4"/>
  <c r="J13" i="4"/>
  <c r="J20" i="4"/>
  <c r="J11" i="4"/>
  <c r="J50" i="4"/>
  <c r="J31" i="4"/>
  <c r="J39" i="4"/>
  <c r="J51" i="4"/>
  <c r="J9" i="4"/>
  <c r="J46" i="4"/>
  <c r="J42" i="4"/>
  <c r="J26" i="4"/>
  <c r="J41" i="4"/>
  <c r="J49" i="4"/>
  <c r="J18" i="4"/>
  <c r="J43" i="4"/>
  <c r="K107" i="4"/>
  <c r="E7" i="4"/>
  <c r="E55" i="4"/>
  <c r="E57" i="4"/>
  <c r="K38" i="4"/>
  <c r="K49" i="4"/>
  <c r="K66" i="4"/>
  <c r="C69" i="4"/>
  <c r="F55" i="4"/>
  <c r="F57" i="4"/>
  <c r="F7" i="4"/>
  <c r="I69" i="4"/>
  <c r="I75" i="4"/>
  <c r="K108" i="4"/>
  <c r="G7" i="4"/>
  <c r="G55" i="4"/>
  <c r="G57" i="4"/>
  <c r="K39" i="4"/>
  <c r="K50" i="4"/>
  <c r="K100" i="4"/>
  <c r="K19" i="4"/>
  <c r="K70" i="4"/>
  <c r="D129" i="4"/>
  <c r="B59" i="4" s="1"/>
  <c r="H7" i="4"/>
  <c r="H55" i="4"/>
  <c r="H57" i="4"/>
  <c r="K31" i="4"/>
  <c r="K112" i="4"/>
  <c r="K28" i="4"/>
  <c r="C27" i="4"/>
  <c r="K27" i="4" s="1"/>
  <c r="K46" i="4"/>
  <c r="K74" i="4"/>
  <c r="J113" i="4"/>
  <c r="J111" i="4"/>
  <c r="J110" i="4"/>
  <c r="J114" i="4"/>
  <c r="J112" i="4"/>
  <c r="J109" i="4"/>
  <c r="K8" i="4"/>
  <c r="D27" i="4"/>
  <c r="D26" i="4"/>
  <c r="D7" i="4"/>
  <c r="L17" i="4" s="1"/>
  <c r="J7" i="4"/>
  <c r="E69" i="4"/>
  <c r="E75" i="4"/>
  <c r="K68" i="4"/>
  <c r="E93" i="4"/>
  <c r="K98" i="4"/>
  <c r="K104" i="4"/>
  <c r="K110" i="4"/>
  <c r="K15" i="4"/>
  <c r="K29" i="4"/>
  <c r="K35" i="4"/>
  <c r="K41" i="4"/>
  <c r="K47" i="4"/>
  <c r="K53" i="4"/>
  <c r="F69" i="4"/>
  <c r="F75" i="4"/>
  <c r="F93" i="4"/>
  <c r="J99" i="4"/>
  <c r="J107" i="4"/>
  <c r="J102" i="4"/>
  <c r="J106" i="4"/>
  <c r="J98" i="4"/>
  <c r="J104" i="4"/>
  <c r="J103" i="4"/>
  <c r="J105" i="4"/>
  <c r="J101" i="4"/>
  <c r="J100" i="4"/>
  <c r="J108" i="4"/>
  <c r="K109" i="4"/>
  <c r="K40" i="4"/>
  <c r="J71" i="4"/>
  <c r="J74" i="4"/>
  <c r="J70" i="4"/>
  <c r="J72" i="4"/>
  <c r="J67" i="4"/>
  <c r="J68" i="4"/>
  <c r="J73" i="4"/>
  <c r="J66" i="4"/>
  <c r="D93" i="4"/>
  <c r="K93" i="4" s="1"/>
  <c r="J93" i="4"/>
  <c r="J92" i="4"/>
  <c r="J91" i="4"/>
  <c r="I7" i="4"/>
  <c r="I55" i="4"/>
  <c r="I57" i="4"/>
  <c r="K34" i="4"/>
  <c r="K52" i="4"/>
  <c r="G69" i="4"/>
  <c r="G75" i="4"/>
  <c r="K71" i="4"/>
  <c r="G93" i="4"/>
  <c r="K99" i="4"/>
  <c r="K105" i="4"/>
  <c r="K111" i="4"/>
  <c r="K30" i="4"/>
  <c r="K36" i="4"/>
  <c r="K42" i="4"/>
  <c r="K48" i="4"/>
  <c r="K56" i="4"/>
  <c r="H69" i="4"/>
  <c r="H75" i="4"/>
  <c r="H93" i="4"/>
  <c r="J56" i="4"/>
  <c r="J55" i="4"/>
  <c r="B1" i="4"/>
  <c r="B94" i="4"/>
  <c r="C75" i="4"/>
  <c r="J69" i="4" l="1"/>
  <c r="D75" i="4"/>
  <c r="K69" i="4"/>
  <c r="K67" i="4"/>
  <c r="L19" i="4"/>
  <c r="L15" i="4"/>
  <c r="L10" i="4"/>
  <c r="C26" i="4"/>
  <c r="L16" i="4"/>
  <c r="L20" i="4"/>
  <c r="L11" i="4"/>
  <c r="L9" i="4"/>
  <c r="L21" i="4"/>
  <c r="L12" i="4"/>
  <c r="K22" i="4"/>
  <c r="K21" i="4"/>
  <c r="J21" i="4"/>
  <c r="K20" i="4"/>
  <c r="K17" i="4"/>
  <c r="E25" i="4"/>
  <c r="D25" i="4"/>
  <c r="L14" i="4"/>
  <c r="F25" i="4"/>
  <c r="I25" i="4"/>
  <c r="G25" i="4"/>
  <c r="H25" i="4"/>
  <c r="D57" i="4"/>
  <c r="D77" i="4" s="1"/>
  <c r="L7" i="4"/>
  <c r="L18" i="4"/>
  <c r="L24" i="4"/>
  <c r="J27" i="4"/>
  <c r="J38" i="4"/>
  <c r="J45" i="4"/>
  <c r="J44" i="4"/>
  <c r="L22" i="4"/>
  <c r="L23" i="4"/>
  <c r="J37" i="4"/>
  <c r="J33" i="4"/>
  <c r="J47" i="4"/>
  <c r="J35" i="4"/>
  <c r="L13" i="4"/>
  <c r="J24" i="4"/>
  <c r="J12" i="4"/>
  <c r="J14" i="4"/>
  <c r="L8" i="4"/>
  <c r="C57" i="4"/>
  <c r="K75" i="4" l="1"/>
  <c r="J75" i="4"/>
  <c r="K26" i="4"/>
  <c r="C7" i="4"/>
  <c r="J25" i="4"/>
  <c r="L25" i="4"/>
  <c r="J57" i="4"/>
  <c r="C77" i="4"/>
  <c r="K57" i="4"/>
  <c r="C25" i="4" l="1"/>
  <c r="K25" i="4" s="1"/>
  <c r="K7" i="4"/>
</calcChain>
</file>

<file path=xl/sharedStrings.xml><?xml version="1.0" encoding="utf-8"?>
<sst xmlns="http://schemas.openxmlformats.org/spreadsheetml/2006/main" count="373" uniqueCount="124">
  <si>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</si>
  <si>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</si>
  <si>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</si>
  <si>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</si>
  <si>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</si>
  <si>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</si>
  <si>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</si>
  <si>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</si>
  <si>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</si>
  <si>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</si>
  <si>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</si>
  <si>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</si>
  <si>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</si>
  <si>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</si>
  <si>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</si>
  <si>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</si>
  <si>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</si>
  <si>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</si>
  <si>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</si>
  <si>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podatek od środków transportowych</t>
  </si>
  <si>
    <t>dochody z majątku</t>
  </si>
  <si>
    <t xml:space="preserve">pozostałe dochody </t>
  </si>
  <si>
    <t>Struktura</t>
  </si>
  <si>
    <t>Wskaźnik</t>
  </si>
  <si>
    <t>podatek od czynności cywilnoprawnych</t>
  </si>
  <si>
    <t>wpływy z opłaty eksploatacyjnej</t>
  </si>
  <si>
    <t>wpływy z opłaty targowej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</si>
  <si>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</si>
  <si>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</si>
  <si>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</si>
  <si>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</si>
  <si>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</si>
  <si>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</si>
  <si>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</si>
  <si>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</si>
  <si>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część rekompensująca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</si>
  <si>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</si>
  <si>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</si>
  <si>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</si>
  <si>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</si>
  <si>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</si>
  <si>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</si>
  <si>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</si>
  <si>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</si>
  <si>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</si>
  <si>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#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</si>
  <si>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</si>
  <si>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</si>
  <si>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</si>
  <si>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</si>
  <si>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</si>
  <si>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</si>
  <si>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</si>
  <si>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</si>
  <si>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</si>
  <si>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</si>
  <si>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</si>
  <si>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r>
      <t xml:space="preserve">Dotacje </t>
    </r>
    <r>
      <rPr>
        <b/>
        <sz val="10"/>
        <color indexed="8"/>
        <rFont val="Arial"/>
        <charset val="238"/>
      </rPr>
      <t>§§ 200 i 620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</si>
  <si>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620</t>
    </r>
  </si>
  <si>
    <t>WYDATKI OGÓŁEM UE
z tego: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</si>
  <si>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</si>
  <si>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</si>
  <si>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</si>
  <si>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</si>
  <si>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</si>
  <si>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</si>
  <si>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</si>
  <si>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</si>
  <si>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</si>
  <si>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</si>
  <si>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Dotacje </t>
    </r>
    <r>
      <rPr>
        <b/>
        <sz val="10"/>
        <color indexed="8"/>
        <rFont val="Arial"/>
        <charset val="238"/>
      </rPr>
      <t>§§ 205 i 625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</si>
  <si>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625</t>
    </r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</si>
  <si>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</si>
  <si>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</si>
  <si>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</si>
  <si>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</si>
  <si>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wolne środki , o których mowa w art. 217 ust.2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</si>
  <si>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</si>
  <si>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</si>
  <si>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(m.in.. z Rządowego Funduszu Inwestycji Lokalnych)</t>
  </si>
  <si>
    <t>w tym: inwestycyjne</t>
  </si>
  <si>
    <t>spłaty udzielonych pożyczek w latach ubiegłych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</si>
  <si>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</si>
  <si>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</si>
  <si>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</si>
  <si>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</si>
  <si>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</si>
  <si>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</si>
  <si>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</si>
  <si>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Dotacje ogółem 
z tego: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</si>
  <si>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</si>
  <si>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</si>
  <si>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</si>
  <si>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kredyty, pożyczki, emisja papierów wartościowych 
w tym:</t>
  </si>
  <si>
    <t>stan niespłaconych na koniec okresu sprawozdawczego zobowiązań przeznaczonych na cel, o którym mowa w art. 89 ust. 1 pkt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</si>
  <si>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</si>
  <si>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</si>
  <si>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</si>
  <si>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</si>
  <si>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>FINANSOWANIE DEFICYTU (E1+E2+E3+E4+E5+E6+E7+E8)  
z tego:</t>
  </si>
  <si>
    <t>podatek dochodowy od osób fizycznych</t>
  </si>
  <si>
    <t>podatek dochodowy od osób prawnych</t>
  </si>
  <si>
    <t>Subwencja ogólna, w tym:</t>
  </si>
  <si>
    <t>środki na uzupełnienie dochodów jednostek samorządu terytorialnego</t>
  </si>
  <si>
    <t>dodatni (nadwyżka)</t>
  </si>
  <si>
    <t>ujemny (deficyt)</t>
  </si>
  <si>
    <t>liczba JST</t>
  </si>
  <si>
    <t>kwota</t>
  </si>
  <si>
    <t>podatek od nieruchomości</t>
  </si>
  <si>
    <t>podatek rolny</t>
  </si>
  <si>
    <t>podatek leśny       </t>
  </si>
  <si>
    <t>podatek od dział. gosp. osób fizycznych, opłacany w formie karty podatkowej</t>
  </si>
  <si>
    <t>wpływy z opłaty skarbowej       </t>
  </si>
  <si>
    <t>podatek od spadków i darowizn       </t>
  </si>
  <si>
    <t>opłata miejscowa</t>
  </si>
  <si>
    <t>opłata uzdrowiskowa</t>
  </si>
  <si>
    <t>opłata od posiadania psów</t>
  </si>
  <si>
    <t>opłata reklamowa</t>
  </si>
  <si>
    <t>Wynik budżetu</t>
  </si>
  <si>
    <t>Planowany</t>
  </si>
  <si>
    <t>Wykonany</t>
  </si>
  <si>
    <t>Wynik operacyjny (Db-Wb)</t>
  </si>
  <si>
    <t>Dochody bieżące 
minus  wydatki bieżące (Db-Wb)</t>
  </si>
  <si>
    <t>zrównoważony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</si>
</sst>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3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8"/>
      <color indexed="62"/>
      <name val="Cambri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color indexed="8"/>
      <name val="Arial"/>
      <charset val="238"/>
    </font>
    <font>
      <sz val="8"/>
      <color indexed="8"/>
      <name val="Arial"/>
      <charset val="238"/>
    </font>
    <font>
      <sz val="8"/>
      <name val="Arial CE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1" applyNumberFormat="0" applyAlignment="0" applyProtection="0"/>
    <xf numFmtId="0" fontId="27" fillId="0" borderId="7" applyNumberFormat="0" applyFill="0" applyAlignment="0" applyProtection="0"/>
    <xf numFmtId="0" fontId="28" fillId="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36" fillId="0" borderId="0"/>
    <xf numFmtId="0" fontId="1" fillId="4" borderId="8" applyNumberFormat="0" applyFont="0" applyAlignment="0" applyProtection="0"/>
    <xf numFmtId="0" fontId="15" fillId="4" borderId="8" applyNumberFormat="0" applyFont="0" applyAlignment="0" applyProtection="0"/>
    <xf numFmtId="0" fontId="29" fillId="16" borderId="3" applyNumberFormat="0" applyAlignment="0" applyProtection="0"/>
    <xf numFmtId="0" fontId="14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/>
    </xf>
    <xf numFmtId="4" fontId="11" fillId="2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0" fontId="6" fillId="0" borderId="10" xfId="0" applyFont="1" applyFill="1" applyBorder="1" applyAlignment="1">
      <alignment horizontal="left" vertical="center" wrapText="1" indent="1"/>
    </xf>
    <xf numFmtId="0" fontId="2" fillId="0" borderId="10" xfId="0" applyFont="1" applyBorder="1"/>
    <xf numFmtId="165" fontId="13" fillId="20" borderId="10" xfId="0" applyNumberFormat="1" applyFont="1" applyFill="1" applyBorder="1" applyAlignment="1">
      <alignment horizontal="right" vertical="center"/>
    </xf>
    <xf numFmtId="165" fontId="4" fillId="0" borderId="10" xfId="0" applyNumberFormat="1" applyFont="1" applyFill="1" applyBorder="1" applyAlignment="1">
      <alignment horizontal="right" vertical="center"/>
    </xf>
    <xf numFmtId="165" fontId="6" fillId="0" borderId="10" xfId="0" applyNumberFormat="1" applyFont="1" applyFill="1" applyBorder="1" applyAlignment="1">
      <alignment horizontal="right" vertical="center"/>
    </xf>
    <xf numFmtId="165" fontId="11" fillId="20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left" vertical="center" wrapText="1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5" fontId="11" fillId="20" borderId="10" xfId="29" applyNumberFormat="1" applyFont="1" applyFill="1" applyBorder="1" applyAlignment="1">
      <alignment horizontal="right" vertical="center"/>
    </xf>
    <xf numFmtId="4" fontId="11" fillId="20" borderId="13" xfId="0" applyNumberFormat="1" applyFont="1" applyFill="1" applyBorder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6" fillId="20" borderId="13" xfId="0" applyNumberFormat="1" applyFont="1" applyFill="1" applyBorder="1" applyAlignment="1">
      <alignment horizontal="right" vertical="center"/>
    </xf>
    <xf numFmtId="4" fontId="6" fillId="22" borderId="13" xfId="0" applyNumberFormat="1" applyFont="1" applyFill="1" applyBorder="1" applyAlignment="1">
      <alignment horizontal="right" vertical="center"/>
    </xf>
    <xf numFmtId="0" fontId="37" fillId="23" borderId="10" xfId="41" applyFont="1" applyFill="1" applyBorder="1" applyAlignment="1">
      <alignment horizontal="left" vertical="center" wrapText="1"/>
    </xf>
    <xf numFmtId="165" fontId="11" fillId="22" borderId="10" xfId="29" applyNumberFormat="1" applyFont="1" applyFill="1" applyBorder="1" applyAlignment="1">
      <alignment horizontal="right" vertical="center"/>
    </xf>
    <xf numFmtId="165" fontId="11" fillId="22" borderId="10" xfId="0" applyNumberFormat="1" applyFont="1" applyFill="1" applyBorder="1" applyAlignment="1">
      <alignment horizontal="right" vertical="center"/>
    </xf>
    <xf numFmtId="165" fontId="11" fillId="23" borderId="10" xfId="0" applyNumberFormat="1" applyFont="1" applyFill="1" applyBorder="1" applyAlignment="1">
      <alignment horizontal="right" vertical="center"/>
    </xf>
    <xf numFmtId="4" fontId="11" fillId="20" borderId="10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 wrapText="1"/>
    </xf>
    <xf numFmtId="4" fontId="6" fillId="0" borderId="10" xfId="0" applyNumberFormat="1" applyFont="1" applyFill="1" applyBorder="1" applyAlignment="1">
      <alignment horizontal="right" vertical="center"/>
    </xf>
    <xf numFmtId="0" fontId="7" fillId="23" borderId="10" xfId="0" applyFont="1" applyFill="1" applyBorder="1" applyAlignment="1">
      <alignment horizontal="left" vertical="center" wrapText="1"/>
    </xf>
    <xf numFmtId="4" fontId="13" fillId="23" borderId="10" xfId="0" applyNumberFormat="1" applyFont="1" applyFill="1" applyBorder="1" applyAlignment="1">
      <alignment horizontal="right" vertical="center"/>
    </xf>
    <xf numFmtId="165" fontId="13" fillId="23" borderId="10" xfId="0" applyNumberFormat="1" applyFont="1" applyFill="1" applyBorder="1" applyAlignment="1">
      <alignment horizontal="right" vertical="center"/>
    </xf>
    <xf numFmtId="4" fontId="4" fillId="23" borderId="1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0" fontId="10" fillId="23" borderId="10" xfId="0" applyFont="1" applyFill="1" applyBorder="1" applyAlignment="1">
      <alignment horizontal="left" vertical="center" wrapText="1"/>
    </xf>
    <xf numFmtId="4" fontId="11" fillId="23" borderId="10" xfId="0" applyNumberFormat="1" applyFont="1" applyFill="1" applyBorder="1" applyAlignment="1">
      <alignment horizontal="right" vertical="center"/>
    </xf>
    <xf numFmtId="165" fontId="6" fillId="23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 wrapText="1"/>
    </xf>
    <xf numFmtId="165" fontId="11" fillId="0" borderId="10" xfId="0" applyNumberFormat="1" applyFont="1" applyFill="1" applyBorder="1" applyAlignment="1">
      <alignment horizontal="right" vertical="center"/>
    </xf>
    <xf numFmtId="4" fontId="6" fillId="0" borderId="13" xfId="0" applyNumberFormat="1" applyFont="1" applyFill="1" applyBorder="1" applyAlignment="1">
      <alignment horizontal="right" vertical="center"/>
    </xf>
    <xf numFmtId="165" fontId="11" fillId="0" borderId="10" xfId="29" applyNumberFormat="1" applyFont="1" applyFill="1" applyBorder="1" applyAlignment="1">
      <alignment horizontal="right" vertical="center"/>
    </xf>
    <xf numFmtId="4" fontId="11" fillId="23" borderId="10" xfId="0" applyNumberFormat="1" applyFont="1" applyFill="1" applyBorder="1" applyAlignment="1">
      <alignment vertical="center"/>
    </xf>
    <xf numFmtId="4" fontId="13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0" fontId="4" fillId="19" borderId="10" xfId="0" applyFont="1" applyFill="1" applyBorder="1" applyAlignment="1">
      <alignment vertical="center"/>
    </xf>
    <xf numFmtId="0" fontId="6" fillId="19" borderId="13" xfId="0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vertical="center" wrapText="1"/>
    </xf>
    <xf numFmtId="4" fontId="6" fillId="22" borderId="10" xfId="0" applyNumberFormat="1" applyFont="1" applyFill="1" applyBorder="1" applyAlignment="1">
      <alignment horizontal="right" vertical="center"/>
    </xf>
    <xf numFmtId="0" fontId="7" fillId="20" borderId="10" xfId="0" applyFont="1" applyFill="1" applyBorder="1" applyAlignment="1">
      <alignment horizontal="left" vertical="center" wrapText="1" indent="1"/>
    </xf>
    <xf numFmtId="0" fontId="7" fillId="23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21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3"/>
    </xf>
    <xf numFmtId="0" fontId="7" fillId="23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4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4"/>
    </xf>
    <xf numFmtId="0" fontId="37" fillId="0" borderId="10" xfId="41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4" fillId="0" borderId="10" xfId="0" applyFont="1" applyBorder="1" applyAlignment="1">
      <alignment horizontal="left" vertical="center" wrapText="1" indent="3"/>
    </xf>
    <xf numFmtId="0" fontId="2" fillId="0" borderId="15" xfId="0" applyFont="1" applyBorder="1"/>
    <xf numFmtId="0" fontId="10" fillId="0" borderId="0" xfId="41" applyFont="1" applyFill="1" applyBorder="1" applyAlignment="1">
      <alignment horizontal="left" vertical="center"/>
    </xf>
    <xf numFmtId="0" fontId="10" fillId="23" borderId="1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6" fillId="21" borderId="10" xfId="0" applyFont="1" applyFill="1" applyBorder="1" applyAlignment="1">
      <alignment horizontal="left" vertical="center" wrapText="1" indent="2"/>
    </xf>
    <xf numFmtId="0" fontId="10" fillId="0" borderId="0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vertical="center" wrapText="1"/>
    </xf>
    <xf numFmtId="0" fontId="7" fillId="20" borderId="10" xfId="0" applyFont="1" applyFill="1" applyBorder="1" applyAlignment="1">
      <alignment horizontal="center" vertical="center" wrapText="1"/>
    </xf>
    <xf numFmtId="167" fontId="34" fillId="0" borderId="10" xfId="0" applyNumberFormat="1" applyFont="1" applyBorder="1" applyAlignment="1">
      <alignment vertical="center" wrapText="1"/>
    </xf>
    <xf numFmtId="0" fontId="2" fillId="0" borderId="10" xfId="0" applyNumberFormat="1" applyFont="1" applyBorder="1"/>
    <xf numFmtId="0" fontId="34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right" vertical="center" wrapText="1"/>
    </xf>
    <xf numFmtId="0" fontId="6" fillId="0" borderId="0" xfId="0" applyFont="1"/>
    <xf numFmtId="0" fontId="11" fillId="0" borderId="10" xfId="0" applyFont="1" applyBorder="1" applyAlignment="1">
      <alignment horizontal="center" vertical="center"/>
    </xf>
    <xf numFmtId="3" fontId="34" fillId="0" borderId="10" xfId="0" applyNumberFormat="1" applyFont="1" applyBorder="1" applyAlignment="1">
      <alignment vertical="center" wrapText="1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166" fontId="2" fillId="0" borderId="13" xfId="0" applyNumberFormat="1" applyFont="1" applyBorder="1" applyAlignment="1">
      <alignment horizontal="center"/>
    </xf>
    <xf numFmtId="166" fontId="2" fillId="0" borderId="16" xfId="0" applyNumberFormat="1" applyFont="1" applyBorder="1" applyAlignment="1">
      <alignment horizontal="center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0" xfId="0" applyFont="1" applyFill="1" applyBorder="1" applyAlignment="1">
      <alignment horizontal="center" vertical="center"/>
    </xf>
    <xf numFmtId="0" fontId="4" fillId="19" borderId="15" xfId="0" applyFont="1" applyFill="1" applyBorder="1" applyAlignment="1">
      <alignment horizontal="center" vertical="center" wrapText="1"/>
    </xf>
    <xf numFmtId="0" fontId="4" fillId="19" borderId="17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 wrapText="1"/>
    </xf>
    <xf numFmtId="0" fontId="6" fillId="19" borderId="15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11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left" vertical="center" wrapText="1"/>
    </xf>
    <xf numFmtId="0" fontId="35" fillId="0" borderId="10" xfId="0" applyFont="1" applyBorder="1" applyAlignment="1">
      <alignment horizontal="center" vertical="center" wrapText="1"/>
    </xf>
  </cellXfs>
  <cellStyles count="4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Explanatory Text" xfId="31" xr:uid="{00000000-0005-0000-0000-00001E000000}"/>
    <cellStyle name="Good" xfId="32" xr:uid="{00000000-0005-0000-0000-00001F000000}"/>
    <cellStyle name="Heading 1" xfId="33" xr:uid="{00000000-0005-0000-0000-000020000000}"/>
    <cellStyle name="Heading 2" xfId="34" xr:uid="{00000000-0005-0000-0000-000021000000}"/>
    <cellStyle name="Heading 3" xfId="35" xr:uid="{00000000-0005-0000-0000-000022000000}"/>
    <cellStyle name="Heading 4" xfId="36" xr:uid="{00000000-0005-0000-0000-000023000000}"/>
    <cellStyle name="Input" xfId="37" xr:uid="{00000000-0005-0000-0000-000024000000}"/>
    <cellStyle name="Linked Cell" xfId="38" xr:uid="{00000000-0005-0000-0000-000025000000}"/>
    <cellStyle name="Neutral" xfId="39" xr:uid="{00000000-0005-0000-0000-000026000000}"/>
    <cellStyle name="Normalny" xfId="0" builtinId="0"/>
    <cellStyle name="Normalny 2" xfId="40" xr:uid="{00000000-0005-0000-0000-000028000000}"/>
    <cellStyle name="Normalny 2 2" xfId="41" xr:uid="{00000000-0005-0000-0000-000029000000}"/>
    <cellStyle name="Note" xfId="42" xr:uid="{00000000-0005-0000-0000-00002A000000}"/>
    <cellStyle name="Note 2" xfId="43" xr:uid="{00000000-0005-0000-0000-00002B000000}"/>
    <cellStyle name="Output" xfId="44" xr:uid="{00000000-0005-0000-0000-00002C000000}"/>
    <cellStyle name="Title" xfId="45" xr:uid="{00000000-0005-0000-0000-00002D000000}"/>
    <cellStyle name="Total" xfId="46" xr:uid="{00000000-0005-0000-0000-00002E000000}"/>
    <cellStyle name="Warning Text" xfId="47" xr:uid="{00000000-0005-0000-0000-00002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31"/>
  <sheetViews>
    <sheetView tabSelected="1" zoomScaleNormal="100" workbookViewId="0"/>
  </sheetViews>
  <sheetFormatPr defaultRowHeight="12.75" outlineLevelRow="1" outlineLevelCol="1" x14ac:dyDescent="0.2"/>
  <cols>
    <col min="1" max="1" width="0.42578125" style="1" customWidth="1"/>
    <col min="2" max="2" width="45.7109375" style="1" customWidth="1"/>
    <col min="3" max="3" width="14.5703125" style="1" customWidth="1"/>
    <col min="4" max="4" width="15.7109375" style="1" customWidth="1"/>
    <col min="5" max="5" width="14.5703125" style="1" customWidth="1" outlineLevel="1"/>
    <col min="6" max="6" width="15.7109375" style="1" customWidth="1" outlineLevel="1"/>
    <col min="7" max="8" width="13" style="1" customWidth="1" outlineLevel="1"/>
    <col min="9" max="9" width="12" style="1" customWidth="1" outlineLevel="1"/>
    <col min="10" max="10" width="13" style="1" customWidth="1"/>
    <col min="11" max="11" width="7.42578125" style="1" customWidth="1"/>
    <col min="12" max="12" width="8.42578125" style="1" bestFit="1" customWidth="1"/>
    <col min="13" max="13" width="2.85546875" style="1" customWidth="1"/>
    <col min="14" max="16384" width="9.140625" style="1"/>
  </cols>
  <sheetData>
    <row r="1" spans="2:13" ht="20.25" x14ac:dyDescent="0.2">
      <c r="B1" s="86" t="str">
        <f>CONCATENATE("Informacja z wykonania budżetów jednostek samorządu terytorialnego za ",$D$129," ",$C$130," roku")</f>
        <v>Informacja z wykonania budżetów jednostek samorządu terytorialnego za IV Kwartały 2025 roku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3" spans="2:13" ht="57.75" x14ac:dyDescent="0.2">
      <c r="B3" s="128" t="s">
        <v>0</v>
      </c>
      <c r="C3" s="15" t="s">
        <v>28</v>
      </c>
      <c r="D3" s="15" t="s">
        <v>29</v>
      </c>
      <c r="E3" s="15" t="s">
        <v>30</v>
      </c>
      <c r="F3" s="15" t="s">
        <v>31</v>
      </c>
      <c r="G3" s="15" t="s">
        <v>32</v>
      </c>
      <c r="H3" s="15" t="s">
        <v>33</v>
      </c>
      <c r="I3" s="15" t="s">
        <v>34</v>
      </c>
      <c r="J3" s="17" t="s">
        <v>2</v>
      </c>
      <c r="K3" s="15" t="s">
        <v>18</v>
      </c>
      <c r="L3" s="15" t="s">
        <v>3</v>
      </c>
    </row>
    <row r="4" spans="2:13" x14ac:dyDescent="0.2">
      <c r="B4" s="128"/>
      <c r="C4" s="129" t="s">
        <v>64</v>
      </c>
      <c r="D4" s="130"/>
      <c r="E4" s="130"/>
      <c r="F4" s="130"/>
      <c r="G4" s="130"/>
      <c r="H4" s="130"/>
      <c r="I4" s="131"/>
      <c r="J4" s="110" t="s">
        <v>4</v>
      </c>
      <c r="K4" s="110"/>
      <c r="L4" s="110"/>
    </row>
    <row r="5" spans="2:13" x14ac:dyDescent="0.2">
      <c r="B5" s="17">
        <v>1</v>
      </c>
      <c r="C5" s="19">
        <v>2</v>
      </c>
      <c r="D5" s="19">
        <v>3</v>
      </c>
      <c r="E5" s="17">
        <v>4</v>
      </c>
      <c r="F5" s="19">
        <v>5</v>
      </c>
      <c r="G5" s="19">
        <v>6</v>
      </c>
      <c r="H5" s="17">
        <v>7</v>
      </c>
      <c r="I5" s="19">
        <v>8</v>
      </c>
      <c r="J5" s="19">
        <v>9</v>
      </c>
      <c r="K5" s="17">
        <v>10</v>
      </c>
      <c r="L5" s="19">
        <v>11</v>
      </c>
    </row>
    <row r="6" spans="2:13" x14ac:dyDescent="0.2">
      <c r="B6" s="56" t="s">
        <v>5</v>
      </c>
      <c r="C6" s="57">
        <f>474673121201.13</f>
        <v>474673121201.13</v>
      </c>
      <c r="D6" s="57">
        <f>468212138462.38</f>
        <v>468212138462.38</v>
      </c>
      <c r="E6" s="57">
        <f>6159900023.16</f>
        <v>6159900023.1599998</v>
      </c>
      <c r="F6" s="57">
        <f>845937811.61</f>
        <v>845937811.61000001</v>
      </c>
      <c r="G6" s="57">
        <f>114390148.16</f>
        <v>114390148.16</v>
      </c>
      <c r="H6" s="57">
        <f>155232792.58</f>
        <v>155232792.58000001</v>
      </c>
      <c r="I6" s="57">
        <f>7259902.58</f>
        <v>7259902.5800000001</v>
      </c>
      <c r="J6" s="58">
        <f t="shared" ref="J6:J53" si="0">IF($D$6=0,"",100*$D6/$D$6)</f>
        <v>100</v>
      </c>
      <c r="K6" s="58">
        <f t="shared" ref="K6:K53" si="1">IF(C6=0,"",100*D6/C6)</f>
        <v>98.638856415041815</v>
      </c>
      <c r="L6" s="58"/>
    </row>
    <row r="7" spans="2:13" ht="25.5" x14ac:dyDescent="0.2">
      <c r="B7" s="75" t="s">
        <v>46</v>
      </c>
      <c r="C7" s="25">
        <f>C6-C26-C50</f>
        <v>318354604947.46997</v>
      </c>
      <c r="D7" s="25">
        <f>D6-D26-D50</f>
        <v>319447880004.17999</v>
      </c>
      <c r="E7" s="25">
        <f>E6</f>
        <v>6159900023.1599998</v>
      </c>
      <c r="F7" s="25">
        <f>F6</f>
        <v>845937811.61000001</v>
      </c>
      <c r="G7" s="25">
        <f>G6</f>
        <v>114390148.16</v>
      </c>
      <c r="H7" s="25">
        <f>H6</f>
        <v>155232792.58000001</v>
      </c>
      <c r="I7" s="25">
        <f>I6</f>
        <v>7259902.5800000001</v>
      </c>
      <c r="J7" s="34">
        <f t="shared" si="0"/>
        <v>68.227167508568783</v>
      </c>
      <c r="K7" s="34">
        <f t="shared" si="1"/>
        <v>100.34341424302326</v>
      </c>
      <c r="L7" s="34">
        <f t="shared" ref="L7:L25" si="2">IF($D$7=0,"",100*$D7/$D$7)</f>
        <v>100</v>
      </c>
    </row>
    <row r="8" spans="2:13" outlineLevel="1" x14ac:dyDescent="0.2">
      <c r="B8" s="31" t="s">
        <v>100</v>
      </c>
      <c r="C8" s="23">
        <f>173438690808.5</f>
        <v>173438690808.5</v>
      </c>
      <c r="D8" s="23">
        <f>173452600683.33</f>
        <v>173452600683.32999</v>
      </c>
      <c r="E8" s="23">
        <f>0</f>
        <v>0</v>
      </c>
      <c r="F8" s="23">
        <f>0</f>
        <v>0</v>
      </c>
      <c r="G8" s="23">
        <f>0</f>
        <v>0</v>
      </c>
      <c r="H8" s="23">
        <f>0</f>
        <v>0</v>
      </c>
      <c r="I8" s="24">
        <f>0</f>
        <v>0</v>
      </c>
      <c r="J8" s="35">
        <f t="shared" si="0"/>
        <v>37.045729154513701</v>
      </c>
      <c r="K8" s="35">
        <f t="shared" si="1"/>
        <v>100.00802005294501</v>
      </c>
      <c r="L8" s="35">
        <f t="shared" si="2"/>
        <v>54.297621471477711</v>
      </c>
    </row>
    <row r="9" spans="2:13" outlineLevel="1" x14ac:dyDescent="0.2">
      <c r="B9" s="31" t="s">
        <v>101</v>
      </c>
      <c r="C9" s="23">
        <f>28157076400.31</f>
        <v>28157076400.310001</v>
      </c>
      <c r="D9" s="23">
        <f>28157340925.85</f>
        <v>28157340925.849998</v>
      </c>
      <c r="E9" s="23">
        <f>0</f>
        <v>0</v>
      </c>
      <c r="F9" s="23">
        <f>0</f>
        <v>0</v>
      </c>
      <c r="G9" s="23">
        <f>0</f>
        <v>0</v>
      </c>
      <c r="H9" s="23">
        <f>0</f>
        <v>0</v>
      </c>
      <c r="I9" s="24">
        <f>0</f>
        <v>0</v>
      </c>
      <c r="J9" s="35">
        <f t="shared" si="0"/>
        <v>6.0137998596788602</v>
      </c>
      <c r="K9" s="35">
        <f t="shared" si="1"/>
        <v>100.00093946380028</v>
      </c>
      <c r="L9" s="35">
        <f t="shared" si="2"/>
        <v>8.8143771451798525</v>
      </c>
    </row>
    <row r="10" spans="2:13" outlineLevel="1" x14ac:dyDescent="0.2">
      <c r="B10" s="31" t="s">
        <v>108</v>
      </c>
      <c r="C10" s="23">
        <f>37189236495.94</f>
        <v>37189236495.940002</v>
      </c>
      <c r="D10" s="23">
        <f>37733963626.18</f>
        <v>37733963626.18</v>
      </c>
      <c r="E10" s="23">
        <f>3659177736.4</f>
        <v>3659177736.4000001</v>
      </c>
      <c r="F10" s="23">
        <f>838635535.7</f>
        <v>838635535.70000005</v>
      </c>
      <c r="G10" s="23">
        <f>79723007.49</f>
        <v>79723007.489999995</v>
      </c>
      <c r="H10" s="23">
        <f>109580905.04</f>
        <v>109580905.04000001</v>
      </c>
      <c r="I10" s="24">
        <f>5708139.82</f>
        <v>5708139.8200000003</v>
      </c>
      <c r="J10" s="35">
        <f t="shared" si="0"/>
        <v>8.0591596258267142</v>
      </c>
      <c r="K10" s="35">
        <f t="shared" si="1"/>
        <v>101.46474405383253</v>
      </c>
      <c r="L10" s="35">
        <f t="shared" si="2"/>
        <v>11.812244183835638</v>
      </c>
    </row>
    <row r="11" spans="2:13" outlineLevel="1" x14ac:dyDescent="0.2">
      <c r="B11" s="31" t="s">
        <v>109</v>
      </c>
      <c r="C11" s="23">
        <f>2300529964.87</f>
        <v>2300529964.8699999</v>
      </c>
      <c r="D11" s="23">
        <f>2270300429.87</f>
        <v>2270300429.8699999</v>
      </c>
      <c r="E11" s="23">
        <f>336675539.79</f>
        <v>336675539.79000002</v>
      </c>
      <c r="F11" s="23">
        <f>3933582.15</f>
        <v>3933582.15</v>
      </c>
      <c r="G11" s="23">
        <f>3056592.17</f>
        <v>3056592.17</v>
      </c>
      <c r="H11" s="23">
        <f>1313024.36</f>
        <v>1313024.3600000001</v>
      </c>
      <c r="I11" s="24">
        <f>2779.49</f>
        <v>2779.49</v>
      </c>
      <c r="J11" s="35">
        <f t="shared" si="0"/>
        <v>0.48488713627240027</v>
      </c>
      <c r="K11" s="35">
        <f t="shared" si="1"/>
        <v>98.685975168260498</v>
      </c>
      <c r="L11" s="35">
        <f t="shared" si="2"/>
        <v>0.71069509988305224</v>
      </c>
    </row>
    <row r="12" spans="2:13" outlineLevel="1" x14ac:dyDescent="0.2">
      <c r="B12" s="31" t="s">
        <v>110</v>
      </c>
      <c r="C12" s="23">
        <f>449992661.54</f>
        <v>449992661.54000002</v>
      </c>
      <c r="D12" s="23">
        <f>431153055.6</f>
        <v>431153055.60000002</v>
      </c>
      <c r="E12" s="23">
        <f>1764548.73</f>
        <v>1764548.73</v>
      </c>
      <c r="F12" s="23">
        <f>790587.65</f>
        <v>790587.65</v>
      </c>
      <c r="G12" s="23">
        <f>113786.31</f>
        <v>113786.31</v>
      </c>
      <c r="H12" s="23">
        <f>34361.81</f>
        <v>34361.81</v>
      </c>
      <c r="I12" s="24">
        <f>1.7</f>
        <v>1.7</v>
      </c>
      <c r="J12" s="35">
        <f t="shared" si="0"/>
        <v>9.2084980328770855E-2</v>
      </c>
      <c r="K12" s="35">
        <f t="shared" si="1"/>
        <v>95.813352627679379</v>
      </c>
      <c r="L12" s="35">
        <f t="shared" si="2"/>
        <v>0.13496820063240311</v>
      </c>
    </row>
    <row r="13" spans="2:13" outlineLevel="1" x14ac:dyDescent="0.2">
      <c r="B13" s="31" t="s">
        <v>19</v>
      </c>
      <c r="C13" s="23">
        <f>1540202691.65</f>
        <v>1540202691.6500001</v>
      </c>
      <c r="D13" s="23">
        <f>1519053943.64</f>
        <v>1519053943.6400001</v>
      </c>
      <c r="E13" s="23">
        <f>2124704539.68</f>
        <v>2124704539.6800001</v>
      </c>
      <c r="F13" s="23">
        <f>2578106.11</f>
        <v>2578106.11</v>
      </c>
      <c r="G13" s="23">
        <f>2123144.59</f>
        <v>2123144.59</v>
      </c>
      <c r="H13" s="23">
        <f>5251290.36</f>
        <v>5251290.3600000003</v>
      </c>
      <c r="I13" s="24">
        <f>40525</f>
        <v>40525</v>
      </c>
      <c r="J13" s="35">
        <f t="shared" si="0"/>
        <v>0.32443711276444259</v>
      </c>
      <c r="K13" s="35">
        <f t="shared" si="1"/>
        <v>98.626885401210174</v>
      </c>
      <c r="L13" s="35">
        <f t="shared" si="2"/>
        <v>0.47552481601071295</v>
      </c>
    </row>
    <row r="14" spans="2:13" outlineLevel="1" x14ac:dyDescent="0.2">
      <c r="B14" s="31" t="s">
        <v>24</v>
      </c>
      <c r="C14" s="23">
        <f>3935372015.55</f>
        <v>3935372015.5500002</v>
      </c>
      <c r="D14" s="23">
        <f>4181800228.57</f>
        <v>4181800228.5700002</v>
      </c>
      <c r="E14" s="23">
        <f>0</f>
        <v>0</v>
      </c>
      <c r="F14" s="23">
        <f>0</f>
        <v>0</v>
      </c>
      <c r="G14" s="23">
        <f>119382.35</f>
        <v>119382.35</v>
      </c>
      <c r="H14" s="23">
        <f>1297314.51</f>
        <v>1297314.51</v>
      </c>
      <c r="I14" s="24">
        <f>0</f>
        <v>0</v>
      </c>
      <c r="J14" s="35">
        <f t="shared" si="0"/>
        <v>0.89314220735565142</v>
      </c>
      <c r="K14" s="35">
        <f t="shared" si="1"/>
        <v>106.26187847162295</v>
      </c>
      <c r="L14" s="35">
        <f t="shared" si="2"/>
        <v>1.3090712101502382</v>
      </c>
    </row>
    <row r="15" spans="2:13" ht="22.5" outlineLevel="1" x14ac:dyDescent="0.2">
      <c r="B15" s="31" t="s">
        <v>111</v>
      </c>
      <c r="C15" s="23">
        <f>186035038.98</f>
        <v>186035038.97999999</v>
      </c>
      <c r="D15" s="23">
        <f>186649976.71</f>
        <v>186649976.71000001</v>
      </c>
      <c r="E15" s="23">
        <f>0</f>
        <v>0</v>
      </c>
      <c r="F15" s="23">
        <f>0</f>
        <v>0</v>
      </c>
      <c r="G15" s="23">
        <f>28979.66</f>
        <v>28979.66</v>
      </c>
      <c r="H15" s="23">
        <f>331074.65</f>
        <v>331074.65000000002</v>
      </c>
      <c r="I15" s="24">
        <f>0</f>
        <v>0</v>
      </c>
      <c r="J15" s="35">
        <f t="shared" si="0"/>
        <v>3.9864403627587065E-2</v>
      </c>
      <c r="K15" s="35">
        <f t="shared" si="1"/>
        <v>100.33054941336407</v>
      </c>
      <c r="L15" s="35">
        <f t="shared" si="2"/>
        <v>5.842892953540893E-2</v>
      </c>
    </row>
    <row r="16" spans="2:13" outlineLevel="1" x14ac:dyDescent="0.2">
      <c r="B16" s="31" t="s">
        <v>112</v>
      </c>
      <c r="C16" s="23">
        <f>675602748.09</f>
        <v>675602748.09000003</v>
      </c>
      <c r="D16" s="23">
        <f>683278989.08</f>
        <v>683278989.08000004</v>
      </c>
      <c r="E16" s="23">
        <f>0</f>
        <v>0</v>
      </c>
      <c r="F16" s="23">
        <f>0</f>
        <v>0</v>
      </c>
      <c r="G16" s="23">
        <f>3588</f>
        <v>3588</v>
      </c>
      <c r="H16" s="23">
        <f>121</f>
        <v>121</v>
      </c>
      <c r="I16" s="24">
        <f>0</f>
        <v>0</v>
      </c>
      <c r="J16" s="35">
        <f t="shared" si="0"/>
        <v>0.14593363412659588</v>
      </c>
      <c r="K16" s="35">
        <f t="shared" si="1"/>
        <v>101.13620630047784</v>
      </c>
      <c r="L16" s="35">
        <f t="shared" si="2"/>
        <v>0.21389373098079703</v>
      </c>
    </row>
    <row r="17" spans="2:12" outlineLevel="1" x14ac:dyDescent="0.2">
      <c r="B17" s="31" t="s">
        <v>25</v>
      </c>
      <c r="C17" s="23">
        <f>581660605.89</f>
        <v>581660605.88999999</v>
      </c>
      <c r="D17" s="23">
        <f>589083217.75</f>
        <v>589083217.75</v>
      </c>
      <c r="E17" s="23">
        <f>0</f>
        <v>0</v>
      </c>
      <c r="F17" s="23">
        <f>0</f>
        <v>0</v>
      </c>
      <c r="G17" s="23">
        <f>240096.51</f>
        <v>240096.51</v>
      </c>
      <c r="H17" s="23">
        <f>1531189.85</f>
        <v>1531189.85</v>
      </c>
      <c r="I17" s="24">
        <f>0</f>
        <v>0</v>
      </c>
      <c r="J17" s="35">
        <f t="shared" si="0"/>
        <v>0.12581545187712637</v>
      </c>
      <c r="K17" s="35">
        <f t="shared" si="1"/>
        <v>101.27610702613127</v>
      </c>
      <c r="L17" s="35">
        <f t="shared" si="2"/>
        <v>0.18440667621343795</v>
      </c>
    </row>
    <row r="18" spans="2:12" outlineLevel="1" x14ac:dyDescent="0.2">
      <c r="B18" s="31" t="s">
        <v>113</v>
      </c>
      <c r="C18" s="23">
        <f>590432055.69</f>
        <v>590432055.69000006</v>
      </c>
      <c r="D18" s="23">
        <f>674053523.71</f>
        <v>674053523.71000004</v>
      </c>
      <c r="E18" s="23">
        <f>0</f>
        <v>0</v>
      </c>
      <c r="F18" s="23">
        <f>0</f>
        <v>0</v>
      </c>
      <c r="G18" s="23">
        <f>5610075.62</f>
        <v>5610075.6200000001</v>
      </c>
      <c r="H18" s="23">
        <f>15600598</f>
        <v>15600598</v>
      </c>
      <c r="I18" s="24">
        <f>0</f>
        <v>0</v>
      </c>
      <c r="J18" s="35">
        <f t="shared" si="0"/>
        <v>0.14396327398166311</v>
      </c>
      <c r="K18" s="35">
        <f t="shared" si="1"/>
        <v>114.16275881604648</v>
      </c>
      <c r="L18" s="35">
        <f t="shared" si="2"/>
        <v>0.2110057902720093</v>
      </c>
    </row>
    <row r="19" spans="2:12" outlineLevel="1" x14ac:dyDescent="0.2">
      <c r="B19" s="31" t="s">
        <v>26</v>
      </c>
      <c r="C19" s="23">
        <f>129517314.52</f>
        <v>129517314.52</v>
      </c>
      <c r="D19" s="23">
        <f>126215494.95</f>
        <v>126215494.95</v>
      </c>
      <c r="E19" s="23">
        <f>2732390</f>
        <v>2732390</v>
      </c>
      <c r="F19" s="23">
        <f>0</f>
        <v>0</v>
      </c>
      <c r="G19" s="23">
        <f>13923</f>
        <v>13923</v>
      </c>
      <c r="H19" s="23">
        <f>2424.17</f>
        <v>2424.17</v>
      </c>
      <c r="I19" s="24">
        <f>0</f>
        <v>0</v>
      </c>
      <c r="J19" s="35">
        <f t="shared" si="0"/>
        <v>2.6956903630156778E-2</v>
      </c>
      <c r="K19" s="35">
        <f>IF(C19=0,"",100*D19/C19)</f>
        <v>97.450673230651233</v>
      </c>
      <c r="L19" s="35">
        <f t="shared" si="2"/>
        <v>3.9510512622074209E-2</v>
      </c>
    </row>
    <row r="20" spans="2:12" outlineLevel="1" x14ac:dyDescent="0.2">
      <c r="B20" s="31" t="s">
        <v>114</v>
      </c>
      <c r="C20" s="23">
        <f>80212510.15</f>
        <v>80212510.150000006</v>
      </c>
      <c r="D20" s="23">
        <f>85720372.03</f>
        <v>85720372.030000001</v>
      </c>
      <c r="E20" s="23">
        <f>425334.58</f>
        <v>425334.58</v>
      </c>
      <c r="F20" s="23">
        <f>0</f>
        <v>0</v>
      </c>
      <c r="G20" s="23">
        <f>0</f>
        <v>0</v>
      </c>
      <c r="H20" s="23">
        <f>0</f>
        <v>0</v>
      </c>
      <c r="I20" s="24">
        <f>0</f>
        <v>0</v>
      </c>
      <c r="J20" s="35">
        <f t="shared" si="0"/>
        <v>1.8308020016633439E-2</v>
      </c>
      <c r="K20" s="35">
        <f>IF(C20=0,"",100*D20/C20)</f>
        <v>106.86658710679932</v>
      </c>
      <c r="L20" s="35">
        <f t="shared" si="2"/>
        <v>2.6833914824815348E-2</v>
      </c>
    </row>
    <row r="21" spans="2:12" outlineLevel="1" x14ac:dyDescent="0.2">
      <c r="B21" s="31" t="s">
        <v>115</v>
      </c>
      <c r="C21" s="23">
        <f>130993132</f>
        <v>130993132</v>
      </c>
      <c r="D21" s="23">
        <f>133448927.33</f>
        <v>133448927.33</v>
      </c>
      <c r="E21" s="23">
        <f>381850.62</f>
        <v>381850.62</v>
      </c>
      <c r="F21" s="23">
        <f>0</f>
        <v>0</v>
      </c>
      <c r="G21" s="23">
        <f>247.8</f>
        <v>247.8</v>
      </c>
      <c r="H21" s="23">
        <f>0</f>
        <v>0</v>
      </c>
      <c r="I21" s="24">
        <f>0</f>
        <v>0</v>
      </c>
      <c r="J21" s="35">
        <f t="shared" si="0"/>
        <v>2.8501808553757172E-2</v>
      </c>
      <c r="K21" s="35">
        <f>IF(C21=0,"",100*D21/C21)</f>
        <v>101.87475121214752</v>
      </c>
      <c r="L21" s="35">
        <f t="shared" si="2"/>
        <v>4.1774867101404399E-2</v>
      </c>
    </row>
    <row r="22" spans="2:12" outlineLevel="1" x14ac:dyDescent="0.2">
      <c r="B22" s="31" t="s">
        <v>116</v>
      </c>
      <c r="C22" s="23">
        <f>3588937</f>
        <v>3588937</v>
      </c>
      <c r="D22" s="23">
        <f>3365574.02</f>
        <v>3365574.02</v>
      </c>
      <c r="E22" s="23">
        <f>1887518.37</f>
        <v>1887518.37</v>
      </c>
      <c r="F22" s="23">
        <f>0</f>
        <v>0</v>
      </c>
      <c r="G22" s="23">
        <f>1340</f>
        <v>1340</v>
      </c>
      <c r="H22" s="23">
        <f>4091.3</f>
        <v>4091.3</v>
      </c>
      <c r="I22" s="24">
        <f>1194.26</f>
        <v>1194.26</v>
      </c>
      <c r="J22" s="35">
        <f t="shared" si="0"/>
        <v>7.1881391863368312E-4</v>
      </c>
      <c r="K22" s="35">
        <f>IF(C22=0,"",100*D22/C22)</f>
        <v>93.776347146801413</v>
      </c>
      <c r="L22" s="35">
        <f t="shared" si="2"/>
        <v>1.0535596667462501E-3</v>
      </c>
    </row>
    <row r="23" spans="2:12" outlineLevel="1" x14ac:dyDescent="0.2">
      <c r="B23" s="31" t="s">
        <v>117</v>
      </c>
      <c r="C23" s="23">
        <f>1714775</f>
        <v>1714775</v>
      </c>
      <c r="D23" s="23">
        <f>2244510.75</f>
        <v>2244510.75</v>
      </c>
      <c r="E23" s="23">
        <f>1722113</f>
        <v>1722113</v>
      </c>
      <c r="F23" s="23">
        <f>0</f>
        <v>0</v>
      </c>
      <c r="G23" s="23">
        <f>983</f>
        <v>983</v>
      </c>
      <c r="H23" s="23">
        <f>0</f>
        <v>0</v>
      </c>
      <c r="I23" s="24">
        <f>0</f>
        <v>0</v>
      </c>
      <c r="J23" s="35">
        <f t="shared" si="0"/>
        <v>4.7937901767583979E-4</v>
      </c>
      <c r="K23" s="35">
        <f>IF(C23=0,"",100*D23/C23)</f>
        <v>130.89243486754822</v>
      </c>
      <c r="L23" s="35">
        <f t="shared" si="2"/>
        <v>7.0262189561897564E-4</v>
      </c>
    </row>
    <row r="24" spans="2:12" outlineLevel="1" x14ac:dyDescent="0.2">
      <c r="B24" s="31" t="s">
        <v>20</v>
      </c>
      <c r="C24" s="23">
        <f>11065277935.31</f>
        <v>11065277935.309999</v>
      </c>
      <c r="D24" s="23">
        <f>10429001752.18</f>
        <v>10429001752.18</v>
      </c>
      <c r="E24" s="23">
        <f>0</f>
        <v>0</v>
      </c>
      <c r="F24" s="23">
        <f>0</f>
        <v>0</v>
      </c>
      <c r="G24" s="23">
        <f>20986.65</f>
        <v>20986.65</v>
      </c>
      <c r="H24" s="23">
        <f>72204.6</f>
        <v>72204.600000000006</v>
      </c>
      <c r="I24" s="24">
        <f>0</f>
        <v>0</v>
      </c>
      <c r="J24" s="35">
        <f t="shared" si="0"/>
        <v>2.2274095213398555</v>
      </c>
      <c r="K24" s="35">
        <f t="shared" si="1"/>
        <v>94.249794837058701</v>
      </c>
      <c r="L24" s="35">
        <f t="shared" si="2"/>
        <v>3.2646958721540229</v>
      </c>
    </row>
    <row r="25" spans="2:12" outlineLevel="1" x14ac:dyDescent="0.2">
      <c r="B25" s="31" t="s">
        <v>21</v>
      </c>
      <c r="C25" s="23">
        <f>C7-C8-C9-C10-C11-C12-C13-C14-C15-C16-C17-C18-C19-C20-C21-C22-C23-C24</f>
        <v>57898468856.479996</v>
      </c>
      <c r="D25" s="23">
        <f t="shared" ref="D25:I25" si="3">D7-D8-D9-D10-D11-D12-D13-D14-D15-D16-D17-D18-D19-D20-D21-D22-D23-D24</f>
        <v>58788604772.629982</v>
      </c>
      <c r="E25" s="23">
        <f t="shared" si="3"/>
        <v>30428451.989999708</v>
      </c>
      <c r="F25" s="23">
        <f t="shared" si="3"/>
        <v>-3.3061951398849487E-8</v>
      </c>
      <c r="G25" s="23">
        <f t="shared" si="3"/>
        <v>23334015.009999998</v>
      </c>
      <c r="H25" s="23">
        <f t="shared" si="3"/>
        <v>20214192.930000003</v>
      </c>
      <c r="I25" s="23">
        <f t="shared" si="3"/>
        <v>1507262.3099999998</v>
      </c>
      <c r="J25" s="35">
        <f t="shared" si="0"/>
        <v>12.555976221738543</v>
      </c>
      <c r="K25" s="35">
        <f t="shared" si="1"/>
        <v>101.53740838701015</v>
      </c>
      <c r="L25" s="35">
        <f t="shared" si="2"/>
        <v>18.403191397564051</v>
      </c>
    </row>
    <row r="26" spans="2:12" ht="25.5" x14ac:dyDescent="0.2">
      <c r="B26" s="76" t="s">
        <v>89</v>
      </c>
      <c r="C26" s="57">
        <f>C27+C46+C48</f>
        <v>105671473204.33</v>
      </c>
      <c r="D26" s="57">
        <f>D27+D46+D48</f>
        <v>98007751672.680008</v>
      </c>
      <c r="E26" s="59" t="s">
        <v>45</v>
      </c>
      <c r="F26" s="59" t="s">
        <v>45</v>
      </c>
      <c r="G26" s="59" t="s">
        <v>45</v>
      </c>
      <c r="H26" s="59" t="s">
        <v>45</v>
      </c>
      <c r="I26" s="59" t="s">
        <v>45</v>
      </c>
      <c r="J26" s="58">
        <f t="shared" si="0"/>
        <v>20.932338916829416</v>
      </c>
      <c r="K26" s="58">
        <f t="shared" si="1"/>
        <v>92.747596584717655</v>
      </c>
      <c r="L26" s="60"/>
    </row>
    <row r="27" spans="2:12" ht="25.5" outlineLevel="1" x14ac:dyDescent="0.2">
      <c r="B27" s="81" t="s">
        <v>47</v>
      </c>
      <c r="C27" s="57">
        <f>C28+C30+C32+C34+C36+C38+C40+C42+C44</f>
        <v>83227131464.520004</v>
      </c>
      <c r="D27" s="57">
        <f>D28+D30+D32+D34+D36+D38+D40+D42+D44</f>
        <v>78817096433.060013</v>
      </c>
      <c r="E27" s="59" t="s">
        <v>45</v>
      </c>
      <c r="F27" s="59" t="s">
        <v>45</v>
      </c>
      <c r="G27" s="59" t="s">
        <v>45</v>
      </c>
      <c r="H27" s="59" t="s">
        <v>45</v>
      </c>
      <c r="I27" s="59" t="s">
        <v>45</v>
      </c>
      <c r="J27" s="58">
        <f t="shared" si="0"/>
        <v>16.833629450935906</v>
      </c>
      <c r="K27" s="58">
        <f t="shared" si="1"/>
        <v>94.701205059145877</v>
      </c>
      <c r="L27" s="60"/>
    </row>
    <row r="28" spans="2:12" outlineLevel="1" x14ac:dyDescent="0.2">
      <c r="B28" s="80" t="s">
        <v>9</v>
      </c>
      <c r="C28" s="24">
        <f>33983120598.57</f>
        <v>33983120598.57</v>
      </c>
      <c r="D28" s="24">
        <f>33668122914.07</f>
        <v>33668122914.07</v>
      </c>
      <c r="E28" s="24" t="s">
        <v>45</v>
      </c>
      <c r="F28" s="24" t="s">
        <v>45</v>
      </c>
      <c r="G28" s="24" t="s">
        <v>45</v>
      </c>
      <c r="H28" s="24" t="s">
        <v>45</v>
      </c>
      <c r="I28" s="24" t="s">
        <v>45</v>
      </c>
      <c r="J28" s="35">
        <f t="shared" si="0"/>
        <v>7.1907838666116026</v>
      </c>
      <c r="K28" s="35">
        <f t="shared" si="1"/>
        <v>99.073076047897572</v>
      </c>
      <c r="L28" s="30"/>
    </row>
    <row r="29" spans="2:12" outlineLevel="1" x14ac:dyDescent="0.2">
      <c r="B29" s="82" t="s">
        <v>6</v>
      </c>
      <c r="C29" s="24">
        <f>1191748272.87</f>
        <v>1191748272.8699999</v>
      </c>
      <c r="D29" s="24">
        <f>1092012315.62</f>
        <v>1092012315.6199999</v>
      </c>
      <c r="E29" s="24" t="s">
        <v>45</v>
      </c>
      <c r="F29" s="24" t="s">
        <v>45</v>
      </c>
      <c r="G29" s="24" t="s">
        <v>45</v>
      </c>
      <c r="H29" s="24" t="s">
        <v>45</v>
      </c>
      <c r="I29" s="24" t="s">
        <v>45</v>
      </c>
      <c r="J29" s="35">
        <f t="shared" si="0"/>
        <v>0.23323024456525085</v>
      </c>
      <c r="K29" s="35">
        <f t="shared" si="1"/>
        <v>91.631122148823152</v>
      </c>
      <c r="L29" s="30"/>
    </row>
    <row r="30" spans="2:12" outlineLevel="1" x14ac:dyDescent="0.2">
      <c r="B30" s="80" t="s">
        <v>7</v>
      </c>
      <c r="C30" s="24">
        <f>12662333112.08</f>
        <v>12662333112.08</v>
      </c>
      <c r="D30" s="24">
        <f>11642239739.34</f>
        <v>11642239739.34</v>
      </c>
      <c r="E30" s="24" t="s">
        <v>45</v>
      </c>
      <c r="F30" s="24" t="s">
        <v>45</v>
      </c>
      <c r="G30" s="24" t="s">
        <v>45</v>
      </c>
      <c r="H30" s="24" t="s">
        <v>45</v>
      </c>
      <c r="I30" s="24" t="s">
        <v>45</v>
      </c>
      <c r="J30" s="35">
        <f t="shared" si="0"/>
        <v>2.486530951028608</v>
      </c>
      <c r="K30" s="35">
        <f t="shared" si="1"/>
        <v>91.943875084388509</v>
      </c>
      <c r="L30" s="30"/>
    </row>
    <row r="31" spans="2:12" outlineLevel="1" x14ac:dyDescent="0.2">
      <c r="B31" s="82" t="s">
        <v>6</v>
      </c>
      <c r="C31" s="24">
        <f>4067751943.69</f>
        <v>4067751943.6900001</v>
      </c>
      <c r="D31" s="24">
        <f>3480992246.23</f>
        <v>3480992246.23</v>
      </c>
      <c r="E31" s="24" t="s">
        <v>45</v>
      </c>
      <c r="F31" s="24" t="s">
        <v>45</v>
      </c>
      <c r="G31" s="24" t="s">
        <v>45</v>
      </c>
      <c r="H31" s="24" t="s">
        <v>45</v>
      </c>
      <c r="I31" s="24" t="s">
        <v>45</v>
      </c>
      <c r="J31" s="35">
        <f t="shared" si="0"/>
        <v>0.74346475887226304</v>
      </c>
      <c r="K31" s="35">
        <f t="shared" si="1"/>
        <v>85.575332380574565</v>
      </c>
      <c r="L31" s="30"/>
    </row>
    <row r="32" spans="2:12" ht="22.5" outlineLevel="1" x14ac:dyDescent="0.2">
      <c r="B32" s="80" t="s">
        <v>10</v>
      </c>
      <c r="C32" s="24">
        <f>419154270.56</f>
        <v>419154270.56</v>
      </c>
      <c r="D32" s="24">
        <f>360802331.21</f>
        <v>360802331.20999998</v>
      </c>
      <c r="E32" s="24" t="s">
        <v>45</v>
      </c>
      <c r="F32" s="24" t="s">
        <v>45</v>
      </c>
      <c r="G32" s="24" t="s">
        <v>45</v>
      </c>
      <c r="H32" s="24" t="s">
        <v>45</v>
      </c>
      <c r="I32" s="24" t="s">
        <v>45</v>
      </c>
      <c r="J32" s="35">
        <f t="shared" si="0"/>
        <v>7.7059585083565668E-2</v>
      </c>
      <c r="K32" s="35">
        <f t="shared" si="1"/>
        <v>86.078648495686224</v>
      </c>
      <c r="L32" s="30"/>
    </row>
    <row r="33" spans="2:12" outlineLevel="1" x14ac:dyDescent="0.2">
      <c r="B33" s="82" t="s">
        <v>6</v>
      </c>
      <c r="C33" s="24">
        <f>97804767.54</f>
        <v>97804767.540000007</v>
      </c>
      <c r="D33" s="24">
        <f>64924623.51</f>
        <v>64924623.509999998</v>
      </c>
      <c r="E33" s="24" t="s">
        <v>45</v>
      </c>
      <c r="F33" s="24" t="s">
        <v>45</v>
      </c>
      <c r="G33" s="24" t="s">
        <v>45</v>
      </c>
      <c r="H33" s="24" t="s">
        <v>45</v>
      </c>
      <c r="I33" s="24" t="s">
        <v>45</v>
      </c>
      <c r="J33" s="35">
        <f t="shared" si="0"/>
        <v>1.386649729398602E-2</v>
      </c>
      <c r="K33" s="35">
        <f t="shared" si="1"/>
        <v>66.381859640377201</v>
      </c>
      <c r="L33" s="30"/>
    </row>
    <row r="34" spans="2:12" ht="22.5" outlineLevel="1" x14ac:dyDescent="0.2">
      <c r="B34" s="80" t="s">
        <v>11</v>
      </c>
      <c r="C34" s="24">
        <f>2399307043.22</f>
        <v>2399307043.2199998</v>
      </c>
      <c r="D34" s="24">
        <f>2323883799.85</f>
        <v>2323883799.8499999</v>
      </c>
      <c r="E34" s="24" t="s">
        <v>45</v>
      </c>
      <c r="F34" s="24" t="s">
        <v>45</v>
      </c>
      <c r="G34" s="24" t="s">
        <v>45</v>
      </c>
      <c r="H34" s="24" t="s">
        <v>45</v>
      </c>
      <c r="I34" s="24" t="s">
        <v>45</v>
      </c>
      <c r="J34" s="35">
        <f t="shared" si="0"/>
        <v>0.49633138676876054</v>
      </c>
      <c r="K34" s="35">
        <f t="shared" si="1"/>
        <v>96.85645721821507</v>
      </c>
      <c r="L34" s="30"/>
    </row>
    <row r="35" spans="2:12" outlineLevel="1" x14ac:dyDescent="0.2">
      <c r="B35" s="82" t="s">
        <v>6</v>
      </c>
      <c r="C35" s="24">
        <f>414286125.1</f>
        <v>414286125.10000002</v>
      </c>
      <c r="D35" s="24">
        <f>389180286.42</f>
        <v>389180286.42000002</v>
      </c>
      <c r="E35" s="24" t="s">
        <v>45</v>
      </c>
      <c r="F35" s="24" t="s">
        <v>45</v>
      </c>
      <c r="G35" s="24" t="s">
        <v>45</v>
      </c>
      <c r="H35" s="24" t="s">
        <v>45</v>
      </c>
      <c r="I35" s="24" t="s">
        <v>45</v>
      </c>
      <c r="J35" s="35">
        <f t="shared" si="0"/>
        <v>8.3120503389356254E-2</v>
      </c>
      <c r="K35" s="35">
        <f t="shared" si="1"/>
        <v>93.939975983038295</v>
      </c>
      <c r="L35" s="30"/>
    </row>
    <row r="36" spans="2:12" ht="22.5" outlineLevel="1" x14ac:dyDescent="0.2">
      <c r="B36" s="80" t="s">
        <v>65</v>
      </c>
      <c r="C36" s="24">
        <f>2778501694.57</f>
        <v>2778501694.5700002</v>
      </c>
      <c r="D36" s="24">
        <f>2512538711.51</f>
        <v>2512538711.5100002</v>
      </c>
      <c r="E36" s="24" t="s">
        <v>45</v>
      </c>
      <c r="F36" s="24" t="s">
        <v>45</v>
      </c>
      <c r="G36" s="24" t="s">
        <v>45</v>
      </c>
      <c r="H36" s="24" t="s">
        <v>45</v>
      </c>
      <c r="I36" s="24" t="s">
        <v>45</v>
      </c>
      <c r="J36" s="35">
        <f t="shared" si="0"/>
        <v>0.5366240011976704</v>
      </c>
      <c r="K36" s="35">
        <f t="shared" si="1"/>
        <v>90.427827214222376</v>
      </c>
      <c r="L36" s="30"/>
    </row>
    <row r="37" spans="2:12" outlineLevel="1" x14ac:dyDescent="0.2">
      <c r="B37" s="82" t="s">
        <v>6</v>
      </c>
      <c r="C37" s="24">
        <f>2171944015.41</f>
        <v>2171944015.4099998</v>
      </c>
      <c r="D37" s="24">
        <f>1936727289.18</f>
        <v>1936727289.1800001</v>
      </c>
      <c r="E37" s="24" t="s">
        <v>45</v>
      </c>
      <c r="F37" s="24" t="s">
        <v>45</v>
      </c>
      <c r="G37" s="24" t="s">
        <v>45</v>
      </c>
      <c r="H37" s="24" t="s">
        <v>45</v>
      </c>
      <c r="I37" s="24" t="s">
        <v>45</v>
      </c>
      <c r="J37" s="35">
        <f t="shared" si="0"/>
        <v>0.41364311816867017</v>
      </c>
      <c r="K37" s="35">
        <f t="shared" si="1"/>
        <v>89.170221490004764</v>
      </c>
      <c r="L37" s="30"/>
    </row>
    <row r="38" spans="2:12" outlineLevel="1" x14ac:dyDescent="0.2">
      <c r="B38" s="80" t="s">
        <v>8</v>
      </c>
      <c r="C38" s="24">
        <f>1152373519.62</f>
        <v>1152373519.6199999</v>
      </c>
      <c r="D38" s="24">
        <f>1045192031.64</f>
        <v>1045192031.64</v>
      </c>
      <c r="E38" s="24" t="s">
        <v>45</v>
      </c>
      <c r="F38" s="24" t="s">
        <v>45</v>
      </c>
      <c r="G38" s="24" t="s">
        <v>45</v>
      </c>
      <c r="H38" s="24" t="s">
        <v>45</v>
      </c>
      <c r="I38" s="24" t="s">
        <v>45</v>
      </c>
      <c r="J38" s="35">
        <f t="shared" si="0"/>
        <v>0.22323044316459542</v>
      </c>
      <c r="K38" s="35">
        <f t="shared" si="1"/>
        <v>90.699067085874773</v>
      </c>
      <c r="L38" s="30"/>
    </row>
    <row r="39" spans="2:12" outlineLevel="1" x14ac:dyDescent="0.2">
      <c r="B39" s="82" t="s">
        <v>6</v>
      </c>
      <c r="C39" s="24">
        <f>1020292385.51</f>
        <v>1020292385.51</v>
      </c>
      <c r="D39" s="24">
        <f>916086016.08</f>
        <v>916086016.08000004</v>
      </c>
      <c r="E39" s="24" t="s">
        <v>45</v>
      </c>
      <c r="F39" s="24" t="s">
        <v>45</v>
      </c>
      <c r="G39" s="24" t="s">
        <v>45</v>
      </c>
      <c r="H39" s="24" t="s">
        <v>45</v>
      </c>
      <c r="I39" s="24" t="s">
        <v>45</v>
      </c>
      <c r="J39" s="35">
        <f t="shared" si="0"/>
        <v>0.1956561867636428</v>
      </c>
      <c r="K39" s="35">
        <f t="shared" si="1"/>
        <v>89.786616962949125</v>
      </c>
      <c r="L39" s="30"/>
    </row>
    <row r="40" spans="2:12" ht="33.75" outlineLevel="1" x14ac:dyDescent="0.2">
      <c r="B40" s="80" t="s">
        <v>82</v>
      </c>
      <c r="C40" s="24">
        <f>22579236.1</f>
        <v>22579236.100000001</v>
      </c>
      <c r="D40" s="24">
        <f>20943365.6</f>
        <v>20943365.600000001</v>
      </c>
      <c r="E40" s="24" t="s">
        <v>45</v>
      </c>
      <c r="F40" s="24" t="s">
        <v>45</v>
      </c>
      <c r="G40" s="24" t="s">
        <v>45</v>
      </c>
      <c r="H40" s="24" t="s">
        <v>45</v>
      </c>
      <c r="I40" s="24" t="s">
        <v>45</v>
      </c>
      <c r="J40" s="35">
        <f t="shared" si="0"/>
        <v>4.4730505425977472E-3</v>
      </c>
      <c r="K40" s="35">
        <f t="shared" si="1"/>
        <v>92.754978544203283</v>
      </c>
      <c r="L40" s="30"/>
    </row>
    <row r="41" spans="2:12" outlineLevel="1" x14ac:dyDescent="0.2">
      <c r="B41" s="82" t="s">
        <v>80</v>
      </c>
      <c r="C41" s="24">
        <f>20014213.96</f>
        <v>20014213.960000001</v>
      </c>
      <c r="D41" s="24">
        <f>18449773.12</f>
        <v>18449773.120000001</v>
      </c>
      <c r="E41" s="24" t="s">
        <v>45</v>
      </c>
      <c r="F41" s="24" t="s">
        <v>45</v>
      </c>
      <c r="G41" s="24" t="s">
        <v>45</v>
      </c>
      <c r="H41" s="24" t="s">
        <v>45</v>
      </c>
      <c r="I41" s="24" t="s">
        <v>45</v>
      </c>
      <c r="J41" s="35">
        <f t="shared" si="0"/>
        <v>3.9404730472365583E-3</v>
      </c>
      <c r="K41" s="35">
        <f t="shared" si="1"/>
        <v>92.183351076756452</v>
      </c>
      <c r="L41" s="30"/>
    </row>
    <row r="42" spans="2:12" ht="33.75" outlineLevel="1" x14ac:dyDescent="0.2">
      <c r="B42" s="83" t="s">
        <v>79</v>
      </c>
      <c r="C42" s="24">
        <f>25551460554.11</f>
        <v>25551460554.110001</v>
      </c>
      <c r="D42" s="24">
        <f>23056824391.74</f>
        <v>23056824391.740002</v>
      </c>
      <c r="E42" s="24" t="s">
        <v>45</v>
      </c>
      <c r="F42" s="24" t="s">
        <v>45</v>
      </c>
      <c r="G42" s="24" t="s">
        <v>45</v>
      </c>
      <c r="H42" s="24" t="s">
        <v>45</v>
      </c>
      <c r="I42" s="24" t="s">
        <v>45</v>
      </c>
      <c r="J42" s="35">
        <f t="shared" si="0"/>
        <v>4.9244396925417542</v>
      </c>
      <c r="K42" s="35">
        <f t="shared" si="1"/>
        <v>90.236815789503922</v>
      </c>
      <c r="L42" s="30"/>
    </row>
    <row r="43" spans="2:12" outlineLevel="1" x14ac:dyDescent="0.2">
      <c r="B43" s="84" t="s">
        <v>6</v>
      </c>
      <c r="C43" s="24">
        <f>25440075441.13</f>
        <v>25440075441.130001</v>
      </c>
      <c r="D43" s="24">
        <f>22968665610.26</f>
        <v>22968665610.259998</v>
      </c>
      <c r="E43" s="24" t="s">
        <v>45</v>
      </c>
      <c r="F43" s="24" t="s">
        <v>45</v>
      </c>
      <c r="G43" s="24" t="s">
        <v>45</v>
      </c>
      <c r="H43" s="24" t="s">
        <v>45</v>
      </c>
      <c r="I43" s="24" t="s">
        <v>45</v>
      </c>
      <c r="J43" s="35">
        <f t="shared" si="0"/>
        <v>4.9056108809330858</v>
      </c>
      <c r="K43" s="35">
        <f t="shared" si="1"/>
        <v>90.28536752342184</v>
      </c>
      <c r="L43" s="30"/>
    </row>
    <row r="44" spans="2:12" ht="22.5" outlineLevel="1" x14ac:dyDescent="0.2">
      <c r="B44" s="83" t="s">
        <v>90</v>
      </c>
      <c r="C44" s="24">
        <f>4258301435.69</f>
        <v>4258301435.6900001</v>
      </c>
      <c r="D44" s="24">
        <f>4186549148.1</f>
        <v>4186549148.0999999</v>
      </c>
      <c r="E44" s="24" t="s">
        <v>45</v>
      </c>
      <c r="F44" s="24" t="s">
        <v>45</v>
      </c>
      <c r="G44" s="24" t="s">
        <v>45</v>
      </c>
      <c r="H44" s="24" t="s">
        <v>45</v>
      </c>
      <c r="I44" s="24" t="s">
        <v>45</v>
      </c>
      <c r="J44" s="35">
        <f t="shared" si="0"/>
        <v>0.89415647399675047</v>
      </c>
      <c r="K44" s="35">
        <f t="shared" si="1"/>
        <v>98.315002151124759</v>
      </c>
      <c r="L44" s="30"/>
    </row>
    <row r="45" spans="2:12" outlineLevel="1" x14ac:dyDescent="0.2">
      <c r="B45" s="84" t="s">
        <v>6</v>
      </c>
      <c r="C45" s="24">
        <f>1986649.73</f>
        <v>1986649.73</v>
      </c>
      <c r="D45" s="24">
        <f>1969849.73</f>
        <v>1969849.73</v>
      </c>
      <c r="E45" s="24" t="s">
        <v>45</v>
      </c>
      <c r="F45" s="24" t="s">
        <v>45</v>
      </c>
      <c r="G45" s="24" t="s">
        <v>45</v>
      </c>
      <c r="H45" s="24" t="s">
        <v>45</v>
      </c>
      <c r="I45" s="24" t="s">
        <v>45</v>
      </c>
      <c r="J45" s="35">
        <f t="shared" si="0"/>
        <v>4.2071735612601461E-4</v>
      </c>
      <c r="K45" s="35">
        <f t="shared" si="1"/>
        <v>99.154355206843633</v>
      </c>
      <c r="L45" s="30"/>
    </row>
    <row r="46" spans="2:12" outlineLevel="1" x14ac:dyDescent="0.2">
      <c r="B46" s="81" t="s">
        <v>57</v>
      </c>
      <c r="C46" s="57">
        <f>2118634538.67</f>
        <v>2118634538.6700001</v>
      </c>
      <c r="D46" s="57">
        <f>1770964959.48</f>
        <v>1770964959.48</v>
      </c>
      <c r="E46" s="59" t="s">
        <v>45</v>
      </c>
      <c r="F46" s="59" t="s">
        <v>45</v>
      </c>
      <c r="G46" s="59" t="s">
        <v>45</v>
      </c>
      <c r="H46" s="59" t="s">
        <v>45</v>
      </c>
      <c r="I46" s="59" t="s">
        <v>45</v>
      </c>
      <c r="J46" s="58">
        <f t="shared" si="0"/>
        <v>0.37823986479630617</v>
      </c>
      <c r="K46" s="58">
        <f t="shared" si="1"/>
        <v>83.589922053840667</v>
      </c>
      <c r="L46" s="30"/>
    </row>
    <row r="47" spans="2:12" outlineLevel="1" x14ac:dyDescent="0.2">
      <c r="B47" s="87" t="s">
        <v>58</v>
      </c>
      <c r="C47" s="23">
        <f>864485967.18</f>
        <v>864485967.17999995</v>
      </c>
      <c r="D47" s="23">
        <f>644197693.77</f>
        <v>644197693.76999998</v>
      </c>
      <c r="E47" s="23" t="s">
        <v>45</v>
      </c>
      <c r="F47" s="23" t="s">
        <v>45</v>
      </c>
      <c r="G47" s="23" t="s">
        <v>45</v>
      </c>
      <c r="H47" s="23" t="s">
        <v>45</v>
      </c>
      <c r="I47" s="23" t="s">
        <v>45</v>
      </c>
      <c r="J47" s="35">
        <f t="shared" si="0"/>
        <v>0.13758671355372393</v>
      </c>
      <c r="K47" s="35">
        <f t="shared" si="1"/>
        <v>74.518004713414584</v>
      </c>
      <c r="L47" s="30"/>
    </row>
    <row r="48" spans="2:12" outlineLevel="1" x14ac:dyDescent="0.2">
      <c r="B48" s="81" t="s">
        <v>70</v>
      </c>
      <c r="C48" s="57">
        <f>20325707201.14</f>
        <v>20325707201.139999</v>
      </c>
      <c r="D48" s="57">
        <f>17419690280.14</f>
        <v>17419690280.139999</v>
      </c>
      <c r="E48" s="59" t="s">
        <v>45</v>
      </c>
      <c r="F48" s="59" t="s">
        <v>45</v>
      </c>
      <c r="G48" s="59" t="s">
        <v>45</v>
      </c>
      <c r="H48" s="59" t="s">
        <v>45</v>
      </c>
      <c r="I48" s="59" t="s">
        <v>45</v>
      </c>
      <c r="J48" s="58">
        <f t="shared" si="0"/>
        <v>3.7204696010972045</v>
      </c>
      <c r="K48" s="58">
        <f t="shared" si="1"/>
        <v>85.702751238899026</v>
      </c>
      <c r="L48" s="30"/>
    </row>
    <row r="49" spans="1:26" outlineLevel="1" x14ac:dyDescent="0.2">
      <c r="B49" s="87" t="s">
        <v>71</v>
      </c>
      <c r="C49" s="23">
        <f>14703672876.21</f>
        <v>14703672876.209999</v>
      </c>
      <c r="D49" s="23">
        <f>12473666028.14</f>
        <v>12473666028.139999</v>
      </c>
      <c r="E49" s="23" t="s">
        <v>45</v>
      </c>
      <c r="F49" s="23" t="s">
        <v>45</v>
      </c>
      <c r="G49" s="23" t="s">
        <v>45</v>
      </c>
      <c r="H49" s="23" t="s">
        <v>45</v>
      </c>
      <c r="I49" s="23" t="s">
        <v>45</v>
      </c>
      <c r="J49" s="35">
        <f t="shared" si="0"/>
        <v>2.6641056485856649</v>
      </c>
      <c r="K49" s="35">
        <f t="shared" si="1"/>
        <v>84.83367477742199</v>
      </c>
      <c r="L49" s="30"/>
    </row>
    <row r="50" spans="1:26" x14ac:dyDescent="0.2">
      <c r="B50" s="76" t="s">
        <v>102</v>
      </c>
      <c r="C50" s="57">
        <f>50647043049.33</f>
        <v>50647043049.330002</v>
      </c>
      <c r="D50" s="57">
        <f>50756506785.52</f>
        <v>50756506785.519997</v>
      </c>
      <c r="E50" s="59" t="s">
        <v>45</v>
      </c>
      <c r="F50" s="59" t="s">
        <v>45</v>
      </c>
      <c r="G50" s="59" t="s">
        <v>45</v>
      </c>
      <c r="H50" s="59" t="s">
        <v>45</v>
      </c>
      <c r="I50" s="59" t="s">
        <v>45</v>
      </c>
      <c r="J50" s="58">
        <f t="shared" si="0"/>
        <v>10.840493574601803</v>
      </c>
      <c r="K50" s="58">
        <f t="shared" si="1"/>
        <v>100.21613055688834</v>
      </c>
      <c r="L50" s="30"/>
    </row>
    <row r="51" spans="1:26" outlineLevel="1" x14ac:dyDescent="0.2">
      <c r="B51" s="31" t="s">
        <v>35</v>
      </c>
      <c r="C51" s="23">
        <f>7689022</f>
        <v>7689022</v>
      </c>
      <c r="D51" s="23">
        <f>7689022</f>
        <v>7689022</v>
      </c>
      <c r="E51" s="23" t="s">
        <v>45</v>
      </c>
      <c r="F51" s="23" t="s">
        <v>45</v>
      </c>
      <c r="G51" s="23" t="s">
        <v>45</v>
      </c>
      <c r="H51" s="23" t="s">
        <v>45</v>
      </c>
      <c r="I51" s="23" t="s">
        <v>45</v>
      </c>
      <c r="J51" s="35">
        <f t="shared" si="0"/>
        <v>1.6422090262868739E-3</v>
      </c>
      <c r="K51" s="35">
        <f t="shared" si="1"/>
        <v>100</v>
      </c>
      <c r="L51" s="30"/>
    </row>
    <row r="52" spans="1:26" ht="22.5" outlineLevel="1" x14ac:dyDescent="0.2">
      <c r="B52" s="31" t="s">
        <v>103</v>
      </c>
      <c r="C52" s="23">
        <f>4576303399.71</f>
        <v>4576303399.71</v>
      </c>
      <c r="D52" s="23">
        <f>4687975167.22</f>
        <v>4687975167.2200003</v>
      </c>
      <c r="E52" s="23" t="s">
        <v>45</v>
      </c>
      <c r="F52" s="23" t="s">
        <v>45</v>
      </c>
      <c r="G52" s="23" t="s">
        <v>45</v>
      </c>
      <c r="H52" s="23" t="s">
        <v>45</v>
      </c>
      <c r="I52" s="23" t="s">
        <v>45</v>
      </c>
      <c r="J52" s="35">
        <f t="shared" si="0"/>
        <v>1.0012502415284286</v>
      </c>
      <c r="K52" s="35">
        <f t="shared" si="1"/>
        <v>102.44021774249227</v>
      </c>
      <c r="L52" s="30"/>
    </row>
    <row r="53" spans="1:26" outlineLevel="1" x14ac:dyDescent="0.2">
      <c r="B53" s="87" t="s">
        <v>6</v>
      </c>
      <c r="C53" s="23">
        <f>713251297.54</f>
        <v>713251297.53999996</v>
      </c>
      <c r="D53" s="23">
        <f>725093546.58</f>
        <v>725093546.58000004</v>
      </c>
      <c r="E53" s="23" t="s">
        <v>45</v>
      </c>
      <c r="F53" s="23" t="s">
        <v>45</v>
      </c>
      <c r="G53" s="23" t="s">
        <v>45</v>
      </c>
      <c r="H53" s="23" t="s">
        <v>45</v>
      </c>
      <c r="I53" s="23" t="s">
        <v>45</v>
      </c>
      <c r="J53" s="35">
        <f t="shared" si="0"/>
        <v>0.15486432046832976</v>
      </c>
      <c r="K53" s="35">
        <f t="shared" si="1"/>
        <v>101.66031931254018</v>
      </c>
      <c r="L53" s="30"/>
    </row>
    <row r="54" spans="1:26" s="6" customFormat="1" x14ac:dyDescent="0.2">
      <c r="A54" s="3"/>
      <c r="B54" s="21"/>
      <c r="C54" s="8"/>
      <c r="D54" s="9"/>
      <c r="E54" s="16"/>
      <c r="F54" s="16"/>
      <c r="G54" s="16"/>
      <c r="H54" s="16"/>
      <c r="I54" s="16"/>
      <c r="J54" s="10"/>
      <c r="K54" s="10"/>
      <c r="L54" s="4"/>
    </row>
    <row r="55" spans="1:26" s="6" customFormat="1" x14ac:dyDescent="0.2">
      <c r="A55" s="3"/>
      <c r="B55" s="61" t="s">
        <v>5</v>
      </c>
      <c r="C55" s="62">
        <f t="shared" ref="C55:I55" si="4">+C6</f>
        <v>474673121201.13</v>
      </c>
      <c r="D55" s="62">
        <f t="shared" si="4"/>
        <v>468212138462.38</v>
      </c>
      <c r="E55" s="62">
        <f t="shared" si="4"/>
        <v>6159900023.1599998</v>
      </c>
      <c r="F55" s="62">
        <f t="shared" si="4"/>
        <v>845937811.61000001</v>
      </c>
      <c r="G55" s="62">
        <f t="shared" si="4"/>
        <v>114390148.16</v>
      </c>
      <c r="H55" s="62">
        <f t="shared" si="4"/>
        <v>155232792.58000001</v>
      </c>
      <c r="I55" s="62">
        <f t="shared" si="4"/>
        <v>7259902.5800000001</v>
      </c>
      <c r="J55" s="63">
        <f>IF($D$55=0,"",100*$D55/$D$55)</f>
        <v>100</v>
      </c>
      <c r="K55" s="63">
        <f>IF(C55=0,"",100*D55/C55)</f>
        <v>98.638856415041815</v>
      </c>
      <c r="L55" s="4"/>
    </row>
    <row r="56" spans="1:26" s="6" customFormat="1" x14ac:dyDescent="0.2">
      <c r="A56" s="3"/>
      <c r="B56" s="54" t="s">
        <v>60</v>
      </c>
      <c r="C56" s="55">
        <f>64138239812.65</f>
        <v>64138239812.650002</v>
      </c>
      <c r="D56" s="55">
        <f>57451439926.66</f>
        <v>57451439926.660004</v>
      </c>
      <c r="E56" s="55">
        <f>0</f>
        <v>0</v>
      </c>
      <c r="F56" s="55">
        <f>0</f>
        <v>0</v>
      </c>
      <c r="G56" s="55">
        <f>0</f>
        <v>0</v>
      </c>
      <c r="H56" s="55">
        <f>0</f>
        <v>0</v>
      </c>
      <c r="I56" s="55">
        <f>0</f>
        <v>0</v>
      </c>
      <c r="J56" s="36">
        <f>IF($D$55=0,"",100*$D56/$D$55)</f>
        <v>12.270386691667568</v>
      </c>
      <c r="K56" s="36">
        <f>IF(C56=0,"",100*D56/C56)</f>
        <v>89.574394455597201</v>
      </c>
      <c r="L56" s="4"/>
    </row>
    <row r="57" spans="1:26" s="6" customFormat="1" x14ac:dyDescent="0.2">
      <c r="A57" s="3"/>
      <c r="B57" s="54" t="s">
        <v>61</v>
      </c>
      <c r="C57" s="55">
        <f>+C55-C56</f>
        <v>410534881388.47998</v>
      </c>
      <c r="D57" s="55">
        <f t="shared" ref="D57:I57" si="5">+D55-D56</f>
        <v>410760698535.71997</v>
      </c>
      <c r="E57" s="55">
        <f t="shared" si="5"/>
        <v>6159900023.1599998</v>
      </c>
      <c r="F57" s="55">
        <f t="shared" si="5"/>
        <v>845937811.61000001</v>
      </c>
      <c r="G57" s="55">
        <f t="shared" si="5"/>
        <v>114390148.16</v>
      </c>
      <c r="H57" s="55">
        <f t="shared" si="5"/>
        <v>155232792.58000001</v>
      </c>
      <c r="I57" s="55">
        <f t="shared" si="5"/>
        <v>7259902.5800000001</v>
      </c>
      <c r="J57" s="36">
        <f>IF($D$55=0,"",100*$D57/$D$55)</f>
        <v>87.729613308332432</v>
      </c>
      <c r="K57" s="36">
        <f>IF(C57=0,"",100*D57/C57)</f>
        <v>100.05500559330703</v>
      </c>
      <c r="L57" s="4"/>
    </row>
    <row r="58" spans="1:26" s="6" customFormat="1" x14ac:dyDescent="0.2">
      <c r="A58" s="3"/>
      <c r="B58" s="91" t="s">
        <v>91</v>
      </c>
      <c r="C58" s="91"/>
      <c r="D58" s="91"/>
      <c r="E58" s="91"/>
      <c r="F58" s="91"/>
      <c r="G58" s="16"/>
      <c r="H58" s="16"/>
      <c r="I58" s="16"/>
      <c r="J58" s="16"/>
      <c r="K58" s="10"/>
      <c r="L58" s="10"/>
      <c r="M58" s="4"/>
    </row>
    <row r="59" spans="1:26" ht="20.25" x14ac:dyDescent="0.2">
      <c r="B59" s="86" t="str">
        <f>CONCATENATE("Informacja z wykonania budżetów jednostek samorządu terytorialnego za ",$D$129," ",$C$130," roku")</f>
        <v>Informacja z wykonania budżetów jednostek samorządu terytorialnego za IV Kwartały 2025 roku</v>
      </c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</row>
    <row r="60" spans="1:26" s="6" customFormat="1" x14ac:dyDescent="0.2">
      <c r="B60" s="7"/>
      <c r="C60" s="8"/>
      <c r="D60" s="9"/>
      <c r="E60" s="9"/>
      <c r="F60" s="5"/>
      <c r="G60" s="5"/>
      <c r="H60" s="5"/>
      <c r="I60" s="5"/>
      <c r="J60" s="5"/>
      <c r="K60" s="10"/>
      <c r="L60" s="10"/>
      <c r="M60" s="4"/>
    </row>
    <row r="61" spans="1:26" ht="35.450000000000003" customHeight="1" x14ac:dyDescent="0.2">
      <c r="B61" s="128" t="s">
        <v>0</v>
      </c>
      <c r="C61" s="117" t="s">
        <v>41</v>
      </c>
      <c r="D61" s="117" t="s">
        <v>43</v>
      </c>
      <c r="E61" s="117" t="s">
        <v>42</v>
      </c>
      <c r="F61" s="117" t="s">
        <v>12</v>
      </c>
      <c r="G61" s="117"/>
      <c r="H61" s="117"/>
      <c r="I61" s="114" t="s">
        <v>72</v>
      </c>
      <c r="J61" s="114" t="s">
        <v>2</v>
      </c>
      <c r="K61" s="111" t="s">
        <v>18</v>
      </c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x14ac:dyDescent="0.2">
      <c r="B62" s="128"/>
      <c r="C62" s="117"/>
      <c r="D62" s="117"/>
      <c r="E62" s="117"/>
      <c r="F62" s="103" t="s">
        <v>44</v>
      </c>
      <c r="G62" s="118" t="s">
        <v>27</v>
      </c>
      <c r="H62" s="105"/>
      <c r="I62" s="115"/>
      <c r="J62" s="115"/>
      <c r="K62" s="112"/>
      <c r="L62" s="12"/>
      <c r="M62" s="13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35.25" x14ac:dyDescent="0.2">
      <c r="B63" s="128"/>
      <c r="C63" s="117"/>
      <c r="D63" s="117"/>
      <c r="E63" s="117"/>
      <c r="F63" s="105"/>
      <c r="G63" s="18" t="s">
        <v>39</v>
      </c>
      <c r="H63" s="18" t="s">
        <v>40</v>
      </c>
      <c r="I63" s="116"/>
      <c r="J63" s="116"/>
      <c r="K63" s="113"/>
      <c r="L63" s="12"/>
      <c r="M63" s="11"/>
      <c r="N63" s="22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x14ac:dyDescent="0.2">
      <c r="B64" s="128"/>
      <c r="C64" s="129" t="s">
        <v>64</v>
      </c>
      <c r="D64" s="130"/>
      <c r="E64" s="130"/>
      <c r="F64" s="130"/>
      <c r="G64" s="130"/>
      <c r="H64" s="131"/>
      <c r="I64" s="71"/>
      <c r="J64" s="110" t="s">
        <v>4</v>
      </c>
      <c r="K64" s="110"/>
      <c r="N64" s="22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2:26" x14ac:dyDescent="0.2">
      <c r="B65" s="17">
        <v>1</v>
      </c>
      <c r="C65" s="19">
        <v>2</v>
      </c>
      <c r="D65" s="19">
        <v>3</v>
      </c>
      <c r="E65" s="19">
        <v>4</v>
      </c>
      <c r="F65" s="17">
        <v>5</v>
      </c>
      <c r="G65" s="17">
        <v>6</v>
      </c>
      <c r="H65" s="19">
        <v>7</v>
      </c>
      <c r="I65" s="19">
        <v>8</v>
      </c>
      <c r="J65" s="17">
        <v>9</v>
      </c>
      <c r="K65" s="19">
        <v>10</v>
      </c>
      <c r="M65" s="11"/>
      <c r="N65" s="22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2:26" ht="25.5" x14ac:dyDescent="0.2">
      <c r="B66" s="56" t="s">
        <v>48</v>
      </c>
      <c r="C66" s="62">
        <f>505351848009.03</f>
        <v>505351848009.03003</v>
      </c>
      <c r="D66" s="62">
        <f>466393209973.6</f>
        <v>466393209973.59998</v>
      </c>
      <c r="E66" s="62">
        <f>466832842097.09</f>
        <v>466832842097.09003</v>
      </c>
      <c r="F66" s="62">
        <f>20762413284.07</f>
        <v>20762413284.07</v>
      </c>
      <c r="G66" s="62">
        <f>3297480.04</f>
        <v>3297480.04</v>
      </c>
      <c r="H66" s="62">
        <f>40777289.26</f>
        <v>40777289.259999998</v>
      </c>
      <c r="I66" s="68">
        <f>1620532939.64</f>
        <v>1620532939.6400001</v>
      </c>
      <c r="J66" s="50">
        <f>IF($D$66=0,"",100*$D66/$D$66)</f>
        <v>100</v>
      </c>
      <c r="K66" s="50">
        <f>IF(C66=0,"",100*D66/C66)</f>
        <v>92.290789439294997</v>
      </c>
    </row>
    <row r="67" spans="2:26" x14ac:dyDescent="0.2">
      <c r="B67" s="75" t="s">
        <v>14</v>
      </c>
      <c r="C67" s="27">
        <f>111601115692.92</f>
        <v>111601115692.92</v>
      </c>
      <c r="D67" s="27">
        <f>94899277474.68</f>
        <v>94899277474.679993</v>
      </c>
      <c r="E67" s="27">
        <f>95128500823.13</f>
        <v>95128500823.130005</v>
      </c>
      <c r="F67" s="27">
        <f>1658454330.74</f>
        <v>1658454330.74</v>
      </c>
      <c r="G67" s="27">
        <f>937039.94</f>
        <v>937039.94</v>
      </c>
      <c r="H67" s="27">
        <f>6083331.44</f>
        <v>6083331.4400000004</v>
      </c>
      <c r="I67" s="69">
        <f>1460088264.63</f>
        <v>1460088264.6300001</v>
      </c>
      <c r="J67" s="50">
        <f t="shared" ref="J67:J75" si="6">IF($D$66=0,"",100*$D67/$D$66)</f>
        <v>20.347482648825814</v>
      </c>
      <c r="K67" s="50">
        <f t="shared" ref="K67:K75" si="7">IF(C67=0,"",100*D67/C67)</f>
        <v>85.034344760318945</v>
      </c>
    </row>
    <row r="68" spans="2:26" outlineLevel="1" x14ac:dyDescent="0.2">
      <c r="B68" s="31" t="s">
        <v>13</v>
      </c>
      <c r="C68" s="23">
        <f>105985483525.91</f>
        <v>105985483525.91</v>
      </c>
      <c r="D68" s="23">
        <f>89568164639.7501</f>
        <v>89568164639.750107</v>
      </c>
      <c r="E68" s="23">
        <f>89797387988.2001</f>
        <v>89797387988.200104</v>
      </c>
      <c r="F68" s="23">
        <f>1639385074.4</f>
        <v>1639385074.4000001</v>
      </c>
      <c r="G68" s="23">
        <f>937039.94</f>
        <v>937039.94</v>
      </c>
      <c r="H68" s="23">
        <f>6083331.44</f>
        <v>6083331.4400000004</v>
      </c>
      <c r="I68" s="70">
        <f>1460088264.63</f>
        <v>1460088264.6300001</v>
      </c>
      <c r="J68" s="50">
        <f t="shared" si="6"/>
        <v>19.204431523524981</v>
      </c>
      <c r="K68" s="50">
        <f t="shared" si="7"/>
        <v>84.509841970814421</v>
      </c>
    </row>
    <row r="69" spans="2:26" ht="25.5" x14ac:dyDescent="0.2">
      <c r="B69" s="76" t="s">
        <v>49</v>
      </c>
      <c r="C69" s="62">
        <f t="shared" ref="C69:I69" si="8">C66-C67</f>
        <v>393750732316.11005</v>
      </c>
      <c r="D69" s="62">
        <f t="shared" si="8"/>
        <v>371493932498.91998</v>
      </c>
      <c r="E69" s="62">
        <f t="shared" si="8"/>
        <v>371704341273.96002</v>
      </c>
      <c r="F69" s="62">
        <f t="shared" si="8"/>
        <v>19103958953.329998</v>
      </c>
      <c r="G69" s="62">
        <f t="shared" si="8"/>
        <v>2360440.1</v>
      </c>
      <c r="H69" s="62">
        <f t="shared" si="8"/>
        <v>34693957.82</v>
      </c>
      <c r="I69" s="68">
        <f t="shared" si="8"/>
        <v>160444675.00999999</v>
      </c>
      <c r="J69" s="50">
        <f t="shared" si="6"/>
        <v>79.652517351174197</v>
      </c>
      <c r="K69" s="50">
        <f t="shared" si="7"/>
        <v>94.347489924330631</v>
      </c>
    </row>
    <row r="70" spans="2:26" outlineLevel="1" x14ac:dyDescent="0.2">
      <c r="B70" s="31" t="s">
        <v>87</v>
      </c>
      <c r="C70" s="23">
        <f>182155232860.75</f>
        <v>182155232860.75</v>
      </c>
      <c r="D70" s="23">
        <f>176394329987.26</f>
        <v>176394329987.26001</v>
      </c>
      <c r="E70" s="23">
        <f>176474268496.03</f>
        <v>176474268496.03</v>
      </c>
      <c r="F70" s="23">
        <f>14532619618.56</f>
        <v>14532619618.559999</v>
      </c>
      <c r="G70" s="23">
        <f>456905.62</f>
        <v>456905.62</v>
      </c>
      <c r="H70" s="23">
        <f>4302728.43</f>
        <v>4302728.43</v>
      </c>
      <c r="I70" s="70">
        <f>1773044.88</f>
        <v>1773044.88</v>
      </c>
      <c r="J70" s="50">
        <f t="shared" si="6"/>
        <v>37.820947264057452</v>
      </c>
      <c r="K70" s="50">
        <f t="shared" si="7"/>
        <v>96.837366249097016</v>
      </c>
    </row>
    <row r="71" spans="2:26" outlineLevel="1" x14ac:dyDescent="0.2">
      <c r="B71" s="31" t="s">
        <v>38</v>
      </c>
      <c r="C71" s="23">
        <f>53854626375.9599</f>
        <v>53854626375.9599</v>
      </c>
      <c r="D71" s="23">
        <f>52367955159.51</f>
        <v>52367955159.510002</v>
      </c>
      <c r="E71" s="23">
        <f>52383811833.95</f>
        <v>52383811833.949997</v>
      </c>
      <c r="F71" s="23">
        <f>79434463.33</f>
        <v>79434463.329999998</v>
      </c>
      <c r="G71" s="23">
        <f>0</f>
        <v>0</v>
      </c>
      <c r="H71" s="23">
        <f>68167.76</f>
        <v>68167.759999999995</v>
      </c>
      <c r="I71" s="70">
        <f>2190221.7</f>
        <v>2190221.7000000002</v>
      </c>
      <c r="J71" s="50">
        <f t="shared" si="6"/>
        <v>11.228284211614975</v>
      </c>
      <c r="K71" s="50">
        <f t="shared" si="7"/>
        <v>97.239473529959284</v>
      </c>
    </row>
    <row r="72" spans="2:26" outlineLevel="1" x14ac:dyDescent="0.2">
      <c r="B72" s="31" t="s">
        <v>37</v>
      </c>
      <c r="C72" s="23">
        <f>7005404174.64</f>
        <v>7005404174.6400003</v>
      </c>
      <c r="D72" s="23">
        <f>6378378713.7</f>
        <v>6378378713.6999998</v>
      </c>
      <c r="E72" s="23">
        <f>6383455754.22</f>
        <v>6383455754.2200003</v>
      </c>
      <c r="F72" s="23">
        <f>133284983.6</f>
        <v>133284983.59999999</v>
      </c>
      <c r="G72" s="23">
        <f>0</f>
        <v>0</v>
      </c>
      <c r="H72" s="23">
        <f>27898.34</f>
        <v>27898.34</v>
      </c>
      <c r="I72" s="70">
        <f>0</f>
        <v>0</v>
      </c>
      <c r="J72" s="50">
        <f t="shared" si="6"/>
        <v>1.36759682115892</v>
      </c>
      <c r="K72" s="50">
        <f t="shared" si="7"/>
        <v>91.049403498946262</v>
      </c>
    </row>
    <row r="73" spans="2:26" outlineLevel="1" x14ac:dyDescent="0.2">
      <c r="B73" s="31" t="s">
        <v>55</v>
      </c>
      <c r="C73" s="23">
        <f>262479582.42</f>
        <v>262479582.41999999</v>
      </c>
      <c r="D73" s="23">
        <f>40565669.58</f>
        <v>40565669.579999998</v>
      </c>
      <c r="E73" s="23">
        <f>40605590.7</f>
        <v>40605590.700000003</v>
      </c>
      <c r="F73" s="23">
        <f>0</f>
        <v>0</v>
      </c>
      <c r="G73" s="23">
        <f>0</f>
        <v>0</v>
      </c>
      <c r="H73" s="23">
        <f>0</f>
        <v>0</v>
      </c>
      <c r="I73" s="70">
        <f>0</f>
        <v>0</v>
      </c>
      <c r="J73" s="50">
        <f t="shared" si="6"/>
        <v>8.6977401712808391E-3</v>
      </c>
      <c r="K73" s="50">
        <f t="shared" si="7"/>
        <v>15.454790504462888</v>
      </c>
    </row>
    <row r="74" spans="2:26" outlineLevel="1" x14ac:dyDescent="0.2">
      <c r="B74" s="31" t="s">
        <v>56</v>
      </c>
      <c r="C74" s="23">
        <f>27898991667.83</f>
        <v>27898991667.830002</v>
      </c>
      <c r="D74" s="23">
        <f>27199538549.01</f>
        <v>27199538549.009998</v>
      </c>
      <c r="E74" s="23">
        <f>27207639565.3</f>
        <v>27207639565.299999</v>
      </c>
      <c r="F74" s="23">
        <f>365797152.51</f>
        <v>365797152.50999999</v>
      </c>
      <c r="G74" s="23">
        <f>189241.67</f>
        <v>189241.67</v>
      </c>
      <c r="H74" s="23">
        <f>890190.14</f>
        <v>890190.14</v>
      </c>
      <c r="I74" s="70">
        <f>0</f>
        <v>0</v>
      </c>
      <c r="J74" s="50">
        <f t="shared" si="6"/>
        <v>5.8318899090639889</v>
      </c>
      <c r="K74" s="50">
        <f t="shared" si="7"/>
        <v>97.492908965500234</v>
      </c>
    </row>
    <row r="75" spans="2:26" outlineLevel="1" x14ac:dyDescent="0.2">
      <c r="B75" s="31" t="s">
        <v>36</v>
      </c>
      <c r="C75" s="23">
        <f t="shared" ref="C75:I75" si="9">C69-C70-C71-C72-C73-C74</f>
        <v>122573997654.51012</v>
      </c>
      <c r="D75" s="23">
        <f t="shared" si="9"/>
        <v>109113164419.85997</v>
      </c>
      <c r="E75" s="23">
        <f t="shared" si="9"/>
        <v>109214560033.76004</v>
      </c>
      <c r="F75" s="23">
        <f t="shared" si="9"/>
        <v>3992822735.329998</v>
      </c>
      <c r="G75" s="23">
        <f t="shared" si="9"/>
        <v>1714292.81</v>
      </c>
      <c r="H75" s="23">
        <f t="shared" si="9"/>
        <v>29404973.149999999</v>
      </c>
      <c r="I75" s="70">
        <f t="shared" si="9"/>
        <v>156481408.43000001</v>
      </c>
      <c r="J75" s="50">
        <f t="shared" si="6"/>
        <v>23.395101405107564</v>
      </c>
      <c r="K75" s="50">
        <f t="shared" si="7"/>
        <v>89.018198400780591</v>
      </c>
    </row>
    <row r="76" spans="2:26" x14ac:dyDescent="0.2">
      <c r="B76" s="20" t="s">
        <v>15</v>
      </c>
      <c r="C76" s="27">
        <f>C6-C66</f>
        <v>-30678726807.900024</v>
      </c>
      <c r="D76" s="27">
        <f>D6-D66</f>
        <v>1818928488.7800293</v>
      </c>
      <c r="E76" s="29"/>
      <c r="F76" s="29"/>
      <c r="G76" s="14"/>
    </row>
    <row r="77" spans="2:26" ht="25.5" x14ac:dyDescent="0.2">
      <c r="B77" s="95" t="s">
        <v>122</v>
      </c>
      <c r="C77" s="51">
        <f>+C57-C69</f>
        <v>16784149072.369934</v>
      </c>
      <c r="D77" s="51">
        <f>+D57-D69</f>
        <v>39266766036.799988</v>
      </c>
      <c r="E77" s="29"/>
      <c r="F77" s="29"/>
      <c r="G77" s="14"/>
    </row>
    <row r="78" spans="2:26" outlineLevel="1" x14ac:dyDescent="0.2">
      <c r="B78" s="93"/>
      <c r="C78" s="94"/>
      <c r="D78" s="94"/>
      <c r="E78" s="29"/>
      <c r="F78" s="29"/>
      <c r="G78" s="14"/>
    </row>
    <row r="79" spans="2:26" outlineLevel="1" x14ac:dyDescent="0.2">
      <c r="B79" s="93"/>
      <c r="C79" s="94"/>
      <c r="D79" s="94"/>
      <c r="E79" s="29"/>
      <c r="F79" s="29"/>
      <c r="G79" s="14"/>
    </row>
    <row r="80" spans="2:26" outlineLevel="1" x14ac:dyDescent="0.2">
      <c r="B80" s="132" t="s">
        <v>118</v>
      </c>
      <c r="C80" s="133" t="s">
        <v>104</v>
      </c>
      <c r="D80" s="133"/>
      <c r="E80" s="133" t="s">
        <v>105</v>
      </c>
      <c r="F80" s="133"/>
      <c r="G80" s="101" t="s">
        <v>123</v>
      </c>
    </row>
    <row r="81" spans="2:13" outlineLevel="1" x14ac:dyDescent="0.2">
      <c r="B81" s="132"/>
      <c r="C81" s="98" t="s">
        <v>106</v>
      </c>
      <c r="D81" s="98" t="s">
        <v>107</v>
      </c>
      <c r="E81" s="98" t="s">
        <v>106</v>
      </c>
      <c r="F81" s="98" t="s">
        <v>107</v>
      </c>
      <c r="G81" s="98" t="s">
        <v>106</v>
      </c>
    </row>
    <row r="82" spans="2:13" outlineLevel="1" x14ac:dyDescent="0.2">
      <c r="B82" s="99" t="s">
        <v>119</v>
      </c>
      <c r="C82" s="102">
        <f>259</f>
        <v>259</v>
      </c>
      <c r="D82" s="96">
        <f>898497944.9</f>
        <v>898497944.89999998</v>
      </c>
      <c r="E82" s="102">
        <f>2541</f>
        <v>2541</v>
      </c>
      <c r="F82" s="96">
        <f>+-31577224752.8</f>
        <v>-31577224752.799999</v>
      </c>
      <c r="G82" s="102">
        <f>9</f>
        <v>9</v>
      </c>
    </row>
    <row r="83" spans="2:13" outlineLevel="1" x14ac:dyDescent="0.2">
      <c r="B83" s="99" t="s">
        <v>120</v>
      </c>
      <c r="C83" s="102">
        <f>1729</f>
        <v>1729</v>
      </c>
      <c r="D83" s="96">
        <f>11177144134.15</f>
        <v>11177144134.15</v>
      </c>
      <c r="E83" s="102">
        <f>1080</f>
        <v>1080</v>
      </c>
      <c r="F83" s="96">
        <f>+-9358215645.37001</f>
        <v>-9358215645.3700104</v>
      </c>
      <c r="G83" s="102">
        <f>0</f>
        <v>0</v>
      </c>
    </row>
    <row r="84" spans="2:13" outlineLevel="1" x14ac:dyDescent="0.2">
      <c r="B84" s="100"/>
      <c r="C84" s="100"/>
      <c r="D84" s="100"/>
      <c r="E84" s="100"/>
      <c r="F84" s="100"/>
      <c r="G84" s="100"/>
    </row>
    <row r="85" spans="2:13" outlineLevel="1" x14ac:dyDescent="0.2">
      <c r="B85" s="132" t="s">
        <v>121</v>
      </c>
      <c r="C85" s="133" t="s">
        <v>104</v>
      </c>
      <c r="D85" s="133"/>
      <c r="E85" s="133" t="s">
        <v>105</v>
      </c>
      <c r="F85" s="133"/>
      <c r="G85" s="101" t="s">
        <v>123</v>
      </c>
    </row>
    <row r="86" spans="2:13" outlineLevel="1" x14ac:dyDescent="0.2">
      <c r="B86" s="132"/>
      <c r="C86" s="98" t="s">
        <v>106</v>
      </c>
      <c r="D86" s="98" t="s">
        <v>107</v>
      </c>
      <c r="E86" s="98" t="s">
        <v>106</v>
      </c>
      <c r="F86" s="98" t="s">
        <v>107</v>
      </c>
      <c r="G86" s="98" t="s">
        <v>106</v>
      </c>
    </row>
    <row r="87" spans="2:13" outlineLevel="1" x14ac:dyDescent="0.2">
      <c r="B87" s="99" t="s">
        <v>119</v>
      </c>
      <c r="C87" s="102">
        <f>2334</f>
        <v>2334</v>
      </c>
      <c r="D87" s="96">
        <f>19487164714.71</f>
        <v>19487164714.709999</v>
      </c>
      <c r="E87" s="102">
        <f>475</f>
        <v>475</v>
      </c>
      <c r="F87" s="96">
        <f>+-2703015642.34</f>
        <v>-2703015642.3400002</v>
      </c>
      <c r="G87" s="102">
        <f>0</f>
        <v>0</v>
      </c>
    </row>
    <row r="88" spans="2:13" outlineLevel="1" x14ac:dyDescent="0.2">
      <c r="B88" s="99" t="s">
        <v>120</v>
      </c>
      <c r="C88" s="102">
        <f>2750</f>
        <v>2750</v>
      </c>
      <c r="D88" s="96">
        <f>39642295448.44</f>
        <v>39642295448.440002</v>
      </c>
      <c r="E88" s="102">
        <f>59</f>
        <v>59</v>
      </c>
      <c r="F88" s="96">
        <f>+-375529411.64</f>
        <v>-375529411.63999999</v>
      </c>
      <c r="G88" s="102">
        <f>0</f>
        <v>0</v>
      </c>
    </row>
    <row r="89" spans="2:13" x14ac:dyDescent="0.2">
      <c r="B89" s="52"/>
      <c r="C89" s="53"/>
      <c r="D89" s="53"/>
      <c r="E89" s="53"/>
      <c r="F89" s="2"/>
      <c r="G89" s="2"/>
      <c r="H89" s="2"/>
      <c r="I89" s="2"/>
      <c r="L89" s="11"/>
      <c r="M89" s="11"/>
    </row>
    <row r="90" spans="2:13" x14ac:dyDescent="0.2">
      <c r="B90" s="89" t="s">
        <v>92</v>
      </c>
      <c r="C90" s="53"/>
      <c r="D90" s="53"/>
      <c r="E90" s="53"/>
      <c r="F90" s="2"/>
      <c r="G90" s="2"/>
      <c r="H90" s="2"/>
      <c r="I90" s="2"/>
      <c r="L90" s="11"/>
      <c r="M90" s="11"/>
    </row>
    <row r="91" spans="2:13" ht="25.5" x14ac:dyDescent="0.2">
      <c r="B91" s="90" t="s">
        <v>59</v>
      </c>
      <c r="C91" s="62">
        <f>28948387675.14</f>
        <v>28948387675.139999</v>
      </c>
      <c r="D91" s="62">
        <f>22640857749.5</f>
        <v>22640857749.5</v>
      </c>
      <c r="E91" s="62">
        <f>22683505586.2</f>
        <v>22683505586.200001</v>
      </c>
      <c r="F91" s="62">
        <f>489938616.73</f>
        <v>489938616.73000002</v>
      </c>
      <c r="G91" s="62">
        <f>0</f>
        <v>0</v>
      </c>
      <c r="H91" s="62">
        <f>3504182.64</f>
        <v>3504182.64</v>
      </c>
      <c r="I91" s="68">
        <f>187200695.5</f>
        <v>187200695.5</v>
      </c>
      <c r="J91" s="50">
        <f>IF($D$91=0,"",100*$D91/$D$91)</f>
        <v>100</v>
      </c>
      <c r="K91" s="50">
        <f>IF(C91=0,"",100*D91/C91)</f>
        <v>78.211118365473894</v>
      </c>
      <c r="L91" s="11"/>
    </row>
    <row r="92" spans="2:13" x14ac:dyDescent="0.2">
      <c r="B92" s="54" t="s">
        <v>62</v>
      </c>
      <c r="C92" s="64">
        <f>20254470720.17</f>
        <v>20254470720.169998</v>
      </c>
      <c r="D92" s="64">
        <f>16203990617.55</f>
        <v>16203990617.549999</v>
      </c>
      <c r="E92" s="64">
        <f>16236515280.7</f>
        <v>16236515280.700001</v>
      </c>
      <c r="F92" s="64">
        <f>375621217.51</f>
        <v>375621217.50999999</v>
      </c>
      <c r="G92" s="64">
        <f>0</f>
        <v>0</v>
      </c>
      <c r="H92" s="64">
        <f>3503740.2</f>
        <v>3503740.2</v>
      </c>
      <c r="I92" s="73">
        <f>182768751.26</f>
        <v>182768751.25999999</v>
      </c>
      <c r="J92" s="50">
        <f>IF($D$91=0,"",100*$D92/$D$91)</f>
        <v>71.569685198467567</v>
      </c>
      <c r="K92" s="50">
        <f>IF(C92=0,"",100*D92/C92)</f>
        <v>80.002044197647635</v>
      </c>
      <c r="L92" s="11"/>
    </row>
    <row r="93" spans="2:13" x14ac:dyDescent="0.2">
      <c r="B93" s="54" t="s">
        <v>63</v>
      </c>
      <c r="C93" s="64">
        <f t="shared" ref="C93:I93" si="10">C91-C92</f>
        <v>8693916954.9700012</v>
      </c>
      <c r="D93" s="64">
        <f t="shared" si="10"/>
        <v>6436867131.9500008</v>
      </c>
      <c r="E93" s="64">
        <f t="shared" si="10"/>
        <v>6446990305.5</v>
      </c>
      <c r="F93" s="64">
        <f t="shared" si="10"/>
        <v>114317399.22000003</v>
      </c>
      <c r="G93" s="64">
        <f t="shared" si="10"/>
        <v>0</v>
      </c>
      <c r="H93" s="64">
        <f t="shared" si="10"/>
        <v>442.43999999994412</v>
      </c>
      <c r="I93" s="73">
        <f t="shared" si="10"/>
        <v>4431944.2400000095</v>
      </c>
      <c r="J93" s="50">
        <f>IF($D$91=0,"",100*$D93/$D$91)</f>
        <v>28.430314801532433</v>
      </c>
      <c r="K93" s="50">
        <f>IF(C93=0,"",100*D93/C93)</f>
        <v>74.038746462493805</v>
      </c>
    </row>
    <row r="94" spans="2:13" ht="20.25" x14ac:dyDescent="0.2">
      <c r="B94" s="86" t="str">
        <f>CONCATENATE("Informacja z wykonania budżetów jednostek samorządu terytorialnego za ",$D$129," ",$C$130," roku")</f>
        <v>Informacja z wykonania budżetów jednostek samorządu terytorialnego za IV Kwartały 2025 roku</v>
      </c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</row>
    <row r="95" spans="2:13" x14ac:dyDescent="0.2">
      <c r="B95" s="41" t="s">
        <v>16</v>
      </c>
      <c r="C95" s="72" t="s">
        <v>17</v>
      </c>
      <c r="D95" s="72" t="s">
        <v>1</v>
      </c>
      <c r="E95" s="119" t="s">
        <v>45</v>
      </c>
      <c r="F95" s="120"/>
      <c r="G95" s="120"/>
      <c r="H95" s="120"/>
      <c r="I95" s="121"/>
      <c r="J95" s="19" t="s">
        <v>22</v>
      </c>
      <c r="K95" s="19" t="s">
        <v>23</v>
      </c>
    </row>
    <row r="96" spans="2:13" x14ac:dyDescent="0.2">
      <c r="B96" s="41"/>
      <c r="C96" s="103" t="s">
        <v>64</v>
      </c>
      <c r="D96" s="104"/>
      <c r="E96" s="122"/>
      <c r="F96" s="123"/>
      <c r="G96" s="123"/>
      <c r="H96" s="123"/>
      <c r="I96" s="124"/>
      <c r="J96" s="108" t="s">
        <v>4</v>
      </c>
      <c r="K96" s="109"/>
    </row>
    <row r="97" spans="2:11" x14ac:dyDescent="0.2">
      <c r="B97" s="39">
        <v>1</v>
      </c>
      <c r="C97" s="72">
        <v>2</v>
      </c>
      <c r="D97" s="72">
        <v>3</v>
      </c>
      <c r="E97" s="125"/>
      <c r="F97" s="126"/>
      <c r="G97" s="126"/>
      <c r="H97" s="126"/>
      <c r="I97" s="127"/>
      <c r="J97" s="40">
        <v>4</v>
      </c>
      <c r="K97" s="40">
        <v>5</v>
      </c>
    </row>
    <row r="98" spans="2:11" ht="25.5" x14ac:dyDescent="0.2">
      <c r="B98" s="38" t="s">
        <v>50</v>
      </c>
      <c r="C98" s="43">
        <f>49181780119.11</f>
        <v>49181780119.110001</v>
      </c>
      <c r="D98" s="43">
        <f>64139020928.04</f>
        <v>64139020928.040001</v>
      </c>
      <c r="E98" s="43" t="s">
        <v>45</v>
      </c>
      <c r="F98" s="43" t="s">
        <v>45</v>
      </c>
      <c r="G98" s="43" t="s">
        <v>45</v>
      </c>
      <c r="H98" s="43" t="s">
        <v>45</v>
      </c>
      <c r="I98" s="43" t="s">
        <v>45</v>
      </c>
      <c r="J98" s="42">
        <f>IF($D$98=0,"",100*$D98/$D$98)</f>
        <v>100</v>
      </c>
      <c r="K98" s="37">
        <f t="shared" ref="K98:K113" si="11">IF(C98=0,"",100*D98/C98)</f>
        <v>130.41215826817589</v>
      </c>
    </row>
    <row r="99" spans="2:11" ht="22.5" x14ac:dyDescent="0.2">
      <c r="B99" s="77" t="s">
        <v>93</v>
      </c>
      <c r="C99" s="44">
        <f>23838384242.58</f>
        <v>23838384242.580002</v>
      </c>
      <c r="D99" s="44">
        <f>19546128027.37</f>
        <v>19546128027.369999</v>
      </c>
      <c r="E99" s="43" t="s">
        <v>45</v>
      </c>
      <c r="F99" s="43" t="s">
        <v>45</v>
      </c>
      <c r="G99" s="43" t="s">
        <v>45</v>
      </c>
      <c r="H99" s="43" t="s">
        <v>45</v>
      </c>
      <c r="I99" s="43" t="s">
        <v>45</v>
      </c>
      <c r="J99" s="48">
        <f t="shared" ref="J99:J108" si="12">IF($D$98=0,"",100*$D99/$D$98)</f>
        <v>30.474627994866871</v>
      </c>
      <c r="K99" s="49">
        <f t="shared" si="11"/>
        <v>81.994349233018923</v>
      </c>
    </row>
    <row r="100" spans="2:11" x14ac:dyDescent="0.2">
      <c r="B100" s="78" t="s">
        <v>73</v>
      </c>
      <c r="C100" s="66">
        <f>1022742354.47</f>
        <v>1022742354.47</v>
      </c>
      <c r="D100" s="66">
        <f>883919000</f>
        <v>883919000</v>
      </c>
      <c r="E100" s="43" t="s">
        <v>45</v>
      </c>
      <c r="F100" s="43" t="s">
        <v>45</v>
      </c>
      <c r="G100" s="43" t="s">
        <v>45</v>
      </c>
      <c r="H100" s="43" t="s">
        <v>45</v>
      </c>
      <c r="I100" s="43" t="s">
        <v>45</v>
      </c>
      <c r="J100" s="67">
        <f t="shared" si="12"/>
        <v>1.3781298610586872</v>
      </c>
      <c r="K100" s="65">
        <f t="shared" si="11"/>
        <v>86.426361061194115</v>
      </c>
    </row>
    <row r="101" spans="2:11" x14ac:dyDescent="0.2">
      <c r="B101" s="32" t="s">
        <v>74</v>
      </c>
      <c r="C101" s="66">
        <f>335454329.95</f>
        <v>335454329.94999999</v>
      </c>
      <c r="D101" s="66">
        <f>344208157.58</f>
        <v>344208157.57999998</v>
      </c>
      <c r="E101" s="43" t="s">
        <v>45</v>
      </c>
      <c r="F101" s="43" t="s">
        <v>45</v>
      </c>
      <c r="G101" s="43" t="s">
        <v>45</v>
      </c>
      <c r="H101" s="43" t="s">
        <v>45</v>
      </c>
      <c r="I101" s="43" t="s">
        <v>45</v>
      </c>
      <c r="J101" s="67">
        <f t="shared" si="12"/>
        <v>0.53665951335019624</v>
      </c>
      <c r="K101" s="65">
        <f t="shared" si="11"/>
        <v>102.60954378836153</v>
      </c>
    </row>
    <row r="102" spans="2:11" ht="33.75" x14ac:dyDescent="0.2">
      <c r="B102" s="32" t="s">
        <v>83</v>
      </c>
      <c r="C102" s="66">
        <f>4694101961.36</f>
        <v>4694101961.3599997</v>
      </c>
      <c r="D102" s="66">
        <f>11997423906.39</f>
        <v>11997423906.389999</v>
      </c>
      <c r="E102" s="43" t="s">
        <v>45</v>
      </c>
      <c r="F102" s="43" t="s">
        <v>45</v>
      </c>
      <c r="G102" s="43" t="s">
        <v>45</v>
      </c>
      <c r="H102" s="43" t="s">
        <v>45</v>
      </c>
      <c r="I102" s="43" t="s">
        <v>45</v>
      </c>
      <c r="J102" s="67">
        <f t="shared" si="12"/>
        <v>18.705343070095136</v>
      </c>
      <c r="K102" s="65">
        <f t="shared" si="11"/>
        <v>255.58507261129122</v>
      </c>
    </row>
    <row r="103" spans="2:11" ht="22.5" x14ac:dyDescent="0.2">
      <c r="B103" s="32" t="s">
        <v>84</v>
      </c>
      <c r="C103" s="66">
        <f>4584346248.85</f>
        <v>4584346248.8500004</v>
      </c>
      <c r="D103" s="66">
        <f>5839536908.01</f>
        <v>5839536908.0100002</v>
      </c>
      <c r="E103" s="43" t="s">
        <v>45</v>
      </c>
      <c r="F103" s="43" t="s">
        <v>45</v>
      </c>
      <c r="G103" s="43" t="s">
        <v>45</v>
      </c>
      <c r="H103" s="43" t="s">
        <v>45</v>
      </c>
      <c r="I103" s="43" t="s">
        <v>45</v>
      </c>
      <c r="J103" s="67">
        <f t="shared" si="12"/>
        <v>9.1044996065056836</v>
      </c>
      <c r="K103" s="65">
        <f t="shared" si="11"/>
        <v>127.37992706102574</v>
      </c>
    </row>
    <row r="104" spans="2:11" x14ac:dyDescent="0.2">
      <c r="B104" s="32" t="s">
        <v>75</v>
      </c>
      <c r="C104" s="66">
        <f>0</f>
        <v>0</v>
      </c>
      <c r="D104" s="66">
        <f>1703.92</f>
        <v>1703.92</v>
      </c>
      <c r="E104" s="43" t="s">
        <v>45</v>
      </c>
      <c r="F104" s="43" t="s">
        <v>45</v>
      </c>
      <c r="G104" s="43" t="s">
        <v>45</v>
      </c>
      <c r="H104" s="43" t="s">
        <v>45</v>
      </c>
      <c r="I104" s="43" t="s">
        <v>45</v>
      </c>
      <c r="J104" s="67">
        <f t="shared" si="12"/>
        <v>2.6566043187838687E-6</v>
      </c>
      <c r="K104" s="65" t="str">
        <f t="shared" si="11"/>
        <v/>
      </c>
    </row>
    <row r="105" spans="2:11" ht="22.5" x14ac:dyDescent="0.2">
      <c r="B105" s="32" t="s">
        <v>76</v>
      </c>
      <c r="C105" s="66">
        <f>14027195662.93</f>
        <v>14027195662.93</v>
      </c>
      <c r="D105" s="66">
        <f>23567660254.48</f>
        <v>23567660254.48</v>
      </c>
      <c r="E105" s="43" t="s">
        <v>45</v>
      </c>
      <c r="F105" s="43" t="s">
        <v>45</v>
      </c>
      <c r="G105" s="43" t="s">
        <v>45</v>
      </c>
      <c r="H105" s="43" t="s">
        <v>45</v>
      </c>
      <c r="I105" s="43" t="s">
        <v>45</v>
      </c>
      <c r="J105" s="67">
        <f t="shared" si="12"/>
        <v>36.744652340299133</v>
      </c>
      <c r="K105" s="65">
        <f t="shared" si="11"/>
        <v>168.01405513122492</v>
      </c>
    </row>
    <row r="106" spans="2:11" ht="33.75" x14ac:dyDescent="0.2">
      <c r="B106" s="32" t="s">
        <v>94</v>
      </c>
      <c r="C106" s="66">
        <f>0</f>
        <v>0</v>
      </c>
      <c r="D106" s="66">
        <f>0</f>
        <v>0</v>
      </c>
      <c r="E106" s="43"/>
      <c r="F106" s="43"/>
      <c r="G106" s="43"/>
      <c r="H106" s="43"/>
      <c r="I106" s="43"/>
      <c r="J106" s="67">
        <f>IF($D$98=0,"",100*$D106/$D$98)</f>
        <v>0</v>
      </c>
      <c r="K106" s="65" t="str">
        <f>IF(C106=0,"",100*D106/C106)</f>
        <v/>
      </c>
    </row>
    <row r="107" spans="2:11" x14ac:dyDescent="0.2">
      <c r="B107" s="32" t="s">
        <v>95</v>
      </c>
      <c r="C107" s="66">
        <f>1702297673.44</f>
        <v>1702297673.4400001</v>
      </c>
      <c r="D107" s="66">
        <f>2844061970.29</f>
        <v>2844061970.29</v>
      </c>
      <c r="E107" s="43"/>
      <c r="F107" s="43"/>
      <c r="G107" s="43"/>
      <c r="H107" s="43"/>
      <c r="I107" s="43"/>
      <c r="J107" s="48">
        <f t="shared" si="12"/>
        <v>4.4342148182786589</v>
      </c>
      <c r="K107" s="49">
        <f>IF(C107=0,"",100*D107/C107)</f>
        <v>167.07195308225528</v>
      </c>
    </row>
    <row r="108" spans="2:11" x14ac:dyDescent="0.2">
      <c r="B108" s="78" t="s">
        <v>96</v>
      </c>
      <c r="C108" s="66">
        <f>1664223549</f>
        <v>1664223549</v>
      </c>
      <c r="D108" s="66">
        <f>1718655614.25</f>
        <v>1718655614.25</v>
      </c>
      <c r="E108" s="43" t="s">
        <v>45</v>
      </c>
      <c r="F108" s="43" t="s">
        <v>45</v>
      </c>
      <c r="G108" s="43" t="s">
        <v>45</v>
      </c>
      <c r="H108" s="43" t="s">
        <v>45</v>
      </c>
      <c r="I108" s="43" t="s">
        <v>45</v>
      </c>
      <c r="J108" s="67">
        <f t="shared" si="12"/>
        <v>2.6795788108119467</v>
      </c>
      <c r="K108" s="65">
        <f>IF(C108=0,"",100*D108/C108)</f>
        <v>103.27071836489198</v>
      </c>
    </row>
    <row r="109" spans="2:11" ht="25.5" x14ac:dyDescent="0.2">
      <c r="B109" s="38" t="s">
        <v>51</v>
      </c>
      <c r="C109" s="26">
        <f>17952412256.31</f>
        <v>17952412256.310001</v>
      </c>
      <c r="D109" s="26">
        <f>18592678271.03</f>
        <v>18592678271.029999</v>
      </c>
      <c r="E109" s="43" t="s">
        <v>45</v>
      </c>
      <c r="F109" s="43" t="s">
        <v>45</v>
      </c>
      <c r="G109" s="43" t="s">
        <v>45</v>
      </c>
      <c r="H109" s="43" t="s">
        <v>45</v>
      </c>
      <c r="I109" s="43" t="s">
        <v>45</v>
      </c>
      <c r="J109" s="42">
        <f t="shared" ref="J109:J114" si="13">IF($D$109=0,"",100*$D109/$D$109)</f>
        <v>100</v>
      </c>
      <c r="K109" s="37">
        <f t="shared" si="11"/>
        <v>103.56646229809564</v>
      </c>
    </row>
    <row r="110" spans="2:11" ht="22.5" x14ac:dyDescent="0.2">
      <c r="B110" s="77" t="s">
        <v>77</v>
      </c>
      <c r="C110" s="66">
        <f>14816563460.48</f>
        <v>14816563460.48</v>
      </c>
      <c r="D110" s="66">
        <f>14592402177.75</f>
        <v>14592402177.75</v>
      </c>
      <c r="E110" s="43" t="s">
        <v>45</v>
      </c>
      <c r="F110" s="43" t="s">
        <v>45</v>
      </c>
      <c r="G110" s="43" t="s">
        <v>45</v>
      </c>
      <c r="H110" s="43" t="s">
        <v>45</v>
      </c>
      <c r="I110" s="43" t="s">
        <v>45</v>
      </c>
      <c r="J110" s="48">
        <f t="shared" si="13"/>
        <v>78.484669960040179</v>
      </c>
      <c r="K110" s="49">
        <f t="shared" si="11"/>
        <v>98.487089915769587</v>
      </c>
    </row>
    <row r="111" spans="2:11" x14ac:dyDescent="0.2">
      <c r="B111" s="78" t="s">
        <v>78</v>
      </c>
      <c r="C111" s="66">
        <f>979012766.16</f>
        <v>979012766.15999997</v>
      </c>
      <c r="D111" s="66">
        <f>975578763.16</f>
        <v>975578763.15999997</v>
      </c>
      <c r="E111" s="43" t="s">
        <v>45</v>
      </c>
      <c r="F111" s="43" t="s">
        <v>45</v>
      </c>
      <c r="G111" s="43" t="s">
        <v>45</v>
      </c>
      <c r="H111" s="43" t="s">
        <v>45</v>
      </c>
      <c r="I111" s="43" t="s">
        <v>45</v>
      </c>
      <c r="J111" s="67">
        <f t="shared" si="13"/>
        <v>5.247112594209133</v>
      </c>
      <c r="K111" s="65">
        <f t="shared" si="11"/>
        <v>99.649238179654262</v>
      </c>
    </row>
    <row r="112" spans="2:11" x14ac:dyDescent="0.2">
      <c r="B112" s="32" t="s">
        <v>85</v>
      </c>
      <c r="C112" s="66">
        <f>852754725.94</f>
        <v>852754725.94000006</v>
      </c>
      <c r="D112" s="66">
        <f>826303985.42</f>
        <v>826303985.41999996</v>
      </c>
      <c r="E112" s="43" t="s">
        <v>45</v>
      </c>
      <c r="F112" s="43" t="s">
        <v>45</v>
      </c>
      <c r="G112" s="43" t="s">
        <v>45</v>
      </c>
      <c r="H112" s="43" t="s">
        <v>45</v>
      </c>
      <c r="I112" s="43" t="s">
        <v>45</v>
      </c>
      <c r="J112" s="67">
        <f t="shared" si="13"/>
        <v>4.4442439834367358</v>
      </c>
      <c r="K112" s="65">
        <f t="shared" si="11"/>
        <v>96.89820065308426</v>
      </c>
    </row>
    <row r="113" spans="2:11" x14ac:dyDescent="0.2">
      <c r="B113" s="79" t="s">
        <v>97</v>
      </c>
      <c r="C113" s="66">
        <f>2283094069.89</f>
        <v>2283094069.8899999</v>
      </c>
      <c r="D113" s="66">
        <f>3173972107.86</f>
        <v>3173972107.8600001</v>
      </c>
      <c r="E113" s="43" t="s">
        <v>45</v>
      </c>
      <c r="F113" s="43" t="s">
        <v>45</v>
      </c>
      <c r="G113" s="43" t="s">
        <v>45</v>
      </c>
      <c r="H113" s="43" t="s">
        <v>45</v>
      </c>
      <c r="I113" s="43" t="s">
        <v>45</v>
      </c>
      <c r="J113" s="48">
        <f t="shared" si="13"/>
        <v>17.071086056523086</v>
      </c>
      <c r="K113" s="49">
        <f t="shared" si="11"/>
        <v>139.02064526026837</v>
      </c>
    </row>
    <row r="114" spans="2:11" x14ac:dyDescent="0.2">
      <c r="B114" s="92" t="s">
        <v>98</v>
      </c>
      <c r="C114" s="66">
        <f>2030045056.21</f>
        <v>2030045056.21</v>
      </c>
      <c r="D114" s="66">
        <f>1977052063.27</f>
        <v>1977052063.27</v>
      </c>
      <c r="E114" s="43" t="s">
        <v>45</v>
      </c>
      <c r="F114" s="43" t="s">
        <v>45</v>
      </c>
      <c r="G114" s="43" t="s">
        <v>45</v>
      </c>
      <c r="H114" s="43" t="s">
        <v>45</v>
      </c>
      <c r="I114" s="43" t="s">
        <v>45</v>
      </c>
      <c r="J114" s="48">
        <f t="shared" si="13"/>
        <v>10.633497952527499</v>
      </c>
      <c r="K114" s="49">
        <f>IF(C114=0,"",100*D114/C114)</f>
        <v>97.389565675998568</v>
      </c>
    </row>
    <row r="116" spans="2:11" x14ac:dyDescent="0.2">
      <c r="B116" s="41" t="s">
        <v>16</v>
      </c>
      <c r="C116" s="72" t="s">
        <v>17</v>
      </c>
      <c r="D116" s="19" t="s">
        <v>1</v>
      </c>
    </row>
    <row r="117" spans="2:11" x14ac:dyDescent="0.2">
      <c r="B117" s="41"/>
      <c r="C117" s="103" t="s">
        <v>64</v>
      </c>
      <c r="D117" s="104"/>
    </row>
    <row r="118" spans="2:11" x14ac:dyDescent="0.2">
      <c r="B118" s="39">
        <v>1</v>
      </c>
      <c r="C118" s="72">
        <v>2</v>
      </c>
      <c r="D118" s="19">
        <v>3</v>
      </c>
    </row>
    <row r="119" spans="2:11" ht="22.5" x14ac:dyDescent="0.2">
      <c r="B119" s="47" t="s">
        <v>99</v>
      </c>
      <c r="C119" s="45">
        <f>31575404432.13</f>
        <v>31575404432.130001</v>
      </c>
      <c r="D119" s="28">
        <f>9334589090.74</f>
        <v>9334589090.7399998</v>
      </c>
    </row>
    <row r="120" spans="2:11" ht="22.5" x14ac:dyDescent="0.2">
      <c r="B120" s="85" t="s">
        <v>66</v>
      </c>
      <c r="C120" s="46">
        <f>513682082.97</f>
        <v>513682082.97000003</v>
      </c>
      <c r="D120" s="74">
        <f>222615789.84</f>
        <v>222615789.84</v>
      </c>
    </row>
    <row r="121" spans="2:11" x14ac:dyDescent="0.2">
      <c r="B121" s="85" t="s">
        <v>67</v>
      </c>
      <c r="C121" s="46">
        <f>13851521201.05</f>
        <v>13851521201.049999</v>
      </c>
      <c r="D121" s="74">
        <f>5486473763.27</f>
        <v>5486473763.2700005</v>
      </c>
    </row>
    <row r="122" spans="2:11" x14ac:dyDescent="0.2">
      <c r="B122" s="85" t="s">
        <v>68</v>
      </c>
      <c r="C122" s="46">
        <f>0</f>
        <v>0</v>
      </c>
      <c r="D122" s="74">
        <f>0</f>
        <v>0</v>
      </c>
    </row>
    <row r="123" spans="2:11" ht="33.75" x14ac:dyDescent="0.2">
      <c r="B123" s="85" t="s">
        <v>86</v>
      </c>
      <c r="C123" s="46">
        <f>3173108329.26</f>
        <v>3173108329.2600002</v>
      </c>
      <c r="D123" s="74">
        <f>489087039.47</f>
        <v>489087039.47000003</v>
      </c>
    </row>
    <row r="124" spans="2:11" ht="56.25" x14ac:dyDescent="0.2">
      <c r="B124" s="85" t="s">
        <v>69</v>
      </c>
      <c r="C124" s="46">
        <f>8582383418.87</f>
        <v>8582383418.8699999</v>
      </c>
      <c r="D124" s="74">
        <f>1480958851.16</f>
        <v>1480958851.1600001</v>
      </c>
    </row>
    <row r="125" spans="2:11" ht="90" x14ac:dyDescent="0.2">
      <c r="B125" s="85" t="s">
        <v>88</v>
      </c>
      <c r="C125" s="46">
        <f>4158180049.88</f>
        <v>4158180049.8800001</v>
      </c>
      <c r="D125" s="74">
        <f>1568780803.84</f>
        <v>1568780803.8399999</v>
      </c>
    </row>
    <row r="126" spans="2:11" x14ac:dyDescent="0.2">
      <c r="B126" s="85" t="s">
        <v>81</v>
      </c>
      <c r="C126" s="46">
        <f>94446706.06</f>
        <v>94446706.060000002</v>
      </c>
      <c r="D126" s="74">
        <f>10674450.95</f>
        <v>10674450.949999999</v>
      </c>
    </row>
    <row r="127" spans="2:11" x14ac:dyDescent="0.2">
      <c r="B127" s="85" t="s">
        <v>96</v>
      </c>
      <c r="C127" s="46">
        <f>1202082644.04</f>
        <v>1202082644.04</v>
      </c>
      <c r="D127" s="74">
        <f>75998392.21</f>
        <v>75998392.209999993</v>
      </c>
    </row>
    <row r="129" spans="2:4" x14ac:dyDescent="0.2">
      <c r="B129" s="33" t="s">
        <v>52</v>
      </c>
      <c r="C129" s="97">
        <f>4</f>
        <v>4</v>
      </c>
      <c r="D129" s="33" t="str">
        <f>IF(C129=1,"I Kwartał",IF(C129=2,"II Kwartały",IF(C129=3,"III Kwartały",IF(C129=4,"IV Kwartały",IF(C129="M1","Styczeń",IF(C129="M11","Listopad",IF(C129="M12","Grudzień","-")))))))</f>
        <v>IV Kwartały</v>
      </c>
    </row>
    <row r="130" spans="2:4" x14ac:dyDescent="0.2">
      <c r="B130" s="33" t="s">
        <v>53</v>
      </c>
      <c r="C130" s="88">
        <f>2025</f>
        <v>2025</v>
      </c>
    </row>
    <row r="131" spans="2:4" x14ac:dyDescent="0.2">
      <c r="B131" s="33" t="s">
        <v>54</v>
      </c>
      <c r="C131" s="106" t="str">
        <f>"Mar 18 2026 12:00AM"</f>
        <v>Mar 18 2026 12:00AM</v>
      </c>
      <c r="D131" s="107"/>
    </row>
  </sheetData>
  <mergeCells count="26">
    <mergeCell ref="B80:B81"/>
    <mergeCell ref="C80:D80"/>
    <mergeCell ref="E80:F80"/>
    <mergeCell ref="B85:B86"/>
    <mergeCell ref="C85:D85"/>
    <mergeCell ref="E85:F85"/>
    <mergeCell ref="B3:B4"/>
    <mergeCell ref="J4:L4"/>
    <mergeCell ref="B61:B64"/>
    <mergeCell ref="C4:I4"/>
    <mergeCell ref="D61:D63"/>
    <mergeCell ref="E61:E63"/>
    <mergeCell ref="C64:H64"/>
    <mergeCell ref="C96:D96"/>
    <mergeCell ref="F62:F63"/>
    <mergeCell ref="C131:D131"/>
    <mergeCell ref="C117:D117"/>
    <mergeCell ref="J96:K96"/>
    <mergeCell ref="J64:K64"/>
    <mergeCell ref="K61:K63"/>
    <mergeCell ref="I61:I63"/>
    <mergeCell ref="J61:J63"/>
    <mergeCell ref="F61:H61"/>
    <mergeCell ref="C61:C63"/>
    <mergeCell ref="G62:H62"/>
    <mergeCell ref="E95:I97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75" orientation="landscape" useFirstPageNumber="1" r:id="rId1"/>
  <headerFooter alignWithMargins="0">
    <oddFooter>&amp;RStrona &amp;P z &amp;N</oddFooter>
  </headerFooter>
  <rowBreaks count="2" manualBreakCount="2">
    <brk id="45" max="12" man="1"/>
    <brk id="9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2025-02-06T15:04:44Z</cp:lastPrinted>
  <dcterms:created xsi:type="dcterms:W3CDTF">2001-05-17T08:58:03Z</dcterms:created>
  <dcterms:modified xsi:type="dcterms:W3CDTF">2026-03-25T10:11:58Z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2025-01-31T14:00:36.4926801+01:00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GRN-4a6a8bce-14a0-44be-8a2d-20d4f4ebfc44</vt:lpwstr>
  </property>
  <property fmtid="{D5CDD505-2E9C-101B-9397-08002B2CF9AE}" pid="7" name="MFHash">
    <vt:lpwstr>hJ+ngg+9s+tGkx/Vu3SXQN++GIMm8CSpPy5/CP61cQE=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