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zob_nal" sheetId="1" r:id="rId1"/>
  </sheets>
  <definedNames/>
  <calcPr fullCalcOnLoad="1"/>
</workbook>
</file>

<file path=xl/sharedStrings.xml><?xml version="1.0" encoding="utf-8"?>
<sst xmlns="http://schemas.openxmlformats.org/spreadsheetml/2006/main" count="98" uniqueCount="79">
  <si>
    <t>Wyszczególnienie</t>
  </si>
  <si>
    <t>banku centralnego</t>
  </si>
  <si>
    <t>Poręczenia i gwarancje</t>
  </si>
  <si>
    <t>Liczba jednostek</t>
  </si>
  <si>
    <t>Wykonanie</t>
  </si>
  <si>
    <t>JST, których budżety zamknęły się nadwyżką</t>
  </si>
  <si>
    <t>JST, których budżety zamknęły się deficytem</t>
  </si>
  <si>
    <t>JST z budżetami zrównoważonymi</t>
  </si>
  <si>
    <t>A. Należności oraz wybrane aktywa finansowe</t>
  </si>
  <si>
    <t>kwota 
należności
ogółem
(kol. 3+15)</t>
  </si>
  <si>
    <t>ogółem 
(kol 4+9+10+11 +12+13+14)</t>
  </si>
  <si>
    <t>dłużnicy  krajowi</t>
  </si>
  <si>
    <t>sektor 
finansów 
publicznych 
ogółem 
(kol 5+6+7+8)</t>
  </si>
  <si>
    <t>banki</t>
  </si>
  <si>
    <t>pozostałe 
krajowe 
instytucje 
finansowe</t>
  </si>
  <si>
    <t>przedsiębiorstwa 
niefinansowe</t>
  </si>
  <si>
    <t>gospodarstwa 
domowe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</si>
  <si>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</si>
  <si>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</si>
  <si>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</si>
  <si>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</si>
  <si>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 xml:space="preserve">      dłużnicy zagraniczni</t>
  </si>
  <si>
    <t xml:space="preserve">grupa I </t>
  </si>
  <si>
    <t xml:space="preserve">grupa II </t>
  </si>
  <si>
    <t>grupa III</t>
  </si>
  <si>
    <t>grupa IV</t>
  </si>
  <si>
    <t>N. NALEŻNOŚCI ORAZ WYBRANE AKTYWA FINANSOWE  (N1+N2+N3+N4+N5)   z tego:</t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</si>
  <si>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</si>
  <si>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</si>
  <si>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</si>
  <si>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</si>
  <si>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</si>
  <si>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</si>
  <si>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</si>
  <si>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</si>
  <si>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</si>
  <si>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</si>
  <si>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N5.2 z tytułu podatków i składek na 
ubezpieczenia społ.</t>
  </si>
  <si>
    <t>N5.3 z tytułu innych niż wymienione powyżej</t>
  </si>
  <si>
    <t>N1 papiery wartościowe (N1.1+N1.2)</t>
  </si>
  <si>
    <t>N2  pożyczki (N2.1+N2.2)</t>
  </si>
  <si>
    <t>N3 gotówka i depozyty (N3.1+N3.2+N3.3)</t>
  </si>
  <si>
    <t>N4 należności wymagalne (N4.1+N4.2)</t>
  </si>
  <si>
    <t>N5 pozostałe należności  (N5.1+N5.2+N5.3)</t>
  </si>
  <si>
    <t>E  ZOBOWIĄZANIA WG TYTUŁÓW 
    DŁUŻNYCH (E1+E2+E3+E4)</t>
  </si>
  <si>
    <t>E1 papiery wartościowe 
     (E1.1+E1.2)</t>
  </si>
  <si>
    <t>E1.1 krótkotermionowe</t>
  </si>
  <si>
    <t>E1.2 długoterminowe</t>
  </si>
  <si>
    <t>E2 kredyty i pożyczki 
     (E2.1+E2.2)</t>
  </si>
  <si>
    <t>E2.1 krótkotermionowe</t>
  </si>
  <si>
    <t>E2.2 długoterminowe</t>
  </si>
  <si>
    <t>E3 przyjęte depozyty</t>
  </si>
  <si>
    <t>E4  wymagalne zobowiązania 
     (E4.1+E4.2)</t>
  </si>
  <si>
    <t>E4.1 z tytułu dostaw towarów i usług</t>
  </si>
  <si>
    <t>E4.2 pozostałe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</si>
  <si>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</si>
  <si>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</si>
  <si>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</si>
  <si>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</si>
  <si>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</si>
  <si>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</si>
  <si>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</si>
  <si>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Zobowiązania według tytułów dłużnych (wg wartości nominalnej)</t>
  </si>
  <si>
    <t>kwota 
zadłużenia
ogółem
(kol. 3+15)</t>
  </si>
  <si>
    <t>ogółem 
(kol. 4+9+10+11 +12+13+14)</t>
  </si>
  <si>
    <t>bank 
centralny</t>
  </si>
  <si>
    <t xml:space="preserve">      wierzyciele zagraniczni</t>
  </si>
  <si>
    <t>wierzyciele krajowi</t>
  </si>
  <si>
    <t>grupa I</t>
  </si>
  <si>
    <t>grupa II</t>
  </si>
  <si>
    <t>kwota 
zadłużenia
ogółem
(kol. 3+8)</t>
  </si>
  <si>
    <t>podmioty 
sektora finansów 
publicznych 
(kol.4+5+6+7)</t>
  </si>
  <si>
    <t xml:space="preserve">grupa III </t>
  </si>
  <si>
    <t xml:space="preserve">grupa IV </t>
  </si>
  <si>
    <t>pozostałe
podmioty</t>
  </si>
  <si>
    <t>sektora finansów publicznych (kol.5+6+7+8)</t>
  </si>
  <si>
    <t>wierzyciele i dłużnicy</t>
  </si>
  <si>
    <t>w złotych</t>
  </si>
  <si>
    <t xml:space="preserve">Informacja z wykonania budżetów gmin za I Kwartał 2020 roku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</si>
</sst>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0.000"/>
    <numFmt numFmtId="169" formatCode="dd/mm/yy\ h:mm;@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9"/>
      <name val="Arial CE"/>
      <family val="0"/>
    </font>
    <font>
      <sz val="9"/>
      <name val="Arial CE"/>
      <family val="0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6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40" borderId="1" applyNumberFormat="0" applyAlignment="0" applyProtection="0"/>
    <xf numFmtId="0" fontId="13" fillId="41" borderId="2" applyNumberFormat="0" applyAlignment="0" applyProtection="0"/>
    <xf numFmtId="0" fontId="35" fillId="42" borderId="3" applyNumberFormat="0" applyAlignment="0" applyProtection="0"/>
    <xf numFmtId="0" fontId="36" fillId="43" borderId="4" applyNumberFormat="0" applyAlignment="0" applyProtection="0"/>
    <xf numFmtId="0" fontId="37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5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6" borderId="1" applyNumberFormat="0" applyAlignment="0" applyProtection="0"/>
    <xf numFmtId="0" fontId="38" fillId="0" borderId="8" applyNumberFormat="0" applyFill="0" applyAlignment="0" applyProtection="0"/>
    <xf numFmtId="0" fontId="39" fillId="46" borderId="9" applyNumberFormat="0" applyAlignment="0" applyProtection="0"/>
    <xf numFmtId="0" fontId="20" fillId="0" borderId="10" applyNumberFormat="0" applyFill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43" fillId="47" borderId="0" applyNumberFormat="0" applyBorder="0" applyAlignment="0" applyProtection="0"/>
    <xf numFmtId="0" fontId="5" fillId="0" borderId="0">
      <alignment/>
      <protection/>
    </xf>
    <xf numFmtId="0" fontId="0" fillId="4" borderId="14" applyNumberFormat="0" applyFont="0" applyAlignment="0" applyProtection="0"/>
    <xf numFmtId="0" fontId="44" fillId="43" borderId="3" applyNumberFormat="0" applyAlignment="0" applyProtection="0"/>
    <xf numFmtId="0" fontId="2" fillId="0" borderId="0" applyNumberFormat="0" applyFill="0" applyBorder="0" applyAlignment="0" applyProtection="0"/>
    <xf numFmtId="0" fontId="22" fillId="40" borderId="15" applyNumberFormat="0" applyAlignment="0" applyProtection="0"/>
    <xf numFmtId="9" fontId="0" fillId="0" borderId="0" applyFont="0" applyFill="0" applyBorder="0" applyAlignment="0" applyProtection="0"/>
    <xf numFmtId="0" fontId="45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8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9" fillId="49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88" applyFont="1" applyAlignment="1">
      <alignment horizontal="center" vertical="center" wrapText="1"/>
      <protection/>
    </xf>
    <xf numFmtId="0" fontId="5" fillId="0" borderId="0" xfId="88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5" fillId="0" borderId="0" xfId="88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left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26" fillId="0" borderId="0" xfId="88" applyFont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0" fontId="5" fillId="2" borderId="19" xfId="88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28" fillId="0" borderId="19" xfId="88" applyFont="1" applyBorder="1" applyAlignment="1">
      <alignment horizontal="left" vertical="center" wrapText="1"/>
      <protection/>
    </xf>
    <xf numFmtId="4" fontId="7" fillId="0" borderId="19" xfId="88" applyNumberFormat="1" applyFont="1" applyBorder="1" applyAlignment="1">
      <alignment vertical="center" wrapText="1"/>
      <protection/>
    </xf>
    <xf numFmtId="4" fontId="7" fillId="40" borderId="19" xfId="88" applyNumberFormat="1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horizontal="left" indent="1"/>
    </xf>
    <xf numFmtId="4" fontId="7" fillId="0" borderId="0" xfId="88" applyNumberFormat="1" applyFont="1" applyBorder="1" applyAlignment="1">
      <alignment horizontal="right" vertical="center" wrapText="1"/>
      <protection/>
    </xf>
    <xf numFmtId="0" fontId="7" fillId="2" borderId="20" xfId="88" applyFont="1" applyFill="1" applyBorder="1" applyAlignment="1">
      <alignment horizontal="center" vertical="center" wrapText="1"/>
      <protection/>
    </xf>
    <xf numFmtId="0" fontId="27" fillId="0" borderId="21" xfId="0" applyFont="1" applyFill="1" applyBorder="1" applyAlignment="1">
      <alignment horizontal="left" vertical="center" wrapText="1" indent="1"/>
    </xf>
    <xf numFmtId="0" fontId="27" fillId="0" borderId="22" xfId="0" applyFont="1" applyFill="1" applyBorder="1" applyAlignment="1">
      <alignment horizontal="left" vertical="center" wrapText="1" indent="1"/>
    </xf>
    <xf numFmtId="0" fontId="27" fillId="0" borderId="21" xfId="0" applyFont="1" applyFill="1" applyBorder="1" applyAlignment="1">
      <alignment horizontal="left" vertical="center" indent="1"/>
    </xf>
    <xf numFmtId="0" fontId="31" fillId="0" borderId="21" xfId="0" applyFont="1" applyFill="1" applyBorder="1" applyAlignment="1">
      <alignment vertical="center" wrapText="1"/>
    </xf>
    <xf numFmtId="0" fontId="31" fillId="0" borderId="21" xfId="0" applyFont="1" applyFill="1" applyBorder="1" applyAlignment="1">
      <alignment vertical="center"/>
    </xf>
    <xf numFmtId="0" fontId="30" fillId="0" borderId="21" xfId="0" applyFont="1" applyFill="1" applyBorder="1" applyAlignment="1">
      <alignment vertical="center"/>
    </xf>
    <xf numFmtId="0" fontId="27" fillId="0" borderId="19" xfId="0" applyFont="1" applyFill="1" applyBorder="1" applyAlignment="1">
      <alignment horizontal="left" vertical="center" indent="1"/>
    </xf>
    <xf numFmtId="4" fontId="7" fillId="0" borderId="19" xfId="88" applyNumberFormat="1" applyFont="1" applyFill="1" applyBorder="1" applyAlignment="1">
      <alignment vertical="center" wrapText="1"/>
      <protection/>
    </xf>
    <xf numFmtId="0" fontId="29" fillId="50" borderId="19" xfId="88" applyFont="1" applyFill="1" applyBorder="1" applyAlignment="1">
      <alignment horizontal="left" vertical="center" wrapText="1"/>
      <protection/>
    </xf>
    <xf numFmtId="4" fontId="7" fillId="50" borderId="19" xfId="88" applyNumberFormat="1" applyFont="1" applyFill="1" applyBorder="1" applyAlignment="1">
      <alignment horizontal="right" vertical="center" wrapText="1"/>
      <protection/>
    </xf>
    <xf numFmtId="0" fontId="29" fillId="50" borderId="21" xfId="0" applyFont="1" applyFill="1" applyBorder="1" applyAlignment="1">
      <alignment wrapText="1"/>
    </xf>
    <xf numFmtId="0" fontId="29" fillId="50" borderId="22" xfId="0" applyFont="1" applyFill="1" applyBorder="1" applyAlignment="1">
      <alignment wrapText="1"/>
    </xf>
    <xf numFmtId="0" fontId="29" fillId="50" borderId="22" xfId="0" applyFont="1" applyFill="1" applyBorder="1" applyAlignment="1">
      <alignment vertical="center"/>
    </xf>
    <xf numFmtId="0" fontId="29" fillId="50" borderId="21" xfId="0" applyFont="1" applyFill="1" applyBorder="1" applyAlignment="1">
      <alignment horizontal="left" wrapText="1"/>
    </xf>
    <xf numFmtId="4" fontId="7" fillId="0" borderId="19" xfId="88" applyNumberFormat="1" applyFont="1" applyFill="1" applyBorder="1" applyAlignment="1">
      <alignment horizontal="right" vertical="center" wrapText="1"/>
      <protection/>
    </xf>
    <xf numFmtId="0" fontId="30" fillId="50" borderId="21" xfId="0" applyFont="1" applyFill="1" applyBorder="1" applyAlignment="1">
      <alignment vertical="center" wrapText="1"/>
    </xf>
    <xf numFmtId="4" fontId="7" fillId="50" borderId="19" xfId="88" applyNumberFormat="1" applyFont="1" applyFill="1" applyBorder="1" applyAlignment="1">
      <alignment vertical="center" wrapText="1"/>
      <protection/>
    </xf>
    <xf numFmtId="4" fontId="3" fillId="2" borderId="23" xfId="88" applyNumberFormat="1" applyFont="1" applyFill="1" applyBorder="1" applyAlignment="1">
      <alignment horizontal="center" vertical="center" wrapText="1"/>
      <protection/>
    </xf>
    <xf numFmtId="4" fontId="3" fillId="2" borderId="24" xfId="88" applyNumberFormat="1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8" fillId="2" borderId="26" xfId="88" applyFont="1" applyFill="1" applyBorder="1" applyAlignment="1">
      <alignment horizontal="center" vertical="center" wrapText="1"/>
      <protection/>
    </xf>
    <xf numFmtId="0" fontId="28" fillId="2" borderId="27" xfId="88" applyFont="1" applyFill="1" applyBorder="1" applyAlignment="1">
      <alignment horizontal="center" vertical="center" wrapText="1"/>
      <protection/>
    </xf>
    <xf numFmtId="0" fontId="28" fillId="2" borderId="20" xfId="88" applyFont="1" applyFill="1" applyBorder="1" applyAlignment="1">
      <alignment horizontal="center" vertical="center" wrapText="1"/>
      <protection/>
    </xf>
    <xf numFmtId="0" fontId="3" fillId="2" borderId="27" xfId="88" applyFont="1" applyFill="1" applyBorder="1" applyAlignment="1">
      <alignment horizontal="center" vertical="center" wrapText="1"/>
      <protection/>
    </xf>
    <xf numFmtId="0" fontId="3" fillId="2" borderId="20" xfId="88" applyFont="1" applyFill="1" applyBorder="1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3" fillId="2" borderId="24" xfId="88" applyFont="1" applyFill="1" applyBorder="1" applyAlignment="1">
      <alignment horizontal="center" vertical="center" wrapText="1"/>
      <protection/>
    </xf>
    <xf numFmtId="0" fontId="3" fillId="2" borderId="25" xfId="88" applyFont="1" applyFill="1" applyBorder="1" applyAlignment="1">
      <alignment horizontal="center" vertical="center" wrapText="1"/>
      <protection/>
    </xf>
    <xf numFmtId="0" fontId="32" fillId="0" borderId="0" xfId="88" applyFont="1" applyAlignment="1">
      <alignment horizontal="center" vertical="center" wrapText="1"/>
      <protection/>
    </xf>
    <xf numFmtId="0" fontId="28" fillId="2" borderId="23" xfId="88" applyFont="1" applyFill="1" applyBorder="1" applyAlignment="1">
      <alignment horizontal="center" vertical="center" wrapText="1"/>
      <protection/>
    </xf>
    <xf numFmtId="0" fontId="28" fillId="2" borderId="24" xfId="88" applyFont="1" applyFill="1" applyBorder="1" applyAlignment="1">
      <alignment horizontal="center" vertical="center" wrapText="1"/>
      <protection/>
    </xf>
    <xf numFmtId="0" fontId="28" fillId="2" borderId="25" xfId="88" applyFont="1" applyFill="1" applyBorder="1" applyAlignment="1">
      <alignment horizontal="center" vertical="center" wrapText="1"/>
      <protection/>
    </xf>
    <xf numFmtId="0" fontId="6" fillId="0" borderId="0" xfId="88" applyFont="1" applyAlignment="1">
      <alignment horizontal="left" vertical="center" wrapText="1"/>
      <protection/>
    </xf>
    <xf numFmtId="0" fontId="3" fillId="2" borderId="26" xfId="88" applyFont="1" applyFill="1" applyBorder="1" applyAlignment="1">
      <alignment horizontal="center" vertical="center" wrapText="1"/>
      <protection/>
    </xf>
    <xf numFmtId="0" fontId="8" fillId="2" borderId="26" xfId="88" applyFont="1" applyFill="1" applyBorder="1" applyAlignment="1">
      <alignment horizontal="center" vertical="center" wrapText="1"/>
      <protection/>
    </xf>
    <xf numFmtId="0" fontId="8" fillId="2" borderId="27" xfId="88" applyFont="1" applyFill="1" applyBorder="1" applyAlignment="1">
      <alignment horizontal="center" vertical="center" wrapText="1"/>
      <protection/>
    </xf>
    <xf numFmtId="0" fontId="8" fillId="2" borderId="20" xfId="88" applyFont="1" applyFill="1" applyBorder="1" applyAlignment="1">
      <alignment horizontal="center" vertical="center" wrapText="1"/>
      <protection/>
    </xf>
    <xf numFmtId="0" fontId="3" fillId="2" borderId="28" xfId="88" applyFont="1" applyFill="1" applyBorder="1" applyAlignment="1">
      <alignment horizontal="center" vertical="center" wrapText="1"/>
      <protection/>
    </xf>
    <xf numFmtId="0" fontId="3" fillId="2" borderId="29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3" fillId="2" borderId="24" xfId="88" applyFont="1" applyFill="1" applyBorder="1" applyAlignment="1">
      <alignment horizontal="center" vertical="center" wrapText="1"/>
      <protection/>
    </xf>
    <xf numFmtId="0" fontId="3" fillId="2" borderId="25" xfId="88" applyFont="1" applyFill="1" applyBorder="1" applyAlignment="1">
      <alignment horizontal="center" vertical="center" wrapText="1"/>
      <protection/>
    </xf>
    <xf numFmtId="0" fontId="26" fillId="0" borderId="0" xfId="88" applyFont="1" applyFill="1" applyBorder="1" applyAlignment="1">
      <alignment horizontal="center" vertical="center" wrapText="1"/>
      <protection/>
    </xf>
    <xf numFmtId="3" fontId="7" fillId="0" borderId="23" xfId="88" applyNumberFormat="1" applyFont="1" applyBorder="1" applyAlignment="1">
      <alignment horizontal="right" vertical="center" wrapText="1"/>
      <protection/>
    </xf>
    <xf numFmtId="3" fontId="7" fillId="0" borderId="25" xfId="88" applyNumberFormat="1" applyFont="1" applyBorder="1" applyAlignment="1">
      <alignment horizontal="right" vertical="center" wrapText="1"/>
      <protection/>
    </xf>
    <xf numFmtId="4" fontId="7" fillId="0" borderId="23" xfId="88" applyNumberFormat="1" applyFont="1" applyBorder="1" applyAlignment="1">
      <alignment horizontal="right" vertical="center" wrapText="1"/>
      <protection/>
    </xf>
    <xf numFmtId="4" fontId="7" fillId="0" borderId="25" xfId="88" applyNumberFormat="1" applyFont="1" applyBorder="1" applyAlignment="1">
      <alignment horizontal="right" vertical="center" wrapText="1"/>
      <protection/>
    </xf>
    <xf numFmtId="0" fontId="3" fillId="0" borderId="23" xfId="88" applyFont="1" applyBorder="1" applyAlignment="1">
      <alignment horizontal="left" vertical="center" wrapText="1"/>
      <protection/>
    </xf>
    <xf numFmtId="0" fontId="3" fillId="0" borderId="24" xfId="88" applyFont="1" applyBorder="1" applyAlignment="1">
      <alignment horizontal="left" vertical="center" wrapText="1"/>
      <protection/>
    </xf>
    <xf numFmtId="0" fontId="3" fillId="0" borderId="25" xfId="88" applyFont="1" applyBorder="1" applyAlignment="1">
      <alignment horizontal="left" vertical="center" wrapText="1"/>
      <protection/>
    </xf>
    <xf numFmtId="0" fontId="3" fillId="0" borderId="23" xfId="88" applyFont="1" applyFill="1" applyBorder="1" applyAlignment="1">
      <alignment horizontal="left" vertical="center" wrapText="1"/>
      <protection/>
    </xf>
    <xf numFmtId="0" fontId="3" fillId="0" borderId="24" xfId="88" applyFont="1" applyFill="1" applyBorder="1" applyAlignment="1">
      <alignment horizontal="left" vertical="center" wrapText="1"/>
      <protection/>
    </xf>
    <xf numFmtId="0" fontId="3" fillId="0" borderId="25" xfId="88" applyFont="1" applyFill="1" applyBorder="1" applyAlignment="1">
      <alignment horizontal="left" vertical="center" wrapText="1"/>
      <protection/>
    </xf>
    <xf numFmtId="3" fontId="7" fillId="0" borderId="23" xfId="88" applyNumberFormat="1" applyFont="1" applyFill="1" applyBorder="1" applyAlignment="1">
      <alignment horizontal="right" vertical="center" wrapText="1"/>
      <protection/>
    </xf>
    <xf numFmtId="3" fontId="7" fillId="0" borderId="25" xfId="88" applyNumberFormat="1" applyFont="1" applyFill="1" applyBorder="1" applyAlignment="1">
      <alignment horizontal="right" vertical="center" wrapText="1"/>
      <protection/>
    </xf>
    <xf numFmtId="4" fontId="7" fillId="0" borderId="23" xfId="88" applyNumberFormat="1" applyFont="1" applyFill="1" applyBorder="1" applyAlignment="1">
      <alignment horizontal="right" vertical="center" wrapText="1"/>
      <protection/>
    </xf>
    <xf numFmtId="4" fontId="7" fillId="0" borderId="25" xfId="88" applyNumberFormat="1" applyFont="1" applyFill="1" applyBorder="1" applyAlignment="1">
      <alignment horizontal="right" vertical="center" wrapText="1"/>
      <protection/>
    </xf>
    <xf numFmtId="0" fontId="8" fillId="2" borderId="30" xfId="88" applyFont="1" applyFill="1" applyBorder="1" applyAlignment="1">
      <alignment horizontal="center" vertical="center" wrapText="1"/>
      <protection/>
    </xf>
    <xf numFmtId="0" fontId="8" fillId="2" borderId="31" xfId="88" applyFont="1" applyFill="1" applyBorder="1" applyAlignment="1">
      <alignment horizontal="center" vertical="center" wrapText="1"/>
      <protection/>
    </xf>
    <xf numFmtId="0" fontId="8" fillId="2" borderId="32" xfId="88" applyFont="1" applyFill="1" applyBorder="1" applyAlignment="1">
      <alignment horizontal="center" vertical="center" wrapText="1"/>
      <protection/>
    </xf>
    <xf numFmtId="0" fontId="8" fillId="2" borderId="28" xfId="88" applyFont="1" applyFill="1" applyBorder="1" applyAlignment="1">
      <alignment horizontal="center" vertical="center" wrapText="1"/>
      <protection/>
    </xf>
    <xf numFmtId="0" fontId="8" fillId="2" borderId="0" xfId="88" applyFont="1" applyFill="1" applyBorder="1" applyAlignment="1">
      <alignment horizontal="center" vertical="center" wrapText="1"/>
      <protection/>
    </xf>
    <xf numFmtId="0" fontId="8" fillId="2" borderId="33" xfId="88" applyFont="1" applyFill="1" applyBorder="1" applyAlignment="1">
      <alignment horizontal="center" vertical="center" wrapText="1"/>
      <protection/>
    </xf>
    <xf numFmtId="0" fontId="8" fillId="2" borderId="29" xfId="88" applyFont="1" applyFill="1" applyBorder="1" applyAlignment="1">
      <alignment horizontal="center" vertical="center" wrapText="1"/>
      <protection/>
    </xf>
    <xf numFmtId="0" fontId="8" fillId="2" borderId="34" xfId="88" applyFont="1" applyFill="1" applyBorder="1" applyAlignment="1">
      <alignment horizontal="center" vertical="center" wrapText="1"/>
      <protection/>
    </xf>
    <xf numFmtId="0" fontId="8" fillId="2" borderId="35" xfId="88" applyFont="1" applyFill="1" applyBorder="1" applyAlignment="1">
      <alignment horizontal="center" vertical="center" wrapText="1"/>
      <protection/>
    </xf>
    <xf numFmtId="0" fontId="3" fillId="2" borderId="19" xfId="88" applyNumberFormat="1" applyFont="1" applyFill="1" applyBorder="1" applyAlignment="1">
      <alignment horizontal="center" vertical="center" wrapText="1"/>
      <protection/>
    </xf>
    <xf numFmtId="0" fontId="3" fillId="2" borderId="30" xfId="88" applyFont="1" applyFill="1" applyBorder="1" applyAlignment="1">
      <alignment horizontal="center" vertical="center" wrapText="1"/>
      <protection/>
    </xf>
    <xf numFmtId="0" fontId="3" fillId="2" borderId="28" xfId="88" applyFont="1" applyFill="1" applyBorder="1" applyAlignment="1">
      <alignment horizontal="center" vertical="center" wrapText="1"/>
      <protection/>
    </xf>
    <xf numFmtId="0" fontId="3" fillId="2" borderId="29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5" fillId="2" borderId="19" xfId="88" applyNumberFormat="1" applyFont="1" applyFill="1" applyBorder="1" applyAlignment="1">
      <alignment horizontal="center" vertical="center" wrapText="1"/>
      <protection/>
    </xf>
    <xf numFmtId="0" fontId="7" fillId="2" borderId="23" xfId="88" applyFont="1" applyFill="1" applyBorder="1" applyAlignment="1">
      <alignment horizontal="center" vertical="center" wrapText="1"/>
      <protection/>
    </xf>
    <xf numFmtId="0" fontId="7" fillId="2" borderId="24" xfId="88" applyFont="1" applyFill="1" applyBorder="1" applyAlignment="1">
      <alignment horizontal="center" vertical="center" wrapText="1"/>
      <protection/>
    </xf>
    <xf numFmtId="0" fontId="7" fillId="2" borderId="25" xfId="88" applyFont="1" applyFill="1" applyBorder="1" applyAlignment="1">
      <alignment horizontal="center" vertical="center" wrapText="1"/>
      <protection/>
    </xf>
    <xf numFmtId="0" fontId="7" fillId="2" borderId="26" xfId="88" applyFont="1" applyFill="1" applyBorder="1" applyAlignment="1">
      <alignment horizontal="center" vertical="center" wrapText="1"/>
      <protection/>
    </xf>
    <xf numFmtId="0" fontId="7" fillId="2" borderId="27" xfId="88" applyFont="1" applyFill="1" applyBorder="1" applyAlignment="1">
      <alignment horizontal="center" vertical="center" wrapText="1"/>
      <protection/>
    </xf>
    <xf numFmtId="0" fontId="7" fillId="2" borderId="20" xfId="88" applyFont="1" applyFill="1" applyBorder="1" applyAlignment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_Zeszyt1" xfId="88"/>
    <cellStyle name="Note" xfId="89"/>
    <cellStyle name="Obliczenia" xfId="90"/>
    <cellStyle name="Followed Hyperlink" xfId="91"/>
    <cellStyle name="Output" xfId="92"/>
    <cellStyle name="Percen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Currency" xfId="101"/>
    <cellStyle name="Currency [0]" xfId="102"/>
    <cellStyle name="Warning Text" xfId="103"/>
    <cellStyle name="Zły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102"/>
  <sheetViews>
    <sheetView tabSelected="1" zoomScaleSheetLayoutView="50" workbookViewId="0" topLeftCell="A1">
      <selection activeCell="A13" sqref="A13"/>
    </sheetView>
  </sheetViews>
  <sheetFormatPr defaultColWidth="9.00390625" defaultRowHeight="13.5" customHeight="1"/>
  <cols>
    <col min="1" max="1" width="22.625" style="2" customWidth="1"/>
    <col min="2" max="3" width="14.75390625" style="2" customWidth="1"/>
    <col min="4" max="4" width="13.25390625" style="2" customWidth="1"/>
    <col min="5" max="5" width="12.25390625" style="2" customWidth="1"/>
    <col min="6" max="6" width="11.875" style="2" customWidth="1"/>
    <col min="7" max="7" width="11.00390625" style="2" customWidth="1"/>
    <col min="8" max="8" width="11.125" style="2" customWidth="1"/>
    <col min="9" max="9" width="12.25390625" style="2" customWidth="1"/>
    <col min="10" max="10" width="13.625" style="2" customWidth="1"/>
    <col min="11" max="11" width="12.125" style="2" customWidth="1"/>
    <col min="12" max="12" width="13.25390625" style="2" customWidth="1"/>
    <col min="13" max="13" width="11.125" style="2" bestFit="1" customWidth="1"/>
    <col min="14" max="14" width="11.25390625" style="2" bestFit="1" customWidth="1"/>
    <col min="15" max="15" width="9.25390625" style="2" bestFit="1" customWidth="1"/>
    <col min="16" max="16" width="7.625" style="2" bestFit="1" customWidth="1"/>
    <col min="17" max="17" width="9.875" style="2" bestFit="1" customWidth="1"/>
    <col min="18" max="16384" width="9.125" style="2" customWidth="1"/>
  </cols>
  <sheetData>
    <row r="1" spans="1:13" ht="75" customHeight="1">
      <c r="A1" s="50" t="s">
        <v>78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 customHeight="1">
      <c r="A3" s="54" t="s">
        <v>62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5" spans="2:17" ht="13.5" customHeight="1">
      <c r="B5" s="9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8"/>
      <c r="O5" s="8"/>
      <c r="P5" s="8"/>
      <c r="Q5" s="8"/>
    </row>
    <row r="6" spans="1:17" ht="13.5" customHeight="1">
      <c r="A6" s="56" t="s">
        <v>0</v>
      </c>
      <c r="B6" s="55" t="s">
        <v>63</v>
      </c>
      <c r="C6" s="47" t="s">
        <v>67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9"/>
      <c r="O6" s="94" t="s">
        <v>66</v>
      </c>
      <c r="P6" s="95"/>
      <c r="Q6" s="96"/>
    </row>
    <row r="7" spans="1:17" ht="13.5" customHeight="1">
      <c r="A7" s="57"/>
      <c r="B7" s="42"/>
      <c r="C7" s="43" t="s">
        <v>64</v>
      </c>
      <c r="D7" s="43" t="s">
        <v>75</v>
      </c>
      <c r="E7" s="43" t="s">
        <v>68</v>
      </c>
      <c r="F7" s="43" t="s">
        <v>69</v>
      </c>
      <c r="G7" s="43" t="s">
        <v>24</v>
      </c>
      <c r="H7" s="43" t="s">
        <v>25</v>
      </c>
      <c r="I7" s="59" t="s">
        <v>65</v>
      </c>
      <c r="J7" s="43" t="s">
        <v>13</v>
      </c>
      <c r="K7" s="43" t="s">
        <v>14</v>
      </c>
      <c r="L7" s="43" t="s">
        <v>15</v>
      </c>
      <c r="M7" s="43" t="s">
        <v>16</v>
      </c>
      <c r="N7" s="42" t="s">
        <v>17</v>
      </c>
      <c r="O7" s="46" t="s">
        <v>18</v>
      </c>
      <c r="P7" s="46" t="s">
        <v>19</v>
      </c>
      <c r="Q7" s="46" t="s">
        <v>20</v>
      </c>
    </row>
    <row r="8" spans="1:17" ht="13.5" customHeight="1">
      <c r="A8" s="57"/>
      <c r="B8" s="42"/>
      <c r="C8" s="44"/>
      <c r="D8" s="44"/>
      <c r="E8" s="44"/>
      <c r="F8" s="44"/>
      <c r="G8" s="44"/>
      <c r="H8" s="44"/>
      <c r="I8" s="59"/>
      <c r="J8" s="44"/>
      <c r="K8" s="44"/>
      <c r="L8" s="44"/>
      <c r="M8" s="44"/>
      <c r="N8" s="42"/>
      <c r="O8" s="46"/>
      <c r="P8" s="46"/>
      <c r="Q8" s="46"/>
    </row>
    <row r="9" spans="1:17" ht="11.25" customHeight="1">
      <c r="A9" s="57"/>
      <c r="B9" s="42"/>
      <c r="C9" s="44"/>
      <c r="D9" s="44"/>
      <c r="E9" s="44"/>
      <c r="F9" s="44"/>
      <c r="G9" s="44"/>
      <c r="H9" s="44"/>
      <c r="I9" s="59"/>
      <c r="J9" s="44"/>
      <c r="K9" s="44"/>
      <c r="L9" s="44"/>
      <c r="M9" s="44"/>
      <c r="N9" s="42"/>
      <c r="O9" s="46"/>
      <c r="P9" s="46"/>
      <c r="Q9" s="46"/>
    </row>
    <row r="10" spans="1:17" ht="16.5" customHeight="1">
      <c r="A10" s="58"/>
      <c r="B10" s="43"/>
      <c r="C10" s="44"/>
      <c r="D10" s="44"/>
      <c r="E10" s="44"/>
      <c r="F10" s="44"/>
      <c r="G10" s="44"/>
      <c r="H10" s="44"/>
      <c r="I10" s="60"/>
      <c r="J10" s="44"/>
      <c r="K10" s="44"/>
      <c r="L10" s="44"/>
      <c r="M10" s="44"/>
      <c r="N10" s="43"/>
      <c r="O10" s="46"/>
      <c r="P10" s="46"/>
      <c r="Q10" s="46"/>
    </row>
    <row r="11" spans="1:17" ht="16.5" customHeigh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  <c r="M11" s="11">
        <v>13</v>
      </c>
      <c r="N11" s="11">
        <v>14</v>
      </c>
      <c r="O11" s="11">
        <v>15</v>
      </c>
      <c r="P11" s="11">
        <v>16</v>
      </c>
      <c r="Q11" s="11">
        <v>17</v>
      </c>
    </row>
    <row r="12" spans="1:17" ht="13.5" customHeight="1">
      <c r="A12" s="11"/>
      <c r="B12" s="35" t="s">
        <v>77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37"/>
      <c r="Q12" s="38"/>
    </row>
    <row r="13" spans="1:17" ht="48">
      <c r="A13" s="26" t="s">
        <v>44</v>
      </c>
      <c r="B13" s="27">
        <f>31736853503.66</f>
        <v>31736853503.66</v>
      </c>
      <c r="C13" s="27">
        <f>31736852078.9</f>
        <v>31736852078.9</v>
      </c>
      <c r="D13" s="27">
        <f>2635240624.3</f>
        <v>2635240624.3</v>
      </c>
      <c r="E13" s="27">
        <f>244194817.97</f>
        <v>244194817.97</v>
      </c>
      <c r="F13" s="27">
        <f>268431842.57</f>
        <v>268431842.57</v>
      </c>
      <c r="G13" s="27">
        <f>2119588642.9</f>
        <v>2119588642.9</v>
      </c>
      <c r="H13" s="27">
        <f>3025320.86</f>
        <v>3025320.86</v>
      </c>
      <c r="I13" s="27">
        <f>0</f>
        <v>0</v>
      </c>
      <c r="J13" s="27">
        <f>28286404564.27</f>
        <v>28286404564.27</v>
      </c>
      <c r="K13" s="27">
        <f>584037078.19</f>
        <v>584037078.19</v>
      </c>
      <c r="L13" s="27">
        <f>192119476.35</f>
        <v>192119476.35</v>
      </c>
      <c r="M13" s="27">
        <f>25776782.27</f>
        <v>25776782.27</v>
      </c>
      <c r="N13" s="27">
        <f>13273553.52</f>
        <v>13273553.52</v>
      </c>
      <c r="O13" s="27">
        <f>1424.76</f>
        <v>1424.76</v>
      </c>
      <c r="P13" s="27">
        <f>0</f>
        <v>0</v>
      </c>
      <c r="Q13" s="27">
        <f>1424.76</f>
        <v>1424.76</v>
      </c>
    </row>
    <row r="14" spans="1:17" ht="26.25" customHeight="1">
      <c r="A14" s="28" t="s">
        <v>45</v>
      </c>
      <c r="B14" s="27">
        <f>478939263.3</f>
        <v>478939263.3</v>
      </c>
      <c r="C14" s="27">
        <f>478939263.3</f>
        <v>478939263.3</v>
      </c>
      <c r="D14" s="27">
        <f>6553601.56</f>
        <v>6553601.56</v>
      </c>
      <c r="E14" s="27">
        <f>0</f>
        <v>0</v>
      </c>
      <c r="F14" s="27">
        <f>4220161</f>
        <v>4220161</v>
      </c>
      <c r="G14" s="27">
        <f>2333440.56</f>
        <v>2333440.56</v>
      </c>
      <c r="H14" s="27">
        <f>0</f>
        <v>0</v>
      </c>
      <c r="I14" s="27">
        <f>0</f>
        <v>0</v>
      </c>
      <c r="J14" s="27">
        <f>412798609.46</f>
        <v>412798609.46</v>
      </c>
      <c r="K14" s="27">
        <f>58264000</f>
        <v>58264000</v>
      </c>
      <c r="L14" s="27">
        <f>1323052.28</f>
        <v>1323052.28</v>
      </c>
      <c r="M14" s="27">
        <f>0</f>
        <v>0</v>
      </c>
      <c r="N14" s="27">
        <f>0</f>
        <v>0</v>
      </c>
      <c r="O14" s="27">
        <f>0</f>
        <v>0</v>
      </c>
      <c r="P14" s="27">
        <f>0</f>
        <v>0</v>
      </c>
      <c r="Q14" s="27">
        <f>0</f>
        <v>0</v>
      </c>
    </row>
    <row r="15" spans="1:17" ht="27" customHeight="1">
      <c r="A15" s="18" t="s">
        <v>46</v>
      </c>
      <c r="B15" s="32">
        <f>0</f>
        <v>0</v>
      </c>
      <c r="C15" s="32">
        <f>0</f>
        <v>0</v>
      </c>
      <c r="D15" s="32">
        <f>0</f>
        <v>0</v>
      </c>
      <c r="E15" s="32">
        <f>0</f>
        <v>0</v>
      </c>
      <c r="F15" s="32">
        <f>0</f>
        <v>0</v>
      </c>
      <c r="G15" s="32">
        <f>0</f>
        <v>0</v>
      </c>
      <c r="H15" s="32">
        <f>0</f>
        <v>0</v>
      </c>
      <c r="I15" s="32">
        <f>0</f>
        <v>0</v>
      </c>
      <c r="J15" s="32">
        <f>0</f>
        <v>0</v>
      </c>
      <c r="K15" s="32">
        <f>0</f>
        <v>0</v>
      </c>
      <c r="L15" s="32">
        <f>0</f>
        <v>0</v>
      </c>
      <c r="M15" s="32">
        <f>0</f>
        <v>0</v>
      </c>
      <c r="N15" s="32">
        <f>0</f>
        <v>0</v>
      </c>
      <c r="O15" s="32">
        <f>0</f>
        <v>0</v>
      </c>
      <c r="P15" s="32">
        <f>0</f>
        <v>0</v>
      </c>
      <c r="Q15" s="32">
        <f>0</f>
        <v>0</v>
      </c>
    </row>
    <row r="16" spans="1:17" ht="24" customHeight="1">
      <c r="A16" s="18" t="s">
        <v>47</v>
      </c>
      <c r="B16" s="32">
        <f>478939263.3</f>
        <v>478939263.3</v>
      </c>
      <c r="C16" s="32">
        <f>478939263.3</f>
        <v>478939263.3</v>
      </c>
      <c r="D16" s="32">
        <f>6553601.56</f>
        <v>6553601.56</v>
      </c>
      <c r="E16" s="32">
        <f>0</f>
        <v>0</v>
      </c>
      <c r="F16" s="32">
        <f>4220161</f>
        <v>4220161</v>
      </c>
      <c r="G16" s="32">
        <f>2333440.56</f>
        <v>2333440.56</v>
      </c>
      <c r="H16" s="32">
        <f>0</f>
        <v>0</v>
      </c>
      <c r="I16" s="32">
        <f>0</f>
        <v>0</v>
      </c>
      <c r="J16" s="32">
        <f>412798609.46</f>
        <v>412798609.46</v>
      </c>
      <c r="K16" s="32">
        <f>58264000</f>
        <v>58264000</v>
      </c>
      <c r="L16" s="32">
        <f>1323052.28</f>
        <v>1323052.28</v>
      </c>
      <c r="M16" s="32">
        <f>0</f>
        <v>0</v>
      </c>
      <c r="N16" s="32">
        <f>0</f>
        <v>0</v>
      </c>
      <c r="O16" s="32">
        <f>0</f>
        <v>0</v>
      </c>
      <c r="P16" s="32">
        <f>0</f>
        <v>0</v>
      </c>
      <c r="Q16" s="32">
        <f>0</f>
        <v>0</v>
      </c>
    </row>
    <row r="17" spans="1:17" ht="31.5" customHeight="1">
      <c r="A17" s="29" t="s">
        <v>48</v>
      </c>
      <c r="B17" s="27">
        <f>31208566266.49</f>
        <v>31208566266.49</v>
      </c>
      <c r="C17" s="27">
        <f>31208566266.49</f>
        <v>31208566266.49</v>
      </c>
      <c r="D17" s="27">
        <f>2615226330.54</f>
        <v>2615226330.54</v>
      </c>
      <c r="E17" s="27">
        <f>238206982.09</f>
        <v>238206982.09</v>
      </c>
      <c r="F17" s="27">
        <f>264195446.95</f>
        <v>264195446.95</v>
      </c>
      <c r="G17" s="27">
        <f>2111197322.57</f>
        <v>2111197322.57</v>
      </c>
      <c r="H17" s="27">
        <f>1626578.93</f>
        <v>1626578.93</v>
      </c>
      <c r="I17" s="27">
        <f>0</f>
        <v>0</v>
      </c>
      <c r="J17" s="27">
        <f>27873603754.81</f>
        <v>27873603754.81</v>
      </c>
      <c r="K17" s="27">
        <f>525765515.64</f>
        <v>525765515.64</v>
      </c>
      <c r="L17" s="27">
        <f>171256348.46</f>
        <v>171256348.46</v>
      </c>
      <c r="M17" s="27">
        <f>13472088.29</f>
        <v>13472088.29</v>
      </c>
      <c r="N17" s="27">
        <f>9242228.75</f>
        <v>9242228.75</v>
      </c>
      <c r="O17" s="27">
        <f>0</f>
        <v>0</v>
      </c>
      <c r="P17" s="27">
        <f>0</f>
        <v>0</v>
      </c>
      <c r="Q17" s="27">
        <f>0</f>
        <v>0</v>
      </c>
    </row>
    <row r="18" spans="1:17" ht="33" customHeight="1">
      <c r="A18" s="19" t="s">
        <v>49</v>
      </c>
      <c r="B18" s="32">
        <f>278708523.57</f>
        <v>278708523.57</v>
      </c>
      <c r="C18" s="32">
        <f>278708523.57</f>
        <v>278708523.57</v>
      </c>
      <c r="D18" s="32">
        <f>40460549.51</f>
        <v>40460549.51</v>
      </c>
      <c r="E18" s="32">
        <f>18845461.75</f>
        <v>18845461.75</v>
      </c>
      <c r="F18" s="32">
        <f>3812037.58</f>
        <v>3812037.58</v>
      </c>
      <c r="G18" s="32">
        <f>17803050.18</f>
        <v>17803050.18</v>
      </c>
      <c r="H18" s="32">
        <f>0</f>
        <v>0</v>
      </c>
      <c r="I18" s="32">
        <f>0</f>
        <v>0</v>
      </c>
      <c r="J18" s="32">
        <f>234767181.76</f>
        <v>234767181.76</v>
      </c>
      <c r="K18" s="32">
        <f>205350.17</f>
        <v>205350.17</v>
      </c>
      <c r="L18" s="32">
        <f>813456.19</f>
        <v>813456.19</v>
      </c>
      <c r="M18" s="32">
        <f>2198512.41</f>
        <v>2198512.41</v>
      </c>
      <c r="N18" s="32">
        <f>263473.53</f>
        <v>263473.53</v>
      </c>
      <c r="O18" s="32">
        <f>0</f>
        <v>0</v>
      </c>
      <c r="P18" s="32">
        <f>0</f>
        <v>0</v>
      </c>
      <c r="Q18" s="32">
        <f>0</f>
        <v>0</v>
      </c>
    </row>
    <row r="19" spans="1:17" ht="25.5" customHeight="1">
      <c r="A19" s="20" t="s">
        <v>50</v>
      </c>
      <c r="B19" s="32">
        <f>30929857742.92</f>
        <v>30929857742.92</v>
      </c>
      <c r="C19" s="32">
        <f>30929857742.92</f>
        <v>30929857742.92</v>
      </c>
      <c r="D19" s="32">
        <f>2574765781.03</f>
        <v>2574765781.03</v>
      </c>
      <c r="E19" s="32">
        <f>219361520.34</f>
        <v>219361520.34</v>
      </c>
      <c r="F19" s="32">
        <f>260383409.37</f>
        <v>260383409.37</v>
      </c>
      <c r="G19" s="32">
        <f>2093394272.39</f>
        <v>2093394272.39</v>
      </c>
      <c r="H19" s="32">
        <f>1626578.93</f>
        <v>1626578.93</v>
      </c>
      <c r="I19" s="32">
        <f>0</f>
        <v>0</v>
      </c>
      <c r="J19" s="32">
        <f>27638836573.05</f>
        <v>27638836573.05</v>
      </c>
      <c r="K19" s="32">
        <f>525560165.47</f>
        <v>525560165.47</v>
      </c>
      <c r="L19" s="32">
        <f>170442892.27</f>
        <v>170442892.27</v>
      </c>
      <c r="M19" s="32">
        <f>11273575.88</f>
        <v>11273575.88</v>
      </c>
      <c r="N19" s="32">
        <f>8978755.22</f>
        <v>8978755.22</v>
      </c>
      <c r="O19" s="32">
        <f>0</f>
        <v>0</v>
      </c>
      <c r="P19" s="32">
        <f>0</f>
        <v>0</v>
      </c>
      <c r="Q19" s="32">
        <f>0</f>
        <v>0</v>
      </c>
    </row>
    <row r="20" spans="1:17" ht="27.75" customHeight="1">
      <c r="A20" s="30" t="s">
        <v>51</v>
      </c>
      <c r="B20" s="27">
        <f>0</f>
        <v>0</v>
      </c>
      <c r="C20" s="27">
        <f>0</f>
        <v>0</v>
      </c>
      <c r="D20" s="27">
        <f>0</f>
        <v>0</v>
      </c>
      <c r="E20" s="27">
        <f>0</f>
        <v>0</v>
      </c>
      <c r="F20" s="27">
        <f>0</f>
        <v>0</v>
      </c>
      <c r="G20" s="27">
        <f>0</f>
        <v>0</v>
      </c>
      <c r="H20" s="27">
        <f>0</f>
        <v>0</v>
      </c>
      <c r="I20" s="27">
        <f>0</f>
        <v>0</v>
      </c>
      <c r="J20" s="27">
        <f>0</f>
        <v>0</v>
      </c>
      <c r="K20" s="27">
        <f>0</f>
        <v>0</v>
      </c>
      <c r="L20" s="27">
        <f>0</f>
        <v>0</v>
      </c>
      <c r="M20" s="27">
        <f>0</f>
        <v>0</v>
      </c>
      <c r="N20" s="27">
        <f>0</f>
        <v>0</v>
      </c>
      <c r="O20" s="27">
        <f>0</f>
        <v>0</v>
      </c>
      <c r="P20" s="27">
        <f>0</f>
        <v>0</v>
      </c>
      <c r="Q20" s="27">
        <f>0</f>
        <v>0</v>
      </c>
    </row>
    <row r="21" spans="1:17" ht="36">
      <c r="A21" s="31" t="s">
        <v>52</v>
      </c>
      <c r="B21" s="27">
        <f>49347973.87</f>
        <v>49347973.87</v>
      </c>
      <c r="C21" s="27">
        <f>49346549.11</f>
        <v>49346549.11</v>
      </c>
      <c r="D21" s="27">
        <f>13460692.2</f>
        <v>13460692.2</v>
      </c>
      <c r="E21" s="27">
        <f>5987835.88</f>
        <v>5987835.88</v>
      </c>
      <c r="F21" s="27">
        <f>16234.62</f>
        <v>16234.62</v>
      </c>
      <c r="G21" s="27">
        <f>6057879.77</f>
        <v>6057879.77</v>
      </c>
      <c r="H21" s="27">
        <f>1398741.93</f>
        <v>1398741.93</v>
      </c>
      <c r="I21" s="27">
        <f>0</f>
        <v>0</v>
      </c>
      <c r="J21" s="27">
        <f>2200</f>
        <v>2200</v>
      </c>
      <c r="K21" s="27">
        <f>7562.55</f>
        <v>7562.55</v>
      </c>
      <c r="L21" s="27">
        <f>19540075.61</f>
        <v>19540075.61</v>
      </c>
      <c r="M21" s="27">
        <f>12304693.98</f>
        <v>12304693.98</v>
      </c>
      <c r="N21" s="27">
        <f>4031324.77</f>
        <v>4031324.77</v>
      </c>
      <c r="O21" s="27">
        <f>1424.76</f>
        <v>1424.76</v>
      </c>
      <c r="P21" s="27">
        <f>0</f>
        <v>0</v>
      </c>
      <c r="Q21" s="27">
        <f>1424.76</f>
        <v>1424.76</v>
      </c>
    </row>
    <row r="22" spans="1:17" ht="27" customHeight="1">
      <c r="A22" s="18" t="s">
        <v>53</v>
      </c>
      <c r="B22" s="32">
        <f>29051985.7</f>
        <v>29051985.7</v>
      </c>
      <c r="C22" s="32">
        <f>29051985.7</f>
        <v>29051985.7</v>
      </c>
      <c r="D22" s="32">
        <f>1495240.12</f>
        <v>1495240.12</v>
      </c>
      <c r="E22" s="32">
        <f>222148.53</f>
        <v>222148.53</v>
      </c>
      <c r="F22" s="32">
        <f>880.99</f>
        <v>880.99</v>
      </c>
      <c r="G22" s="32">
        <f>1272210.6</f>
        <v>1272210.6</v>
      </c>
      <c r="H22" s="32">
        <f>0</f>
        <v>0</v>
      </c>
      <c r="I22" s="32">
        <f>0</f>
        <v>0</v>
      </c>
      <c r="J22" s="32">
        <f>0</f>
        <v>0</v>
      </c>
      <c r="K22" s="32">
        <f>7293.65</f>
        <v>7293.65</v>
      </c>
      <c r="L22" s="32">
        <f>16040897.17</f>
        <v>16040897.17</v>
      </c>
      <c r="M22" s="32">
        <f>7729841.51</f>
        <v>7729841.51</v>
      </c>
      <c r="N22" s="32">
        <f>3778713.25</f>
        <v>3778713.25</v>
      </c>
      <c r="O22" s="32">
        <f>0</f>
        <v>0</v>
      </c>
      <c r="P22" s="32">
        <f>0</f>
        <v>0</v>
      </c>
      <c r="Q22" s="32">
        <f>0</f>
        <v>0</v>
      </c>
    </row>
    <row r="23" spans="1:17" ht="31.5" customHeight="1">
      <c r="A23" s="24" t="s">
        <v>54</v>
      </c>
      <c r="B23" s="32">
        <f>20295988.17</f>
        <v>20295988.17</v>
      </c>
      <c r="C23" s="32">
        <f>20294563.41</f>
        <v>20294563.41</v>
      </c>
      <c r="D23" s="32">
        <f>11965452.08</f>
        <v>11965452.08</v>
      </c>
      <c r="E23" s="32">
        <f>5765687.35</f>
        <v>5765687.35</v>
      </c>
      <c r="F23" s="32">
        <f>15353.63</f>
        <v>15353.63</v>
      </c>
      <c r="G23" s="32">
        <f>4785669.17</f>
        <v>4785669.17</v>
      </c>
      <c r="H23" s="32">
        <f>1398741.93</f>
        <v>1398741.93</v>
      </c>
      <c r="I23" s="32">
        <f>0</f>
        <v>0</v>
      </c>
      <c r="J23" s="32">
        <f>2200</f>
        <v>2200</v>
      </c>
      <c r="K23" s="32">
        <f>268.9</f>
        <v>268.9</v>
      </c>
      <c r="L23" s="32">
        <f>3499178.44</f>
        <v>3499178.44</v>
      </c>
      <c r="M23" s="32">
        <f>4574852.47</f>
        <v>4574852.47</v>
      </c>
      <c r="N23" s="32">
        <f>252611.52</f>
        <v>252611.52</v>
      </c>
      <c r="O23" s="32">
        <f>1424.76</f>
        <v>1424.76</v>
      </c>
      <c r="P23" s="32">
        <f>0</f>
        <v>0</v>
      </c>
      <c r="Q23" s="32">
        <f>1424.76</f>
        <v>1424.76</v>
      </c>
    </row>
    <row r="24" spans="1:17" ht="19.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19.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19.5" customHeight="1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ht="19.5" customHeight="1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ht="19.5" customHeight="1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19.5" customHeight="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19.5" customHeight="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19.5" customHeight="1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7" ht="19.5" customHeigh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1:17" ht="19.5" customHeight="1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13" ht="45.75" customHeight="1">
      <c r="A34" s="50" t="s">
        <v>78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</row>
    <row r="36" spans="1:13" ht="13.5" customHeight="1">
      <c r="A36" s="54" t="s">
        <v>8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</row>
    <row r="38" spans="1:17" ht="13.5" customHeight="1">
      <c r="A38" s="39" t="s">
        <v>0</v>
      </c>
      <c r="B38" s="55" t="s">
        <v>9</v>
      </c>
      <c r="C38" s="47" t="s">
        <v>11</v>
      </c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9"/>
      <c r="O38" s="51" t="s">
        <v>21</v>
      </c>
      <c r="P38" s="52"/>
      <c r="Q38" s="53"/>
    </row>
    <row r="39" spans="1:17" ht="13.5" customHeight="1">
      <c r="A39" s="40"/>
      <c r="B39" s="42"/>
      <c r="C39" s="42" t="s">
        <v>10</v>
      </c>
      <c r="D39" s="44" t="s">
        <v>12</v>
      </c>
      <c r="E39" s="44" t="s">
        <v>22</v>
      </c>
      <c r="F39" s="44" t="s">
        <v>23</v>
      </c>
      <c r="G39" s="44" t="s">
        <v>72</v>
      </c>
      <c r="H39" s="44" t="s">
        <v>25</v>
      </c>
      <c r="I39" s="44" t="s">
        <v>1</v>
      </c>
      <c r="J39" s="44" t="s">
        <v>13</v>
      </c>
      <c r="K39" s="44" t="s">
        <v>14</v>
      </c>
      <c r="L39" s="44" t="s">
        <v>15</v>
      </c>
      <c r="M39" s="44" t="s">
        <v>16</v>
      </c>
      <c r="N39" s="88" t="s">
        <v>17</v>
      </c>
      <c r="O39" s="46" t="s">
        <v>18</v>
      </c>
      <c r="P39" s="46" t="s">
        <v>19</v>
      </c>
      <c r="Q39" s="97" t="s">
        <v>20</v>
      </c>
    </row>
    <row r="40" spans="1:17" ht="11.25" customHeight="1">
      <c r="A40" s="40"/>
      <c r="B40" s="42"/>
      <c r="C40" s="42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88"/>
      <c r="O40" s="46"/>
      <c r="P40" s="46"/>
      <c r="Q40" s="98"/>
    </row>
    <row r="41" spans="1:17" ht="32.25" customHeight="1">
      <c r="A41" s="41"/>
      <c r="B41" s="43"/>
      <c r="C41" s="43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88"/>
      <c r="O41" s="46"/>
      <c r="P41" s="46"/>
      <c r="Q41" s="99"/>
    </row>
    <row r="42" spans="1:17" ht="12.75" customHeight="1">
      <c r="A42" s="11">
        <v>1</v>
      </c>
      <c r="B42" s="11">
        <v>2</v>
      </c>
      <c r="C42" s="11">
        <v>3</v>
      </c>
      <c r="D42" s="11">
        <v>4</v>
      </c>
      <c r="E42" s="11">
        <v>5</v>
      </c>
      <c r="F42" s="11">
        <v>6</v>
      </c>
      <c r="G42" s="11">
        <v>7</v>
      </c>
      <c r="H42" s="11">
        <v>8</v>
      </c>
      <c r="I42" s="11">
        <v>9</v>
      </c>
      <c r="J42" s="11">
        <v>10</v>
      </c>
      <c r="K42" s="11">
        <v>11</v>
      </c>
      <c r="L42" s="11">
        <v>12</v>
      </c>
      <c r="M42" s="11">
        <v>13</v>
      </c>
      <c r="N42" s="11">
        <v>14</v>
      </c>
      <c r="O42" s="11"/>
      <c r="P42" s="11"/>
      <c r="Q42" s="17"/>
    </row>
    <row r="43" spans="1:17" ht="13.5" customHeight="1">
      <c r="A43" s="11"/>
      <c r="B43" s="47" t="s">
        <v>77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9"/>
      <c r="O43" s="11">
        <v>15</v>
      </c>
      <c r="P43" s="11">
        <v>16</v>
      </c>
      <c r="Q43" s="11">
        <v>17</v>
      </c>
    </row>
    <row r="44" spans="1:17" ht="27.75" customHeight="1" hidden="1">
      <c r="A44" s="12" t="s">
        <v>26</v>
      </c>
      <c r="B44" s="13">
        <f>0</f>
        <v>0</v>
      </c>
      <c r="C44" s="13">
        <f>0</f>
        <v>0</v>
      </c>
      <c r="D44" s="13">
        <f>0</f>
        <v>0</v>
      </c>
      <c r="E44" s="13">
        <f>0</f>
        <v>0</v>
      </c>
      <c r="F44" s="13">
        <f>0</f>
        <v>0</v>
      </c>
      <c r="G44" s="13">
        <f>0</f>
        <v>0</v>
      </c>
      <c r="H44" s="13">
        <f>0</f>
        <v>0</v>
      </c>
      <c r="I44" s="13">
        <f>0</f>
        <v>0</v>
      </c>
      <c r="J44" s="13">
        <f>0</f>
        <v>0</v>
      </c>
      <c r="K44" s="13">
        <f>0</f>
        <v>0</v>
      </c>
      <c r="L44" s="13">
        <f>0</f>
        <v>0</v>
      </c>
      <c r="M44" s="13">
        <f>0</f>
        <v>0</v>
      </c>
      <c r="N44" s="13">
        <f>0</f>
        <v>0</v>
      </c>
      <c r="O44" s="13">
        <f>0</f>
        <v>0</v>
      </c>
      <c r="P44" s="13">
        <f>0</f>
        <v>0</v>
      </c>
      <c r="Q44" s="13">
        <f>0</f>
        <v>0</v>
      </c>
    </row>
    <row r="45" spans="1:17" ht="24.75" customHeight="1">
      <c r="A45" s="33" t="s">
        <v>39</v>
      </c>
      <c r="B45" s="34">
        <f>6772693.04</f>
        <v>6772693.04</v>
      </c>
      <c r="C45" s="34">
        <f>6772693.04</f>
        <v>6772693.04</v>
      </c>
      <c r="D45" s="34">
        <f>0</f>
        <v>0</v>
      </c>
      <c r="E45" s="34">
        <f>0</f>
        <v>0</v>
      </c>
      <c r="F45" s="34">
        <f>0</f>
        <v>0</v>
      </c>
      <c r="G45" s="34">
        <f>0</f>
        <v>0</v>
      </c>
      <c r="H45" s="34">
        <f>0</f>
        <v>0</v>
      </c>
      <c r="I45" s="34">
        <f>0</f>
        <v>0</v>
      </c>
      <c r="J45" s="34">
        <f>144761.46</f>
        <v>144761.46</v>
      </c>
      <c r="K45" s="34">
        <f>23165</f>
        <v>23165</v>
      </c>
      <c r="L45" s="34">
        <f>4948552.93</f>
        <v>4948552.93</v>
      </c>
      <c r="M45" s="34">
        <f>1536213.65</f>
        <v>1536213.65</v>
      </c>
      <c r="N45" s="34">
        <f>120000</f>
        <v>120000</v>
      </c>
      <c r="O45" s="34">
        <f>0</f>
        <v>0</v>
      </c>
      <c r="P45" s="34">
        <f>0</f>
        <v>0</v>
      </c>
      <c r="Q45" s="34">
        <f>0</f>
        <v>0</v>
      </c>
    </row>
    <row r="46" spans="1:17" ht="24.75" customHeight="1">
      <c r="A46" s="22" t="s">
        <v>27</v>
      </c>
      <c r="B46" s="25">
        <f>86590.42</f>
        <v>86590.42</v>
      </c>
      <c r="C46" s="25">
        <f>86590.42</f>
        <v>86590.42</v>
      </c>
      <c r="D46" s="25">
        <f>0</f>
        <v>0</v>
      </c>
      <c r="E46" s="25">
        <f>0</f>
        <v>0</v>
      </c>
      <c r="F46" s="25">
        <f>0</f>
        <v>0</v>
      </c>
      <c r="G46" s="25">
        <f>0</f>
        <v>0</v>
      </c>
      <c r="H46" s="25">
        <f>0</f>
        <v>0</v>
      </c>
      <c r="I46" s="25">
        <f>0</f>
        <v>0</v>
      </c>
      <c r="J46" s="25">
        <f>6000</f>
        <v>6000</v>
      </c>
      <c r="K46" s="25">
        <f>0</f>
        <v>0</v>
      </c>
      <c r="L46" s="25">
        <f>25228.88</f>
        <v>25228.88</v>
      </c>
      <c r="M46" s="25">
        <f>55361.54</f>
        <v>55361.54</v>
      </c>
      <c r="N46" s="25">
        <f>0</f>
        <v>0</v>
      </c>
      <c r="O46" s="14">
        <f>0</f>
        <v>0</v>
      </c>
      <c r="P46" s="14">
        <f>0</f>
        <v>0</v>
      </c>
      <c r="Q46" s="14">
        <f>0</f>
        <v>0</v>
      </c>
    </row>
    <row r="47" spans="1:17" ht="24.75" customHeight="1">
      <c r="A47" s="22" t="s">
        <v>28</v>
      </c>
      <c r="B47" s="25">
        <f>6686102.62</f>
        <v>6686102.62</v>
      </c>
      <c r="C47" s="25">
        <f>6686102.62</f>
        <v>6686102.62</v>
      </c>
      <c r="D47" s="25">
        <f>0</f>
        <v>0</v>
      </c>
      <c r="E47" s="25">
        <f>0</f>
        <v>0</v>
      </c>
      <c r="F47" s="25">
        <f>0</f>
        <v>0</v>
      </c>
      <c r="G47" s="25">
        <f>0</f>
        <v>0</v>
      </c>
      <c r="H47" s="25">
        <f>0</f>
        <v>0</v>
      </c>
      <c r="I47" s="25">
        <f>0</f>
        <v>0</v>
      </c>
      <c r="J47" s="25">
        <f>138761.46</f>
        <v>138761.46</v>
      </c>
      <c r="K47" s="25">
        <f>23165</f>
        <v>23165</v>
      </c>
      <c r="L47" s="25">
        <f>4923324.05</f>
        <v>4923324.05</v>
      </c>
      <c r="M47" s="25">
        <f>1480852.11</f>
        <v>1480852.11</v>
      </c>
      <c r="N47" s="25">
        <f>120000</f>
        <v>120000</v>
      </c>
      <c r="O47" s="14">
        <f>0</f>
        <v>0</v>
      </c>
      <c r="P47" s="14">
        <f>0</f>
        <v>0</v>
      </c>
      <c r="Q47" s="14">
        <f>0</f>
        <v>0</v>
      </c>
    </row>
    <row r="48" spans="1:17" ht="24.75" customHeight="1">
      <c r="A48" s="23" t="s">
        <v>40</v>
      </c>
      <c r="B48" s="25">
        <f>347072193.05</f>
        <v>347072193.05</v>
      </c>
      <c r="C48" s="25">
        <f>347065881.24</f>
        <v>347065881.24</v>
      </c>
      <c r="D48" s="25">
        <f>12981937.35</f>
        <v>12981937.35</v>
      </c>
      <c r="E48" s="25">
        <f>152662.8</f>
        <v>152662.8</v>
      </c>
      <c r="F48" s="25">
        <f>733706.84</f>
        <v>733706.84</v>
      </c>
      <c r="G48" s="25">
        <f>12095567.71</f>
        <v>12095567.71</v>
      </c>
      <c r="H48" s="25">
        <f>0</f>
        <v>0</v>
      </c>
      <c r="I48" s="25">
        <f>0</f>
        <v>0</v>
      </c>
      <c r="J48" s="25">
        <f>70289.48</f>
        <v>70289.48</v>
      </c>
      <c r="K48" s="25">
        <f>0</f>
        <v>0</v>
      </c>
      <c r="L48" s="25">
        <f>104808213.08</f>
        <v>104808213.08</v>
      </c>
      <c r="M48" s="25">
        <f>198965965.76</f>
        <v>198965965.76</v>
      </c>
      <c r="N48" s="25">
        <f>30239475.57</f>
        <v>30239475.57</v>
      </c>
      <c r="O48" s="14">
        <f>6311.81</f>
        <v>6311.81</v>
      </c>
      <c r="P48" s="14">
        <f>6311.81</f>
        <v>6311.81</v>
      </c>
      <c r="Q48" s="14">
        <f>0</f>
        <v>0</v>
      </c>
    </row>
    <row r="49" spans="1:17" ht="24.75" customHeight="1">
      <c r="A49" s="22" t="s">
        <v>29</v>
      </c>
      <c r="B49" s="25">
        <f>24440762.42</f>
        <v>24440762.42</v>
      </c>
      <c r="C49" s="25">
        <f>24440762.42</f>
        <v>24440762.42</v>
      </c>
      <c r="D49" s="25">
        <f>2452337.74</f>
        <v>2452337.74</v>
      </c>
      <c r="E49" s="25">
        <f>0</f>
        <v>0</v>
      </c>
      <c r="F49" s="25">
        <f>0</f>
        <v>0</v>
      </c>
      <c r="G49" s="25">
        <f>2452337.74</f>
        <v>2452337.74</v>
      </c>
      <c r="H49" s="25">
        <f>0</f>
        <v>0</v>
      </c>
      <c r="I49" s="25">
        <f>0</f>
        <v>0</v>
      </c>
      <c r="J49" s="25">
        <f>603.83</f>
        <v>603.83</v>
      </c>
      <c r="K49" s="25">
        <f>0</f>
        <v>0</v>
      </c>
      <c r="L49" s="25">
        <f>7596292.06</f>
        <v>7596292.06</v>
      </c>
      <c r="M49" s="25">
        <f>3053032.16</f>
        <v>3053032.16</v>
      </c>
      <c r="N49" s="25">
        <f>11338496.63</f>
        <v>11338496.63</v>
      </c>
      <c r="O49" s="14">
        <f>0</f>
        <v>0</v>
      </c>
      <c r="P49" s="14">
        <f>0</f>
        <v>0</v>
      </c>
      <c r="Q49" s="14">
        <f>0</f>
        <v>0</v>
      </c>
    </row>
    <row r="50" spans="1:17" ht="24.75" customHeight="1">
      <c r="A50" s="22" t="s">
        <v>30</v>
      </c>
      <c r="B50" s="25">
        <f>322631430.63</f>
        <v>322631430.63</v>
      </c>
      <c r="C50" s="25">
        <f>322625118.82</f>
        <v>322625118.82</v>
      </c>
      <c r="D50" s="25">
        <f>10529599.61</f>
        <v>10529599.61</v>
      </c>
      <c r="E50" s="25">
        <f>152662.8</f>
        <v>152662.8</v>
      </c>
      <c r="F50" s="25">
        <f>733706.84</f>
        <v>733706.84</v>
      </c>
      <c r="G50" s="25">
        <f>9643229.97</f>
        <v>9643229.97</v>
      </c>
      <c r="H50" s="25">
        <f>0</f>
        <v>0</v>
      </c>
      <c r="I50" s="25">
        <f>0</f>
        <v>0</v>
      </c>
      <c r="J50" s="25">
        <f>69685.65</f>
        <v>69685.65</v>
      </c>
      <c r="K50" s="25">
        <f>0</f>
        <v>0</v>
      </c>
      <c r="L50" s="25">
        <f>97211921.02</f>
        <v>97211921.02</v>
      </c>
      <c r="M50" s="25">
        <f>195912933.6</f>
        <v>195912933.6</v>
      </c>
      <c r="N50" s="25">
        <f>18900978.94</f>
        <v>18900978.94</v>
      </c>
      <c r="O50" s="14">
        <f>6311.81</f>
        <v>6311.81</v>
      </c>
      <c r="P50" s="14">
        <f>6311.81</f>
        <v>6311.81</v>
      </c>
      <c r="Q50" s="14">
        <f>0</f>
        <v>0</v>
      </c>
    </row>
    <row r="51" spans="1:17" ht="24.75" customHeight="1">
      <c r="A51" s="33" t="s">
        <v>41</v>
      </c>
      <c r="B51" s="34">
        <f>13450424828.04</f>
        <v>13450424828.04</v>
      </c>
      <c r="C51" s="34">
        <f>13450424828.04</f>
        <v>13450424828.04</v>
      </c>
      <c r="D51" s="34">
        <f>22304570.93</f>
        <v>22304570.93</v>
      </c>
      <c r="E51" s="34">
        <f>13853103.86</f>
        <v>13853103.86</v>
      </c>
      <c r="F51" s="34">
        <f>12114.58</f>
        <v>12114.58</v>
      </c>
      <c r="G51" s="34">
        <f>8439352.49</f>
        <v>8439352.49</v>
      </c>
      <c r="H51" s="34">
        <f>0</f>
        <v>0</v>
      </c>
      <c r="I51" s="34">
        <f>0</f>
        <v>0</v>
      </c>
      <c r="J51" s="34">
        <f>13425330655.39</f>
        <v>13425330655.39</v>
      </c>
      <c r="K51" s="34">
        <f>4513.32</f>
        <v>4513.32</v>
      </c>
      <c r="L51" s="34">
        <f>2675038.94</f>
        <v>2675038.94</v>
      </c>
      <c r="M51" s="34">
        <f>110049.46</f>
        <v>110049.46</v>
      </c>
      <c r="N51" s="34">
        <f>0</f>
        <v>0</v>
      </c>
      <c r="O51" s="34">
        <f>0</f>
        <v>0</v>
      </c>
      <c r="P51" s="34">
        <f>0</f>
        <v>0</v>
      </c>
      <c r="Q51" s="34">
        <f>0</f>
        <v>0</v>
      </c>
    </row>
    <row r="52" spans="1:17" ht="24.75" customHeight="1">
      <c r="A52" s="22" t="s">
        <v>31</v>
      </c>
      <c r="B52" s="25">
        <f>8329352.49</f>
        <v>8329352.49</v>
      </c>
      <c r="C52" s="25">
        <f>8329352.49</f>
        <v>8329352.49</v>
      </c>
      <c r="D52" s="25">
        <f>8329352.49</f>
        <v>8329352.49</v>
      </c>
      <c r="E52" s="25">
        <f>0</f>
        <v>0</v>
      </c>
      <c r="F52" s="25">
        <f>0</f>
        <v>0</v>
      </c>
      <c r="G52" s="25">
        <f>8329352.49</f>
        <v>8329352.49</v>
      </c>
      <c r="H52" s="25">
        <f>0</f>
        <v>0</v>
      </c>
      <c r="I52" s="25">
        <f>0</f>
        <v>0</v>
      </c>
      <c r="J52" s="25">
        <f>0</f>
        <v>0</v>
      </c>
      <c r="K52" s="25">
        <f>0</f>
        <v>0</v>
      </c>
      <c r="L52" s="25">
        <f>0</f>
        <v>0</v>
      </c>
      <c r="M52" s="25">
        <f>0</f>
        <v>0</v>
      </c>
      <c r="N52" s="25">
        <f>0</f>
        <v>0</v>
      </c>
      <c r="O52" s="14">
        <f>0</f>
        <v>0</v>
      </c>
      <c r="P52" s="14">
        <f>0</f>
        <v>0</v>
      </c>
      <c r="Q52" s="14">
        <f>0</f>
        <v>0</v>
      </c>
    </row>
    <row r="53" spans="1:17" ht="24.75" customHeight="1">
      <c r="A53" s="22" t="s">
        <v>32</v>
      </c>
      <c r="B53" s="25">
        <f>10751188277.65</f>
        <v>10751188277.65</v>
      </c>
      <c r="C53" s="25">
        <f>10751188277.65</f>
        <v>10751188277.65</v>
      </c>
      <c r="D53" s="25">
        <f>11782173.86</f>
        <v>11782173.86</v>
      </c>
      <c r="E53" s="25">
        <f>11775683.86</f>
        <v>11775683.86</v>
      </c>
      <c r="F53" s="25">
        <f>6490</f>
        <v>6490</v>
      </c>
      <c r="G53" s="25">
        <f>0</f>
        <v>0</v>
      </c>
      <c r="H53" s="25">
        <f>0</f>
        <v>0</v>
      </c>
      <c r="I53" s="25">
        <f>0</f>
        <v>0</v>
      </c>
      <c r="J53" s="25">
        <f>10737014271.76</f>
        <v>10737014271.76</v>
      </c>
      <c r="K53" s="25">
        <f>2007</f>
        <v>2007</v>
      </c>
      <c r="L53" s="25">
        <f>2387495.03</f>
        <v>2387495.03</v>
      </c>
      <c r="M53" s="25">
        <f>2330</f>
        <v>2330</v>
      </c>
      <c r="N53" s="25">
        <f>0</f>
        <v>0</v>
      </c>
      <c r="O53" s="14">
        <f>0</f>
        <v>0</v>
      </c>
      <c r="P53" s="14">
        <f>0</f>
        <v>0</v>
      </c>
      <c r="Q53" s="14">
        <f>0</f>
        <v>0</v>
      </c>
    </row>
    <row r="54" spans="1:17" ht="24.75" customHeight="1">
      <c r="A54" s="22" t="s">
        <v>33</v>
      </c>
      <c r="B54" s="25">
        <f>2690907197.9</f>
        <v>2690907197.9</v>
      </c>
      <c r="C54" s="25">
        <f>2690907197.9</f>
        <v>2690907197.9</v>
      </c>
      <c r="D54" s="25">
        <f>2193044.58</f>
        <v>2193044.58</v>
      </c>
      <c r="E54" s="25">
        <f>2077420</f>
        <v>2077420</v>
      </c>
      <c r="F54" s="25">
        <f>5624.58</f>
        <v>5624.58</v>
      </c>
      <c r="G54" s="25">
        <f>110000</f>
        <v>110000</v>
      </c>
      <c r="H54" s="25">
        <f>0</f>
        <v>0</v>
      </c>
      <c r="I54" s="25">
        <f>0</f>
        <v>0</v>
      </c>
      <c r="J54" s="25">
        <f>2688316383.63</f>
        <v>2688316383.63</v>
      </c>
      <c r="K54" s="25">
        <f>2506.32</f>
        <v>2506.32</v>
      </c>
      <c r="L54" s="25">
        <f>287543.91</f>
        <v>287543.91</v>
      </c>
      <c r="M54" s="25">
        <f>107719.46</f>
        <v>107719.46</v>
      </c>
      <c r="N54" s="25">
        <f>0</f>
        <v>0</v>
      </c>
      <c r="O54" s="14">
        <f>0</f>
        <v>0</v>
      </c>
      <c r="P54" s="14">
        <f>0</f>
        <v>0</v>
      </c>
      <c r="Q54" s="14">
        <f>0</f>
        <v>0</v>
      </c>
    </row>
    <row r="55" spans="1:17" ht="24.75" customHeight="1">
      <c r="A55" s="33" t="s">
        <v>42</v>
      </c>
      <c r="B55" s="34">
        <f>9202144666.08</f>
        <v>9202144666.08</v>
      </c>
      <c r="C55" s="34">
        <f>9177278585.26</f>
        <v>9177278585.26</v>
      </c>
      <c r="D55" s="34">
        <f>130631744.48</f>
        <v>130631744.48</v>
      </c>
      <c r="E55" s="34">
        <f>72190433.22</f>
        <v>72190433.22</v>
      </c>
      <c r="F55" s="34">
        <f>6824810.84</f>
        <v>6824810.84</v>
      </c>
      <c r="G55" s="34">
        <f>51379735.19</f>
        <v>51379735.19</v>
      </c>
      <c r="H55" s="34">
        <f>236765.23</f>
        <v>236765.23</v>
      </c>
      <c r="I55" s="34">
        <f>0</f>
        <v>0</v>
      </c>
      <c r="J55" s="34">
        <f>24832277.27</f>
        <v>24832277.27</v>
      </c>
      <c r="K55" s="34">
        <f>7920459.16</f>
        <v>7920459.16</v>
      </c>
      <c r="L55" s="34">
        <f>1947164905.31</f>
        <v>1947164905.31</v>
      </c>
      <c r="M55" s="34">
        <f>7002258547.35</f>
        <v>7002258547.35</v>
      </c>
      <c r="N55" s="34">
        <f>64470651.69</f>
        <v>64470651.69</v>
      </c>
      <c r="O55" s="34">
        <f>24866080.82</f>
        <v>24866080.82</v>
      </c>
      <c r="P55" s="34">
        <f>17906164.23</f>
        <v>17906164.23</v>
      </c>
      <c r="Q55" s="34">
        <f>6959916.59</f>
        <v>6959916.59</v>
      </c>
    </row>
    <row r="56" spans="1:17" ht="24.75" customHeight="1">
      <c r="A56" s="21" t="s">
        <v>34</v>
      </c>
      <c r="B56" s="25">
        <f>1160922909.15</f>
        <v>1160922909.15</v>
      </c>
      <c r="C56" s="25">
        <f>1160878850.42</f>
        <v>1160878850.42</v>
      </c>
      <c r="D56" s="25">
        <f>5299167.2</f>
        <v>5299167.2</v>
      </c>
      <c r="E56" s="25">
        <f>1629724.78</f>
        <v>1629724.78</v>
      </c>
      <c r="F56" s="25">
        <f>646134.98</f>
        <v>646134.98</v>
      </c>
      <c r="G56" s="25">
        <f>2856177.86</f>
        <v>2856177.86</v>
      </c>
      <c r="H56" s="25">
        <f>167129.58</f>
        <v>167129.58</v>
      </c>
      <c r="I56" s="25">
        <f>0</f>
        <v>0</v>
      </c>
      <c r="J56" s="25">
        <f>77015.17</f>
        <v>77015.17</v>
      </c>
      <c r="K56" s="25">
        <f>1324948.6</f>
        <v>1324948.6</v>
      </c>
      <c r="L56" s="25">
        <f>182229850.54</f>
        <v>182229850.54</v>
      </c>
      <c r="M56" s="25">
        <f>956654592.51</f>
        <v>956654592.51</v>
      </c>
      <c r="N56" s="25">
        <f>15293276.4</f>
        <v>15293276.4</v>
      </c>
      <c r="O56" s="14">
        <f>44058.73</f>
        <v>44058.73</v>
      </c>
      <c r="P56" s="14">
        <f>40965.84</f>
        <v>40965.84</v>
      </c>
      <c r="Q56" s="14">
        <f>3092.89</f>
        <v>3092.89</v>
      </c>
    </row>
    <row r="57" spans="1:17" ht="24.75" customHeight="1">
      <c r="A57" s="22" t="s">
        <v>35</v>
      </c>
      <c r="B57" s="25">
        <f>8041221756.93</f>
        <v>8041221756.93</v>
      </c>
      <c r="C57" s="25">
        <f>8016399734.84</f>
        <v>8016399734.84</v>
      </c>
      <c r="D57" s="25">
        <f>125332577.28</f>
        <v>125332577.28</v>
      </c>
      <c r="E57" s="25">
        <f>70560708.44</f>
        <v>70560708.44</v>
      </c>
      <c r="F57" s="25">
        <f>6178675.86</f>
        <v>6178675.86</v>
      </c>
      <c r="G57" s="25">
        <f>48523557.33</f>
        <v>48523557.33</v>
      </c>
      <c r="H57" s="25">
        <f>69635.65</f>
        <v>69635.65</v>
      </c>
      <c r="I57" s="25">
        <f>0</f>
        <v>0</v>
      </c>
      <c r="J57" s="25">
        <f>24755262.1</f>
        <v>24755262.1</v>
      </c>
      <c r="K57" s="25">
        <f>6595510.56</f>
        <v>6595510.56</v>
      </c>
      <c r="L57" s="25">
        <f>1764935054.77</f>
        <v>1764935054.77</v>
      </c>
      <c r="M57" s="25">
        <f>6045603954.84</f>
        <v>6045603954.84</v>
      </c>
      <c r="N57" s="25">
        <f>49177375.29</f>
        <v>49177375.29</v>
      </c>
      <c r="O57" s="14">
        <f>24822022.09</f>
        <v>24822022.09</v>
      </c>
      <c r="P57" s="14">
        <f>17865198.39</f>
        <v>17865198.39</v>
      </c>
      <c r="Q57" s="14">
        <f>6956823.7</f>
        <v>6956823.7</v>
      </c>
    </row>
    <row r="58" spans="1:17" ht="24.75" customHeight="1">
      <c r="A58" s="33" t="s">
        <v>43</v>
      </c>
      <c r="B58" s="34">
        <f>16622387926.29</f>
        <v>16622387926.29</v>
      </c>
      <c r="C58" s="34">
        <f>16592848612.87</f>
        <v>16592848612.87</v>
      </c>
      <c r="D58" s="34">
        <f>1068049344.89</f>
        <v>1068049344.89</v>
      </c>
      <c r="E58" s="34">
        <f>656126176.96</f>
        <v>656126176.96</v>
      </c>
      <c r="F58" s="34">
        <f>62851272.6</f>
        <v>62851272.6</v>
      </c>
      <c r="G58" s="34">
        <f>341150940.28</f>
        <v>341150940.28</v>
      </c>
      <c r="H58" s="34">
        <f>7920955.05</f>
        <v>7920955.05</v>
      </c>
      <c r="I58" s="34">
        <f>180728</f>
        <v>180728</v>
      </c>
      <c r="J58" s="34">
        <f>16982202.74</f>
        <v>16982202.74</v>
      </c>
      <c r="K58" s="34">
        <f>82971323.58</f>
        <v>82971323.58</v>
      </c>
      <c r="L58" s="34">
        <f>8605863362.56</f>
        <v>8605863362.56</v>
      </c>
      <c r="M58" s="34">
        <f>6667704232.3</f>
        <v>6667704232.3</v>
      </c>
      <c r="N58" s="34">
        <f>151097418.8</f>
        <v>151097418.8</v>
      </c>
      <c r="O58" s="34">
        <f>29539313.42</f>
        <v>29539313.42</v>
      </c>
      <c r="P58" s="34">
        <f>29188185.65</f>
        <v>29188185.65</v>
      </c>
      <c r="Q58" s="34">
        <f>351127.77</f>
        <v>351127.77</v>
      </c>
    </row>
    <row r="59" spans="1:17" ht="30" customHeight="1">
      <c r="A59" s="21" t="s">
        <v>36</v>
      </c>
      <c r="B59" s="25">
        <f>766584839.38</f>
        <v>766584839.38</v>
      </c>
      <c r="C59" s="25">
        <f>766466690.55</f>
        <v>766466690.55</v>
      </c>
      <c r="D59" s="25">
        <f>33545113.33</f>
        <v>33545113.33</v>
      </c>
      <c r="E59" s="25">
        <f>3410026.14</f>
        <v>3410026.14</v>
      </c>
      <c r="F59" s="25">
        <f>500562.62</f>
        <v>500562.62</v>
      </c>
      <c r="G59" s="25">
        <f>29085970.74</f>
        <v>29085970.74</v>
      </c>
      <c r="H59" s="25">
        <f>548553.83</f>
        <v>548553.83</v>
      </c>
      <c r="I59" s="25">
        <f>0</f>
        <v>0</v>
      </c>
      <c r="J59" s="25">
        <f>447373.42</f>
        <v>447373.42</v>
      </c>
      <c r="K59" s="25">
        <f>1641679.53</f>
        <v>1641679.53</v>
      </c>
      <c r="L59" s="25">
        <f>228408317.23</f>
        <v>228408317.23</v>
      </c>
      <c r="M59" s="25">
        <f>488916162.22</f>
        <v>488916162.22</v>
      </c>
      <c r="N59" s="25">
        <f>13508044.82</f>
        <v>13508044.82</v>
      </c>
      <c r="O59" s="14">
        <f>118148.83</f>
        <v>118148.83</v>
      </c>
      <c r="P59" s="14">
        <f>93756.83</f>
        <v>93756.83</v>
      </c>
      <c r="Q59" s="14">
        <f>24392</f>
        <v>24392</v>
      </c>
    </row>
    <row r="60" spans="1:17" ht="36">
      <c r="A60" s="21" t="s">
        <v>37</v>
      </c>
      <c r="B60" s="25">
        <f>11176296108.49</f>
        <v>11176296108.49</v>
      </c>
      <c r="C60" s="25">
        <f>11146889125.43</f>
        <v>11146889125.43</v>
      </c>
      <c r="D60" s="25">
        <f>620811617.07</f>
        <v>620811617.07</v>
      </c>
      <c r="E60" s="25">
        <f>450580714.72</f>
        <v>450580714.72</v>
      </c>
      <c r="F60" s="25">
        <f>34939363.5</f>
        <v>34939363.5</v>
      </c>
      <c r="G60" s="25">
        <f>129605491.96</f>
        <v>129605491.96</v>
      </c>
      <c r="H60" s="25">
        <f>5686046.89</f>
        <v>5686046.89</v>
      </c>
      <c r="I60" s="25">
        <f>180728</f>
        <v>180728</v>
      </c>
      <c r="J60" s="25">
        <f>13188393.29</f>
        <v>13188393.29</v>
      </c>
      <c r="K60" s="25">
        <f>71437971.1</f>
        <v>71437971.1</v>
      </c>
      <c r="L60" s="25">
        <f>6735162101</f>
        <v>6735162101</v>
      </c>
      <c r="M60" s="25">
        <f>3646941043.15</f>
        <v>3646941043.15</v>
      </c>
      <c r="N60" s="25">
        <f>59167271.82</f>
        <v>59167271.82</v>
      </c>
      <c r="O60" s="14">
        <f>29406983.06</f>
        <v>29406983.06</v>
      </c>
      <c r="P60" s="14">
        <f>29085710.47</f>
        <v>29085710.47</v>
      </c>
      <c r="Q60" s="14">
        <f>321272.59</f>
        <v>321272.59</v>
      </c>
    </row>
    <row r="61" spans="1:17" ht="30.75" customHeight="1">
      <c r="A61" s="21" t="s">
        <v>38</v>
      </c>
      <c r="B61" s="25">
        <f>4679506978.42</f>
        <v>4679506978.42</v>
      </c>
      <c r="C61" s="25">
        <f>4679492796.89</f>
        <v>4679492796.89</v>
      </c>
      <c r="D61" s="25">
        <f>413692614.49</f>
        <v>413692614.49</v>
      </c>
      <c r="E61" s="25">
        <f>202135436.1</f>
        <v>202135436.1</v>
      </c>
      <c r="F61" s="25">
        <f>27411346.48</f>
        <v>27411346.48</v>
      </c>
      <c r="G61" s="25">
        <f>182459477.58</f>
        <v>182459477.58</v>
      </c>
      <c r="H61" s="25">
        <f>1686354.33</f>
        <v>1686354.33</v>
      </c>
      <c r="I61" s="25">
        <f>0</f>
        <v>0</v>
      </c>
      <c r="J61" s="25">
        <f>3346436.03</f>
        <v>3346436.03</v>
      </c>
      <c r="K61" s="25">
        <f>9891672.95</f>
        <v>9891672.95</v>
      </c>
      <c r="L61" s="25">
        <f>1642292944.33</f>
        <v>1642292944.33</v>
      </c>
      <c r="M61" s="25">
        <f>2531847026.93</f>
        <v>2531847026.93</v>
      </c>
      <c r="N61" s="25">
        <f>78422102.16</f>
        <v>78422102.16</v>
      </c>
      <c r="O61" s="14">
        <f>14181.53</f>
        <v>14181.53</v>
      </c>
      <c r="P61" s="14">
        <f>8718.35</f>
        <v>8718.35</v>
      </c>
      <c r="Q61" s="14">
        <f>5463.18</f>
        <v>5463.18</v>
      </c>
    </row>
    <row r="78" spans="1:13" ht="75" customHeight="1">
      <c r="A78" s="50" t="s">
        <v>78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</row>
    <row r="79" spans="2:13" ht="13.5" customHeight="1">
      <c r="B79" s="54" t="s">
        <v>2</v>
      </c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</row>
    <row r="81" spans="2:12" ht="13.5" customHeight="1">
      <c r="B81" s="79" t="s">
        <v>0</v>
      </c>
      <c r="C81" s="80"/>
      <c r="D81" s="80"/>
      <c r="E81" s="81"/>
      <c r="F81" s="89" t="s">
        <v>70</v>
      </c>
      <c r="G81" s="61" t="s">
        <v>76</v>
      </c>
      <c r="H81" s="62"/>
      <c r="I81" s="62"/>
      <c r="J81" s="62"/>
      <c r="K81" s="62"/>
      <c r="L81" s="63"/>
    </row>
    <row r="82" spans="2:12" ht="13.5" customHeight="1">
      <c r="B82" s="82"/>
      <c r="C82" s="83"/>
      <c r="D82" s="83"/>
      <c r="E82" s="84"/>
      <c r="F82" s="90"/>
      <c r="G82" s="92" t="s">
        <v>71</v>
      </c>
      <c r="H82" s="45" t="s">
        <v>68</v>
      </c>
      <c r="I82" s="45" t="s">
        <v>69</v>
      </c>
      <c r="J82" s="45" t="s">
        <v>72</v>
      </c>
      <c r="K82" s="45" t="s">
        <v>73</v>
      </c>
      <c r="L82" s="93" t="s">
        <v>74</v>
      </c>
    </row>
    <row r="83" spans="2:12" ht="13.5" customHeight="1">
      <c r="B83" s="82"/>
      <c r="C83" s="83"/>
      <c r="D83" s="83"/>
      <c r="E83" s="84"/>
      <c r="F83" s="90"/>
      <c r="G83" s="92"/>
      <c r="H83" s="45"/>
      <c r="I83" s="45"/>
      <c r="J83" s="45"/>
      <c r="K83" s="45"/>
      <c r="L83" s="93"/>
    </row>
    <row r="84" spans="2:12" ht="11.25" customHeight="1">
      <c r="B84" s="82"/>
      <c r="C84" s="83"/>
      <c r="D84" s="83"/>
      <c r="E84" s="84"/>
      <c r="F84" s="90"/>
      <c r="G84" s="92"/>
      <c r="H84" s="45"/>
      <c r="I84" s="45"/>
      <c r="J84" s="45"/>
      <c r="K84" s="45"/>
      <c r="L84" s="93"/>
    </row>
    <row r="85" spans="2:12" ht="11.25" customHeight="1">
      <c r="B85" s="85"/>
      <c r="C85" s="86"/>
      <c r="D85" s="86"/>
      <c r="E85" s="87"/>
      <c r="F85" s="91"/>
      <c r="G85" s="92"/>
      <c r="H85" s="45"/>
      <c r="I85" s="45"/>
      <c r="J85" s="45"/>
      <c r="K85" s="45"/>
      <c r="L85" s="93"/>
    </row>
    <row r="86" spans="2:12" ht="11.25" customHeight="1">
      <c r="B86" s="45">
        <v>1</v>
      </c>
      <c r="C86" s="45"/>
      <c r="D86" s="45"/>
      <c r="E86" s="45"/>
      <c r="F86" s="3">
        <v>2</v>
      </c>
      <c r="G86" s="3">
        <v>3</v>
      </c>
      <c r="H86" s="3">
        <v>4</v>
      </c>
      <c r="I86" s="3">
        <v>5</v>
      </c>
      <c r="J86" s="3">
        <v>6</v>
      </c>
      <c r="K86" s="3">
        <v>7</v>
      </c>
      <c r="L86" s="10">
        <v>8</v>
      </c>
    </row>
    <row r="87" spans="2:12" ht="13.5" customHeight="1">
      <c r="B87" s="45"/>
      <c r="C87" s="45"/>
      <c r="D87" s="45"/>
      <c r="E87" s="45"/>
      <c r="F87" s="61" t="s">
        <v>77</v>
      </c>
      <c r="G87" s="37"/>
      <c r="H87" s="37"/>
      <c r="I87" s="37"/>
      <c r="J87" s="37"/>
      <c r="K87" s="37"/>
      <c r="L87" s="38"/>
    </row>
    <row r="88" spans="2:12" ht="33.75" customHeight="1">
      <c r="B88" s="72" t="s">
        <v>55</v>
      </c>
      <c r="C88" s="73"/>
      <c r="D88" s="73"/>
      <c r="E88" s="74"/>
      <c r="F88" s="32">
        <f>1043062521.53</f>
        <v>1043062521.53</v>
      </c>
      <c r="G88" s="32">
        <f>380896691.16</f>
        <v>380896691.16</v>
      </c>
      <c r="H88" s="32">
        <f>36051781.68</f>
        <v>36051781.68</v>
      </c>
      <c r="I88" s="32">
        <f>140775093.97</f>
        <v>140775093.97</v>
      </c>
      <c r="J88" s="32">
        <f>201401185.28</f>
        <v>201401185.28</v>
      </c>
      <c r="K88" s="32">
        <f>2668630.23</f>
        <v>2668630.23</v>
      </c>
      <c r="L88" s="32">
        <f>662165830.37</f>
        <v>662165830.37</v>
      </c>
    </row>
    <row r="89" spans="2:12" ht="33.75" customHeight="1">
      <c r="B89" s="72" t="s">
        <v>56</v>
      </c>
      <c r="C89" s="73"/>
      <c r="D89" s="73"/>
      <c r="E89" s="74"/>
      <c r="F89" s="32">
        <f>2682384.57</f>
        <v>2682384.57</v>
      </c>
      <c r="G89" s="32">
        <f>1708119.53</f>
        <v>1708119.53</v>
      </c>
      <c r="H89" s="32">
        <f>1708119.53</f>
        <v>1708119.53</v>
      </c>
      <c r="I89" s="32">
        <f>0</f>
        <v>0</v>
      </c>
      <c r="J89" s="32">
        <f>0</f>
        <v>0</v>
      </c>
      <c r="K89" s="32">
        <f>0</f>
        <v>0</v>
      </c>
      <c r="L89" s="32">
        <f>974265.04</f>
        <v>974265.04</v>
      </c>
    </row>
    <row r="90" spans="2:12" ht="33.75" customHeight="1">
      <c r="B90" s="72" t="s">
        <v>57</v>
      </c>
      <c r="C90" s="73"/>
      <c r="D90" s="73"/>
      <c r="E90" s="74"/>
      <c r="F90" s="32">
        <f>19369051.35</f>
        <v>19369051.35</v>
      </c>
      <c r="G90" s="32">
        <f>6001051.54</f>
        <v>6001051.54</v>
      </c>
      <c r="H90" s="32">
        <f>3468453.31</f>
        <v>3468453.31</v>
      </c>
      <c r="I90" s="32">
        <f>0</f>
        <v>0</v>
      </c>
      <c r="J90" s="32">
        <f>2509090.23</f>
        <v>2509090.23</v>
      </c>
      <c r="K90" s="32">
        <f>23508</f>
        <v>23508</v>
      </c>
      <c r="L90" s="32">
        <f>13367999.81</f>
        <v>13367999.81</v>
      </c>
    </row>
    <row r="91" spans="2:12" ht="22.5" customHeight="1">
      <c r="B91" s="72" t="s">
        <v>58</v>
      </c>
      <c r="C91" s="73"/>
      <c r="D91" s="73"/>
      <c r="E91" s="74"/>
      <c r="F91" s="32">
        <f>17330611.02</f>
        <v>17330611.02</v>
      </c>
      <c r="G91" s="32">
        <f>889520</f>
        <v>889520</v>
      </c>
      <c r="H91" s="32">
        <f>0</f>
        <v>0</v>
      </c>
      <c r="I91" s="32">
        <f>0</f>
        <v>0</v>
      </c>
      <c r="J91" s="32">
        <f>889520</f>
        <v>889520</v>
      </c>
      <c r="K91" s="32">
        <f>0</f>
        <v>0</v>
      </c>
      <c r="L91" s="32">
        <f>16441091.02</f>
        <v>16441091.02</v>
      </c>
    </row>
    <row r="92" spans="2:12" ht="33.75" customHeight="1">
      <c r="B92" s="72" t="s">
        <v>59</v>
      </c>
      <c r="C92" s="73"/>
      <c r="D92" s="73"/>
      <c r="E92" s="74"/>
      <c r="F92" s="32">
        <f>21152.54</f>
        <v>21152.54</v>
      </c>
      <c r="G92" s="32">
        <f>0</f>
        <v>0</v>
      </c>
      <c r="H92" s="32">
        <f>0</f>
        <v>0</v>
      </c>
      <c r="I92" s="32">
        <f>0</f>
        <v>0</v>
      </c>
      <c r="J92" s="32">
        <f>0</f>
        <v>0</v>
      </c>
      <c r="K92" s="32">
        <f>0</f>
        <v>0</v>
      </c>
      <c r="L92" s="32">
        <f>21152.54</f>
        <v>21152.54</v>
      </c>
    </row>
    <row r="93" spans="2:12" ht="33.75" customHeight="1">
      <c r="B93" s="72" t="s">
        <v>60</v>
      </c>
      <c r="C93" s="73"/>
      <c r="D93" s="73"/>
      <c r="E93" s="74"/>
      <c r="F93" s="32">
        <f>1018164.38</f>
        <v>1018164.38</v>
      </c>
      <c r="G93" s="32">
        <f>55800</f>
        <v>55800</v>
      </c>
      <c r="H93" s="32">
        <f>0</f>
        <v>0</v>
      </c>
      <c r="I93" s="32">
        <f>0</f>
        <v>0</v>
      </c>
      <c r="J93" s="32">
        <f>55800</f>
        <v>55800</v>
      </c>
      <c r="K93" s="32">
        <f>0</f>
        <v>0</v>
      </c>
      <c r="L93" s="32">
        <f>962364.38</f>
        <v>962364.38</v>
      </c>
    </row>
    <row r="94" spans="2:12" ht="22.5" customHeight="1">
      <c r="B94" s="72" t="s">
        <v>61</v>
      </c>
      <c r="C94" s="73"/>
      <c r="D94" s="73"/>
      <c r="E94" s="74"/>
      <c r="F94" s="32">
        <f>12000</f>
        <v>12000</v>
      </c>
      <c r="G94" s="32">
        <f>0</f>
        <v>0</v>
      </c>
      <c r="H94" s="32">
        <f>0</f>
        <v>0</v>
      </c>
      <c r="I94" s="32">
        <f>0</f>
        <v>0</v>
      </c>
      <c r="J94" s="32">
        <f>0</f>
        <v>0</v>
      </c>
      <c r="K94" s="32">
        <f>0</f>
        <v>0</v>
      </c>
      <c r="L94" s="32">
        <f>12000</f>
        <v>12000</v>
      </c>
    </row>
    <row r="97" spans="1:13" ht="75" customHeight="1">
      <c r="A97" s="50" t="s">
        <v>78</v>
      </c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</row>
    <row r="98" ht="13.5" customHeight="1">
      <c r="B98" s="4"/>
    </row>
    <row r="99" spans="2:11" ht="13.5" customHeight="1">
      <c r="B99" s="5"/>
      <c r="C99" s="61"/>
      <c r="D99" s="62"/>
      <c r="E99" s="62"/>
      <c r="F99" s="63"/>
      <c r="G99" s="61" t="s">
        <v>3</v>
      </c>
      <c r="H99" s="63"/>
      <c r="I99" s="61" t="s">
        <v>4</v>
      </c>
      <c r="J99" s="63"/>
      <c r="K99" s="5"/>
    </row>
    <row r="100" spans="2:11" ht="13.5" customHeight="1">
      <c r="B100" s="6"/>
      <c r="C100" s="69" t="s">
        <v>5</v>
      </c>
      <c r="D100" s="70"/>
      <c r="E100" s="70"/>
      <c r="F100" s="71"/>
      <c r="G100" s="65">
        <f>2244</f>
        <v>2244</v>
      </c>
      <c r="H100" s="66"/>
      <c r="I100" s="67">
        <f>4892594648.16</f>
        <v>4892594648.16</v>
      </c>
      <c r="J100" s="68"/>
      <c r="K100" s="7"/>
    </row>
    <row r="101" spans="2:11" ht="13.5" customHeight="1">
      <c r="B101" s="6"/>
      <c r="C101" s="72" t="s">
        <v>6</v>
      </c>
      <c r="D101" s="73"/>
      <c r="E101" s="73"/>
      <c r="F101" s="74"/>
      <c r="G101" s="75">
        <f>167</f>
        <v>167</v>
      </c>
      <c r="H101" s="76"/>
      <c r="I101" s="77">
        <f>-195605279.63</f>
        <v>-195605279.63</v>
      </c>
      <c r="J101" s="78"/>
      <c r="K101" s="7"/>
    </row>
    <row r="102" spans="2:11" ht="13.5" customHeight="1">
      <c r="B102" s="6"/>
      <c r="C102" s="69" t="s">
        <v>7</v>
      </c>
      <c r="D102" s="70"/>
      <c r="E102" s="70"/>
      <c r="F102" s="71"/>
      <c r="G102" s="65">
        <f>0</f>
        <v>0</v>
      </c>
      <c r="H102" s="66"/>
      <c r="I102" s="67">
        <f>0</f>
        <v>0</v>
      </c>
      <c r="J102" s="68"/>
      <c r="K102" s="7"/>
    </row>
  </sheetData>
  <sheetProtection/>
  <mergeCells count="79">
    <mergeCell ref="B43:N43"/>
    <mergeCell ref="B86:E86"/>
    <mergeCell ref="F87:L87"/>
    <mergeCell ref="L82:L85"/>
    <mergeCell ref="O6:Q6"/>
    <mergeCell ref="O7:O10"/>
    <mergeCell ref="A78:M78"/>
    <mergeCell ref="L39:L41"/>
    <mergeCell ref="P39:P41"/>
    <mergeCell ref="Q39:Q41"/>
    <mergeCell ref="N39:N41"/>
    <mergeCell ref="O39:O41"/>
    <mergeCell ref="D39:D41"/>
    <mergeCell ref="H7:H10"/>
    <mergeCell ref="B93:E93"/>
    <mergeCell ref="B89:E89"/>
    <mergeCell ref="M39:M41"/>
    <mergeCell ref="B88:E88"/>
    <mergeCell ref="F81:F85"/>
    <mergeCell ref="G82:G85"/>
    <mergeCell ref="I100:J100"/>
    <mergeCell ref="B79:M79"/>
    <mergeCell ref="I99:J99"/>
    <mergeCell ref="B87:E87"/>
    <mergeCell ref="B81:E85"/>
    <mergeCell ref="B94:E94"/>
    <mergeCell ref="A97:M97"/>
    <mergeCell ref="B90:E90"/>
    <mergeCell ref="B91:E91"/>
    <mergeCell ref="B92:E92"/>
    <mergeCell ref="G102:H102"/>
    <mergeCell ref="I102:J102"/>
    <mergeCell ref="C99:F99"/>
    <mergeCell ref="C100:F100"/>
    <mergeCell ref="C101:F101"/>
    <mergeCell ref="C102:F102"/>
    <mergeCell ref="G100:H100"/>
    <mergeCell ref="G99:H99"/>
    <mergeCell ref="G101:H101"/>
    <mergeCell ref="I101:J101"/>
    <mergeCell ref="G81:L81"/>
    <mergeCell ref="H82:H85"/>
    <mergeCell ref="I82:I85"/>
    <mergeCell ref="J82:J85"/>
    <mergeCell ref="A1:M1"/>
    <mergeCell ref="C5:M5"/>
    <mergeCell ref="A3:M3"/>
    <mergeCell ref="K7:K10"/>
    <mergeCell ref="C7:C10"/>
    <mergeCell ref="B38:B41"/>
    <mergeCell ref="B6:B10"/>
    <mergeCell ref="A6:A10"/>
    <mergeCell ref="C6:N6"/>
    <mergeCell ref="D7:D10"/>
    <mergeCell ref="E7:E10"/>
    <mergeCell ref="G7:G10"/>
    <mergeCell ref="F7:F10"/>
    <mergeCell ref="I7:I10"/>
    <mergeCell ref="J7:J10"/>
    <mergeCell ref="J39:J41"/>
    <mergeCell ref="Q7:Q10"/>
    <mergeCell ref="C38:N38"/>
    <mergeCell ref="L7:L10"/>
    <mergeCell ref="M7:M10"/>
    <mergeCell ref="N7:N10"/>
    <mergeCell ref="P7:P10"/>
    <mergeCell ref="A34:M34"/>
    <mergeCell ref="O38:Q38"/>
    <mergeCell ref="A36:M36"/>
    <mergeCell ref="B12:Q12"/>
    <mergeCell ref="A38:A41"/>
    <mergeCell ref="C39:C41"/>
    <mergeCell ref="E39:E41"/>
    <mergeCell ref="K82:K85"/>
    <mergeCell ref="F39:F41"/>
    <mergeCell ref="G39:G41"/>
    <mergeCell ref="H39:H41"/>
    <mergeCell ref="K39:K41"/>
    <mergeCell ref="I39:I41"/>
  </mergeCells>
  <printOptions/>
  <pageMargins left="0.1968503937007874" right="0.1968503937007874" top="0.1968503937007874" bottom="0.1968503937007874" header="0" footer="0"/>
  <pageSetup firstPageNumber="1" useFirstPageNumber="1" horizontalDpi="300" verticalDpi="300" orientation="landscape" paperSize="9" scale="69" r:id="rId1"/>
  <headerFooter alignWithMargins="0">
    <oddFooter>&amp;L&amp;D&amp;Rstrona &amp;P z 3</oddFooter>
  </headerFooter>
  <rowBreaks count="2" manualBreakCount="2">
    <brk id="33" max="255" man="1"/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2016-08-26T11:23:29Z</cp:lastPrinted>
  <dcterms:created xsi:type="dcterms:W3CDTF">2001-05-17T08:58:03Z</dcterms:created>
  <dcterms:modified xsi:type="dcterms:W3CDTF">2020-06-10T10:39:24Z</dcterms:modified>
  <cp:category/>
  <cp:version/>
  <cp:contentType/>
  <cp:contentStatus/>
</cp:coreProperties>
</file>