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'doch_wyd'!$A$1:$L$101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<sst xmlns="http://schemas.openxmlformats.org/spreadsheetml/2006/main" count="118" uniqueCount="87">
  <si>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</si>
  <si>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</si>
  <si>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</si>
  <si>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</si>
  <si>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</si>
  <si>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</si>
  <si>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</si>
  <si>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</si>
  <si>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</si>
  <si>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</si>
  <si>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</si>
  <si>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</si>
  <si>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</si>
  <si>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</si>
  <si>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</si>
  <si>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</si>
  <si>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</si>
  <si>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</si>
  <si>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</si>
  <si>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</si>
  <si>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</si>
  <si>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</si>
  <si>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</si>
  <si>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</si>
  <si>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kredyty i pożyczki w tym:</t>
  </si>
  <si>
    <t>nadwyżka z lat ubiegłych w tym:</t>
  </si>
  <si>
    <t>papiery wartościowe w tym:</t>
  </si>
  <si>
    <t>spłata pożyczek udzielonych</t>
  </si>
  <si>
    <t>prywatyzacja majątku jst</t>
  </si>
  <si>
    <t>spłaty kredytów i pożyczek w tym:</t>
  </si>
  <si>
    <t>pożyczki (udzielone)</t>
  </si>
  <si>
    <t>w tym wymagalne:</t>
  </si>
  <si>
    <t>Wskaźnik 
(4:2)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</si>
  <si>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</si>
  <si>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</si>
  <si>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</si>
  <si>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</si>
  <si>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</si>
  <si>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</si>
  <si>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</si>
  <si>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</si>
  <si>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</si>
  <si>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</si>
  <si>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</si>
  <si>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</si>
  <si>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</si>
  <si>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</si>
  <si>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</si>
  <si>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</si>
  <si>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</si>
  <si>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</si>
  <si>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na realizację programów i projektów realizowanych z udziałem środków, o których mowa w art. 5 ust 1 pkt 2 ustawy o finansach publicznych</t>
  </si>
  <si>
    <t>na pokrycie deficytu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</si>
  <si>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</si>
  <si>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</si>
  <si>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</si>
  <si>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</si>
  <si>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</si>
  <si>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</si>
  <si>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</si>
  <si>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</si>
  <si>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</si>
  <si>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</si>
  <si>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</si>
  <si>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</si>
  <si>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</si>
  <si>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</si>
  <si>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</si>
  <si>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Kwota wydatków bieżących ponoszonych na spłatę przejętych zobowiązań samodzielnego publicznego zakładu opieki zdrowotnej przekształconego na zasadach określonych w ustawie o działalności leczniczej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</si>
  <si>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</si>
  <si>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</si>
  <si>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</si>
  <si>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</si>
  <si>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</si>
  <si>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</si>
  <si>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</si>
  <si>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</si>
  <si>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</si>
  <si>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</si>
  <si>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</si>
  <si>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</si>
  <si>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</si>
  <si>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</si>
  <si>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</si>
  <si>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 xml:space="preserve">    na pokrycie deficytu</t>
  </si>
  <si>
    <t>wykup papierów wartościowych      w tym:</t>
  </si>
  <si>
    <t xml:space="preserve">Informacja z wykonania budżetów związków jednostek samorządu terytorialnego za I Kwartał 2018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</si>
</sst>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26.25" customHeight="1">
      <c r="B1" s="87" t="s">
        <v>86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8.25" customHeight="1"/>
    <row r="3" spans="2:8" ht="66.75" customHeight="1">
      <c r="B3" s="97" t="s">
        <v>0</v>
      </c>
      <c r="C3" s="49" t="s">
        <v>80</v>
      </c>
      <c r="D3" s="49" t="s">
        <v>81</v>
      </c>
      <c r="E3" s="49" t="s">
        <v>82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106" t="s">
        <v>49</v>
      </c>
      <c r="D4" s="106"/>
      <c r="E4" s="106"/>
      <c r="F4" s="106" t="s">
        <v>4</v>
      </c>
      <c r="G4" s="106"/>
      <c r="H4" s="10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2555785620.3</f>
        <v>2555785620.3</v>
      </c>
      <c r="D6" s="65">
        <f>559800451.82</f>
        <v>559800451.82</v>
      </c>
      <c r="E6" s="65">
        <f>528022662.59</f>
        <v>528022662.59</v>
      </c>
      <c r="F6" s="66">
        <f aca="true" t="shared" si="0" ref="F6:F31">IF($D$6=0,"",100*$D6/$D$6)</f>
        <v>100</v>
      </c>
      <c r="G6" s="66">
        <f>IF(C6=0,"",100*D6/C6)</f>
        <v>21.903263222612946</v>
      </c>
      <c r="H6" s="66"/>
    </row>
    <row r="7" spans="2:8" ht="22.5">
      <c r="B7" s="52" t="s">
        <v>39</v>
      </c>
      <c r="C7" s="15">
        <f>C6-C10</f>
        <v>2260483148.03</v>
      </c>
      <c r="D7" s="15">
        <f>D6-D10</f>
        <v>552151725.58</v>
      </c>
      <c r="E7" s="15">
        <f>E6-E10</f>
        <v>520404475.75</v>
      </c>
      <c r="F7" s="19">
        <f t="shared" si="0"/>
        <v>98.63366915565489</v>
      </c>
      <c r="G7" s="19">
        <f aca="true" t="shared" si="1" ref="G7:G31">IF(C7=0,"",100*D7/C7)</f>
        <v>24.426270377693264</v>
      </c>
      <c r="H7" s="19">
        <f>IF($D$7=0,"",100*$D7/$D$7)</f>
        <v>100</v>
      </c>
    </row>
    <row r="8" spans="2:8" ht="12.75">
      <c r="B8" s="67" t="s">
        <v>19</v>
      </c>
      <c r="C8" s="68">
        <f>33424083.1</f>
        <v>33424083.1</v>
      </c>
      <c r="D8" s="69">
        <f>8258439.24</f>
        <v>8258439.24</v>
      </c>
      <c r="E8" s="68">
        <f>8199244.41</f>
        <v>8199244.41</v>
      </c>
      <c r="F8" s="20">
        <f t="shared" si="0"/>
        <v>1.475246976516454</v>
      </c>
      <c r="G8" s="20">
        <f t="shared" si="1"/>
        <v>24.70805022621548</v>
      </c>
      <c r="H8" s="20">
        <f>IF($D$7=0,"",100*$D8/$D$7)</f>
        <v>1.4956829540512688</v>
      </c>
    </row>
    <row r="9" spans="2:8" ht="12.75">
      <c r="B9" s="67" t="s">
        <v>20</v>
      </c>
      <c r="C9" s="68">
        <f>C7-C8</f>
        <v>2227059064.9300003</v>
      </c>
      <c r="D9" s="68">
        <f>D7-D8</f>
        <v>543893286.34</v>
      </c>
      <c r="E9" s="68">
        <f>E7-E8</f>
        <v>512205231.34</v>
      </c>
      <c r="F9" s="20">
        <f t="shared" si="0"/>
        <v>97.15842217913841</v>
      </c>
      <c r="G9" s="20">
        <f t="shared" si="1"/>
        <v>24.422041377564245</v>
      </c>
      <c r="H9" s="20">
        <f>IF($D$7=0,"",100*$D9/$D$7)</f>
        <v>98.50431704594872</v>
      </c>
    </row>
    <row r="10" spans="2:8" ht="22.5">
      <c r="B10" s="64" t="s">
        <v>83</v>
      </c>
      <c r="C10" s="65">
        <f>C11+C24+C26</f>
        <v>295302472.27</v>
      </c>
      <c r="D10" s="65">
        <f>D11+D24+D26</f>
        <v>7648726.24</v>
      </c>
      <c r="E10" s="65">
        <f>E11+E24+E26</f>
        <v>7618186.84</v>
      </c>
      <c r="F10" s="66">
        <f t="shared" si="0"/>
        <v>1.3663308443451194</v>
      </c>
      <c r="G10" s="66">
        <f t="shared" si="1"/>
        <v>2.5901328157546346</v>
      </c>
      <c r="H10" s="70"/>
    </row>
    <row r="11" spans="2:8" ht="22.5">
      <c r="B11" s="64" t="s">
        <v>40</v>
      </c>
      <c r="C11" s="65">
        <f>C12+C14+C16+C18+C20+C22</f>
        <v>7342449.3</v>
      </c>
      <c r="D11" s="65">
        <f>D12+D14+D16+D18+D20+D22</f>
        <v>1541162.29</v>
      </c>
      <c r="E11" s="65">
        <f>E12+E14+E16+E18+E20+E22</f>
        <v>1510622.89</v>
      </c>
      <c r="F11" s="66">
        <f t="shared" si="0"/>
        <v>0.2753056531107535</v>
      </c>
      <c r="G11" s="66">
        <f t="shared" si="1"/>
        <v>20.98975732798046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6342849.3</f>
        <v>6342849.3</v>
      </c>
      <c r="D18" s="68">
        <f>1494469.69</f>
        <v>1494469.69</v>
      </c>
      <c r="E18" s="68">
        <f>1494469.69</f>
        <v>1494469.69</v>
      </c>
      <c r="F18" s="20">
        <f t="shared" si="0"/>
        <v>0.2669647166488062</v>
      </c>
      <c r="G18" s="20">
        <f t="shared" si="1"/>
        <v>23.561488210038352</v>
      </c>
      <c r="H18" s="17"/>
    </row>
    <row r="19" spans="2:8" ht="13.5" customHeight="1">
      <c r="B19" s="71" t="s">
        <v>6</v>
      </c>
      <c r="C19" s="68">
        <f>120365</f>
        <v>120365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50</v>
      </c>
      <c r="C20" s="68">
        <f>800600</f>
        <v>800600</v>
      </c>
      <c r="D20" s="68">
        <f>46692.6</f>
        <v>46692.6</v>
      </c>
      <c r="E20" s="68">
        <f>16153.2</f>
        <v>16153.2</v>
      </c>
      <c r="F20" s="20">
        <f t="shared" si="0"/>
        <v>0.00834093646194728</v>
      </c>
      <c r="G20" s="20">
        <f t="shared" si="1"/>
        <v>5.832200849362978</v>
      </c>
      <c r="H20" s="17"/>
    </row>
    <row r="21" spans="2:8" ht="12.75">
      <c r="B21" s="71" t="s">
        <v>6</v>
      </c>
      <c r="C21" s="68">
        <f>464000</f>
        <v>464000</v>
      </c>
      <c r="D21" s="68">
        <f>0</f>
        <v>0</v>
      </c>
      <c r="E21" s="68">
        <f>0</f>
        <v>0</v>
      </c>
      <c r="F21" s="20">
        <f t="shared" si="0"/>
        <v>0</v>
      </c>
      <c r="G21" s="20">
        <f t="shared" si="1"/>
        <v>0</v>
      </c>
      <c r="H21" s="17"/>
    </row>
    <row r="22" spans="2:8" ht="12.75">
      <c r="B22" s="67" t="s">
        <v>8</v>
      </c>
      <c r="C22" s="68">
        <f>199000</f>
        <v>199000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  <v>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48</v>
      </c>
      <c r="C24" s="15">
        <f>29836753.37</f>
        <v>29836753.37</v>
      </c>
      <c r="D24" s="15">
        <f>599046.23</f>
        <v>599046.23</v>
      </c>
      <c r="E24" s="15">
        <f>599046.23</f>
        <v>599046.23</v>
      </c>
      <c r="F24" s="19">
        <f t="shared" si="0"/>
        <v>0.10701067283036406</v>
      </c>
      <c r="G24" s="19">
        <f t="shared" si="1"/>
        <v>2.0077460257533373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47</v>
      </c>
      <c r="C25" s="14">
        <f>28263168.24</f>
        <v>28263168.24</v>
      </c>
      <c r="D25" s="14">
        <f>9010.88</f>
        <v>9010.88</v>
      </c>
      <c r="E25" s="14">
        <f>9010.88</f>
        <v>9010.88</v>
      </c>
      <c r="F25" s="20">
        <f t="shared" si="0"/>
        <v>0.001609659293897352</v>
      </c>
      <c r="G25" s="20">
        <f t="shared" si="1"/>
        <v>0.031882059093598626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69</v>
      </c>
      <c r="C26" s="73">
        <f>258123269.6</f>
        <v>258123269.6</v>
      </c>
      <c r="D26" s="73">
        <f>5508517.72</f>
        <v>5508517.72</v>
      </c>
      <c r="E26" s="73">
        <f>5508517.72</f>
        <v>5508517.72</v>
      </c>
      <c r="F26" s="74">
        <f t="shared" si="0"/>
        <v>0.9840145184040019</v>
      </c>
      <c r="G26" s="74">
        <f t="shared" si="1"/>
        <v>2.1340647546175355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70</v>
      </c>
      <c r="C27" s="14">
        <f>228333556.72</f>
        <v>228333556.72</v>
      </c>
      <c r="D27" s="14">
        <f>5508517.72</f>
        <v>5508517.72</v>
      </c>
      <c r="E27" s="14">
        <f>5508517.72</f>
        <v>5508517.72</v>
      </c>
      <c r="F27" s="20">
        <f t="shared" si="0"/>
        <v>0.9840145184040019</v>
      </c>
      <c r="G27" s="20">
        <f t="shared" si="1"/>
        <v>2.412487152186292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2555785620.3</v>
      </c>
      <c r="D29" s="73">
        <f>+D6</f>
        <v>559800451.82</v>
      </c>
      <c r="E29" s="73">
        <f>+E6</f>
        <v>528022662.59</v>
      </c>
      <c r="F29" s="74">
        <f t="shared" si="0"/>
        <v>100</v>
      </c>
      <c r="G29" s="74">
        <f t="shared" si="1"/>
        <v>21.903263222612946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71</v>
      </c>
      <c r="C30" s="14">
        <f>396420809.93</f>
        <v>396420809.93</v>
      </c>
      <c r="D30" s="14">
        <f>13323440.94</f>
        <v>13323440.94</v>
      </c>
      <c r="E30" s="14">
        <f>13084500.94</f>
        <v>13084500.94</v>
      </c>
      <c r="F30" s="20">
        <f t="shared" si="0"/>
        <v>2.3800339740140224</v>
      </c>
      <c r="G30" s="20">
        <f t="shared" si="1"/>
        <v>3.3609337870917155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72</v>
      </c>
      <c r="C31" s="14">
        <f>C29-C30</f>
        <v>2159364810.3700004</v>
      </c>
      <c r="D31" s="14">
        <f>D29-D30</f>
        <v>546477010.88</v>
      </c>
      <c r="E31" s="14">
        <f>E29-E30</f>
        <v>514938161.65</v>
      </c>
      <c r="F31" s="20">
        <f t="shared" si="0"/>
        <v>97.61996602598597</v>
      </c>
      <c r="G31" s="20">
        <f t="shared" si="1"/>
        <v>25.307303715223686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6.25" customHeight="1">
      <c r="B33" s="87" t="s">
        <v>86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63"/>
    </row>
    <row r="34" spans="2:13" s="5" customFormat="1" ht="6" customHeight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8" t="s">
        <v>73</v>
      </c>
      <c r="D35" s="98" t="s">
        <v>74</v>
      </c>
      <c r="E35" s="98" t="s">
        <v>75</v>
      </c>
      <c r="F35" s="98" t="s">
        <v>12</v>
      </c>
      <c r="G35" s="98"/>
      <c r="H35" s="98"/>
      <c r="I35" s="98" t="s">
        <v>76</v>
      </c>
      <c r="J35" s="98"/>
      <c r="K35" s="98" t="s">
        <v>2</v>
      </c>
      <c r="L35" s="96" t="s">
        <v>32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8"/>
      <c r="D36" s="107"/>
      <c r="E36" s="98"/>
      <c r="F36" s="91" t="s">
        <v>77</v>
      </c>
      <c r="G36" s="108" t="s">
        <v>31</v>
      </c>
      <c r="H36" s="107"/>
      <c r="I36" s="98"/>
      <c r="J36" s="98"/>
      <c r="K36" s="98"/>
      <c r="L36" s="96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8"/>
      <c r="D37" s="107"/>
      <c r="E37" s="98"/>
      <c r="F37" s="107"/>
      <c r="G37" s="48" t="s">
        <v>78</v>
      </c>
      <c r="H37" s="48" t="s">
        <v>79</v>
      </c>
      <c r="I37" s="98"/>
      <c r="J37" s="98"/>
      <c r="K37" s="98"/>
      <c r="L37" s="96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106" t="s">
        <v>49</v>
      </c>
      <c r="D38" s="106"/>
      <c r="E38" s="106"/>
      <c r="F38" s="106"/>
      <c r="G38" s="106"/>
      <c r="H38" s="106"/>
      <c r="I38" s="106"/>
      <c r="J38" s="106"/>
      <c r="K38" s="106" t="s">
        <v>4</v>
      </c>
      <c r="L38" s="10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107">
        <v>8</v>
      </c>
      <c r="J39" s="107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41</v>
      </c>
      <c r="C40" s="75">
        <f>2481765281.97</f>
        <v>2481765281.97</v>
      </c>
      <c r="D40" s="75">
        <f>1066375310.76</f>
        <v>1066375310.76</v>
      </c>
      <c r="E40" s="75">
        <f>441411560.49</f>
        <v>441411560.49</v>
      </c>
      <c r="F40" s="75">
        <f>118803926.89</f>
        <v>118803926.89</v>
      </c>
      <c r="G40" s="75">
        <f>1017855.41</f>
        <v>1017855.41</v>
      </c>
      <c r="H40" s="75">
        <f>2219668.33</f>
        <v>2219668.33</v>
      </c>
      <c r="I40" s="114">
        <f>0</f>
        <v>0</v>
      </c>
      <c r="J40" s="114"/>
      <c r="K40" s="42">
        <f aca="true" t="shared" si="2" ref="K40:K51">IF($E$40=0,"",100*$E40/$E$40)</f>
        <v>100</v>
      </c>
      <c r="L40" s="42">
        <f aca="true" t="shared" si="3" ref="L40:L51">IF(C40=0,"",100*E40/C40)</f>
        <v>17.78619290457686</v>
      </c>
      <c r="M40" s="22"/>
    </row>
    <row r="41" spans="2:13" ht="12.75">
      <c r="B41" s="52" t="s">
        <v>14</v>
      </c>
      <c r="C41" s="16">
        <f>636818396.55</f>
        <v>636818396.55</v>
      </c>
      <c r="D41" s="16">
        <f>166666098.62</f>
        <v>166666098.62</v>
      </c>
      <c r="E41" s="16">
        <f>25574189.06</f>
        <v>25574189.06</v>
      </c>
      <c r="F41" s="16">
        <f>848025.8</f>
        <v>848025.8</v>
      </c>
      <c r="G41" s="16">
        <f>0</f>
        <v>0</v>
      </c>
      <c r="H41" s="16">
        <f>0</f>
        <v>0</v>
      </c>
      <c r="I41" s="109">
        <f>0</f>
        <v>0</v>
      </c>
      <c r="J41" s="115"/>
      <c r="K41" s="21">
        <f t="shared" si="2"/>
        <v>5.793728880052604</v>
      </c>
      <c r="L41" s="21">
        <f t="shared" si="3"/>
        <v>4.015931260552401</v>
      </c>
      <c r="M41" s="22"/>
    </row>
    <row r="42" spans="2:13" ht="12.75">
      <c r="B42" s="67" t="s">
        <v>13</v>
      </c>
      <c r="C42" s="68">
        <f>636218614.51</f>
        <v>636218614.51</v>
      </c>
      <c r="D42" s="68">
        <f>166560198.62</f>
        <v>166560198.62</v>
      </c>
      <c r="E42" s="68">
        <f>25468289.06</f>
        <v>25468289.06</v>
      </c>
      <c r="F42" s="68">
        <f>848025.8</f>
        <v>848025.8</v>
      </c>
      <c r="G42" s="68">
        <f>0</f>
        <v>0</v>
      </c>
      <c r="H42" s="68">
        <f>0</f>
        <v>0</v>
      </c>
      <c r="I42" s="110">
        <f>0</f>
        <v>0</v>
      </c>
      <c r="J42" s="110"/>
      <c r="K42" s="77">
        <f t="shared" si="2"/>
        <v>5.769737664262414</v>
      </c>
      <c r="L42" s="77">
        <f t="shared" si="3"/>
        <v>4.003071975442758</v>
      </c>
      <c r="M42" s="22"/>
    </row>
    <row r="43" spans="2:13" ht="22.5">
      <c r="B43" s="64" t="s">
        <v>42</v>
      </c>
      <c r="C43" s="76">
        <f aca="true" t="shared" si="4" ref="C43:I43">C40-C41</f>
        <v>1844946885.4199998</v>
      </c>
      <c r="D43" s="76">
        <f t="shared" si="4"/>
        <v>899709212.14</v>
      </c>
      <c r="E43" s="76">
        <f t="shared" si="4"/>
        <v>415837371.43</v>
      </c>
      <c r="F43" s="76">
        <f t="shared" si="4"/>
        <v>117955901.09</v>
      </c>
      <c r="G43" s="76">
        <f t="shared" si="4"/>
        <v>1017855.41</v>
      </c>
      <c r="H43" s="76">
        <f t="shared" si="4"/>
        <v>2219668.33</v>
      </c>
      <c r="I43" s="109">
        <f t="shared" si="4"/>
        <v>0</v>
      </c>
      <c r="J43" s="109"/>
      <c r="K43" s="42">
        <f t="shared" si="2"/>
        <v>94.20627111994739</v>
      </c>
      <c r="L43" s="42">
        <f t="shared" si="3"/>
        <v>22.539259786621724</v>
      </c>
      <c r="M43" s="22"/>
    </row>
    <row r="44" spans="2:13" ht="13.5" customHeight="1">
      <c r="B44" s="67" t="s">
        <v>38</v>
      </c>
      <c r="C44" s="68">
        <f>137342812.77</f>
        <v>137342812.77</v>
      </c>
      <c r="D44" s="68">
        <f>94666901.38</f>
        <v>94666901.38</v>
      </c>
      <c r="E44" s="68">
        <f>34146725.11</f>
        <v>34146725.11</v>
      </c>
      <c r="F44" s="68">
        <f>4570450.46</f>
        <v>4570450.46</v>
      </c>
      <c r="G44" s="68">
        <f>0</f>
        <v>0</v>
      </c>
      <c r="H44" s="68">
        <f>0</f>
        <v>0</v>
      </c>
      <c r="I44" s="110">
        <f>0</f>
        <v>0</v>
      </c>
      <c r="J44" s="110"/>
      <c r="K44" s="77">
        <f t="shared" si="2"/>
        <v>7.735802177925419</v>
      </c>
      <c r="L44" s="77">
        <f t="shared" si="3"/>
        <v>24.862404097681853</v>
      </c>
      <c r="M44" s="22"/>
    </row>
    <row r="45" spans="2:13" ht="22.5">
      <c r="B45" s="71" t="s">
        <v>33</v>
      </c>
      <c r="C45" s="79">
        <f>119239859.5</f>
        <v>119239859.5</v>
      </c>
      <c r="D45" s="79">
        <f>80245378.01</f>
        <v>80245378.01</v>
      </c>
      <c r="E45" s="79">
        <f>25479347.3</f>
        <v>25479347.3</v>
      </c>
      <c r="F45" s="79">
        <f>4343134.86</f>
        <v>4343134.86</v>
      </c>
      <c r="G45" s="79">
        <f>0</f>
        <v>0</v>
      </c>
      <c r="H45" s="79">
        <f>0</f>
        <v>0</v>
      </c>
      <c r="I45" s="111">
        <f>0</f>
        <v>0</v>
      </c>
      <c r="J45" s="111"/>
      <c r="K45" s="77">
        <f t="shared" si="2"/>
        <v>5.772242863715669</v>
      </c>
      <c r="L45" s="77">
        <f t="shared" si="3"/>
        <v>21.368146026706782</v>
      </c>
      <c r="M45" s="22"/>
    </row>
    <row r="46" spans="2:13" ht="12.75">
      <c r="B46" s="67" t="s">
        <v>37</v>
      </c>
      <c r="C46" s="68">
        <f>25555818.25</f>
        <v>25555818.25</v>
      </c>
      <c r="D46" s="68">
        <f>17397680.9</f>
        <v>17397680.9</v>
      </c>
      <c r="E46" s="68">
        <f>5883529.17</f>
        <v>5883529.17</v>
      </c>
      <c r="F46" s="68">
        <f>1501134.79</f>
        <v>1501134.79</v>
      </c>
      <c r="G46" s="68">
        <f>0</f>
        <v>0</v>
      </c>
      <c r="H46" s="68">
        <f>0</f>
        <v>0</v>
      </c>
      <c r="I46" s="110">
        <f>0</f>
        <v>0</v>
      </c>
      <c r="J46" s="110"/>
      <c r="K46" s="77">
        <f t="shared" si="2"/>
        <v>1.3328896876803227</v>
      </c>
      <c r="L46" s="77">
        <f t="shared" si="3"/>
        <v>23.02226879391741</v>
      </c>
      <c r="M46" s="22"/>
    </row>
    <row r="47" spans="2:13" ht="12.75">
      <c r="B47" s="67" t="s">
        <v>36</v>
      </c>
      <c r="C47" s="79">
        <f>12917508.44</f>
        <v>12917508.44</v>
      </c>
      <c r="D47" s="79">
        <f>1241905.34</f>
        <v>1241905.34</v>
      </c>
      <c r="E47" s="79">
        <f>455388.01</f>
        <v>455388.01</v>
      </c>
      <c r="F47" s="79">
        <f>271705.83</f>
        <v>271705.83</v>
      </c>
      <c r="G47" s="79">
        <f>0</f>
        <v>0</v>
      </c>
      <c r="H47" s="79">
        <f>0</f>
        <v>0</v>
      </c>
      <c r="I47" s="111">
        <f>0</f>
        <v>0</v>
      </c>
      <c r="J47" s="111"/>
      <c r="K47" s="77">
        <f t="shared" si="2"/>
        <v>0.10316630799032202</v>
      </c>
      <c r="L47" s="77">
        <f t="shared" si="3"/>
        <v>3.5253548477650543</v>
      </c>
      <c r="M47" s="22"/>
    </row>
    <row r="48" spans="2:13" ht="12.75">
      <c r="B48" s="67" t="s">
        <v>35</v>
      </c>
      <c r="C48" s="68">
        <f>11714955.5</f>
        <v>11714955.5</v>
      </c>
      <c r="D48" s="68">
        <f>5308515.11</f>
        <v>5308515.11</v>
      </c>
      <c r="E48" s="68">
        <f>2578980.31</f>
        <v>2578980.31</v>
      </c>
      <c r="F48" s="68">
        <f>87804.82</f>
        <v>87804.82</v>
      </c>
      <c r="G48" s="68">
        <f>0</f>
        <v>0</v>
      </c>
      <c r="H48" s="68">
        <f>0</f>
        <v>0</v>
      </c>
      <c r="I48" s="110">
        <f>0</f>
        <v>0</v>
      </c>
      <c r="J48" s="110"/>
      <c r="K48" s="77">
        <f t="shared" si="2"/>
        <v>0.5842575366936783</v>
      </c>
      <c r="L48" s="77">
        <f t="shared" si="3"/>
        <v>22.01442685804483</v>
      </c>
      <c r="M48" s="22"/>
    </row>
    <row r="49" spans="2:13" ht="22.5" customHeight="1">
      <c r="B49" s="67" t="s">
        <v>45</v>
      </c>
      <c r="C49" s="79">
        <f>0</f>
        <v>0</v>
      </c>
      <c r="D49" s="79">
        <f>0</f>
        <v>0</v>
      </c>
      <c r="E49" s="79">
        <f>0</f>
        <v>0</v>
      </c>
      <c r="F49" s="79">
        <f>0</f>
        <v>0</v>
      </c>
      <c r="G49" s="79">
        <f>0</f>
        <v>0</v>
      </c>
      <c r="H49" s="79">
        <f>0</f>
        <v>0</v>
      </c>
      <c r="I49" s="111">
        <f>0</f>
        <v>0</v>
      </c>
      <c r="J49" s="111"/>
      <c r="K49" s="77">
        <f t="shared" si="2"/>
        <v>0</v>
      </c>
      <c r="L49" s="77">
        <f t="shared" si="3"/>
      </c>
      <c r="M49" s="22"/>
    </row>
    <row r="50" spans="2:13" ht="22.5" customHeight="1">
      <c r="B50" s="67" t="s">
        <v>46</v>
      </c>
      <c r="C50" s="79">
        <f>1666729</f>
        <v>1666729</v>
      </c>
      <c r="D50" s="79">
        <f>845450.79</f>
        <v>845450.79</v>
      </c>
      <c r="E50" s="79">
        <f>304130.63</f>
        <v>304130.63</v>
      </c>
      <c r="F50" s="79">
        <f>88167.71</f>
        <v>88167.71</v>
      </c>
      <c r="G50" s="79">
        <f>0</f>
        <v>0</v>
      </c>
      <c r="H50" s="79">
        <f>0</f>
        <v>0</v>
      </c>
      <c r="I50" s="112">
        <f>0</f>
        <v>0</v>
      </c>
      <c r="J50" s="113"/>
      <c r="K50" s="77">
        <f t="shared" si="2"/>
        <v>0.06889956159335567</v>
      </c>
      <c r="L50" s="77">
        <f t="shared" si="3"/>
        <v>18.247155356389673</v>
      </c>
      <c r="M50" s="22"/>
    </row>
    <row r="51" spans="2:13" ht="12.75">
      <c r="B51" s="67" t="s">
        <v>34</v>
      </c>
      <c r="C51" s="68">
        <f aca="true" t="shared" si="5" ref="C51:I51">C43-C44-C46-C47-C48-C49-C50</f>
        <v>1655749061.4599998</v>
      </c>
      <c r="D51" s="68">
        <f t="shared" si="5"/>
        <v>780248758.62</v>
      </c>
      <c r="E51" s="68">
        <f t="shared" si="5"/>
        <v>372468618.2</v>
      </c>
      <c r="F51" s="68">
        <f t="shared" si="5"/>
        <v>111436637.48000002</v>
      </c>
      <c r="G51" s="68">
        <f t="shared" si="5"/>
        <v>1017855.41</v>
      </c>
      <c r="H51" s="68">
        <f t="shared" si="5"/>
        <v>2219668.33</v>
      </c>
      <c r="I51" s="112">
        <f t="shared" si="5"/>
        <v>0</v>
      </c>
      <c r="J51" s="113"/>
      <c r="K51" s="77">
        <f t="shared" si="2"/>
        <v>84.3812558480643</v>
      </c>
      <c r="L51" s="77">
        <f t="shared" si="3"/>
        <v>22.495475121789656</v>
      </c>
      <c r="M51" s="22"/>
    </row>
    <row r="52" spans="2:13" ht="12.75">
      <c r="B52" s="64" t="s">
        <v>15</v>
      </c>
      <c r="C52" s="76">
        <f>C6-C40</f>
        <v>74020338.3300004</v>
      </c>
      <c r="D52" s="76"/>
      <c r="E52" s="76">
        <f>D6-E40</f>
        <v>118388891.33000004</v>
      </c>
      <c r="F52" s="76"/>
      <c r="G52" s="76"/>
      <c r="H52" s="76"/>
      <c r="I52" s="109"/>
      <c r="J52" s="109"/>
      <c r="K52" s="80"/>
      <c r="L52" s="80"/>
      <c r="M52" s="54"/>
    </row>
    <row r="53" spans="2:13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28.5" customHeight="1">
      <c r="B54" s="87" t="s">
        <v>86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63"/>
    </row>
    <row r="55" spans="2:13" ht="12.75">
      <c r="B55" s="58" t="s">
        <v>16</v>
      </c>
      <c r="C55" s="89" t="s">
        <v>17</v>
      </c>
      <c r="D55" s="90"/>
      <c r="E55" s="89" t="s">
        <v>1</v>
      </c>
      <c r="F55" s="90"/>
      <c r="G55" s="50" t="s">
        <v>21</v>
      </c>
      <c r="H55" s="50" t="s">
        <v>22</v>
      </c>
      <c r="I55" s="47"/>
      <c r="J55" s="47"/>
      <c r="K55" s="47"/>
      <c r="L55" s="47"/>
      <c r="M55" s="47"/>
    </row>
    <row r="56" spans="2:13" ht="12.75">
      <c r="B56" s="58"/>
      <c r="C56" s="91" t="s">
        <v>49</v>
      </c>
      <c r="D56" s="92"/>
      <c r="E56" s="92"/>
      <c r="F56" s="93"/>
      <c r="G56" s="94" t="s">
        <v>4</v>
      </c>
      <c r="H56" s="95"/>
      <c r="I56" s="47"/>
      <c r="J56" s="47"/>
      <c r="K56" s="47"/>
      <c r="L56" s="47"/>
      <c r="M56" s="47"/>
    </row>
    <row r="57" spans="2:13" ht="12.75">
      <c r="B57" s="59">
        <v>1</v>
      </c>
      <c r="C57" s="60">
        <v>2</v>
      </c>
      <c r="D57" s="61"/>
      <c r="E57" s="60">
        <v>3</v>
      </c>
      <c r="F57" s="61"/>
      <c r="G57" s="62">
        <v>4</v>
      </c>
      <c r="H57" s="62">
        <v>5</v>
      </c>
      <c r="I57" s="47"/>
      <c r="J57" s="47"/>
      <c r="K57" s="47"/>
      <c r="L57" s="47"/>
      <c r="M57" s="47"/>
    </row>
    <row r="58" spans="2:13" ht="22.5">
      <c r="B58" s="56" t="s">
        <v>43</v>
      </c>
      <c r="C58" s="29">
        <f>155549892.04</f>
        <v>155549892.04</v>
      </c>
      <c r="D58" s="30"/>
      <c r="E58" s="29">
        <f>252860099.1</f>
        <v>252860099.1</v>
      </c>
      <c r="F58" s="30"/>
      <c r="G58" s="26">
        <f>IF($E$58=0,"",100*$E58/$E$58)</f>
        <v>100</v>
      </c>
      <c r="H58" s="21">
        <f>IF(C58=0,"",100*E58/C58)</f>
        <v>162.55883934331274</v>
      </c>
      <c r="I58" s="47"/>
      <c r="J58" s="47"/>
      <c r="K58" s="47"/>
      <c r="L58" s="47"/>
      <c r="M58" s="47"/>
    </row>
    <row r="59" spans="2:13" ht="12.75">
      <c r="B59" s="23" t="s">
        <v>24</v>
      </c>
      <c r="C59" s="31">
        <f>60903079.49</f>
        <v>60903079.49</v>
      </c>
      <c r="D59" s="32"/>
      <c r="E59" s="31">
        <f>10730609.99</f>
        <v>10730609.99</v>
      </c>
      <c r="F59" s="32"/>
      <c r="G59" s="40">
        <f aca="true" t="shared" si="6" ref="G59:G69">IF($E$58=0,"",100*$E59/$E$58)</f>
        <v>4.243694449299534</v>
      </c>
      <c r="H59" s="41">
        <f aca="true" t="shared" si="7" ref="H59:H76">IF(C59=0,"",100*E59/C59)</f>
        <v>17.619158308344517</v>
      </c>
      <c r="I59" s="47"/>
      <c r="J59" s="47"/>
      <c r="K59" s="47"/>
      <c r="L59" s="47"/>
      <c r="M59" s="47"/>
    </row>
    <row r="60" spans="2:13" ht="56.25">
      <c r="B60" s="81" t="s">
        <v>51</v>
      </c>
      <c r="C60" s="82">
        <f>0</f>
        <v>0</v>
      </c>
      <c r="D60" s="83"/>
      <c r="E60" s="82">
        <f>0</f>
        <v>0</v>
      </c>
      <c r="F60" s="83"/>
      <c r="G60" s="84">
        <f t="shared" si="6"/>
        <v>0</v>
      </c>
      <c r="H60" s="78">
        <f t="shared" si="7"/>
      </c>
      <c r="I60" s="47"/>
      <c r="J60" s="47"/>
      <c r="K60" s="47"/>
      <c r="L60" s="47"/>
      <c r="M60" s="47"/>
    </row>
    <row r="61" spans="2:13" ht="12.75">
      <c r="B61" s="85" t="s">
        <v>27</v>
      </c>
      <c r="C61" s="82">
        <f>100000</f>
        <v>100000</v>
      </c>
      <c r="D61" s="83"/>
      <c r="E61" s="82">
        <f>100000</f>
        <v>100000</v>
      </c>
      <c r="F61" s="83"/>
      <c r="G61" s="84">
        <f t="shared" si="6"/>
        <v>0.03954756023426711</v>
      </c>
      <c r="H61" s="78">
        <f t="shared" si="7"/>
        <v>100</v>
      </c>
      <c r="I61" s="47"/>
      <c r="J61" s="47"/>
      <c r="K61" s="47"/>
      <c r="L61" s="47"/>
      <c r="M61" s="47"/>
    </row>
    <row r="62" spans="2:13" ht="12.75">
      <c r="B62" s="85" t="s">
        <v>25</v>
      </c>
      <c r="C62" s="82">
        <f>77875622.15</f>
        <v>77875622.15</v>
      </c>
      <c r="D62" s="83"/>
      <c r="E62" s="82">
        <f>177249036.82</f>
        <v>177249036.82</v>
      </c>
      <c r="F62" s="83"/>
      <c r="G62" s="84">
        <f t="shared" si="6"/>
        <v>70.09766960104778</v>
      </c>
      <c r="H62" s="78">
        <f t="shared" si="7"/>
        <v>227.605291523183</v>
      </c>
      <c r="I62" s="47"/>
      <c r="J62" s="47"/>
      <c r="K62" s="47"/>
      <c r="L62" s="47"/>
      <c r="M62" s="47"/>
    </row>
    <row r="63" spans="2:13" ht="12.75">
      <c r="B63" s="85" t="s">
        <v>84</v>
      </c>
      <c r="C63" s="82">
        <f>0</f>
        <v>0</v>
      </c>
      <c r="D63" s="83"/>
      <c r="E63" s="82">
        <f>0</f>
        <v>0</v>
      </c>
      <c r="F63" s="83"/>
      <c r="G63" s="84">
        <f t="shared" si="6"/>
        <v>0</v>
      </c>
      <c r="H63" s="78">
        <f t="shared" si="7"/>
      </c>
      <c r="I63" s="47"/>
      <c r="J63" s="47"/>
      <c r="K63" s="47"/>
      <c r="L63" s="47"/>
      <c r="M63" s="47"/>
    </row>
    <row r="64" spans="2:13" ht="12.75">
      <c r="B64" s="85" t="s">
        <v>26</v>
      </c>
      <c r="C64" s="82">
        <f>0</f>
        <v>0</v>
      </c>
      <c r="D64" s="83"/>
      <c r="E64" s="82">
        <f>0</f>
        <v>0</v>
      </c>
      <c r="F64" s="83"/>
      <c r="G64" s="84">
        <f t="shared" si="6"/>
        <v>0</v>
      </c>
      <c r="H64" s="78">
        <f t="shared" si="7"/>
      </c>
      <c r="I64" s="47"/>
      <c r="J64" s="47"/>
      <c r="K64" s="47"/>
      <c r="L64" s="47"/>
      <c r="M64" s="47"/>
    </row>
    <row r="65" spans="2:13" ht="56.25">
      <c r="B65" s="81" t="s">
        <v>51</v>
      </c>
      <c r="C65" s="82">
        <f>0</f>
        <v>0</v>
      </c>
      <c r="D65" s="83"/>
      <c r="E65" s="82">
        <f>0</f>
        <v>0</v>
      </c>
      <c r="F65" s="83"/>
      <c r="G65" s="84">
        <f t="shared" si="6"/>
        <v>0</v>
      </c>
      <c r="H65" s="78">
        <f t="shared" si="7"/>
      </c>
      <c r="I65" s="47"/>
      <c r="J65" s="47"/>
      <c r="K65" s="47"/>
      <c r="L65" s="47"/>
      <c r="M65" s="47"/>
    </row>
    <row r="66" spans="2:13" ht="12.75">
      <c r="B66" s="85" t="s">
        <v>28</v>
      </c>
      <c r="C66" s="82">
        <f>16416190.4</f>
        <v>16416190.4</v>
      </c>
      <c r="D66" s="83"/>
      <c r="E66" s="82">
        <f>64367437.2</f>
        <v>64367437.2</v>
      </c>
      <c r="F66" s="83"/>
      <c r="G66" s="84">
        <f t="shared" si="6"/>
        <v>25.455750997924053</v>
      </c>
      <c r="H66" s="78">
        <f t="shared" si="7"/>
        <v>392.0972870782493</v>
      </c>
      <c r="I66" s="47"/>
      <c r="J66" s="47"/>
      <c r="K66" s="47"/>
      <c r="L66" s="47"/>
      <c r="M66" s="47"/>
    </row>
    <row r="67" spans="2:13" ht="33.75">
      <c r="B67" s="85" t="s">
        <v>53</v>
      </c>
      <c r="C67" s="82">
        <f>255000</f>
        <v>255000</v>
      </c>
      <c r="D67" s="83"/>
      <c r="E67" s="82">
        <f>413015.09</f>
        <v>413015.09</v>
      </c>
      <c r="F67" s="83"/>
      <c r="G67" s="84">
        <f t="shared" si="6"/>
        <v>0.16333739149436252</v>
      </c>
      <c r="H67" s="78">
        <f t="shared" si="7"/>
        <v>161.96670196078432</v>
      </c>
      <c r="I67" s="47"/>
      <c r="J67" s="47"/>
      <c r="K67" s="47"/>
      <c r="L67" s="47"/>
      <c r="M67" s="47"/>
    </row>
    <row r="68" spans="2:13" ht="12.75">
      <c r="B68" s="81" t="s">
        <v>52</v>
      </c>
      <c r="C68" s="82">
        <f>0</f>
        <v>0</v>
      </c>
      <c r="D68" s="83"/>
      <c r="E68" s="82">
        <f>0</f>
        <v>0</v>
      </c>
      <c r="F68" s="83"/>
      <c r="G68" s="84">
        <f t="shared" si="6"/>
        <v>0</v>
      </c>
      <c r="H68" s="78">
        <f t="shared" si="7"/>
      </c>
      <c r="I68" s="47"/>
      <c r="J68" s="47"/>
      <c r="K68" s="47"/>
      <c r="L68" s="47"/>
      <c r="M68" s="47"/>
    </row>
    <row r="69" spans="2:13" ht="12.75">
      <c r="B69" s="81" t="s">
        <v>54</v>
      </c>
      <c r="C69" s="82">
        <f>0</f>
        <v>0</v>
      </c>
      <c r="D69" s="83"/>
      <c r="E69" s="82">
        <f>0</f>
        <v>0</v>
      </c>
      <c r="F69" s="83"/>
      <c r="G69" s="84">
        <f t="shared" si="6"/>
        <v>0</v>
      </c>
      <c r="H69" s="78">
        <f t="shared" si="7"/>
      </c>
      <c r="I69" s="47"/>
      <c r="J69" s="47"/>
      <c r="K69" s="47"/>
      <c r="L69" s="47"/>
      <c r="M69" s="47"/>
    </row>
    <row r="70" spans="2:13" ht="22.5">
      <c r="B70" s="56" t="s">
        <v>44</v>
      </c>
      <c r="C70" s="37">
        <f>229570230.37</f>
        <v>229570230.37</v>
      </c>
      <c r="D70" s="38"/>
      <c r="E70" s="37">
        <f>23574567.47</f>
        <v>23574567.47</v>
      </c>
      <c r="F70" s="38"/>
      <c r="G70" s="26">
        <f>IF($E$70=0,"",100*$E70/$E$70)</f>
        <v>100</v>
      </c>
      <c r="H70" s="21">
        <f t="shared" si="7"/>
        <v>10.269000223593755</v>
      </c>
      <c r="I70" s="47"/>
      <c r="J70" s="47"/>
      <c r="K70" s="47"/>
      <c r="L70" s="47"/>
      <c r="M70" s="47"/>
    </row>
    <row r="71" spans="2:13" ht="12.75">
      <c r="B71" s="23" t="s">
        <v>29</v>
      </c>
      <c r="C71" s="31">
        <f>34067451.66</f>
        <v>34067451.66</v>
      </c>
      <c r="D71" s="35"/>
      <c r="E71" s="36">
        <f>9481180.93</f>
        <v>9481180.93</v>
      </c>
      <c r="F71" s="35"/>
      <c r="G71" s="40">
        <f aca="true" t="shared" si="8" ref="G71:G76">IF($E$70=0,"",100*$E71/$E$70)</f>
        <v>40.21783620024143</v>
      </c>
      <c r="H71" s="41">
        <f t="shared" si="7"/>
        <v>27.830613879265428</v>
      </c>
      <c r="I71" s="47"/>
      <c r="J71" s="47"/>
      <c r="K71" s="47"/>
      <c r="L71" s="47"/>
      <c r="M71" s="47"/>
    </row>
    <row r="72" spans="2:13" ht="56.25">
      <c r="B72" s="81" t="s">
        <v>51</v>
      </c>
      <c r="C72" s="82">
        <f>0</f>
        <v>0</v>
      </c>
      <c r="D72" s="83"/>
      <c r="E72" s="82">
        <f>0</f>
        <v>0</v>
      </c>
      <c r="F72" s="83"/>
      <c r="G72" s="84">
        <f t="shared" si="8"/>
        <v>0</v>
      </c>
      <c r="H72" s="78">
        <f t="shared" si="7"/>
      </c>
      <c r="I72" s="47"/>
      <c r="J72" s="47"/>
      <c r="K72" s="47"/>
      <c r="L72" s="47"/>
      <c r="M72" s="47"/>
    </row>
    <row r="73" spans="2:13" ht="12.75">
      <c r="B73" s="85" t="s">
        <v>30</v>
      </c>
      <c r="C73" s="82">
        <f>0</f>
        <v>0</v>
      </c>
      <c r="D73" s="83"/>
      <c r="E73" s="82">
        <f>665000</f>
        <v>665000</v>
      </c>
      <c r="F73" s="83"/>
      <c r="G73" s="84">
        <f t="shared" si="8"/>
        <v>2.8208364834105693</v>
      </c>
      <c r="H73" s="78">
        <f t="shared" si="7"/>
      </c>
      <c r="I73" s="47"/>
      <c r="J73" s="47"/>
      <c r="K73" s="47"/>
      <c r="L73" s="47"/>
      <c r="M73" s="47"/>
    </row>
    <row r="74" spans="2:13" ht="22.5">
      <c r="B74" s="85" t="s">
        <v>85</v>
      </c>
      <c r="C74" s="82">
        <f>195502778.71</f>
        <v>195502778.71</v>
      </c>
      <c r="D74" s="83"/>
      <c r="E74" s="82">
        <f>13428386.54</f>
        <v>13428386.54</v>
      </c>
      <c r="F74" s="83"/>
      <c r="G74" s="84">
        <f t="shared" si="8"/>
        <v>56.961327316348005</v>
      </c>
      <c r="H74" s="78">
        <f t="shared" si="7"/>
        <v>6.8686422917390155</v>
      </c>
      <c r="I74" s="47"/>
      <c r="J74" s="47"/>
      <c r="K74" s="47"/>
      <c r="L74" s="47"/>
      <c r="M74" s="47"/>
    </row>
    <row r="75" spans="2:13" ht="56.25">
      <c r="B75" s="81" t="s">
        <v>51</v>
      </c>
      <c r="C75" s="82">
        <f>0</f>
        <v>0</v>
      </c>
      <c r="D75" s="83"/>
      <c r="E75" s="82">
        <f>0</f>
        <v>0</v>
      </c>
      <c r="F75" s="83"/>
      <c r="G75" s="84">
        <f t="shared" si="8"/>
        <v>0</v>
      </c>
      <c r="H75" s="78">
        <f t="shared" si="7"/>
      </c>
      <c r="I75" s="47"/>
      <c r="J75" s="47"/>
      <c r="K75" s="47"/>
      <c r="L75" s="47"/>
      <c r="M75" s="47"/>
    </row>
    <row r="76" spans="2:13" ht="12.75">
      <c r="B76" s="85" t="s">
        <v>23</v>
      </c>
      <c r="C76" s="82">
        <f>0</f>
        <v>0</v>
      </c>
      <c r="D76" s="83"/>
      <c r="E76" s="82">
        <f>0</f>
        <v>0</v>
      </c>
      <c r="F76" s="83"/>
      <c r="G76" s="84">
        <f t="shared" si="8"/>
        <v>0</v>
      </c>
      <c r="H76" s="78">
        <f t="shared" si="7"/>
      </c>
      <c r="I76" s="47"/>
      <c r="J76" s="47"/>
      <c r="K76" s="47"/>
      <c r="L76" s="47"/>
      <c r="M76" s="47"/>
    </row>
    <row r="77" spans="2:13" ht="12.75">
      <c r="B77" s="22"/>
      <c r="C77" s="22"/>
      <c r="D77" s="22"/>
      <c r="E77" s="22"/>
      <c r="F77" s="22"/>
      <c r="G77" s="22"/>
      <c r="H77" s="22"/>
      <c r="I77" s="47"/>
      <c r="J77" s="47"/>
      <c r="K77" s="47"/>
      <c r="L77" s="47"/>
      <c r="M77" s="47"/>
    </row>
    <row r="78" spans="2:13" ht="12.75">
      <c r="B78" s="55" t="s">
        <v>16</v>
      </c>
      <c r="C78" s="104" t="s">
        <v>17</v>
      </c>
      <c r="D78" s="105"/>
      <c r="E78" s="104" t="s">
        <v>1</v>
      </c>
      <c r="F78" s="105"/>
      <c r="G78" s="13" t="s">
        <v>21</v>
      </c>
      <c r="H78" s="13" t="s">
        <v>22</v>
      </c>
      <c r="I78" s="47"/>
      <c r="J78" s="47"/>
      <c r="K78" s="47"/>
      <c r="L78" s="47"/>
      <c r="M78" s="47"/>
    </row>
    <row r="79" spans="2:13" ht="12.75">
      <c r="B79" s="55"/>
      <c r="C79" s="99" t="s">
        <v>49</v>
      </c>
      <c r="D79" s="100"/>
      <c r="E79" s="100"/>
      <c r="F79" s="101"/>
      <c r="G79" s="102" t="s">
        <v>4</v>
      </c>
      <c r="H79" s="103"/>
      <c r="I79" s="47"/>
      <c r="J79" s="47"/>
      <c r="K79" s="47"/>
      <c r="L79" s="47"/>
      <c r="M79" s="47"/>
    </row>
    <row r="80" spans="2:13" ht="12.75">
      <c r="B80" s="24">
        <v>1</v>
      </c>
      <c r="C80" s="27">
        <v>2</v>
      </c>
      <c r="D80" s="28"/>
      <c r="E80" s="27">
        <v>3</v>
      </c>
      <c r="F80" s="28"/>
      <c r="G80" s="25">
        <v>4</v>
      </c>
      <c r="H80" s="25">
        <v>5</v>
      </c>
      <c r="I80" s="47"/>
      <c r="J80" s="47"/>
      <c r="K80" s="47"/>
      <c r="L80" s="47"/>
      <c r="M80" s="47"/>
    </row>
    <row r="81" spans="2:13" ht="22.5">
      <c r="B81" s="39" t="s">
        <v>55</v>
      </c>
      <c r="C81" s="34">
        <f>138998535.62</f>
        <v>138998535.62</v>
      </c>
      <c r="D81" s="33"/>
      <c r="E81" s="34">
        <f>0</f>
        <v>0</v>
      </c>
      <c r="F81" s="30"/>
      <c r="G81" s="26"/>
      <c r="H81" s="21"/>
      <c r="I81" s="47"/>
      <c r="J81" s="47"/>
      <c r="K81" s="47"/>
      <c r="L81" s="47"/>
      <c r="M81" s="47"/>
    </row>
    <row r="82" spans="2:13" ht="45">
      <c r="B82" s="44" t="s">
        <v>56</v>
      </c>
      <c r="C82" s="36">
        <f>0</f>
        <v>0</v>
      </c>
      <c r="D82" s="35"/>
      <c r="E82" s="36">
        <f>0</f>
        <v>0</v>
      </c>
      <c r="F82" s="35"/>
      <c r="G82" s="40"/>
      <c r="H82" s="41"/>
      <c r="I82" s="47"/>
      <c r="J82" s="47"/>
      <c r="K82" s="47"/>
      <c r="L82" s="47"/>
      <c r="M82" s="47"/>
    </row>
    <row r="83" spans="2:13" ht="12.75">
      <c r="B83" s="44" t="s">
        <v>57</v>
      </c>
      <c r="C83" s="36">
        <f>56630302.15</f>
        <v>56630302.15</v>
      </c>
      <c r="D83" s="35"/>
      <c r="E83" s="36">
        <f>0</f>
        <v>0</v>
      </c>
      <c r="F83" s="35"/>
      <c r="G83" s="40"/>
      <c r="H83" s="41"/>
      <c r="I83" s="47"/>
      <c r="J83" s="47"/>
      <c r="K83" s="47"/>
      <c r="L83" s="47"/>
      <c r="M83" s="47"/>
    </row>
    <row r="84" spans="2:13" ht="22.5">
      <c r="B84" s="44" t="s">
        <v>58</v>
      </c>
      <c r="C84" s="36">
        <f>0</f>
        <v>0</v>
      </c>
      <c r="D84" s="35"/>
      <c r="E84" s="36">
        <f>0</f>
        <v>0</v>
      </c>
      <c r="F84" s="35"/>
      <c r="G84" s="40"/>
      <c r="H84" s="41"/>
      <c r="I84" s="47"/>
      <c r="J84" s="47"/>
      <c r="K84" s="47"/>
      <c r="L84" s="47"/>
      <c r="M84" s="47"/>
    </row>
    <row r="85" spans="2:13" ht="33.75">
      <c r="B85" s="44" t="s">
        <v>59</v>
      </c>
      <c r="C85" s="36">
        <f>6888297.32</f>
        <v>6888297.32</v>
      </c>
      <c r="D85" s="35"/>
      <c r="E85" s="36">
        <f>0</f>
        <v>0</v>
      </c>
      <c r="F85" s="35"/>
      <c r="G85" s="40"/>
      <c r="H85" s="41"/>
      <c r="I85" s="47"/>
      <c r="J85" s="47"/>
      <c r="K85" s="47"/>
      <c r="L85" s="47"/>
      <c r="M85" s="47"/>
    </row>
    <row r="86" spans="2:13" ht="90">
      <c r="B86" s="44" t="s">
        <v>60</v>
      </c>
      <c r="C86" s="36">
        <f>6888297.32</f>
        <v>6888297.32</v>
      </c>
      <c r="D86" s="35"/>
      <c r="E86" s="36">
        <f>0</f>
        <v>0</v>
      </c>
      <c r="F86" s="35"/>
      <c r="G86" s="40"/>
      <c r="H86" s="41"/>
      <c r="I86" s="47"/>
      <c r="J86" s="47"/>
      <c r="K86" s="47"/>
      <c r="L86" s="47"/>
      <c r="M86" s="47"/>
    </row>
    <row r="87" spans="2:13" ht="12.75">
      <c r="B87" s="22"/>
      <c r="C87" s="22"/>
      <c r="D87" s="22"/>
      <c r="E87" s="22"/>
      <c r="F87" s="22"/>
      <c r="G87" s="22"/>
      <c r="H87" s="22"/>
      <c r="I87" s="47"/>
      <c r="J87" s="47"/>
      <c r="K87" s="47"/>
      <c r="L87" s="47"/>
      <c r="M87" s="47"/>
    </row>
    <row r="88" spans="2:13" ht="12.75">
      <c r="B88" s="55" t="s">
        <v>16</v>
      </c>
      <c r="C88" s="104" t="s">
        <v>17</v>
      </c>
      <c r="D88" s="105"/>
      <c r="E88" s="104" t="s">
        <v>1</v>
      </c>
      <c r="F88" s="105"/>
      <c r="G88" s="13" t="s">
        <v>21</v>
      </c>
      <c r="H88" s="13" t="s">
        <v>22</v>
      </c>
      <c r="I88" s="47"/>
      <c r="J88" s="47"/>
      <c r="K88" s="47"/>
      <c r="L88" s="47"/>
      <c r="M88" s="47"/>
    </row>
    <row r="89" spans="2:13" ht="12.75">
      <c r="B89" s="55"/>
      <c r="C89" s="99" t="s">
        <v>49</v>
      </c>
      <c r="D89" s="100"/>
      <c r="E89" s="100"/>
      <c r="F89" s="101"/>
      <c r="G89" s="102" t="s">
        <v>4</v>
      </c>
      <c r="H89" s="103"/>
      <c r="I89" s="47"/>
      <c r="J89" s="47"/>
      <c r="K89" s="47"/>
      <c r="L89" s="47"/>
      <c r="M89" s="47"/>
    </row>
    <row r="90" spans="2:13" ht="12.75">
      <c r="B90" s="24">
        <v>1</v>
      </c>
      <c r="C90" s="27">
        <v>2</v>
      </c>
      <c r="D90" s="28"/>
      <c r="E90" s="27">
        <v>3</v>
      </c>
      <c r="F90" s="28"/>
      <c r="G90" s="25">
        <v>4</v>
      </c>
      <c r="H90" s="25">
        <v>5</v>
      </c>
      <c r="I90" s="47"/>
      <c r="J90" s="47"/>
      <c r="K90" s="47"/>
      <c r="L90" s="47"/>
      <c r="M90" s="47"/>
    </row>
    <row r="91" spans="2:13" ht="56.25">
      <c r="B91" s="39" t="s">
        <v>61</v>
      </c>
      <c r="C91" s="34">
        <f>0</f>
        <v>0</v>
      </c>
      <c r="D91" s="33"/>
      <c r="E91" s="34">
        <f>17955190.43</f>
        <v>17955190.43</v>
      </c>
      <c r="F91" s="30"/>
      <c r="G91" s="26"/>
      <c r="H91" s="21"/>
      <c r="I91" s="47"/>
      <c r="J91" s="47"/>
      <c r="K91" s="47"/>
      <c r="L91" s="47"/>
      <c r="M91" s="47"/>
    </row>
    <row r="92" spans="2:13" ht="33.75">
      <c r="B92" s="44" t="s">
        <v>62</v>
      </c>
      <c r="C92" s="36">
        <f>0</f>
        <v>0</v>
      </c>
      <c r="D92" s="35"/>
      <c r="E92" s="36">
        <f>16252561.01</f>
        <v>16252561.01</v>
      </c>
      <c r="F92" s="35"/>
      <c r="G92" s="40"/>
      <c r="H92" s="41"/>
      <c r="I92" s="47"/>
      <c r="J92" s="47"/>
      <c r="K92" s="47"/>
      <c r="L92" s="47"/>
      <c r="M92" s="47"/>
    </row>
    <row r="93" spans="2:13" ht="33.75">
      <c r="B93" s="44" t="s">
        <v>63</v>
      </c>
      <c r="C93" s="36">
        <f>0</f>
        <v>0</v>
      </c>
      <c r="D93" s="35"/>
      <c r="E93" s="36">
        <f>1627152.08</f>
        <v>1627152.08</v>
      </c>
      <c r="F93" s="35"/>
      <c r="G93" s="40"/>
      <c r="H93" s="41"/>
      <c r="I93" s="47"/>
      <c r="J93" s="47"/>
      <c r="K93" s="47"/>
      <c r="L93" s="47"/>
      <c r="M93" s="47"/>
    </row>
    <row r="94" spans="2:13" ht="67.5">
      <c r="B94" s="44" t="s">
        <v>64</v>
      </c>
      <c r="C94" s="36">
        <f>0</f>
        <v>0</v>
      </c>
      <c r="D94" s="35"/>
      <c r="E94" s="36">
        <f>0</f>
        <v>0</v>
      </c>
      <c r="F94" s="35"/>
      <c r="G94" s="40"/>
      <c r="H94" s="41"/>
      <c r="I94" s="47"/>
      <c r="J94" s="47"/>
      <c r="K94" s="47"/>
      <c r="L94" s="47"/>
      <c r="M94" s="47"/>
    </row>
    <row r="95" spans="2:13" ht="45">
      <c r="B95" s="44" t="s">
        <v>65</v>
      </c>
      <c r="C95" s="36">
        <f>0</f>
        <v>0</v>
      </c>
      <c r="D95" s="35"/>
      <c r="E95" s="36">
        <f>0</f>
        <v>0</v>
      </c>
      <c r="F95" s="35"/>
      <c r="G95" s="40"/>
      <c r="H95" s="41"/>
      <c r="I95" s="47"/>
      <c r="J95" s="47"/>
      <c r="K95" s="47"/>
      <c r="L95" s="47"/>
      <c r="M95" s="47"/>
    </row>
    <row r="96" spans="2:13" ht="56.25">
      <c r="B96" s="86" t="s">
        <v>66</v>
      </c>
      <c r="C96" s="82">
        <f>0</f>
        <v>0</v>
      </c>
      <c r="D96" s="83"/>
      <c r="E96" s="82">
        <f>266901.12</f>
        <v>266901.12</v>
      </c>
      <c r="F96" s="83"/>
      <c r="G96" s="84"/>
      <c r="H96" s="78"/>
      <c r="I96" s="47"/>
      <c r="J96" s="47"/>
      <c r="K96" s="47"/>
      <c r="L96" s="47"/>
      <c r="M96" s="47"/>
    </row>
    <row r="97" spans="2:13" ht="45">
      <c r="B97" s="86" t="s">
        <v>67</v>
      </c>
      <c r="C97" s="82">
        <f>0</f>
        <v>0</v>
      </c>
      <c r="D97" s="83"/>
      <c r="E97" s="82">
        <f>0</f>
        <v>0</v>
      </c>
      <c r="F97" s="83"/>
      <c r="G97" s="84"/>
      <c r="H97" s="78"/>
      <c r="I97" s="47"/>
      <c r="J97" s="47"/>
      <c r="K97" s="47"/>
      <c r="L97" s="47"/>
      <c r="M97" s="47"/>
    </row>
    <row r="98" spans="2:13" ht="78.75">
      <c r="B98" s="86" t="s">
        <v>68</v>
      </c>
      <c r="C98" s="82">
        <f>0</f>
        <v>0</v>
      </c>
      <c r="D98" s="83"/>
      <c r="E98" s="82">
        <f>0</f>
        <v>0</v>
      </c>
      <c r="F98" s="83"/>
      <c r="G98" s="84"/>
      <c r="H98" s="78"/>
      <c r="I98" s="47"/>
      <c r="J98" s="47"/>
      <c r="K98" s="47"/>
      <c r="L98" s="47"/>
      <c r="M98" s="47"/>
    </row>
    <row r="99" spans="2:13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2:13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2:13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</sheetData>
  <sheetProtection/>
  <mergeCells count="44">
    <mergeCell ref="I49:J49"/>
    <mergeCell ref="I51:J51"/>
    <mergeCell ref="E35:E37"/>
    <mergeCell ref="I52:J52"/>
    <mergeCell ref="I50:J50"/>
    <mergeCell ref="I45:J45"/>
    <mergeCell ref="I40:J40"/>
    <mergeCell ref="I41:J41"/>
    <mergeCell ref="I42:J42"/>
    <mergeCell ref="I43:J43"/>
    <mergeCell ref="I44:J44"/>
    <mergeCell ref="I46:J46"/>
    <mergeCell ref="C88:D88"/>
    <mergeCell ref="C4:E4"/>
    <mergeCell ref="I39:J39"/>
    <mergeCell ref="C38:J38"/>
    <mergeCell ref="C35:C37"/>
    <mergeCell ref="I47:J47"/>
    <mergeCell ref="I48:J48"/>
    <mergeCell ref="K38:L38"/>
    <mergeCell ref="F4:H4"/>
    <mergeCell ref="I35:J37"/>
    <mergeCell ref="D35:D37"/>
    <mergeCell ref="B3:B4"/>
    <mergeCell ref="F36:F37"/>
    <mergeCell ref="F35:H35"/>
    <mergeCell ref="G36:H36"/>
    <mergeCell ref="C89:F89"/>
    <mergeCell ref="G89:H89"/>
    <mergeCell ref="C78:D78"/>
    <mergeCell ref="E78:F78"/>
    <mergeCell ref="C79:F79"/>
    <mergeCell ref="G79:H79"/>
    <mergeCell ref="E88:F88"/>
    <mergeCell ref="B1:L1"/>
    <mergeCell ref="B33:L33"/>
    <mergeCell ref="B54:L54"/>
    <mergeCell ref="C55:D55"/>
    <mergeCell ref="E55:F55"/>
    <mergeCell ref="C56:F56"/>
    <mergeCell ref="G56:H56"/>
    <mergeCell ref="L35:L37"/>
    <mergeCell ref="B35:B38"/>
    <mergeCell ref="K35:K37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4" manualBreakCount="4">
    <brk id="31" max="11" man="1"/>
    <brk id="53" max="11" man="1"/>
    <brk id="77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2017-03-30T12:13:25Z</cp:lastPrinted>
  <dcterms:created xsi:type="dcterms:W3CDTF">2001-05-17T08:58:03Z</dcterms:created>
  <dcterms:modified xsi:type="dcterms:W3CDTF">2018-05-25T10:57:44Z</dcterms:modified>
  <cp:category/>
  <cp:version/>
  <cp:contentType/>
  <cp:contentStatus/>
</cp:coreProperties>
</file>