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3\IV kwartał\2024.03.15 ostateczne\BIP MF\Zbiorówki\"/>
    </mc:Choice>
  </mc:AlternateContent>
  <xr:revisionPtr revIDLastSave="0" documentId="13_ncr:1_{C27A8067-4134-4432-8660-83599777CC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doch_wyd!$B$1:$L$106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6" i="4" l="1"/>
  <c r="C105" i="4"/>
  <c r="C104" i="4"/>
  <c r="C103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94" i="4"/>
  <c r="C94" i="4"/>
  <c r="D93" i="4"/>
  <c r="C93" i="4"/>
  <c r="D88" i="4"/>
  <c r="C88" i="4"/>
  <c r="D87" i="4"/>
  <c r="C87" i="4"/>
  <c r="D86" i="4"/>
  <c r="C86" i="4"/>
  <c r="D85" i="4"/>
  <c r="C85" i="4"/>
  <c r="D84" i="4"/>
  <c r="C84" i="4"/>
  <c r="D83" i="4"/>
  <c r="C83" i="4"/>
  <c r="D82" i="4"/>
  <c r="C82" i="4"/>
  <c r="D81" i="4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D73" i="4"/>
  <c r="C73" i="4"/>
  <c r="D72" i="4"/>
  <c r="C72" i="4"/>
  <c r="I66" i="4"/>
  <c r="H66" i="4"/>
  <c r="G66" i="4"/>
  <c r="F66" i="4"/>
  <c r="E66" i="4"/>
  <c r="D66" i="4"/>
  <c r="C66" i="4"/>
  <c r="I65" i="4"/>
  <c r="H65" i="4"/>
  <c r="G65" i="4"/>
  <c r="F65" i="4"/>
  <c r="E65" i="4"/>
  <c r="D65" i="4"/>
  <c r="C65" i="4"/>
  <c r="I59" i="4"/>
  <c r="H59" i="4"/>
  <c r="G59" i="4"/>
  <c r="G60" i="4" s="1"/>
  <c r="F59" i="4"/>
  <c r="E59" i="4"/>
  <c r="D59" i="4"/>
  <c r="C59" i="4"/>
  <c r="I58" i="4"/>
  <c r="H58" i="4"/>
  <c r="G58" i="4"/>
  <c r="F58" i="4"/>
  <c r="E58" i="4"/>
  <c r="D58" i="4"/>
  <c r="C58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3" i="4"/>
  <c r="H53" i="4"/>
  <c r="G53" i="4"/>
  <c r="F53" i="4"/>
  <c r="E53" i="4"/>
  <c r="D53" i="4"/>
  <c r="C53" i="4"/>
  <c r="I52" i="4"/>
  <c r="H52" i="4"/>
  <c r="G52" i="4"/>
  <c r="F52" i="4"/>
  <c r="E52" i="4"/>
  <c r="D52" i="4"/>
  <c r="C52" i="4"/>
  <c r="I51" i="4"/>
  <c r="H51" i="4"/>
  <c r="G51" i="4"/>
  <c r="F51" i="4"/>
  <c r="E51" i="4"/>
  <c r="D51" i="4"/>
  <c r="C51" i="4"/>
  <c r="D41" i="4"/>
  <c r="C41" i="4"/>
  <c r="D39" i="4"/>
  <c r="C39" i="4"/>
  <c r="D38" i="4"/>
  <c r="C38" i="4"/>
  <c r="D37" i="4"/>
  <c r="C37" i="4"/>
  <c r="D36" i="4"/>
  <c r="C36" i="4"/>
  <c r="D34" i="4"/>
  <c r="C34" i="4"/>
  <c r="D33" i="4"/>
  <c r="C33" i="4"/>
  <c r="D32" i="4"/>
  <c r="C32" i="4"/>
  <c r="D31" i="4"/>
  <c r="C31" i="4"/>
  <c r="K31" i="4" s="1"/>
  <c r="D30" i="4"/>
  <c r="C30" i="4"/>
  <c r="D29" i="4"/>
  <c r="C29" i="4"/>
  <c r="D28" i="4"/>
  <c r="C28" i="4"/>
  <c r="D27" i="4"/>
  <c r="K27" i="4" s="1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K20" i="4" s="1"/>
  <c r="D19" i="4"/>
  <c r="J19" i="4" s="1"/>
  <c r="C19" i="4"/>
  <c r="D18" i="4"/>
  <c r="C18" i="4"/>
  <c r="D17" i="4"/>
  <c r="C17" i="4"/>
  <c r="D16" i="4"/>
  <c r="C16" i="4"/>
  <c r="D15" i="4"/>
  <c r="C15" i="4"/>
  <c r="D14" i="4"/>
  <c r="J14" i="4" s="1"/>
  <c r="C14" i="4"/>
  <c r="D13" i="4"/>
  <c r="C13" i="4"/>
  <c r="D9" i="4"/>
  <c r="K9" i="4" s="1"/>
  <c r="C9" i="4"/>
  <c r="D8" i="4"/>
  <c r="J8" i="4" s="1"/>
  <c r="C8" i="4"/>
  <c r="D7" i="4"/>
  <c r="J7" i="4" s="1"/>
  <c r="C7" i="4"/>
  <c r="D5" i="4"/>
  <c r="C5" i="4"/>
  <c r="C40" i="4" s="1"/>
  <c r="K18" i="4"/>
  <c r="K86" i="4"/>
  <c r="K7" i="4"/>
  <c r="F54" i="4"/>
  <c r="F60" i="4"/>
  <c r="G54" i="4"/>
  <c r="K87" i="4"/>
  <c r="K88" i="4"/>
  <c r="K34" i="4"/>
  <c r="K53" i="4"/>
  <c r="K80" i="4"/>
  <c r="D35" i="4"/>
  <c r="J35" i="4" s="1"/>
  <c r="K81" i="4"/>
  <c r="E54" i="4"/>
  <c r="E60" i="4" s="1"/>
  <c r="K74" i="4"/>
  <c r="K19" i="4"/>
  <c r="K56" i="4"/>
  <c r="K75" i="4"/>
  <c r="K8" i="4"/>
  <c r="H54" i="4"/>
  <c r="H60" i="4"/>
  <c r="I54" i="4"/>
  <c r="I60" i="4"/>
  <c r="K76" i="4"/>
  <c r="K23" i="4"/>
  <c r="K79" i="4"/>
  <c r="C35" i="4"/>
  <c r="K36" i="4"/>
  <c r="I67" i="4"/>
  <c r="K24" i="4"/>
  <c r="K66" i="4"/>
  <c r="K16" i="4"/>
  <c r="K37" i="4"/>
  <c r="D67" i="4"/>
  <c r="K67" i="4" s="1"/>
  <c r="D103" i="4"/>
  <c r="K28" i="4"/>
  <c r="K38" i="4"/>
  <c r="K58" i="4"/>
  <c r="F67" i="4"/>
  <c r="K82" i="4"/>
  <c r="K29" i="4"/>
  <c r="K30" i="4"/>
  <c r="K51" i="4"/>
  <c r="K73" i="4"/>
  <c r="K85" i="4"/>
  <c r="C54" i="4"/>
  <c r="K52" i="4"/>
  <c r="G67" i="4"/>
  <c r="K32" i="4"/>
  <c r="K39" i="4"/>
  <c r="D54" i="4"/>
  <c r="D60" i="4"/>
  <c r="J60" i="4" s="1"/>
  <c r="K65" i="4"/>
  <c r="C67" i="4"/>
  <c r="K77" i="4"/>
  <c r="K83" i="4"/>
  <c r="K55" i="4"/>
  <c r="J65" i="4"/>
  <c r="J66" i="4"/>
  <c r="J87" i="4"/>
  <c r="J85" i="4"/>
  <c r="J84" i="4"/>
  <c r="J86" i="4"/>
  <c r="J83" i="4"/>
  <c r="J88" i="4"/>
  <c r="K5" i="4"/>
  <c r="K15" i="4"/>
  <c r="K21" i="4"/>
  <c r="K33" i="4"/>
  <c r="K41" i="4"/>
  <c r="E67" i="4"/>
  <c r="K72" i="4"/>
  <c r="K78" i="4"/>
  <c r="K84" i="4"/>
  <c r="J17" i="4"/>
  <c r="J34" i="4"/>
  <c r="J16" i="4"/>
  <c r="J29" i="4"/>
  <c r="J37" i="4"/>
  <c r="J33" i="4"/>
  <c r="J32" i="4"/>
  <c r="J20" i="4"/>
  <c r="J26" i="4"/>
  <c r="J30" i="4"/>
  <c r="J9" i="4"/>
  <c r="J39" i="4"/>
  <c r="J21" i="4"/>
  <c r="J15" i="4"/>
  <c r="D40" i="4"/>
  <c r="D42" i="4"/>
  <c r="D62" i="4" s="1"/>
  <c r="J42" i="4"/>
  <c r="J27" i="4"/>
  <c r="J22" i="4"/>
  <c r="J18" i="4"/>
  <c r="J36" i="4"/>
  <c r="J25" i="4"/>
  <c r="D61" i="4"/>
  <c r="J31" i="4"/>
  <c r="J28" i="4"/>
  <c r="J38" i="4"/>
  <c r="J23" i="4"/>
  <c r="J24" i="4"/>
  <c r="J5" i="4"/>
  <c r="K57" i="4"/>
  <c r="J73" i="4"/>
  <c r="J81" i="4"/>
  <c r="J75" i="4"/>
  <c r="J79" i="4"/>
  <c r="J78" i="4"/>
  <c r="J76" i="4"/>
  <c r="J82" i="4"/>
  <c r="J74" i="4"/>
  <c r="J77" i="4"/>
  <c r="J72" i="4"/>
  <c r="J80" i="4"/>
  <c r="J56" i="4"/>
  <c r="J51" i="4"/>
  <c r="J53" i="4"/>
  <c r="J59" i="4"/>
  <c r="J55" i="4"/>
  <c r="J52" i="4"/>
  <c r="J58" i="4"/>
  <c r="J57" i="4"/>
  <c r="K59" i="4"/>
  <c r="H67" i="4"/>
  <c r="J54" i="4"/>
  <c r="J40" i="4"/>
  <c r="J41" i="4"/>
  <c r="B44" i="4" l="1"/>
  <c r="B1" i="4"/>
  <c r="B68" i="4"/>
  <c r="J67" i="4"/>
  <c r="K54" i="4"/>
  <c r="C60" i="4"/>
  <c r="K60" i="4" s="1"/>
  <c r="K35" i="4"/>
  <c r="D12" i="4"/>
  <c r="K26" i="4"/>
  <c r="K25" i="4"/>
  <c r="K22" i="4"/>
  <c r="K17" i="4"/>
  <c r="C12" i="4"/>
  <c r="C11" i="4" s="1"/>
  <c r="K14" i="4"/>
  <c r="J12" i="4"/>
  <c r="D11" i="4"/>
  <c r="K13" i="4"/>
  <c r="J13" i="4"/>
  <c r="K40" i="4"/>
  <c r="C42" i="4"/>
  <c r="C61" i="4"/>
  <c r="K12" i="4" l="1"/>
  <c r="J11" i="4"/>
  <c r="D6" i="4"/>
  <c r="C6" i="4"/>
  <c r="K11" i="4"/>
  <c r="K42" i="4"/>
  <c r="C62" i="4"/>
  <c r="J6" i="4" l="1"/>
  <c r="L9" i="4"/>
  <c r="L6" i="4"/>
  <c r="L8" i="4"/>
  <c r="L7" i="4"/>
  <c r="D10" i="4"/>
  <c r="C10" i="4"/>
  <c r="K6" i="4"/>
  <c r="J10" i="4" l="1"/>
  <c r="L10" i="4"/>
  <c r="K10" i="4"/>
</calcChain>
</file>

<file path=xl/sharedStrings.xml><?xml version="1.0" encoding="utf-8"?>
<sst xmlns="http://schemas.openxmlformats.org/spreadsheetml/2006/main" count="400" uniqueCount="104">
  <si>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</si>
  <si>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</si>
  <si>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</si>
  <si>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</si>
  <si>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</si>
  <si>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</si>
  <si>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</si>
  <si>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</si>
  <si>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</si>
  <si>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</si>
  <si>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</si>
  <si>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</si>
  <si>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</si>
  <si>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</si>
  <si>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</si>
  <si>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</si>
  <si>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</si>
  <si>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</si>
  <si>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</si>
  <si>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</si>
  <si>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>dochody z majątku</t>
  </si>
  <si>
    <t xml:space="preserve">pozostałe dochody </t>
  </si>
  <si>
    <t>Struktura</t>
  </si>
  <si>
    <t>Wskaźnik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</si>
  <si>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</si>
  <si>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</si>
  <si>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</si>
  <si>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</si>
  <si>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uzupełnienie subwencji ogólnej</t>
  </si>
  <si>
    <t>część równoważąca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</si>
  <si>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</si>
  <si>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</si>
  <si>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</si>
  <si>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</si>
  <si>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</si>
  <si>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</si>
  <si>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</si>
  <si>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</si>
  <si>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</si>
  <si>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</si>
  <si>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</si>
  <si>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</si>
  <si>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</si>
  <si>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</si>
  <si>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</si>
  <si>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</si>
  <si>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</si>
  <si>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</si>
  <si>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</si>
  <si>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</si>
  <si>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</si>
  <si>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</si>
  <si>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</si>
  <si>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w tym: inwestycyjne § 620</t>
  </si>
  <si>
    <t>tytul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</si>
  <si>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</si>
  <si>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</si>
  <si>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</si>
  <si>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</si>
  <si>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</si>
  <si>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</si>
  <si>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</si>
  <si>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</si>
  <si>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</si>
  <si>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</si>
  <si>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w tym: inwestycyjne § 625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</si>
  <si>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</si>
  <si>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Dotacje §§ 200 i 620</t>
  </si>
  <si>
    <t>Dotacje §§ 205 i 625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</si>
  <si>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</si>
  <si>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</si>
  <si>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</si>
  <si>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</si>
  <si>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</si>
  <si>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wykup papierów wartościowych</t>
  </si>
  <si>
    <t>otrzymane ze środków z Funduszu Przeciwdziałania COVID-19 (m.in. z Rządowego Funduszu Inwestycji Lokalnych)</t>
  </si>
  <si>
    <t>na finansowanie lub dofinansowanie zadań inwestycyjnych obiektów zabytkowych oraz prac remontowych i konserwatorskich przy zabytkach</t>
  </si>
  <si>
    <t>w tym: inwestycyjne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</si>
  <si>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</si>
  <si>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</si>
  <si>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</si>
  <si>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</si>
  <si>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</si>
  <si>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udzielone pożyczki</t>
  </si>
  <si>
    <t>wynagrodzenia i składki od nich naliczane</t>
  </si>
  <si>
    <t>#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</si>
  <si>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</si>
  <si>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</si>
  <si>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</si>
  <si>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</si>
  <si>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</si>
  <si>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Dotacje ogółem 
z tego:</t>
  </si>
  <si>
    <t>Wydatki ogółem UE 
z tego:</t>
  </si>
  <si>
    <t>Dochody bieżące
minus
wydatki bieżące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</si>
  <si>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</si>
  <si>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</si>
  <si>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</si>
  <si>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inne źródła, w tym:</t>
  </si>
  <si>
    <t>środki z lokat dokonanych w latach ubiegłych</t>
  </si>
  <si>
    <t>inne cele, w tym:</t>
  </si>
  <si>
    <t>lokaty na okres wykraczający poza rok budżetowy</t>
  </si>
  <si>
    <t>stan niespłaconych na koniec okresu sprawozdawczego zobowiązań przeznaczonych na cel , o którym mowa w art. 89 ust. 1 pkt 1 ustawy o finansach publicznych</t>
  </si>
  <si>
    <t>spłaty kredytów i  pożyczek, wykup papierów wartościowych 
w tym:</t>
  </si>
  <si>
    <t>FINANSOWANIE DEFICYTU (E1+E2+E3+E4+E5+E6+E7+E8) 
z tego: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</si>
</sst>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"/>
    <numFmt numFmtId="166" formatCode="dd/mm/yy\ h:mm;@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6" fillId="0" borderId="0"/>
    <xf numFmtId="0" fontId="36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indent="1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/>
    </xf>
    <xf numFmtId="4" fontId="32" fillId="20" borderId="10" xfId="0" applyNumberFormat="1" applyFont="1" applyFill="1" applyBorder="1" applyAlignment="1">
      <alignment horizontal="right" vertical="center"/>
    </xf>
    <xf numFmtId="165" fontId="32" fillId="2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/>
    </xf>
    <xf numFmtId="165" fontId="33" fillId="0" borderId="10" xfId="0" applyNumberFormat="1" applyFont="1" applyFill="1" applyBorder="1" applyAlignment="1">
      <alignment horizontal="right" vertical="center"/>
    </xf>
    <xf numFmtId="165" fontId="33" fillId="2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Border="1" applyAlignment="1">
      <alignment horizontal="right" vertical="center"/>
    </xf>
    <xf numFmtId="165" fontId="34" fillId="0" borderId="0" xfId="0" applyNumberFormat="1" applyFont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4" fontId="32" fillId="20" borderId="10" xfId="0" applyNumberFormat="1" applyFont="1" applyFill="1" applyBorder="1" applyAlignment="1">
      <alignment horizontal="right" vertical="center" wrapText="1"/>
    </xf>
    <xf numFmtId="165" fontId="35" fillId="20" borderId="10" xfId="0" applyNumberFormat="1" applyFont="1" applyFill="1" applyBorder="1" applyAlignment="1">
      <alignment horizontal="right" vertical="center"/>
    </xf>
    <xf numFmtId="0" fontId="34" fillId="0" borderId="0" xfId="0" applyFont="1"/>
    <xf numFmtId="0" fontId="34" fillId="0" borderId="0" xfId="0" applyFont="1" applyBorder="1"/>
    <xf numFmtId="3" fontId="32" fillId="0" borderId="0" xfId="0" applyNumberFormat="1" applyFont="1" applyBorder="1" applyAlignment="1">
      <alignment horizontal="right" vertical="center"/>
    </xf>
    <xf numFmtId="165" fontId="34" fillId="0" borderId="0" xfId="0" applyNumberFormat="1" applyFont="1"/>
    <xf numFmtId="4" fontId="35" fillId="20" borderId="12" xfId="0" applyNumberFormat="1" applyFont="1" applyFill="1" applyBorder="1" applyAlignment="1">
      <alignment horizontal="right" vertical="center"/>
    </xf>
    <xf numFmtId="165" fontId="35" fillId="20" borderId="10" xfId="28" applyNumberFormat="1" applyFont="1" applyFill="1" applyBorder="1" applyAlignment="1">
      <alignment horizontal="right" vertical="center"/>
    </xf>
    <xf numFmtId="4" fontId="34" fillId="0" borderId="12" xfId="0" applyNumberFormat="1" applyFont="1" applyBorder="1" applyAlignment="1">
      <alignment horizontal="right" vertical="center"/>
    </xf>
    <xf numFmtId="165" fontId="35" fillId="21" borderId="10" xfId="28" applyNumberFormat="1" applyFont="1" applyFill="1" applyBorder="1" applyAlignment="1">
      <alignment horizontal="right" vertical="center"/>
    </xf>
    <xf numFmtId="165" fontId="35" fillId="21" borderId="10" xfId="0" applyNumberFormat="1" applyFont="1" applyFill="1" applyBorder="1" applyAlignment="1">
      <alignment horizontal="right" vertical="center"/>
    </xf>
    <xf numFmtId="4" fontId="34" fillId="22" borderId="12" xfId="0" applyNumberFormat="1" applyFont="1" applyFill="1" applyBorder="1" applyAlignment="1">
      <alignment horizontal="right" vertical="center"/>
    </xf>
    <xf numFmtId="165" fontId="35" fillId="22" borderId="10" xfId="0" applyNumberFormat="1" applyFont="1" applyFill="1" applyBorder="1" applyAlignment="1">
      <alignment horizontal="right" vertical="center"/>
    </xf>
    <xf numFmtId="4" fontId="35" fillId="22" borderId="12" xfId="0" applyNumberFormat="1" applyFont="1" applyFill="1" applyBorder="1" applyAlignment="1">
      <alignment horizontal="right" vertical="center"/>
    </xf>
    <xf numFmtId="0" fontId="11" fillId="19" borderId="10" xfId="0" applyFont="1" applyFill="1" applyBorder="1" applyAlignment="1">
      <alignment horizontal="center" vertical="center" wrapText="1"/>
    </xf>
    <xf numFmtId="0" fontId="37" fillId="22" borderId="10" xfId="44" applyFont="1" applyFill="1" applyBorder="1" applyAlignment="1">
      <alignment horizontal="left" vertical="top" wrapText="1"/>
    </xf>
    <xf numFmtId="4" fontId="32" fillId="22" borderId="10" xfId="0" applyNumberFormat="1" applyFont="1" applyFill="1" applyBorder="1" applyAlignment="1">
      <alignment horizontal="right" vertical="center"/>
    </xf>
    <xf numFmtId="165" fontId="32" fillId="22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Fill="1" applyBorder="1" applyAlignment="1">
      <alignment horizontal="right" vertical="center"/>
    </xf>
    <xf numFmtId="165" fontId="33" fillId="0" borderId="0" xfId="0" applyNumberFormat="1" applyFont="1" applyFill="1" applyBorder="1" applyAlignment="1">
      <alignment horizontal="right" vertical="center"/>
    </xf>
    <xf numFmtId="4" fontId="33" fillId="22" borderId="10" xfId="0" applyNumberFormat="1" applyFont="1" applyFill="1" applyBorder="1" applyAlignment="1">
      <alignment horizontal="right" vertical="center"/>
    </xf>
    <xf numFmtId="165" fontId="33" fillId="22" borderId="10" xfId="0" applyNumberFormat="1" applyFont="1" applyFill="1" applyBorder="1" applyAlignment="1">
      <alignment horizontal="right" vertical="center"/>
    </xf>
    <xf numFmtId="4" fontId="35" fillId="22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 wrapText="1"/>
    </xf>
    <xf numFmtId="4" fontId="33" fillId="22" borderId="10" xfId="0" applyNumberFormat="1" applyFont="1" applyFill="1" applyBorder="1" applyAlignment="1">
      <alignment horizontal="right" vertical="center" wrapText="1"/>
    </xf>
    <xf numFmtId="165" fontId="34" fillId="22" borderId="10" xfId="0" applyNumberFormat="1" applyFont="1" applyFill="1" applyBorder="1" applyAlignment="1">
      <alignment horizontal="right" vertical="center"/>
    </xf>
    <xf numFmtId="4" fontId="32" fillId="22" borderId="10" xfId="0" applyNumberFormat="1" applyFont="1" applyFill="1" applyBorder="1" applyAlignment="1">
      <alignment horizontal="right" vertical="center" wrapText="1"/>
    </xf>
    <xf numFmtId="4" fontId="32" fillId="20" borderId="11" xfId="0" applyNumberFormat="1" applyFont="1" applyFill="1" applyBorder="1" applyAlignment="1">
      <alignment horizontal="right" vertical="center" wrapText="1"/>
    </xf>
    <xf numFmtId="4" fontId="34" fillId="0" borderId="12" xfId="0" applyNumberFormat="1" applyFont="1" applyFill="1" applyBorder="1" applyAlignment="1">
      <alignment horizontal="right" vertical="center"/>
    </xf>
    <xf numFmtId="165" fontId="35" fillId="0" borderId="10" xfId="28" applyNumberFormat="1" applyFont="1" applyFill="1" applyBorder="1" applyAlignment="1">
      <alignment horizontal="right" vertical="center"/>
    </xf>
    <xf numFmtId="165" fontId="35" fillId="0" borderId="10" xfId="0" applyNumberFormat="1" applyFont="1" applyFill="1" applyBorder="1" applyAlignment="1">
      <alignment horizontal="right" vertical="center"/>
    </xf>
    <xf numFmtId="4" fontId="33" fillId="21" borderId="10" xfId="0" applyNumberFormat="1" applyFont="1" applyFill="1" applyBorder="1" applyAlignment="1">
      <alignment horizontal="right" vertical="center"/>
    </xf>
    <xf numFmtId="165" fontId="33" fillId="21" borderId="10" xfId="0" applyNumberFormat="1" applyFont="1" applyFill="1" applyBorder="1" applyAlignment="1">
      <alignment horizontal="right" vertical="center"/>
    </xf>
    <xf numFmtId="0" fontId="6" fillId="19" borderId="12" xfId="0" applyFont="1" applyFill="1" applyBorder="1" applyAlignment="1">
      <alignment horizontal="center" vertical="center"/>
    </xf>
    <xf numFmtId="4" fontId="35" fillId="22" borderId="1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4" fontId="33" fillId="0" borderId="0" xfId="0" applyNumberFormat="1" applyFont="1" applyFill="1" applyBorder="1" applyAlignment="1">
      <alignment horizontal="right" vertical="center" wrapText="1"/>
    </xf>
    <xf numFmtId="4" fontId="33" fillId="0" borderId="0" xfId="0" applyNumberFormat="1" applyFont="1" applyFill="1" applyBorder="1" applyAlignment="1">
      <alignment horizontal="right" vertical="center"/>
    </xf>
    <xf numFmtId="4" fontId="35" fillId="0" borderId="0" xfId="0" applyNumberFormat="1" applyFont="1" applyFill="1" applyBorder="1" applyAlignment="1">
      <alignment horizontal="right" vertical="center"/>
    </xf>
    <xf numFmtId="4" fontId="32" fillId="0" borderId="0" xfId="0" applyNumberFormat="1" applyFont="1" applyFill="1" applyBorder="1" applyAlignment="1">
      <alignment horizontal="right" vertical="center" wrapText="1"/>
    </xf>
    <xf numFmtId="0" fontId="6" fillId="19" borderId="10" xfId="0" applyFont="1" applyFill="1" applyBorder="1" applyAlignment="1">
      <alignment vertical="center"/>
    </xf>
    <xf numFmtId="4" fontId="35" fillId="22" borderId="10" xfId="0" applyNumberFormat="1" applyFont="1" applyFill="1" applyBorder="1" applyAlignment="1">
      <alignment vertical="center"/>
    </xf>
    <xf numFmtId="4" fontId="32" fillId="22" borderId="10" xfId="0" applyNumberFormat="1" applyFont="1" applyFill="1" applyBorder="1" applyAlignment="1">
      <alignment vertical="center" wrapText="1"/>
    </xf>
    <xf numFmtId="4" fontId="33" fillId="0" borderId="10" xfId="0" applyNumberFormat="1" applyFont="1" applyBorder="1" applyAlignment="1">
      <alignment vertical="center"/>
    </xf>
    <xf numFmtId="4" fontId="33" fillId="0" borderId="10" xfId="0" applyNumberFormat="1" applyFont="1" applyFill="1" applyBorder="1" applyAlignment="1">
      <alignment vertical="center" wrapText="1"/>
    </xf>
    <xf numFmtId="4" fontId="33" fillId="0" borderId="10" xfId="0" applyNumberFormat="1" applyFont="1" applyFill="1" applyBorder="1" applyAlignment="1">
      <alignment vertical="center"/>
    </xf>
    <xf numFmtId="4" fontId="33" fillId="0" borderId="12" xfId="0" applyNumberFormat="1" applyFont="1" applyFill="1" applyBorder="1" applyAlignment="1">
      <alignment vertical="center" wrapText="1"/>
    </xf>
    <xf numFmtId="4" fontId="33" fillId="0" borderId="13" xfId="0" applyNumberFormat="1" applyFont="1" applyBorder="1" applyAlignment="1">
      <alignment horizontal="right" vertical="center"/>
    </xf>
    <xf numFmtId="4" fontId="33" fillId="0" borderId="14" xfId="0" applyNumberFormat="1" applyFont="1" applyBorder="1" applyAlignment="1">
      <alignment vertical="center" wrapText="1"/>
    </xf>
    <xf numFmtId="4" fontId="34" fillId="0" borderId="0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left" vertical="center"/>
    </xf>
    <xf numFmtId="0" fontId="34" fillId="0" borderId="0" xfId="0" applyFont="1" applyFill="1" applyBorder="1"/>
    <xf numFmtId="4" fontId="32" fillId="0" borderId="15" xfId="0" applyNumberFormat="1" applyFont="1" applyFill="1" applyBorder="1" applyAlignment="1">
      <alignment horizontal="right" vertical="center" wrapText="1"/>
    </xf>
    <xf numFmtId="4" fontId="32" fillId="0" borderId="14" xfId="0" applyNumberFormat="1" applyFont="1" applyFill="1" applyBorder="1" applyAlignment="1">
      <alignment horizontal="right" vertical="center" wrapText="1"/>
    </xf>
    <xf numFmtId="4" fontId="32" fillId="0" borderId="16" xfId="0" applyNumberFormat="1" applyFont="1" applyFill="1" applyBorder="1" applyAlignment="1">
      <alignment horizontal="right" vertical="center" wrapText="1"/>
    </xf>
    <xf numFmtId="4" fontId="34" fillId="0" borderId="16" xfId="0" applyNumberFormat="1" applyFont="1" applyFill="1" applyBorder="1" applyAlignment="1">
      <alignment horizontal="right" vertical="center"/>
    </xf>
    <xf numFmtId="0" fontId="6" fillId="19" borderId="12" xfId="0" applyFont="1" applyFill="1" applyBorder="1" applyAlignment="1">
      <alignment vertical="center"/>
    </xf>
    <xf numFmtId="4" fontId="34" fillId="22" borderId="10" xfId="0" applyNumberFormat="1" applyFont="1" applyFill="1" applyBorder="1" applyAlignment="1">
      <alignment horizontal="right" vertical="center"/>
    </xf>
    <xf numFmtId="4" fontId="32" fillId="22" borderId="10" xfId="0" applyNumberFormat="1" applyFont="1" applyFill="1" applyBorder="1" applyAlignment="1">
      <alignment horizontal="center" vertical="center"/>
    </xf>
    <xf numFmtId="4" fontId="34" fillId="0" borderId="10" xfId="0" applyNumberFormat="1" applyFont="1" applyBorder="1" applyAlignment="1">
      <alignment horizontal="right" vertical="center"/>
    </xf>
    <xf numFmtId="4" fontId="34" fillId="21" borderId="10" xfId="0" applyNumberFormat="1" applyFont="1" applyFill="1" applyBorder="1" applyAlignment="1">
      <alignment horizontal="right" vertical="center"/>
    </xf>
    <xf numFmtId="0" fontId="6" fillId="0" borderId="13" xfId="0" applyFont="1" applyBorder="1"/>
    <xf numFmtId="166" fontId="6" fillId="0" borderId="11" xfId="0" applyNumberFormat="1" applyFont="1" applyBorder="1"/>
    <xf numFmtId="4" fontId="35" fillId="20" borderId="10" xfId="0" applyNumberFormat="1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left" vertical="center" wrapText="1"/>
    </xf>
    <xf numFmtId="0" fontId="10" fillId="22" borderId="11" xfId="0" applyFont="1" applyFill="1" applyBorder="1" applyAlignment="1">
      <alignment horizontal="center" vertical="top" wrapText="1"/>
    </xf>
    <xf numFmtId="0" fontId="10" fillId="20" borderId="10" xfId="0" applyFont="1" applyFill="1" applyBorder="1" applyAlignment="1">
      <alignment horizontal="left" vertical="top" wrapText="1"/>
    </xf>
    <xf numFmtId="0" fontId="7" fillId="22" borderId="10" xfId="0" applyFont="1" applyFill="1" applyBorder="1" applyAlignment="1">
      <alignment vertical="center" wrapText="1"/>
    </xf>
    <xf numFmtId="0" fontId="7" fillId="20" borderId="10" xfId="0" applyFont="1" applyFill="1" applyBorder="1" applyAlignment="1">
      <alignment horizontal="left" vertical="center" wrapText="1" indent="1"/>
    </xf>
    <xf numFmtId="0" fontId="7" fillId="22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2"/>
    </xf>
    <xf numFmtId="0" fontId="7" fillId="22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1" borderId="10" xfId="0" applyFont="1" applyFill="1" applyBorder="1" applyAlignment="1">
      <alignment horizontal="left" vertical="center" wrapText="1" indent="3"/>
    </xf>
    <xf numFmtId="0" fontId="7" fillId="22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4" fillId="0" borderId="10" xfId="0" applyFont="1" applyBorder="1" applyAlignment="1">
      <alignment horizontal="left" vertical="center" wrapText="1" indent="4"/>
    </xf>
    <xf numFmtId="0" fontId="7" fillId="0" borderId="10" xfId="0" applyFont="1" applyFill="1" applyBorder="1" applyAlignment="1">
      <alignment horizontal="right" vertical="center" wrapText="1"/>
    </xf>
    <xf numFmtId="0" fontId="31" fillId="0" borderId="0" xfId="0" applyFont="1" applyAlignment="1">
      <alignment vertical="center"/>
    </xf>
    <xf numFmtId="0" fontId="6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0" borderId="10" xfId="44" applyFont="1" applyFill="1" applyBorder="1" applyAlignment="1">
      <alignment horizontal="left" vertical="center" wrapText="1" indent="1"/>
    </xf>
    <xf numFmtId="4" fontId="33" fillId="22" borderId="17" xfId="0" applyNumberFormat="1" applyFont="1" applyFill="1" applyBorder="1" applyAlignment="1">
      <alignment horizontal="right" vertical="center" wrapText="1"/>
    </xf>
    <xf numFmtId="4" fontId="33" fillId="0" borderId="17" xfId="0" applyNumberFormat="1" applyFont="1" applyFill="1" applyBorder="1" applyAlignment="1">
      <alignment horizontal="right" vertical="center" wrapText="1"/>
    </xf>
    <xf numFmtId="0" fontId="7" fillId="22" borderId="10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right"/>
    </xf>
    <xf numFmtId="0" fontId="10" fillId="0" borderId="0" xfId="44" applyFont="1" applyFill="1" applyBorder="1" applyAlignment="1">
      <alignment horizontal="left" vertical="center"/>
    </xf>
    <xf numFmtId="4" fontId="32" fillId="22" borderId="0" xfId="0" applyNumberFormat="1" applyFont="1" applyFill="1" applyBorder="1" applyAlignment="1">
      <alignment horizontal="center" vertical="center"/>
    </xf>
    <xf numFmtId="0" fontId="38" fillId="0" borderId="0" xfId="0" applyFont="1"/>
    <xf numFmtId="0" fontId="37" fillId="0" borderId="10" xfId="45" applyFont="1" applyBorder="1" applyAlignment="1">
      <alignment horizontal="left" vertical="center" wrapText="1" indent="1"/>
    </xf>
    <xf numFmtId="0" fontId="6" fillId="19" borderId="12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 wrapText="1"/>
    </xf>
    <xf numFmtId="4" fontId="32" fillId="0" borderId="16" xfId="0" applyNumberFormat="1" applyFont="1" applyFill="1" applyBorder="1" applyAlignment="1">
      <alignment horizontal="right" vertical="center" wrapText="1"/>
    </xf>
    <xf numFmtId="0" fontId="4" fillId="19" borderId="10" xfId="0" applyFont="1" applyFill="1" applyBorder="1" applyAlignment="1">
      <alignment horizontal="center" vertical="center" wrapText="1"/>
    </xf>
    <xf numFmtId="166" fontId="6" fillId="0" borderId="12" xfId="0" applyNumberFormat="1" applyFont="1" applyBorder="1" applyAlignment="1">
      <alignment horizontal="center"/>
    </xf>
    <xf numFmtId="166" fontId="6" fillId="0" borderId="17" xfId="0" applyNumberFormat="1" applyFont="1" applyBorder="1" applyAlignment="1">
      <alignment horizontal="center"/>
    </xf>
    <xf numFmtId="0" fontId="6" fillId="19" borderId="14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15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 wrapText="1"/>
    </xf>
    <xf numFmtId="0" fontId="6" fillId="19" borderId="23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/>
    </xf>
    <xf numFmtId="0" fontId="4" fillId="19" borderId="24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</cellXfs>
  <cellStyles count="51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Dziesiętny 3 2" xfId="30" xr:uid="{00000000-0005-0000-0000-00001D000000}"/>
    <cellStyle name="Dziesiętny 3 3" xfId="31" xr:uid="{00000000-0005-0000-0000-00001E000000}"/>
    <cellStyle name="Dziesiętny 3 4" xfId="32" xr:uid="{00000000-0005-0000-0000-00001F000000}"/>
    <cellStyle name="Dziesiętny 4" xfId="33" xr:uid="{00000000-0005-0000-0000-000020000000}"/>
    <cellStyle name="Dziesiętny 5" xfId="34" xr:uid="{00000000-0005-0000-0000-000021000000}"/>
    <cellStyle name="Explanatory Text" xfId="35" xr:uid="{00000000-0005-0000-0000-000022000000}"/>
    <cellStyle name="Good" xfId="36" xr:uid="{00000000-0005-0000-0000-000023000000}"/>
    <cellStyle name="Heading 1" xfId="37" xr:uid="{00000000-0005-0000-0000-000024000000}"/>
    <cellStyle name="Heading 2" xfId="38" xr:uid="{00000000-0005-0000-0000-000025000000}"/>
    <cellStyle name="Heading 3" xfId="39" xr:uid="{00000000-0005-0000-0000-000026000000}"/>
    <cellStyle name="Heading 4" xfId="40" xr:uid="{00000000-0005-0000-0000-000027000000}"/>
    <cellStyle name="Input" xfId="41" xr:uid="{00000000-0005-0000-0000-000028000000}"/>
    <cellStyle name="Linked Cell" xfId="42" xr:uid="{00000000-0005-0000-0000-000029000000}"/>
    <cellStyle name="Neutral" xfId="43" xr:uid="{00000000-0005-0000-0000-00002A000000}"/>
    <cellStyle name="Normalny" xfId="0" builtinId="0"/>
    <cellStyle name="Normalny 2" xfId="44" xr:uid="{00000000-0005-0000-0000-00002C000000}"/>
    <cellStyle name="Normalny 2 2" xfId="45" xr:uid="{00000000-0005-0000-0000-00002D000000}"/>
    <cellStyle name="Note" xfId="46" xr:uid="{00000000-0005-0000-0000-00002E000000}"/>
    <cellStyle name="Output" xfId="47" xr:uid="{00000000-0005-0000-0000-00002F000000}"/>
    <cellStyle name="Title" xfId="48" xr:uid="{00000000-0005-0000-0000-000030000000}"/>
    <cellStyle name="Total" xfId="49" xr:uid="{00000000-0005-0000-0000-000031000000}"/>
    <cellStyle name="Warning Text" xfId="50" xr:uid="{00000000-0005-0000-0000-00003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06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4.7109375" style="1" customWidth="1"/>
    <col min="5" max="9" width="14.7109375" style="1" customWidth="1" outlineLevel="1"/>
    <col min="10" max="10" width="9.7109375" style="1" customWidth="1"/>
    <col min="11" max="11" width="7.42578125" style="1" customWidth="1"/>
    <col min="12" max="12" width="9.140625" style="1" customWidth="1"/>
    <col min="13" max="13" width="8.140625" style="1" hidden="1" customWidth="1"/>
    <col min="14" max="16384" width="9.140625" style="1"/>
  </cols>
  <sheetData>
    <row r="1" spans="2:13" ht="20.100000000000001" customHeight="1" x14ac:dyDescent="0.2">
      <c r="B1" s="117" t="str">
        <f>CONCATENATE("Informacja z wykonania budżetów powiatów za ",$D$103," ",$C$104," rok     ",$C$106,"")</f>
        <v xml:space="preserve">Informacja z wykonania budżetów powiatów za IV Kwartały 2023 rok     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2:13" ht="57.75" customHeight="1" x14ac:dyDescent="0.2">
      <c r="B2" s="150" t="s">
        <v>0</v>
      </c>
      <c r="C2" s="14" t="s">
        <v>26</v>
      </c>
      <c r="D2" s="14" t="s">
        <v>27</v>
      </c>
      <c r="E2" s="14" t="s">
        <v>86</v>
      </c>
      <c r="F2" s="14" t="s">
        <v>87</v>
      </c>
      <c r="G2" s="14" t="s">
        <v>88</v>
      </c>
      <c r="H2" s="14" t="s">
        <v>89</v>
      </c>
      <c r="I2" s="14" t="s">
        <v>90</v>
      </c>
      <c r="J2" s="16" t="s">
        <v>2</v>
      </c>
      <c r="K2" s="14" t="s">
        <v>18</v>
      </c>
      <c r="L2" s="14" t="s">
        <v>3</v>
      </c>
    </row>
    <row r="3" spans="2:13" x14ac:dyDescent="0.2">
      <c r="B3" s="150"/>
      <c r="C3" s="154" t="s">
        <v>59</v>
      </c>
      <c r="D3" s="156"/>
      <c r="E3" s="158" t="s">
        <v>85</v>
      </c>
      <c r="F3" s="159"/>
      <c r="G3" s="159"/>
      <c r="H3" s="159"/>
      <c r="I3" s="160"/>
      <c r="J3" s="154" t="s">
        <v>4</v>
      </c>
      <c r="K3" s="155"/>
      <c r="L3" s="156"/>
    </row>
    <row r="4" spans="2:13" ht="9" customHeight="1" x14ac:dyDescent="0.2">
      <c r="B4" s="16">
        <v>1</v>
      </c>
      <c r="C4" s="18">
        <v>2</v>
      </c>
      <c r="D4" s="18">
        <v>3</v>
      </c>
      <c r="E4" s="161"/>
      <c r="F4" s="162"/>
      <c r="G4" s="162"/>
      <c r="H4" s="162"/>
      <c r="I4" s="163"/>
      <c r="J4" s="18">
        <v>4</v>
      </c>
      <c r="K4" s="18">
        <v>5</v>
      </c>
      <c r="L4" s="18">
        <v>6</v>
      </c>
    </row>
    <row r="5" spans="2:13" ht="12.95" customHeight="1" x14ac:dyDescent="0.2">
      <c r="B5" s="106" t="s">
        <v>5</v>
      </c>
      <c r="C5" s="54">
        <f>45647224741.88</f>
        <v>45647224741.879997</v>
      </c>
      <c r="D5" s="54">
        <f>45275543188.21</f>
        <v>45275543188.209999</v>
      </c>
      <c r="E5" s="97" t="s">
        <v>85</v>
      </c>
      <c r="F5" s="97" t="s">
        <v>85</v>
      </c>
      <c r="G5" s="97" t="s">
        <v>85</v>
      </c>
      <c r="H5" s="97" t="s">
        <v>85</v>
      </c>
      <c r="I5" s="97" t="s">
        <v>85</v>
      </c>
      <c r="J5" s="55">
        <f t="shared" ref="J5:J39" si="0">IF($D$5=0,"",100*$D5/$D$5)</f>
        <v>100</v>
      </c>
      <c r="K5" s="55">
        <f t="shared" ref="K5:K42" si="1">IF(C5=0,"",100*D5/C5)</f>
        <v>99.185752133296745</v>
      </c>
      <c r="L5" s="55"/>
    </row>
    <row r="6" spans="2:13" ht="26.85" customHeight="1" x14ac:dyDescent="0.2">
      <c r="B6" s="107" t="s">
        <v>41</v>
      </c>
      <c r="C6" s="30">
        <f>C5-C11-C35</f>
        <v>14602885394.819996</v>
      </c>
      <c r="D6" s="30">
        <f>D5-D11-D35</f>
        <v>15028756765.75</v>
      </c>
      <c r="E6" s="97" t="s">
        <v>85</v>
      </c>
      <c r="F6" s="97" t="s">
        <v>85</v>
      </c>
      <c r="G6" s="97" t="s">
        <v>85</v>
      </c>
      <c r="H6" s="97" t="s">
        <v>85</v>
      </c>
      <c r="I6" s="97" t="s">
        <v>85</v>
      </c>
      <c r="J6" s="31">
        <f t="shared" si="0"/>
        <v>33.193984450447346</v>
      </c>
      <c r="K6" s="31">
        <f t="shared" si="1"/>
        <v>102.91635084036933</v>
      </c>
      <c r="L6" s="31">
        <f>IF($D$6=0,"",100*$D6/$D$6)</f>
        <v>100</v>
      </c>
    </row>
    <row r="7" spans="2:13" ht="22.5" outlineLevel="1" x14ac:dyDescent="0.2">
      <c r="B7" s="109" t="s">
        <v>19</v>
      </c>
      <c r="C7" s="32">
        <f>5776115283</f>
        <v>5776115283</v>
      </c>
      <c r="D7" s="32">
        <f>5780456106</f>
        <v>5780456106</v>
      </c>
      <c r="E7" s="97" t="s">
        <v>85</v>
      </c>
      <c r="F7" s="97" t="s">
        <v>85</v>
      </c>
      <c r="G7" s="97" t="s">
        <v>85</v>
      </c>
      <c r="H7" s="97" t="s">
        <v>85</v>
      </c>
      <c r="I7" s="97" t="s">
        <v>85</v>
      </c>
      <c r="J7" s="33">
        <f t="shared" si="0"/>
        <v>12.767281624807238</v>
      </c>
      <c r="K7" s="33">
        <f t="shared" si="1"/>
        <v>100.07515125282862</v>
      </c>
      <c r="L7" s="33">
        <f>IF($D$6=0,"",100*$D7/$D$6)</f>
        <v>38.462636637871825</v>
      </c>
    </row>
    <row r="8" spans="2:13" ht="22.5" outlineLevel="1" x14ac:dyDescent="0.2">
      <c r="B8" s="109" t="s">
        <v>25</v>
      </c>
      <c r="C8" s="32">
        <f>474339515</f>
        <v>474339515</v>
      </c>
      <c r="D8" s="32">
        <f>475133231</f>
        <v>475133231</v>
      </c>
      <c r="E8" s="97" t="s">
        <v>85</v>
      </c>
      <c r="F8" s="97" t="s">
        <v>85</v>
      </c>
      <c r="G8" s="97" t="s">
        <v>85</v>
      </c>
      <c r="H8" s="97" t="s">
        <v>85</v>
      </c>
      <c r="I8" s="97" t="s">
        <v>85</v>
      </c>
      <c r="J8" s="33">
        <f t="shared" si="0"/>
        <v>1.0494257993214475</v>
      </c>
      <c r="K8" s="33">
        <f t="shared" si="1"/>
        <v>100.16733077782904</v>
      </c>
      <c r="L8" s="33">
        <f>IF($D$6=0,"",100*$D8/$D$6)</f>
        <v>3.1614939173332797</v>
      </c>
    </row>
    <row r="9" spans="2:13" ht="12.95" customHeight="1" outlineLevel="1" x14ac:dyDescent="0.2">
      <c r="B9" s="109" t="s">
        <v>20</v>
      </c>
      <c r="C9" s="32">
        <f>445552187.69</f>
        <v>445552187.69</v>
      </c>
      <c r="D9" s="56">
        <f>357987548.62</f>
        <v>357987548.62</v>
      </c>
      <c r="E9" s="97" t="s">
        <v>85</v>
      </c>
      <c r="F9" s="97" t="s">
        <v>85</v>
      </c>
      <c r="G9" s="97" t="s">
        <v>85</v>
      </c>
      <c r="H9" s="97" t="s">
        <v>85</v>
      </c>
      <c r="I9" s="97" t="s">
        <v>85</v>
      </c>
      <c r="J9" s="33">
        <f t="shared" si="0"/>
        <v>0.79068636930947289</v>
      </c>
      <c r="K9" s="33">
        <f t="shared" si="1"/>
        <v>80.346939934469702</v>
      </c>
      <c r="L9" s="33">
        <f>IF($D$6=0,"",100*$D9/$D$6)</f>
        <v>2.3820170503779852</v>
      </c>
    </row>
    <row r="10" spans="2:13" ht="12.95" customHeight="1" outlineLevel="1" x14ac:dyDescent="0.2">
      <c r="B10" s="109" t="s">
        <v>21</v>
      </c>
      <c r="C10" s="32">
        <f>C6-C8-C7-C9</f>
        <v>7906878409.1299963</v>
      </c>
      <c r="D10" s="32">
        <f>D6-D8-D7-D9</f>
        <v>8415179880.1300001</v>
      </c>
      <c r="E10" s="97" t="s">
        <v>85</v>
      </c>
      <c r="F10" s="97" t="s">
        <v>85</v>
      </c>
      <c r="G10" s="97" t="s">
        <v>85</v>
      </c>
      <c r="H10" s="97" t="s">
        <v>85</v>
      </c>
      <c r="I10" s="97" t="s">
        <v>85</v>
      </c>
      <c r="J10" s="33">
        <f t="shared" si="0"/>
        <v>18.586590657009189</v>
      </c>
      <c r="K10" s="33">
        <f t="shared" si="1"/>
        <v>106.42859855304052</v>
      </c>
      <c r="L10" s="33">
        <f>IF($D$6=0,"",100*$D10/$D$6)</f>
        <v>55.993852394416912</v>
      </c>
    </row>
    <row r="11" spans="2:13" ht="26.85" customHeight="1" x14ac:dyDescent="0.2">
      <c r="B11" s="108" t="s">
        <v>91</v>
      </c>
      <c r="C11" s="54">
        <f>C12+C31+C33</f>
        <v>12799937955.460003</v>
      </c>
      <c r="D11" s="54">
        <f>D12+D31+D33</f>
        <v>11890153169.1</v>
      </c>
      <c r="E11" s="97" t="s">
        <v>85</v>
      </c>
      <c r="F11" s="97" t="s">
        <v>85</v>
      </c>
      <c r="G11" s="97" t="s">
        <v>85</v>
      </c>
      <c r="H11" s="97" t="s">
        <v>85</v>
      </c>
      <c r="I11" s="97" t="s">
        <v>85</v>
      </c>
      <c r="J11" s="55">
        <f t="shared" si="0"/>
        <v>26.261757080799114</v>
      </c>
      <c r="K11" s="55">
        <f t="shared" si="1"/>
        <v>92.892271903771842</v>
      </c>
      <c r="L11" s="57"/>
    </row>
    <row r="12" spans="2:13" ht="26.85" customHeight="1" outlineLevel="1" x14ac:dyDescent="0.2">
      <c r="B12" s="110" t="s">
        <v>42</v>
      </c>
      <c r="C12" s="54">
        <f>C13+C15+C17+C19+C21+C23+C25+C27+C29</f>
        <v>11547530697.950003</v>
      </c>
      <c r="D12" s="54">
        <f>D13+D15+D17+D19+D21+D23+D25+D27+D29</f>
        <v>10782622132.030001</v>
      </c>
      <c r="E12" s="97" t="s">
        <v>85</v>
      </c>
      <c r="F12" s="97" t="s">
        <v>85</v>
      </c>
      <c r="G12" s="97" t="s">
        <v>85</v>
      </c>
      <c r="H12" s="97" t="s">
        <v>85</v>
      </c>
      <c r="I12" s="97" t="s">
        <v>85</v>
      </c>
      <c r="J12" s="55">
        <f t="shared" si="0"/>
        <v>23.815555535594005</v>
      </c>
      <c r="K12" s="55">
        <f t="shared" si="1"/>
        <v>93.375998852674243</v>
      </c>
      <c r="L12" s="36"/>
    </row>
    <row r="13" spans="2:13" ht="22.5" outlineLevel="1" x14ac:dyDescent="0.2">
      <c r="B13" s="111" t="s">
        <v>9</v>
      </c>
      <c r="C13" s="32">
        <f>3321906795.69</f>
        <v>3321906795.6900001</v>
      </c>
      <c r="D13" s="32">
        <f>3303112690.83</f>
        <v>3303112690.8299999</v>
      </c>
      <c r="E13" s="97" t="s">
        <v>85</v>
      </c>
      <c r="F13" s="97" t="s">
        <v>85</v>
      </c>
      <c r="G13" s="97" t="s">
        <v>85</v>
      </c>
      <c r="H13" s="97" t="s">
        <v>85</v>
      </c>
      <c r="I13" s="97" t="s">
        <v>85</v>
      </c>
      <c r="J13" s="33">
        <f t="shared" si="0"/>
        <v>7.2955782708094574</v>
      </c>
      <c r="K13" s="33">
        <f t="shared" si="1"/>
        <v>99.434237442050318</v>
      </c>
      <c r="L13" s="36"/>
    </row>
    <row r="14" spans="2:13" ht="12.95" customHeight="1" outlineLevel="1" x14ac:dyDescent="0.2">
      <c r="B14" s="114" t="s">
        <v>6</v>
      </c>
      <c r="C14" s="32">
        <f>135501415.17</f>
        <v>135501415.16999999</v>
      </c>
      <c r="D14" s="32">
        <f>134339357.01</f>
        <v>134339357.00999999</v>
      </c>
      <c r="E14" s="97" t="s">
        <v>85</v>
      </c>
      <c r="F14" s="97" t="s">
        <v>85</v>
      </c>
      <c r="G14" s="97" t="s">
        <v>85</v>
      </c>
      <c r="H14" s="97" t="s">
        <v>85</v>
      </c>
      <c r="I14" s="97" t="s">
        <v>85</v>
      </c>
      <c r="J14" s="33">
        <f t="shared" si="0"/>
        <v>0.29671506413860699</v>
      </c>
      <c r="K14" s="33">
        <f t="shared" si="1"/>
        <v>99.142401458654831</v>
      </c>
      <c r="L14" s="36"/>
    </row>
    <row r="15" spans="2:13" ht="12.95" customHeight="1" outlineLevel="1" x14ac:dyDescent="0.2">
      <c r="B15" s="111" t="s">
        <v>7</v>
      </c>
      <c r="C15" s="32">
        <f>1255337210.53</f>
        <v>1255337210.53</v>
      </c>
      <c r="D15" s="32">
        <f>1202152962.27</f>
        <v>1202152962.27</v>
      </c>
      <c r="E15" s="97" t="s">
        <v>85</v>
      </c>
      <c r="F15" s="97" t="s">
        <v>85</v>
      </c>
      <c r="G15" s="97" t="s">
        <v>85</v>
      </c>
      <c r="H15" s="97" t="s">
        <v>85</v>
      </c>
      <c r="I15" s="97" t="s">
        <v>85</v>
      </c>
      <c r="J15" s="33">
        <f t="shared" si="0"/>
        <v>2.6551927986212371</v>
      </c>
      <c r="K15" s="33">
        <f t="shared" si="1"/>
        <v>95.763349655066335</v>
      </c>
      <c r="L15" s="36"/>
    </row>
    <row r="16" spans="2:13" ht="12.95" customHeight="1" outlineLevel="1" x14ac:dyDescent="0.2">
      <c r="B16" s="114" t="s">
        <v>6</v>
      </c>
      <c r="C16" s="32">
        <f>242475763.21</f>
        <v>242475763.21000001</v>
      </c>
      <c r="D16" s="32">
        <f>206598188.9</f>
        <v>206598188.90000001</v>
      </c>
      <c r="E16" s="97" t="s">
        <v>85</v>
      </c>
      <c r="F16" s="97" t="s">
        <v>85</v>
      </c>
      <c r="G16" s="97" t="s">
        <v>85</v>
      </c>
      <c r="H16" s="97" t="s">
        <v>85</v>
      </c>
      <c r="I16" s="97" t="s">
        <v>85</v>
      </c>
      <c r="J16" s="33">
        <f t="shared" si="0"/>
        <v>0.45631299892123506</v>
      </c>
      <c r="K16" s="33">
        <f t="shared" si="1"/>
        <v>85.203645166412912</v>
      </c>
      <c r="L16" s="36"/>
    </row>
    <row r="17" spans="2:12" ht="33.75" outlineLevel="1" x14ac:dyDescent="0.2">
      <c r="B17" s="111" t="s">
        <v>10</v>
      </c>
      <c r="C17" s="32">
        <f>113744640.65</f>
        <v>113744640.65000001</v>
      </c>
      <c r="D17" s="32">
        <f>104278891.89</f>
        <v>104278891.89</v>
      </c>
      <c r="E17" s="97" t="s">
        <v>85</v>
      </c>
      <c r="F17" s="97" t="s">
        <v>85</v>
      </c>
      <c r="G17" s="97" t="s">
        <v>85</v>
      </c>
      <c r="H17" s="97" t="s">
        <v>85</v>
      </c>
      <c r="I17" s="97" t="s">
        <v>85</v>
      </c>
      <c r="J17" s="33">
        <f t="shared" si="0"/>
        <v>0.23032057607020559</v>
      </c>
      <c r="K17" s="33">
        <f t="shared" si="1"/>
        <v>91.678070539493149</v>
      </c>
      <c r="L17" s="36"/>
    </row>
    <row r="18" spans="2:12" ht="12.95" customHeight="1" outlineLevel="1" x14ac:dyDescent="0.2">
      <c r="B18" s="114" t="s">
        <v>6</v>
      </c>
      <c r="C18" s="32">
        <f>6661001.76</f>
        <v>6661001.7599999998</v>
      </c>
      <c r="D18" s="32">
        <f>5721219.45</f>
        <v>5721219.4500000002</v>
      </c>
      <c r="E18" s="97" t="s">
        <v>85</v>
      </c>
      <c r="F18" s="97" t="s">
        <v>85</v>
      </c>
      <c r="G18" s="97" t="s">
        <v>85</v>
      </c>
      <c r="H18" s="97" t="s">
        <v>85</v>
      </c>
      <c r="I18" s="97" t="s">
        <v>85</v>
      </c>
      <c r="J18" s="33">
        <f t="shared" si="0"/>
        <v>1.2636445743382792E-2</v>
      </c>
      <c r="K18" s="33">
        <f t="shared" si="1"/>
        <v>85.891276659863848</v>
      </c>
      <c r="L18" s="36"/>
    </row>
    <row r="19" spans="2:12" ht="25.5" customHeight="1" outlineLevel="1" x14ac:dyDescent="0.2">
      <c r="B19" s="111" t="s">
        <v>11</v>
      </c>
      <c r="C19" s="32">
        <f>480263591.48</f>
        <v>480263591.48000002</v>
      </c>
      <c r="D19" s="32">
        <f>461519431.65</f>
        <v>461519431.64999998</v>
      </c>
      <c r="E19" s="97" t="s">
        <v>85</v>
      </c>
      <c r="F19" s="97" t="s">
        <v>85</v>
      </c>
      <c r="G19" s="97" t="s">
        <v>85</v>
      </c>
      <c r="H19" s="97" t="s">
        <v>85</v>
      </c>
      <c r="I19" s="97" t="s">
        <v>85</v>
      </c>
      <c r="J19" s="33">
        <f t="shared" si="0"/>
        <v>1.0193570284324764</v>
      </c>
      <c r="K19" s="33">
        <f t="shared" si="1"/>
        <v>96.097109969915223</v>
      </c>
      <c r="L19" s="36"/>
    </row>
    <row r="20" spans="2:12" ht="12.95" customHeight="1" outlineLevel="1" x14ac:dyDescent="0.2">
      <c r="B20" s="114" t="s">
        <v>6</v>
      </c>
      <c r="C20" s="32">
        <f>83886224.07</f>
        <v>83886224.069999993</v>
      </c>
      <c r="D20" s="32">
        <f>73104611.54</f>
        <v>73104611.540000007</v>
      </c>
      <c r="E20" s="97" t="s">
        <v>85</v>
      </c>
      <c r="F20" s="97" t="s">
        <v>85</v>
      </c>
      <c r="G20" s="97" t="s">
        <v>85</v>
      </c>
      <c r="H20" s="97" t="s">
        <v>85</v>
      </c>
      <c r="I20" s="97" t="s">
        <v>85</v>
      </c>
      <c r="J20" s="33">
        <f t="shared" si="0"/>
        <v>0.16146600657247742</v>
      </c>
      <c r="K20" s="33">
        <f t="shared" si="1"/>
        <v>87.147338374650019</v>
      </c>
      <c r="L20" s="36"/>
    </row>
    <row r="21" spans="2:12" ht="35.25" customHeight="1" outlineLevel="1" x14ac:dyDescent="0.2">
      <c r="B21" s="111" t="s">
        <v>60</v>
      </c>
      <c r="C21" s="32">
        <f>1030042837.69</f>
        <v>1030042837.6900001</v>
      </c>
      <c r="D21" s="32">
        <f>938707107.68</f>
        <v>938707107.67999995</v>
      </c>
      <c r="E21" s="97" t="s">
        <v>85</v>
      </c>
      <c r="F21" s="97" t="s">
        <v>85</v>
      </c>
      <c r="G21" s="97" t="s">
        <v>85</v>
      </c>
      <c r="H21" s="97" t="s">
        <v>85</v>
      </c>
      <c r="I21" s="97" t="s">
        <v>85</v>
      </c>
      <c r="J21" s="33">
        <f t="shared" si="0"/>
        <v>2.0733204763061672</v>
      </c>
      <c r="K21" s="33">
        <f t="shared" si="1"/>
        <v>91.132822182926702</v>
      </c>
      <c r="L21" s="36"/>
    </row>
    <row r="22" spans="2:12" ht="12.95" customHeight="1" outlineLevel="1" x14ac:dyDescent="0.2">
      <c r="B22" s="114" t="s">
        <v>6</v>
      </c>
      <c r="C22" s="32">
        <f>833921623.06</f>
        <v>833921623.05999994</v>
      </c>
      <c r="D22" s="32">
        <f>756696609.46</f>
        <v>756696609.46000004</v>
      </c>
      <c r="E22" s="97" t="s">
        <v>85</v>
      </c>
      <c r="F22" s="97" t="s">
        <v>85</v>
      </c>
      <c r="G22" s="97" t="s">
        <v>85</v>
      </c>
      <c r="H22" s="97" t="s">
        <v>85</v>
      </c>
      <c r="I22" s="97" t="s">
        <v>85</v>
      </c>
      <c r="J22" s="33">
        <f t="shared" si="0"/>
        <v>1.6713142596973811</v>
      </c>
      <c r="K22" s="33">
        <f t="shared" si="1"/>
        <v>90.739535771163986</v>
      </c>
      <c r="L22" s="36"/>
    </row>
    <row r="23" spans="2:12" ht="12.95" customHeight="1" outlineLevel="1" x14ac:dyDescent="0.2">
      <c r="B23" s="111" t="s">
        <v>8</v>
      </c>
      <c r="C23" s="32">
        <f>135199955.06</f>
        <v>135199955.06</v>
      </c>
      <c r="D23" s="32">
        <f>127814374.33</f>
        <v>127814374.33</v>
      </c>
      <c r="E23" s="97" t="s">
        <v>85</v>
      </c>
      <c r="F23" s="97" t="s">
        <v>85</v>
      </c>
      <c r="G23" s="97" t="s">
        <v>85</v>
      </c>
      <c r="H23" s="97" t="s">
        <v>85</v>
      </c>
      <c r="I23" s="97" t="s">
        <v>85</v>
      </c>
      <c r="J23" s="33">
        <f t="shared" si="0"/>
        <v>0.28230334818662889</v>
      </c>
      <c r="K23" s="33">
        <f t="shared" si="1"/>
        <v>94.537290543682218</v>
      </c>
      <c r="L23" s="36"/>
    </row>
    <row r="24" spans="2:12" ht="12.95" customHeight="1" outlineLevel="1" x14ac:dyDescent="0.2">
      <c r="B24" s="114" t="s">
        <v>6</v>
      </c>
      <c r="C24" s="32">
        <f>103071541.37</f>
        <v>103071541.37</v>
      </c>
      <c r="D24" s="32">
        <f>96593065.37</f>
        <v>96593065.370000005</v>
      </c>
      <c r="E24" s="97" t="s">
        <v>85</v>
      </c>
      <c r="F24" s="97" t="s">
        <v>85</v>
      </c>
      <c r="G24" s="97" t="s">
        <v>85</v>
      </c>
      <c r="H24" s="97" t="s">
        <v>85</v>
      </c>
      <c r="I24" s="97" t="s">
        <v>85</v>
      </c>
      <c r="J24" s="33">
        <f t="shared" si="0"/>
        <v>0.21334490669380499</v>
      </c>
      <c r="K24" s="33">
        <f t="shared" si="1"/>
        <v>93.714583177965721</v>
      </c>
      <c r="L24" s="36"/>
    </row>
    <row r="25" spans="2:12" ht="67.5" outlineLevel="1" x14ac:dyDescent="0.2">
      <c r="B25" s="111" t="s">
        <v>76</v>
      </c>
      <c r="C25" s="32">
        <f>7404079.24</f>
        <v>7404079.2400000002</v>
      </c>
      <c r="D25" s="32">
        <f>1588088.67</f>
        <v>1588088.67</v>
      </c>
      <c r="E25" s="97" t="s">
        <v>85</v>
      </c>
      <c r="F25" s="97" t="s">
        <v>85</v>
      </c>
      <c r="G25" s="97" t="s">
        <v>85</v>
      </c>
      <c r="H25" s="97" t="s">
        <v>85</v>
      </c>
      <c r="I25" s="97" t="s">
        <v>85</v>
      </c>
      <c r="J25" s="33">
        <f t="shared" si="0"/>
        <v>3.5076082100182226E-3</v>
      </c>
      <c r="K25" s="33">
        <f t="shared" si="1"/>
        <v>21.448834061910986</v>
      </c>
      <c r="L25" s="36"/>
    </row>
    <row r="26" spans="2:12" ht="12.95" customHeight="1" outlineLevel="1" x14ac:dyDescent="0.2">
      <c r="B26" s="114" t="s">
        <v>77</v>
      </c>
      <c r="C26" s="32">
        <f>6806437.56</f>
        <v>6806437.5599999996</v>
      </c>
      <c r="D26" s="32">
        <f>990446.99</f>
        <v>990446.99</v>
      </c>
      <c r="E26" s="97" t="s">
        <v>85</v>
      </c>
      <c r="F26" s="97" t="s">
        <v>85</v>
      </c>
      <c r="G26" s="97" t="s">
        <v>85</v>
      </c>
      <c r="H26" s="97" t="s">
        <v>85</v>
      </c>
      <c r="I26" s="97" t="s">
        <v>85</v>
      </c>
      <c r="J26" s="33">
        <f t="shared" si="0"/>
        <v>2.1875982489767631E-3</v>
      </c>
      <c r="K26" s="33">
        <f t="shared" si="1"/>
        <v>14.551620892265998</v>
      </c>
      <c r="L26" s="36"/>
    </row>
    <row r="27" spans="2:12" ht="45" outlineLevel="1" x14ac:dyDescent="0.2">
      <c r="B27" s="112" t="s">
        <v>75</v>
      </c>
      <c r="C27" s="69">
        <f>4253606618.33</f>
        <v>4253606618.3299999</v>
      </c>
      <c r="D27" s="69">
        <f>3739051083.44</f>
        <v>3739051083.4400001</v>
      </c>
      <c r="E27" s="97" t="s">
        <v>85</v>
      </c>
      <c r="F27" s="97" t="s">
        <v>85</v>
      </c>
      <c r="G27" s="97" t="s">
        <v>85</v>
      </c>
      <c r="H27" s="97" t="s">
        <v>85</v>
      </c>
      <c r="I27" s="97" t="s">
        <v>85</v>
      </c>
      <c r="J27" s="70">
        <f t="shared" si="0"/>
        <v>8.2584345104305008</v>
      </c>
      <c r="K27" s="70">
        <f t="shared" si="1"/>
        <v>87.90307658746265</v>
      </c>
      <c r="L27" s="36"/>
    </row>
    <row r="28" spans="2:12" ht="12.95" customHeight="1" outlineLevel="1" x14ac:dyDescent="0.2">
      <c r="B28" s="114" t="s">
        <v>6</v>
      </c>
      <c r="C28" s="32">
        <f>4234582840.48</f>
        <v>4234582840.48</v>
      </c>
      <c r="D28" s="32">
        <f>3726829279.93</f>
        <v>3726829279.9299998</v>
      </c>
      <c r="E28" s="97" t="s">
        <v>85</v>
      </c>
      <c r="F28" s="97" t="s">
        <v>85</v>
      </c>
      <c r="G28" s="97" t="s">
        <v>85</v>
      </c>
      <c r="H28" s="97" t="s">
        <v>85</v>
      </c>
      <c r="I28" s="97" t="s">
        <v>85</v>
      </c>
      <c r="J28" s="33">
        <f t="shared" si="0"/>
        <v>8.2314402379174254</v>
      </c>
      <c r="K28" s="33">
        <f t="shared" si="1"/>
        <v>88.009360551500151</v>
      </c>
      <c r="L28" s="36"/>
    </row>
    <row r="29" spans="2:12" ht="22.5" outlineLevel="1" x14ac:dyDescent="0.2">
      <c r="B29" s="112" t="s">
        <v>94</v>
      </c>
      <c r="C29" s="32">
        <f>950024969.28</f>
        <v>950024969.27999997</v>
      </c>
      <c r="D29" s="32">
        <f>904397501.27</f>
        <v>904397501.26999998</v>
      </c>
      <c r="E29" s="97" t="s">
        <v>85</v>
      </c>
      <c r="F29" s="97" t="s">
        <v>85</v>
      </c>
      <c r="G29" s="97" t="s">
        <v>85</v>
      </c>
      <c r="H29" s="97" t="s">
        <v>85</v>
      </c>
      <c r="I29" s="97" t="s">
        <v>85</v>
      </c>
      <c r="J29" s="33">
        <f t="shared" si="0"/>
        <v>1.9975409185273123</v>
      </c>
      <c r="K29" s="33">
        <f t="shared" si="1"/>
        <v>95.197234863776274</v>
      </c>
      <c r="L29" s="36"/>
    </row>
    <row r="30" spans="2:12" ht="12.95" customHeight="1" outlineLevel="1" x14ac:dyDescent="0.2">
      <c r="B30" s="114" t="s">
        <v>6</v>
      </c>
      <c r="C30" s="32">
        <f>0</f>
        <v>0</v>
      </c>
      <c r="D30" s="32">
        <f>0</f>
        <v>0</v>
      </c>
      <c r="E30" s="97" t="s">
        <v>85</v>
      </c>
      <c r="F30" s="97" t="s">
        <v>85</v>
      </c>
      <c r="G30" s="97" t="s">
        <v>85</v>
      </c>
      <c r="H30" s="97" t="s">
        <v>85</v>
      </c>
      <c r="I30" s="97" t="s">
        <v>85</v>
      </c>
      <c r="J30" s="33">
        <f t="shared" si="0"/>
        <v>0</v>
      </c>
      <c r="K30" s="33" t="str">
        <f t="shared" si="1"/>
        <v/>
      </c>
      <c r="L30" s="36"/>
    </row>
    <row r="31" spans="2:12" ht="12.95" customHeight="1" outlineLevel="1" x14ac:dyDescent="0.2">
      <c r="B31" s="113" t="s">
        <v>67</v>
      </c>
      <c r="C31" s="30">
        <f>109877491.82</f>
        <v>109877491.81999999</v>
      </c>
      <c r="D31" s="30">
        <f>102217742.56</f>
        <v>102217742.56</v>
      </c>
      <c r="E31" s="97" t="s">
        <v>85</v>
      </c>
      <c r="F31" s="97" t="s">
        <v>85</v>
      </c>
      <c r="G31" s="97" t="s">
        <v>85</v>
      </c>
      <c r="H31" s="97" t="s">
        <v>85</v>
      </c>
      <c r="I31" s="97" t="s">
        <v>85</v>
      </c>
      <c r="J31" s="34">
        <f t="shared" si="0"/>
        <v>0.22576811974421118</v>
      </c>
      <c r="K31" s="34">
        <f t="shared" si="1"/>
        <v>93.028827712459886</v>
      </c>
      <c r="L31" s="21"/>
    </row>
    <row r="32" spans="2:12" ht="12.95" customHeight="1" outlineLevel="1" x14ac:dyDescent="0.2">
      <c r="B32" s="115" t="s">
        <v>53</v>
      </c>
      <c r="C32" s="35">
        <f>51041296.71</f>
        <v>51041296.710000001</v>
      </c>
      <c r="D32" s="35">
        <f>40500095</f>
        <v>40500095</v>
      </c>
      <c r="E32" s="97" t="s">
        <v>85</v>
      </c>
      <c r="F32" s="97" t="s">
        <v>85</v>
      </c>
      <c r="G32" s="97" t="s">
        <v>85</v>
      </c>
      <c r="H32" s="97" t="s">
        <v>85</v>
      </c>
      <c r="I32" s="97" t="s">
        <v>85</v>
      </c>
      <c r="J32" s="33">
        <f t="shared" si="0"/>
        <v>8.9452477315714346E-2</v>
      </c>
      <c r="K32" s="33">
        <f t="shared" si="1"/>
        <v>79.347700020452706</v>
      </c>
      <c r="L32" s="21"/>
    </row>
    <row r="33" spans="1:26" ht="12.95" customHeight="1" outlineLevel="1" x14ac:dyDescent="0.2">
      <c r="B33" s="113" t="s">
        <v>68</v>
      </c>
      <c r="C33" s="58">
        <f>1142529765.69</f>
        <v>1142529765.6900001</v>
      </c>
      <c r="D33" s="58">
        <f>1005313294.51</f>
        <v>1005313294.51</v>
      </c>
      <c r="E33" s="97" t="s">
        <v>85</v>
      </c>
      <c r="F33" s="97" t="s">
        <v>85</v>
      </c>
      <c r="G33" s="97" t="s">
        <v>85</v>
      </c>
      <c r="H33" s="97" t="s">
        <v>85</v>
      </c>
      <c r="I33" s="97" t="s">
        <v>85</v>
      </c>
      <c r="J33" s="59">
        <f t="shared" si="0"/>
        <v>2.2204334254608988</v>
      </c>
      <c r="K33" s="59">
        <f t="shared" si="1"/>
        <v>87.99011848088422</v>
      </c>
      <c r="L33" s="21"/>
    </row>
    <row r="34" spans="1:26" ht="12.95" customHeight="1" outlineLevel="1" x14ac:dyDescent="0.2">
      <c r="B34" s="115" t="s">
        <v>65</v>
      </c>
      <c r="C34" s="35">
        <f>717545205.11</f>
        <v>717545205.11000001</v>
      </c>
      <c r="D34" s="35">
        <f>598145392.99</f>
        <v>598145392.99000001</v>
      </c>
      <c r="E34" s="97" t="s">
        <v>85</v>
      </c>
      <c r="F34" s="97" t="s">
        <v>85</v>
      </c>
      <c r="G34" s="97" t="s">
        <v>85</v>
      </c>
      <c r="H34" s="97" t="s">
        <v>85</v>
      </c>
      <c r="I34" s="97" t="s">
        <v>85</v>
      </c>
      <c r="J34" s="33">
        <f t="shared" si="0"/>
        <v>1.3211225108962588</v>
      </c>
      <c r="K34" s="33">
        <f t="shared" si="1"/>
        <v>83.359959585863862</v>
      </c>
      <c r="L34" s="21"/>
    </row>
    <row r="35" spans="1:26" s="5" customFormat="1" ht="26.85" customHeight="1" x14ac:dyDescent="0.2">
      <c r="B35" s="107" t="s">
        <v>43</v>
      </c>
      <c r="C35" s="30">
        <f>C36+C37+C38+C39</f>
        <v>18244401391.599998</v>
      </c>
      <c r="D35" s="30">
        <f>D36+D37+D38+D39</f>
        <v>18356633253.360001</v>
      </c>
      <c r="E35" s="97" t="s">
        <v>85</v>
      </c>
      <c r="F35" s="97" t="s">
        <v>85</v>
      </c>
      <c r="G35" s="97" t="s">
        <v>85</v>
      </c>
      <c r="H35" s="97" t="s">
        <v>85</v>
      </c>
      <c r="I35" s="97" t="s">
        <v>85</v>
      </c>
      <c r="J35" s="31">
        <f t="shared" si="0"/>
        <v>40.54425846875354</v>
      </c>
      <c r="K35" s="31">
        <f t="shared" si="1"/>
        <v>100.61515781938274</v>
      </c>
      <c r="L35" s="22"/>
    </row>
    <row r="36" spans="1:26" ht="12.95" customHeight="1" outlineLevel="1" x14ac:dyDescent="0.2">
      <c r="B36" s="109" t="s">
        <v>30</v>
      </c>
      <c r="C36" s="32">
        <f>12683694974</f>
        <v>12683694974</v>
      </c>
      <c r="D36" s="32">
        <f>12689488078</f>
        <v>12689488078</v>
      </c>
      <c r="E36" s="97" t="s">
        <v>85</v>
      </c>
      <c r="F36" s="97" t="s">
        <v>85</v>
      </c>
      <c r="G36" s="97" t="s">
        <v>85</v>
      </c>
      <c r="H36" s="97" t="s">
        <v>85</v>
      </c>
      <c r="I36" s="97" t="s">
        <v>85</v>
      </c>
      <c r="J36" s="33">
        <f t="shared" si="0"/>
        <v>28.027246465602676</v>
      </c>
      <c r="K36" s="33">
        <f t="shared" si="1"/>
        <v>100.04567363068786</v>
      </c>
      <c r="L36" s="21"/>
    </row>
    <row r="37" spans="1:26" ht="12.95" customHeight="1" outlineLevel="1" x14ac:dyDescent="0.2">
      <c r="B37" s="109" t="s">
        <v>29</v>
      </c>
      <c r="C37" s="32">
        <f>805194557</f>
        <v>805194557</v>
      </c>
      <c r="D37" s="32">
        <f>804905956</f>
        <v>804905956</v>
      </c>
      <c r="E37" s="97" t="s">
        <v>85</v>
      </c>
      <c r="F37" s="97" t="s">
        <v>85</v>
      </c>
      <c r="G37" s="97" t="s">
        <v>85</v>
      </c>
      <c r="H37" s="97" t="s">
        <v>85</v>
      </c>
      <c r="I37" s="97" t="s">
        <v>85</v>
      </c>
      <c r="J37" s="33">
        <f t="shared" si="0"/>
        <v>1.7777941451834463</v>
      </c>
      <c r="K37" s="33">
        <f t="shared" si="1"/>
        <v>99.964157606693803</v>
      </c>
      <c r="L37" s="21"/>
    </row>
    <row r="38" spans="1:26" ht="12.95" customHeight="1" outlineLevel="1" x14ac:dyDescent="0.2">
      <c r="B38" s="109" t="s">
        <v>31</v>
      </c>
      <c r="C38" s="32">
        <f>2729770073</f>
        <v>2729770073</v>
      </c>
      <c r="D38" s="32">
        <f>2729477171</f>
        <v>2729477171</v>
      </c>
      <c r="E38" s="97" t="s">
        <v>85</v>
      </c>
      <c r="F38" s="97" t="s">
        <v>85</v>
      </c>
      <c r="G38" s="97" t="s">
        <v>85</v>
      </c>
      <c r="H38" s="97" t="s">
        <v>85</v>
      </c>
      <c r="I38" s="97" t="s">
        <v>85</v>
      </c>
      <c r="J38" s="33">
        <f t="shared" si="0"/>
        <v>6.0285906668277605</v>
      </c>
      <c r="K38" s="33">
        <f t="shared" si="1"/>
        <v>99.989270085312413</v>
      </c>
      <c r="L38" s="21"/>
    </row>
    <row r="39" spans="1:26" s="5" customFormat="1" ht="12.95" customHeight="1" outlineLevel="1" x14ac:dyDescent="0.2">
      <c r="B39" s="109" t="s">
        <v>28</v>
      </c>
      <c r="C39" s="32">
        <f>2025741787.6</f>
        <v>2025741787.5999999</v>
      </c>
      <c r="D39" s="32">
        <f>2132762048.36</f>
        <v>2132762048.3599999</v>
      </c>
      <c r="E39" s="97" t="s">
        <v>85</v>
      </c>
      <c r="F39" s="97" t="s">
        <v>85</v>
      </c>
      <c r="G39" s="97" t="s">
        <v>85</v>
      </c>
      <c r="H39" s="97" t="s">
        <v>85</v>
      </c>
      <c r="I39" s="97" t="s">
        <v>85</v>
      </c>
      <c r="J39" s="33">
        <f t="shared" si="0"/>
        <v>4.7106271911396593</v>
      </c>
      <c r="K39" s="33">
        <f t="shared" si="1"/>
        <v>105.2830159013895</v>
      </c>
      <c r="L39" s="22"/>
    </row>
    <row r="40" spans="1:26" s="5" customFormat="1" ht="12.95" customHeight="1" x14ac:dyDescent="0.2">
      <c r="B40" s="106" t="s">
        <v>5</v>
      </c>
      <c r="C40" s="58">
        <f>+C5</f>
        <v>45647224741.879997</v>
      </c>
      <c r="D40" s="58">
        <f>+D5</f>
        <v>45275543188.209999</v>
      </c>
      <c r="E40" s="97" t="s">
        <v>85</v>
      </c>
      <c r="F40" s="97" t="s">
        <v>85</v>
      </c>
      <c r="G40" s="97" t="s">
        <v>85</v>
      </c>
      <c r="H40" s="97" t="s">
        <v>85</v>
      </c>
      <c r="I40" s="97" t="s">
        <v>85</v>
      </c>
      <c r="J40" s="59">
        <f>IF($D$5=0,"",100*$D40/$D$40)</f>
        <v>100</v>
      </c>
      <c r="K40" s="59">
        <f t="shared" si="1"/>
        <v>99.185752133296745</v>
      </c>
    </row>
    <row r="41" spans="1:26" s="5" customFormat="1" ht="12.95" customHeight="1" x14ac:dyDescent="0.2">
      <c r="B41" s="116" t="s">
        <v>55</v>
      </c>
      <c r="C41" s="32">
        <f>8403146685.48</f>
        <v>8403146685.4799995</v>
      </c>
      <c r="D41" s="32">
        <f>7895444336.15</f>
        <v>7895444336.1499996</v>
      </c>
      <c r="E41" s="97" t="s">
        <v>85</v>
      </c>
      <c r="F41" s="97" t="s">
        <v>85</v>
      </c>
      <c r="G41" s="97" t="s">
        <v>85</v>
      </c>
      <c r="H41" s="97" t="s">
        <v>85</v>
      </c>
      <c r="I41" s="97" t="s">
        <v>85</v>
      </c>
      <c r="J41" s="33">
        <f>IF($D$5=0,"",100*$D41/$D$40)</f>
        <v>17.438651819877045</v>
      </c>
      <c r="K41" s="33">
        <f t="shared" si="1"/>
        <v>93.958187708334663</v>
      </c>
    </row>
    <row r="42" spans="1:26" s="5" customFormat="1" ht="12.95" customHeight="1" x14ac:dyDescent="0.2">
      <c r="A42" s="2"/>
      <c r="B42" s="116" t="s">
        <v>56</v>
      </c>
      <c r="C42" s="32">
        <f>C40-C41</f>
        <v>37244078056.399994</v>
      </c>
      <c r="D42" s="32">
        <f>D40-D41</f>
        <v>37380098852.059998</v>
      </c>
      <c r="E42" s="97" t="s">
        <v>85</v>
      </c>
      <c r="F42" s="97" t="s">
        <v>85</v>
      </c>
      <c r="G42" s="97" t="s">
        <v>85</v>
      </c>
      <c r="H42" s="97" t="s">
        <v>85</v>
      </c>
      <c r="I42" s="97" t="s">
        <v>85</v>
      </c>
      <c r="J42" s="33">
        <f>IF($D$5=0,"",100*$D42/$D$40)</f>
        <v>82.561348180122963</v>
      </c>
      <c r="K42" s="33">
        <f t="shared" si="1"/>
        <v>100.36521455962482</v>
      </c>
      <c r="M42" s="15"/>
      <c r="N42" s="15"/>
      <c r="O42" s="9"/>
      <c r="P42" s="9"/>
      <c r="Q42" s="3"/>
    </row>
    <row r="43" spans="1:26" s="5" customFormat="1" ht="12.95" customHeight="1" x14ac:dyDescent="0.2">
      <c r="A43" s="2"/>
      <c r="B43" s="128" t="s">
        <v>95</v>
      </c>
      <c r="C43" s="76"/>
      <c r="D43" s="76"/>
      <c r="E43" s="127"/>
      <c r="F43" s="127"/>
      <c r="G43" s="127"/>
      <c r="H43" s="127"/>
      <c r="I43" s="127"/>
      <c r="J43" s="57"/>
      <c r="K43" s="57"/>
      <c r="M43" s="15"/>
      <c r="N43" s="15"/>
      <c r="O43" s="9"/>
      <c r="P43" s="9"/>
      <c r="Q43" s="3"/>
    </row>
    <row r="44" spans="1:26" ht="20.100000000000001" customHeight="1" x14ac:dyDescent="0.2">
      <c r="B44" s="117" t="str">
        <f>CONCATENATE("Informacja z wykonania budżetów powiatów za ",$D$103," ",$C$104," rok     ",$C$106,"")</f>
        <v xml:space="preserve">Informacja z wykonania budżetów powiatów za IV Kwartały 2023 rok     </v>
      </c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</row>
    <row r="45" spans="1:26" s="5" customFormat="1" ht="9" customHeight="1" x14ac:dyDescent="0.2">
      <c r="B45" s="6"/>
      <c r="C45" s="7"/>
      <c r="D45" s="8"/>
      <c r="E45" s="8"/>
      <c r="F45" s="4"/>
      <c r="G45" s="4"/>
      <c r="H45" s="4"/>
      <c r="I45" s="4"/>
      <c r="J45" s="4"/>
      <c r="K45" s="9"/>
      <c r="L45" s="9"/>
      <c r="M45" s="3"/>
    </row>
    <row r="46" spans="1:26" ht="29.25" customHeight="1" x14ac:dyDescent="0.2">
      <c r="B46" s="150" t="s">
        <v>0</v>
      </c>
      <c r="C46" s="132" t="s">
        <v>37</v>
      </c>
      <c r="D46" s="132" t="s">
        <v>39</v>
      </c>
      <c r="E46" s="132" t="s">
        <v>38</v>
      </c>
      <c r="F46" s="132" t="s">
        <v>12</v>
      </c>
      <c r="G46" s="132"/>
      <c r="H46" s="132"/>
      <c r="I46" s="151" t="s">
        <v>66</v>
      </c>
      <c r="J46" s="132" t="s">
        <v>2</v>
      </c>
      <c r="K46" s="136" t="s">
        <v>18</v>
      </c>
      <c r="M46" s="10"/>
      <c r="N46" s="73"/>
      <c r="O46" s="77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8" customHeight="1" x14ac:dyDescent="0.2">
      <c r="B47" s="150"/>
      <c r="C47" s="132"/>
      <c r="D47" s="132"/>
      <c r="E47" s="133"/>
      <c r="F47" s="134" t="s">
        <v>40</v>
      </c>
      <c r="G47" s="148" t="s">
        <v>24</v>
      </c>
      <c r="H47" s="133"/>
      <c r="I47" s="152"/>
      <c r="J47" s="132"/>
      <c r="K47" s="136"/>
      <c r="L47" s="11"/>
      <c r="M47" s="12"/>
      <c r="N47" s="74"/>
      <c r="O47" s="78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57" customHeight="1" x14ac:dyDescent="0.2">
      <c r="B48" s="150"/>
      <c r="C48" s="132"/>
      <c r="D48" s="132"/>
      <c r="E48" s="133"/>
      <c r="F48" s="133"/>
      <c r="G48" s="17" t="s">
        <v>35</v>
      </c>
      <c r="H48" s="17" t="s">
        <v>36</v>
      </c>
      <c r="I48" s="153"/>
      <c r="J48" s="132"/>
      <c r="K48" s="136"/>
      <c r="L48" s="11"/>
      <c r="M48" s="10"/>
      <c r="N48" s="74"/>
      <c r="O48" s="76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26" ht="13.5" customHeight="1" x14ac:dyDescent="0.2">
      <c r="B49" s="150"/>
      <c r="C49" s="154" t="s">
        <v>59</v>
      </c>
      <c r="D49" s="155"/>
      <c r="E49" s="155"/>
      <c r="F49" s="155"/>
      <c r="G49" s="155"/>
      <c r="H49" s="155"/>
      <c r="I49" s="156"/>
      <c r="J49" s="157" t="s">
        <v>4</v>
      </c>
      <c r="K49" s="157"/>
      <c r="N49" s="10"/>
      <c r="O49" s="78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2:26" ht="11.25" customHeight="1" x14ac:dyDescent="0.2">
      <c r="B50" s="16">
        <v>1</v>
      </c>
      <c r="C50" s="18">
        <v>2</v>
      </c>
      <c r="D50" s="18">
        <v>3</v>
      </c>
      <c r="E50" s="18">
        <v>4</v>
      </c>
      <c r="F50" s="16">
        <v>5</v>
      </c>
      <c r="G50" s="16">
        <v>6</v>
      </c>
      <c r="H50" s="18">
        <v>7</v>
      </c>
      <c r="I50" s="18">
        <v>8</v>
      </c>
      <c r="J50" s="16">
        <v>9</v>
      </c>
      <c r="K50" s="18">
        <v>10</v>
      </c>
      <c r="M50" s="10"/>
      <c r="N50" s="10"/>
      <c r="O50" s="76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2:26" ht="26.85" customHeight="1" x14ac:dyDescent="0.2">
      <c r="B51" s="103" t="s">
        <v>44</v>
      </c>
      <c r="C51" s="60">
        <f>50259094172.99</f>
        <v>50259094172.989998</v>
      </c>
      <c r="D51" s="72">
        <f>46836238954.74</f>
        <v>46836238954.739998</v>
      </c>
      <c r="E51" s="72">
        <f>46854366793.13</f>
        <v>46854366793.129997</v>
      </c>
      <c r="F51" s="60">
        <f>2242667775.69</f>
        <v>2242667775.6900001</v>
      </c>
      <c r="G51" s="60">
        <f>9417312.76</f>
        <v>9417312.7599999998</v>
      </c>
      <c r="H51" s="60">
        <f>2391726.32</f>
        <v>2391726.3199999998</v>
      </c>
      <c r="I51" s="80">
        <f>291080315.99</f>
        <v>291080315.99000001</v>
      </c>
      <c r="J51" s="50">
        <f>IF($D$51=0,"",100*$D51/$D$51)</f>
        <v>100</v>
      </c>
      <c r="K51" s="50">
        <f>IF(C51=0,"",100*D51/C51)</f>
        <v>93.189580364364204</v>
      </c>
      <c r="O51" s="75"/>
    </row>
    <row r="52" spans="2:26" ht="12.95" customHeight="1" x14ac:dyDescent="0.2">
      <c r="B52" s="19" t="s">
        <v>14</v>
      </c>
      <c r="C52" s="38">
        <f>12545937902.58</f>
        <v>12545937902.58</v>
      </c>
      <c r="D52" s="38">
        <f>10878857657.79</f>
        <v>10878857657.790001</v>
      </c>
      <c r="E52" s="38">
        <f>10884082398.37</f>
        <v>10884082398.370001</v>
      </c>
      <c r="F52" s="38">
        <f>203835372.28</f>
        <v>203835372.28</v>
      </c>
      <c r="G52" s="38">
        <f>46.23</f>
        <v>46.23</v>
      </c>
      <c r="H52" s="38">
        <f>5537.59</f>
        <v>5537.59</v>
      </c>
      <c r="I52" s="81">
        <f>226885876.08</f>
        <v>226885876.08000001</v>
      </c>
      <c r="J52" s="50">
        <f t="shared" ref="J52:J60" si="2">IF($D$51=0,"",100*$D52/$D$51)</f>
        <v>23.227436490583155</v>
      </c>
      <c r="K52" s="50">
        <f t="shared" ref="K52:K60" si="3">IF(C52=0,"",100*D52/C52)</f>
        <v>86.712191167093422</v>
      </c>
      <c r="O52" s="76"/>
    </row>
    <row r="53" spans="2:26" ht="12.95" customHeight="1" outlineLevel="1" x14ac:dyDescent="0.2">
      <c r="B53" s="20" t="s">
        <v>13</v>
      </c>
      <c r="C53" s="35">
        <f>12467573498.56</f>
        <v>12467573498.559999</v>
      </c>
      <c r="D53" s="35">
        <f>10806445035.97</f>
        <v>10806445035.969999</v>
      </c>
      <c r="E53" s="35">
        <f>10811669776.55</f>
        <v>10811669776.549999</v>
      </c>
      <c r="F53" s="35">
        <f>203835372.28</f>
        <v>203835372.28</v>
      </c>
      <c r="G53" s="35">
        <f>46.23</f>
        <v>46.23</v>
      </c>
      <c r="H53" s="35">
        <f>5537.59</f>
        <v>5537.59</v>
      </c>
      <c r="I53" s="82">
        <f>226885876.08</f>
        <v>226885876.08000001</v>
      </c>
      <c r="J53" s="50">
        <f t="shared" si="2"/>
        <v>23.072828384902472</v>
      </c>
      <c r="K53" s="50">
        <f t="shared" si="3"/>
        <v>86.676409304650491</v>
      </c>
      <c r="O53" s="75"/>
    </row>
    <row r="54" spans="2:26" ht="26.85" customHeight="1" x14ac:dyDescent="0.2">
      <c r="B54" s="19" t="s">
        <v>45</v>
      </c>
      <c r="C54" s="38">
        <f t="shared" ref="C54:I54" si="4">C51-C52</f>
        <v>37713156270.409996</v>
      </c>
      <c r="D54" s="38">
        <f>D51-D52</f>
        <v>35957381296.949997</v>
      </c>
      <c r="E54" s="38">
        <f>E51-E52</f>
        <v>35970284394.759995</v>
      </c>
      <c r="F54" s="38">
        <f t="shared" si="4"/>
        <v>2038832403.4100001</v>
      </c>
      <c r="G54" s="38">
        <f t="shared" si="4"/>
        <v>9417266.5299999993</v>
      </c>
      <c r="H54" s="38">
        <f t="shared" si="4"/>
        <v>2386188.73</v>
      </c>
      <c r="I54" s="81">
        <f t="shared" si="4"/>
        <v>64194439.909999996</v>
      </c>
      <c r="J54" s="50">
        <f t="shared" si="2"/>
        <v>76.772563509416841</v>
      </c>
      <c r="K54" s="50">
        <f t="shared" si="3"/>
        <v>95.344396632117494</v>
      </c>
      <c r="O54" s="75"/>
    </row>
    <row r="55" spans="2:26" ht="22.5" outlineLevel="1" x14ac:dyDescent="0.2">
      <c r="B55" s="20" t="s">
        <v>84</v>
      </c>
      <c r="C55" s="35">
        <f>23144881050.93</f>
        <v>23144881050.93</v>
      </c>
      <c r="D55" s="35">
        <f>22709423091.2001</f>
        <v>22709423091.2001</v>
      </c>
      <c r="E55" s="35">
        <f>22716845806.7301</f>
        <v>22716845806.730099</v>
      </c>
      <c r="F55" s="35">
        <f>1801558535.89</f>
        <v>1801558535.8900001</v>
      </c>
      <c r="G55" s="35">
        <f>1971.94</f>
        <v>1971.94</v>
      </c>
      <c r="H55" s="35">
        <f>1260</f>
        <v>1260</v>
      </c>
      <c r="I55" s="82">
        <f>4555</f>
        <v>4555</v>
      </c>
      <c r="J55" s="50">
        <f t="shared" si="2"/>
        <v>48.486863159839231</v>
      </c>
      <c r="K55" s="50">
        <f t="shared" si="3"/>
        <v>98.118556069604836</v>
      </c>
      <c r="O55" s="76"/>
    </row>
    <row r="56" spans="2:26" ht="12.95" customHeight="1" outlineLevel="1" x14ac:dyDescent="0.2">
      <c r="B56" s="23" t="s">
        <v>34</v>
      </c>
      <c r="C56" s="61">
        <f>2941910211.82</f>
        <v>2941910211.8200002</v>
      </c>
      <c r="D56" s="61">
        <f>2847706306.55</f>
        <v>2847706306.5500002</v>
      </c>
      <c r="E56" s="61">
        <f>2847708789.65</f>
        <v>2847708789.6500001</v>
      </c>
      <c r="F56" s="61">
        <f>1119877.03</f>
        <v>1119877.03</v>
      </c>
      <c r="G56" s="61">
        <f>0</f>
        <v>0</v>
      </c>
      <c r="H56" s="61">
        <f>5864.3</f>
        <v>5864.3</v>
      </c>
      <c r="I56" s="83">
        <f>30000</f>
        <v>30000</v>
      </c>
      <c r="J56" s="50">
        <f t="shared" si="2"/>
        <v>6.080134464472839</v>
      </c>
      <c r="K56" s="50">
        <f t="shared" si="3"/>
        <v>96.797866063637571</v>
      </c>
    </row>
    <row r="57" spans="2:26" ht="12.95" customHeight="1" outlineLevel="1" x14ac:dyDescent="0.2">
      <c r="B57" s="23" t="s">
        <v>33</v>
      </c>
      <c r="C57" s="32">
        <f>484442849.66</f>
        <v>484442849.66000003</v>
      </c>
      <c r="D57" s="32">
        <f>451929633.1</f>
        <v>451929633.10000002</v>
      </c>
      <c r="E57" s="32">
        <f>451932743.06</f>
        <v>451932743.06</v>
      </c>
      <c r="F57" s="32">
        <f>8419412.12</f>
        <v>8419412.1199999992</v>
      </c>
      <c r="G57" s="32">
        <f>0</f>
        <v>0</v>
      </c>
      <c r="H57" s="32">
        <f>0</f>
        <v>0</v>
      </c>
      <c r="I57" s="84">
        <f>0</f>
        <v>0</v>
      </c>
      <c r="J57" s="50">
        <f t="shared" si="2"/>
        <v>0.96491444058247355</v>
      </c>
      <c r="K57" s="50">
        <f t="shared" si="3"/>
        <v>93.288534120625584</v>
      </c>
    </row>
    <row r="58" spans="2:26" ht="22.5" customHeight="1" outlineLevel="1" x14ac:dyDescent="0.2">
      <c r="B58" s="23" t="s">
        <v>51</v>
      </c>
      <c r="C58" s="61">
        <f>17111831.79</f>
        <v>17111831.789999999</v>
      </c>
      <c r="D58" s="61">
        <f>993336.32</f>
        <v>993336.31999999995</v>
      </c>
      <c r="E58" s="61">
        <f>993336.32</f>
        <v>993336.31999999995</v>
      </c>
      <c r="F58" s="61">
        <f>0</f>
        <v>0</v>
      </c>
      <c r="G58" s="61">
        <f>0</f>
        <v>0</v>
      </c>
      <c r="H58" s="61">
        <f>0</f>
        <v>0</v>
      </c>
      <c r="I58" s="83">
        <f>0</f>
        <v>0</v>
      </c>
      <c r="J58" s="50">
        <f t="shared" si="2"/>
        <v>2.1208712359673167E-3</v>
      </c>
      <c r="K58" s="50">
        <f t="shared" si="3"/>
        <v>5.804967768444854</v>
      </c>
    </row>
    <row r="59" spans="2:26" ht="12.95" customHeight="1" outlineLevel="1" x14ac:dyDescent="0.2">
      <c r="B59" s="23" t="s">
        <v>52</v>
      </c>
      <c r="C59" s="61">
        <f>1254346457.53</f>
        <v>1254346457.53</v>
      </c>
      <c r="D59" s="61">
        <f>1195404816.87</f>
        <v>1195404816.8699999</v>
      </c>
      <c r="E59" s="61">
        <f>1197260221.2</f>
        <v>1197260221.2</v>
      </c>
      <c r="F59" s="61">
        <f>6973113.82</f>
        <v>6973113.8200000003</v>
      </c>
      <c r="G59" s="61">
        <f>0</f>
        <v>0</v>
      </c>
      <c r="H59" s="61">
        <f>92676.62</f>
        <v>92676.62</v>
      </c>
      <c r="I59" s="85">
        <f>0</f>
        <v>0</v>
      </c>
      <c r="J59" s="50">
        <f t="shared" si="2"/>
        <v>2.5523074515551394</v>
      </c>
      <c r="K59" s="50">
        <f t="shared" si="3"/>
        <v>95.301007922797879</v>
      </c>
    </row>
    <row r="60" spans="2:26" ht="12.95" customHeight="1" outlineLevel="1" x14ac:dyDescent="0.2">
      <c r="B60" s="20" t="s">
        <v>32</v>
      </c>
      <c r="C60" s="35">
        <f t="shared" ref="C60:I60" si="5">C54-C55-C56-C57-C58-C59</f>
        <v>9870463868.6799946</v>
      </c>
      <c r="D60" s="35">
        <f>D54-D55-D56-D57-D58-D59</f>
        <v>8751924112.9098969</v>
      </c>
      <c r="E60" s="86">
        <f>E54-E55-E56-E57-E58-E59</f>
        <v>8755543497.7998962</v>
      </c>
      <c r="F60" s="86">
        <f t="shared" si="5"/>
        <v>220761464.54999998</v>
      </c>
      <c r="G60" s="86">
        <f t="shared" si="5"/>
        <v>9415294.5899999999</v>
      </c>
      <c r="H60" s="86">
        <f t="shared" si="5"/>
        <v>2286387.81</v>
      </c>
      <c r="I60" s="87">
        <f t="shared" si="5"/>
        <v>64159884.909999996</v>
      </c>
      <c r="J60" s="50">
        <f t="shared" si="2"/>
        <v>18.686223121731192</v>
      </c>
      <c r="K60" s="50">
        <f t="shared" si="3"/>
        <v>88.667809632338148</v>
      </c>
    </row>
    <row r="61" spans="2:26" ht="12.95" customHeight="1" x14ac:dyDescent="0.2">
      <c r="B61" s="103" t="s">
        <v>15</v>
      </c>
      <c r="C61" s="64">
        <f>C5-C51</f>
        <v>-4611869431.1100006</v>
      </c>
      <c r="D61" s="64">
        <f>D5-D51</f>
        <v>-1560695766.5299988</v>
      </c>
      <c r="E61" s="92"/>
      <c r="F61" s="93"/>
      <c r="G61" s="93"/>
      <c r="H61" s="93"/>
      <c r="I61" s="135"/>
      <c r="J61" s="135"/>
      <c r="K61" s="94"/>
      <c r="L61" s="88"/>
      <c r="M61" s="13"/>
    </row>
    <row r="62" spans="2:26" ht="39" customHeight="1" x14ac:dyDescent="0.2">
      <c r="B62" s="104" t="s">
        <v>93</v>
      </c>
      <c r="C62" s="65">
        <f>C42-C54</f>
        <v>-469078214.01000214</v>
      </c>
      <c r="D62" s="65">
        <f>D42-D54</f>
        <v>1422717555.1100006</v>
      </c>
      <c r="E62" s="91"/>
      <c r="F62" s="89"/>
      <c r="G62" s="89"/>
      <c r="H62" s="89"/>
      <c r="I62" s="89"/>
      <c r="J62" s="89"/>
      <c r="K62" s="90"/>
      <c r="L62" s="90"/>
      <c r="M62" s="10"/>
    </row>
    <row r="63" spans="2:26" ht="12" customHeight="1" x14ac:dyDescent="0.2">
      <c r="B63" s="37"/>
      <c r="C63" s="42"/>
      <c r="D63" s="42"/>
      <c r="E63" s="42"/>
      <c r="F63" s="43"/>
      <c r="G63" s="43"/>
      <c r="H63" s="43"/>
      <c r="I63" s="43"/>
      <c r="J63" s="40"/>
      <c r="K63" s="40"/>
      <c r="L63" s="41"/>
      <c r="M63" s="10"/>
    </row>
    <row r="64" spans="2:26" ht="12" customHeight="1" x14ac:dyDescent="0.2">
      <c r="B64" s="126" t="s">
        <v>96</v>
      </c>
      <c r="C64" s="42"/>
      <c r="D64" s="42"/>
      <c r="E64" s="42"/>
      <c r="F64" s="43"/>
      <c r="G64" s="43"/>
      <c r="H64" s="43"/>
      <c r="I64" s="43"/>
      <c r="J64" s="40"/>
      <c r="K64" s="40"/>
      <c r="L64" s="41"/>
      <c r="M64" s="10"/>
    </row>
    <row r="65" spans="2:13" ht="26.85" customHeight="1" x14ac:dyDescent="0.2">
      <c r="B65" s="124" t="s">
        <v>92</v>
      </c>
      <c r="C65" s="122">
        <f>1717480315.95</f>
        <v>1717480315.95</v>
      </c>
      <c r="D65" s="62">
        <f>1501031083.74</f>
        <v>1501031083.74</v>
      </c>
      <c r="E65" s="62">
        <f>1501726168.35</f>
        <v>1501726168.3499999</v>
      </c>
      <c r="F65" s="62">
        <f>911885.56</f>
        <v>911885.56</v>
      </c>
      <c r="G65" s="62">
        <f>0</f>
        <v>0</v>
      </c>
      <c r="H65" s="62">
        <f>0</f>
        <v>0</v>
      </c>
      <c r="I65" s="62">
        <f>2594199</f>
        <v>2594199</v>
      </c>
      <c r="J65" s="50">
        <f>IF($D$65=0,"",100*$D65/$D$65)</f>
        <v>100</v>
      </c>
      <c r="K65" s="63">
        <f>IF(C65=0,"",100*D65/C65)</f>
        <v>87.397280178417986</v>
      </c>
      <c r="L65" s="10"/>
    </row>
    <row r="66" spans="2:13" ht="12.95" customHeight="1" x14ac:dyDescent="0.2">
      <c r="B66" s="125" t="s">
        <v>57</v>
      </c>
      <c r="C66" s="123">
        <f>977433868.560001</f>
        <v>977433868.56000102</v>
      </c>
      <c r="D66" s="61">
        <f>850533904.04</f>
        <v>850533904.03999996</v>
      </c>
      <c r="E66" s="61">
        <f>850616933.22</f>
        <v>850616933.22000003</v>
      </c>
      <c r="F66" s="61">
        <f>547457.87</f>
        <v>547457.87</v>
      </c>
      <c r="G66" s="61">
        <f>0</f>
        <v>0</v>
      </c>
      <c r="H66" s="61">
        <f>0</f>
        <v>0</v>
      </c>
      <c r="I66" s="61">
        <f>2594199</f>
        <v>2594199</v>
      </c>
      <c r="J66" s="50">
        <f>IF($D$65=0,"",100*$D66/$D$65)</f>
        <v>56.66331052390948</v>
      </c>
      <c r="K66" s="63">
        <f>IF(C66=0,"",100*D66/C66)</f>
        <v>87.017028097567803</v>
      </c>
    </row>
    <row r="67" spans="2:13" ht="12.95" customHeight="1" x14ac:dyDescent="0.2">
      <c r="B67" s="125" t="s">
        <v>58</v>
      </c>
      <c r="C67" s="123">
        <f>C65-C66</f>
        <v>740046447.38999903</v>
      </c>
      <c r="D67" s="61">
        <f t="shared" ref="D67:I67" si="6">D65-D66</f>
        <v>650497179.70000005</v>
      </c>
      <c r="E67" s="61">
        <f t="shared" si="6"/>
        <v>651109235.12999988</v>
      </c>
      <c r="F67" s="61">
        <f t="shared" si="6"/>
        <v>364427.69000000006</v>
      </c>
      <c r="G67" s="61">
        <f t="shared" si="6"/>
        <v>0</v>
      </c>
      <c r="H67" s="61">
        <f t="shared" si="6"/>
        <v>0</v>
      </c>
      <c r="I67" s="61">
        <f t="shared" si="6"/>
        <v>0</v>
      </c>
      <c r="J67" s="50">
        <f>IF($D$65=0,"",100*$D67/$D$65)</f>
        <v>43.33668947609052</v>
      </c>
      <c r="K67" s="63">
        <f>IF(C67=0,"",100*D67/C67)</f>
        <v>87.89950711798943</v>
      </c>
    </row>
    <row r="68" spans="2:13" ht="20.100000000000001" customHeight="1" x14ac:dyDescent="0.2">
      <c r="B68" s="117" t="str">
        <f>CONCATENATE("Informacja z wykonania budżetów powiatów za ",$D$103," ",$C$104," rok     ",$C$106,"")</f>
        <v xml:space="preserve">Informacja z wykonania budżetów powiatów za IV Kwartały 2023 rok     </v>
      </c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</row>
    <row r="69" spans="2:13" x14ac:dyDescent="0.2">
      <c r="B69" s="28" t="s">
        <v>16</v>
      </c>
      <c r="C69" s="95" t="s">
        <v>17</v>
      </c>
      <c r="D69" s="71" t="s">
        <v>1</v>
      </c>
      <c r="E69" s="139" t="s">
        <v>85</v>
      </c>
      <c r="F69" s="140"/>
      <c r="G69" s="140"/>
      <c r="H69" s="140"/>
      <c r="I69" s="141"/>
      <c r="J69" s="18" t="s">
        <v>22</v>
      </c>
      <c r="K69" s="18" t="s">
        <v>23</v>
      </c>
    </row>
    <row r="70" spans="2:13" x14ac:dyDescent="0.2">
      <c r="B70" s="28"/>
      <c r="C70" s="134" t="s">
        <v>59</v>
      </c>
      <c r="D70" s="149"/>
      <c r="E70" s="142"/>
      <c r="F70" s="143"/>
      <c r="G70" s="143"/>
      <c r="H70" s="143"/>
      <c r="I70" s="144"/>
      <c r="J70" s="130" t="s">
        <v>4</v>
      </c>
      <c r="K70" s="131"/>
    </row>
    <row r="71" spans="2:13" x14ac:dyDescent="0.2">
      <c r="B71" s="26">
        <v>1</v>
      </c>
      <c r="C71" s="29">
        <v>2</v>
      </c>
      <c r="D71" s="27">
        <v>3</v>
      </c>
      <c r="E71" s="145"/>
      <c r="F71" s="146"/>
      <c r="G71" s="146"/>
      <c r="H71" s="146"/>
      <c r="I71" s="147"/>
      <c r="J71" s="27">
        <v>4</v>
      </c>
      <c r="K71" s="27">
        <v>5</v>
      </c>
    </row>
    <row r="72" spans="2:13" ht="26.85" customHeight="1" x14ac:dyDescent="0.2">
      <c r="B72" s="105" t="s">
        <v>46</v>
      </c>
      <c r="C72" s="44">
        <f>5764012797.56</f>
        <v>5764012797.5600004</v>
      </c>
      <c r="D72" s="72">
        <f>7361377412.69</f>
        <v>7361377412.6899996</v>
      </c>
      <c r="E72" s="102" t="s">
        <v>85</v>
      </c>
      <c r="F72" s="102" t="s">
        <v>85</v>
      </c>
      <c r="G72" s="102" t="s">
        <v>85</v>
      </c>
      <c r="H72" s="102" t="s">
        <v>85</v>
      </c>
      <c r="I72" s="102" t="s">
        <v>85</v>
      </c>
      <c r="J72" s="45">
        <f>IF($D$72=0,"",100*$D72/$D$72)</f>
        <v>100</v>
      </c>
      <c r="K72" s="39">
        <f t="shared" ref="K72:K86" si="7">IF(C72=0,"",100*D72/C72)</f>
        <v>127.71271805305828</v>
      </c>
    </row>
    <row r="73" spans="2:13" ht="25.5" customHeight="1" x14ac:dyDescent="0.2">
      <c r="B73" s="119" t="s">
        <v>69</v>
      </c>
      <c r="C73" s="46">
        <f>1906251543.83</f>
        <v>1906251543.8299999</v>
      </c>
      <c r="D73" s="98">
        <f>1744473306.78</f>
        <v>1744473306.78</v>
      </c>
      <c r="E73" s="102" t="s">
        <v>85</v>
      </c>
      <c r="F73" s="102" t="s">
        <v>85</v>
      </c>
      <c r="G73" s="102" t="s">
        <v>85</v>
      </c>
      <c r="H73" s="102" t="s">
        <v>85</v>
      </c>
      <c r="I73" s="102" t="s">
        <v>85</v>
      </c>
      <c r="J73" s="47">
        <f t="shared" ref="J73:J82" si="8">IF($D$72=0,"",100*$D73/$D$72)</f>
        <v>23.69764799414806</v>
      </c>
      <c r="K73" s="48">
        <f t="shared" si="7"/>
        <v>91.513279683700162</v>
      </c>
    </row>
    <row r="74" spans="2:13" ht="22.5" x14ac:dyDescent="0.2">
      <c r="B74" s="120" t="s">
        <v>70</v>
      </c>
      <c r="C74" s="66">
        <f>161922000</f>
        <v>161922000</v>
      </c>
      <c r="D74" s="56">
        <f>145522000</f>
        <v>145522000</v>
      </c>
      <c r="E74" s="102" t="s">
        <v>85</v>
      </c>
      <c r="F74" s="102" t="s">
        <v>85</v>
      </c>
      <c r="G74" s="102" t="s">
        <v>85</v>
      </c>
      <c r="H74" s="102" t="s">
        <v>85</v>
      </c>
      <c r="I74" s="102" t="s">
        <v>85</v>
      </c>
      <c r="J74" s="67">
        <f t="shared" si="8"/>
        <v>1.9768311260490481</v>
      </c>
      <c r="K74" s="68">
        <f t="shared" si="7"/>
        <v>89.87166660490854</v>
      </c>
    </row>
    <row r="75" spans="2:13" ht="12.95" customHeight="1" x14ac:dyDescent="0.2">
      <c r="B75" s="118" t="s">
        <v>71</v>
      </c>
      <c r="C75" s="66">
        <f>51678309.81</f>
        <v>51678309.810000002</v>
      </c>
      <c r="D75" s="56">
        <f>51936996.7</f>
        <v>51936996.700000003</v>
      </c>
      <c r="E75" s="102" t="s">
        <v>85</v>
      </c>
      <c r="F75" s="102" t="s">
        <v>85</v>
      </c>
      <c r="G75" s="102" t="s">
        <v>85</v>
      </c>
      <c r="H75" s="102" t="s">
        <v>85</v>
      </c>
      <c r="I75" s="102" t="s">
        <v>85</v>
      </c>
      <c r="J75" s="67">
        <f t="shared" si="8"/>
        <v>0.70553367648923659</v>
      </c>
      <c r="K75" s="68">
        <f t="shared" si="7"/>
        <v>100.50057149885723</v>
      </c>
    </row>
    <row r="76" spans="2:13" ht="48.75" customHeight="1" x14ac:dyDescent="0.2">
      <c r="B76" s="118" t="s">
        <v>78</v>
      </c>
      <c r="C76" s="66">
        <f>1171158255.99</f>
        <v>1171158255.99</v>
      </c>
      <c r="D76" s="56">
        <f>1997634198.68</f>
        <v>1997634198.6800001</v>
      </c>
      <c r="E76" s="102" t="s">
        <v>85</v>
      </c>
      <c r="F76" s="102" t="s">
        <v>85</v>
      </c>
      <c r="G76" s="102" t="s">
        <v>85</v>
      </c>
      <c r="H76" s="102" t="s">
        <v>85</v>
      </c>
      <c r="I76" s="102" t="s">
        <v>85</v>
      </c>
      <c r="J76" s="67">
        <f t="shared" si="8"/>
        <v>27.136690413893927</v>
      </c>
      <c r="K76" s="68">
        <f t="shared" si="7"/>
        <v>170.56910869755734</v>
      </c>
    </row>
    <row r="77" spans="2:13" ht="35.25" customHeight="1" x14ac:dyDescent="0.2">
      <c r="B77" s="118" t="s">
        <v>79</v>
      </c>
      <c r="C77" s="66">
        <f>809781223.35</f>
        <v>809781223.35000002</v>
      </c>
      <c r="D77" s="56">
        <f>906140542.45</f>
        <v>906140542.45000005</v>
      </c>
      <c r="E77" s="102" t="s">
        <v>85</v>
      </c>
      <c r="F77" s="102" t="s">
        <v>85</v>
      </c>
      <c r="G77" s="102" t="s">
        <v>85</v>
      </c>
      <c r="H77" s="102" t="s">
        <v>85</v>
      </c>
      <c r="I77" s="102" t="s">
        <v>85</v>
      </c>
      <c r="J77" s="67">
        <f t="shared" si="8"/>
        <v>12.309388469716804</v>
      </c>
      <c r="K77" s="68">
        <f t="shared" si="7"/>
        <v>111.89942620568172</v>
      </c>
    </row>
    <row r="78" spans="2:13" ht="12.95" customHeight="1" x14ac:dyDescent="0.2">
      <c r="B78" s="118" t="s">
        <v>72</v>
      </c>
      <c r="C78" s="66">
        <f>0</f>
        <v>0</v>
      </c>
      <c r="D78" s="56">
        <f>0</f>
        <v>0</v>
      </c>
      <c r="E78" s="102" t="s">
        <v>85</v>
      </c>
      <c r="F78" s="102" t="s">
        <v>85</v>
      </c>
      <c r="G78" s="102" t="s">
        <v>85</v>
      </c>
      <c r="H78" s="102" t="s">
        <v>85</v>
      </c>
      <c r="I78" s="102" t="s">
        <v>85</v>
      </c>
      <c r="J78" s="67">
        <f t="shared" si="8"/>
        <v>0</v>
      </c>
      <c r="K78" s="68" t="str">
        <f t="shared" si="7"/>
        <v/>
      </c>
    </row>
    <row r="79" spans="2:13" ht="33.75" x14ac:dyDescent="0.2">
      <c r="B79" s="118" t="s">
        <v>73</v>
      </c>
      <c r="C79" s="66">
        <f>1689176153.96</f>
        <v>1689176153.96</v>
      </c>
      <c r="D79" s="56">
        <f>2525201664.66</f>
        <v>2525201664.6599998</v>
      </c>
      <c r="E79" s="102" t="s">
        <v>85</v>
      </c>
      <c r="F79" s="102" t="s">
        <v>85</v>
      </c>
      <c r="G79" s="102" t="s">
        <v>85</v>
      </c>
      <c r="H79" s="102" t="s">
        <v>85</v>
      </c>
      <c r="I79" s="102" t="s">
        <v>85</v>
      </c>
      <c r="J79" s="67">
        <f t="shared" si="8"/>
        <v>34.303385400494484</v>
      </c>
      <c r="K79" s="68">
        <f t="shared" si="7"/>
        <v>149.49309216448938</v>
      </c>
    </row>
    <row r="80" spans="2:13" ht="56.25" x14ac:dyDescent="0.2">
      <c r="B80" s="118" t="s">
        <v>101</v>
      </c>
      <c r="C80" s="66">
        <f>0</f>
        <v>0</v>
      </c>
      <c r="D80" s="56">
        <f>0</f>
        <v>0</v>
      </c>
      <c r="E80" s="102" t="s">
        <v>85</v>
      </c>
      <c r="F80" s="102" t="s">
        <v>85</v>
      </c>
      <c r="G80" s="102" t="s">
        <v>85</v>
      </c>
      <c r="H80" s="102" t="s">
        <v>85</v>
      </c>
      <c r="I80" s="102" t="s">
        <v>85</v>
      </c>
      <c r="J80" s="67">
        <f t="shared" si="8"/>
        <v>0</v>
      </c>
      <c r="K80" s="68" t="str">
        <f>IF(C80=0,"",100*D80/C80)</f>
        <v/>
      </c>
    </row>
    <row r="81" spans="2:11" x14ac:dyDescent="0.2">
      <c r="B81" s="118" t="s">
        <v>97</v>
      </c>
      <c r="C81" s="66">
        <f>135967310.62</f>
        <v>135967310.62</v>
      </c>
      <c r="D81" s="56">
        <f>135990703.42</f>
        <v>135990703.41999999</v>
      </c>
      <c r="E81" s="102" t="s">
        <v>85</v>
      </c>
      <c r="F81" s="102" t="s">
        <v>85</v>
      </c>
      <c r="G81" s="102" t="s">
        <v>85</v>
      </c>
      <c r="H81" s="102" t="s">
        <v>85</v>
      </c>
      <c r="I81" s="102" t="s">
        <v>85</v>
      </c>
      <c r="J81" s="67">
        <f t="shared" si="8"/>
        <v>1.8473540452574917</v>
      </c>
      <c r="K81" s="68">
        <f>IF(C81=0,"",100*D81/C81)</f>
        <v>100.01720472361578</v>
      </c>
    </row>
    <row r="82" spans="2:11" ht="23.25" customHeight="1" x14ac:dyDescent="0.2">
      <c r="B82" s="120" t="s">
        <v>98</v>
      </c>
      <c r="C82" s="66">
        <f>135967310.62</f>
        <v>135967310.62</v>
      </c>
      <c r="D82" s="56">
        <f>135990703.42</f>
        <v>135990703.41999999</v>
      </c>
      <c r="E82" s="102" t="s">
        <v>85</v>
      </c>
      <c r="F82" s="102" t="s">
        <v>85</v>
      </c>
      <c r="G82" s="102" t="s">
        <v>85</v>
      </c>
      <c r="H82" s="102" t="s">
        <v>85</v>
      </c>
      <c r="I82" s="102" t="s">
        <v>85</v>
      </c>
      <c r="J82" s="67">
        <f t="shared" si="8"/>
        <v>1.8473540452574917</v>
      </c>
      <c r="K82" s="68">
        <f>IF(C82=0,"",100*D82/C82)</f>
        <v>100.01720472361578</v>
      </c>
    </row>
    <row r="83" spans="2:11" ht="26.85" customHeight="1" x14ac:dyDescent="0.2">
      <c r="B83" s="105" t="s">
        <v>47</v>
      </c>
      <c r="C83" s="51">
        <f>1150200287.45</f>
        <v>1150200287.45</v>
      </c>
      <c r="D83" s="72">
        <f>1043094995.96</f>
        <v>1043094995.96</v>
      </c>
      <c r="E83" s="102" t="s">
        <v>85</v>
      </c>
      <c r="F83" s="102" t="s">
        <v>85</v>
      </c>
      <c r="G83" s="102" t="s">
        <v>85</v>
      </c>
      <c r="H83" s="102" t="s">
        <v>85</v>
      </c>
      <c r="I83" s="102" t="s">
        <v>85</v>
      </c>
      <c r="J83" s="45">
        <f t="shared" ref="J83:J88" si="9">IF($D$83=0,"",100*$D83/$D$83)</f>
        <v>100</v>
      </c>
      <c r="K83" s="39">
        <f t="shared" si="7"/>
        <v>90.688118177447777</v>
      </c>
    </row>
    <row r="84" spans="2:11" ht="33.75" x14ac:dyDescent="0.2">
      <c r="B84" s="119" t="s">
        <v>102</v>
      </c>
      <c r="C84" s="46">
        <f>812159870.67</f>
        <v>812159870.66999996</v>
      </c>
      <c r="D84" s="99">
        <f>809824930.34</f>
        <v>809824930.34000003</v>
      </c>
      <c r="E84" s="102" t="s">
        <v>85</v>
      </c>
      <c r="F84" s="102" t="s">
        <v>85</v>
      </c>
      <c r="G84" s="102" t="s">
        <v>85</v>
      </c>
      <c r="H84" s="102" t="s">
        <v>85</v>
      </c>
      <c r="I84" s="102" t="s">
        <v>85</v>
      </c>
      <c r="J84" s="47">
        <f t="shared" si="9"/>
        <v>77.636738118438316</v>
      </c>
      <c r="K84" s="48">
        <f t="shared" si="7"/>
        <v>99.712502376154873</v>
      </c>
    </row>
    <row r="85" spans="2:11" ht="12.95" customHeight="1" x14ac:dyDescent="0.2">
      <c r="B85" s="120" t="s">
        <v>74</v>
      </c>
      <c r="C85" s="66">
        <f>24444000</f>
        <v>24444000</v>
      </c>
      <c r="D85" s="56">
        <f>24244000</f>
        <v>24244000</v>
      </c>
      <c r="E85" s="102" t="s">
        <v>85</v>
      </c>
      <c r="F85" s="102" t="s">
        <v>85</v>
      </c>
      <c r="G85" s="102" t="s">
        <v>85</v>
      </c>
      <c r="H85" s="102" t="s">
        <v>85</v>
      </c>
      <c r="I85" s="102" t="s">
        <v>85</v>
      </c>
      <c r="J85" s="67">
        <f t="shared" si="9"/>
        <v>2.3242370152190523</v>
      </c>
      <c r="K85" s="68">
        <f t="shared" si="7"/>
        <v>99.181803305514649</v>
      </c>
    </row>
    <row r="86" spans="2:11" ht="12.95" customHeight="1" x14ac:dyDescent="0.2">
      <c r="B86" s="118" t="s">
        <v>83</v>
      </c>
      <c r="C86" s="66">
        <f>86305493.12</f>
        <v>86305493.120000005</v>
      </c>
      <c r="D86" s="56">
        <f>91615374.01</f>
        <v>91615374.010000005</v>
      </c>
      <c r="E86" s="102" t="s">
        <v>85</v>
      </c>
      <c r="F86" s="102" t="s">
        <v>85</v>
      </c>
      <c r="G86" s="102" t="s">
        <v>85</v>
      </c>
      <c r="H86" s="102" t="s">
        <v>85</v>
      </c>
      <c r="I86" s="102" t="s">
        <v>85</v>
      </c>
      <c r="J86" s="67">
        <f t="shared" si="9"/>
        <v>8.7830326446617537</v>
      </c>
      <c r="K86" s="68">
        <f t="shared" si="7"/>
        <v>106.15242517949244</v>
      </c>
    </row>
    <row r="87" spans="2:11" ht="12.95" customHeight="1" x14ac:dyDescent="0.2">
      <c r="B87" s="118" t="s">
        <v>99</v>
      </c>
      <c r="C87" s="66">
        <f>251734923.66</f>
        <v>251734923.66</v>
      </c>
      <c r="D87" s="56">
        <f>141654691.61</f>
        <v>141654691.61000001</v>
      </c>
      <c r="E87" s="102" t="s">
        <v>85</v>
      </c>
      <c r="F87" s="102" t="s">
        <v>85</v>
      </c>
      <c r="G87" s="102" t="s">
        <v>85</v>
      </c>
      <c r="H87" s="102" t="s">
        <v>85</v>
      </c>
      <c r="I87" s="102" t="s">
        <v>85</v>
      </c>
      <c r="J87" s="67">
        <f t="shared" si="9"/>
        <v>13.580229236899925</v>
      </c>
      <c r="K87" s="68">
        <f>IF(C87=0,"",100*D87/C87)</f>
        <v>56.271370515647121</v>
      </c>
    </row>
    <row r="88" spans="2:11" ht="22.5" x14ac:dyDescent="0.2">
      <c r="B88" s="120" t="s">
        <v>100</v>
      </c>
      <c r="C88" s="66">
        <f>199011575.07</f>
        <v>199011575.06999999</v>
      </c>
      <c r="D88" s="56">
        <f>126727675.34</f>
        <v>126727675.34</v>
      </c>
      <c r="E88" s="102" t="s">
        <v>85</v>
      </c>
      <c r="F88" s="102" t="s">
        <v>85</v>
      </c>
      <c r="G88" s="102" t="s">
        <v>85</v>
      </c>
      <c r="H88" s="102" t="s">
        <v>85</v>
      </c>
      <c r="I88" s="102" t="s">
        <v>85</v>
      </c>
      <c r="J88" s="67">
        <f t="shared" si="9"/>
        <v>12.149197899599518</v>
      </c>
      <c r="K88" s="68">
        <f>IF(C88=0,"",100*D88/C88)</f>
        <v>63.678544976806009</v>
      </c>
    </row>
    <row r="89" spans="2:11" x14ac:dyDescent="0.2">
      <c r="B89" s="25"/>
    </row>
    <row r="90" spans="2:11" x14ac:dyDescent="0.2">
      <c r="B90" s="52" t="s">
        <v>16</v>
      </c>
      <c r="C90" s="79" t="s">
        <v>17</v>
      </c>
      <c r="D90" s="18" t="s">
        <v>1</v>
      </c>
    </row>
    <row r="91" spans="2:11" x14ac:dyDescent="0.2">
      <c r="B91" s="52"/>
      <c r="C91" s="132" t="s">
        <v>59</v>
      </c>
      <c r="D91" s="132"/>
    </row>
    <row r="92" spans="2:11" x14ac:dyDescent="0.2">
      <c r="B92" s="26">
        <v>1</v>
      </c>
      <c r="C92" s="27">
        <v>2</v>
      </c>
      <c r="D92" s="27">
        <v>3</v>
      </c>
    </row>
    <row r="93" spans="2:11" ht="36" customHeight="1" x14ac:dyDescent="0.2">
      <c r="B93" s="53" t="s">
        <v>103</v>
      </c>
      <c r="C93" s="49">
        <f>4628875237.77</f>
        <v>4628875237.7700005</v>
      </c>
      <c r="D93" s="96">
        <f>1984185171.83</f>
        <v>1984185171.8299999</v>
      </c>
    </row>
    <row r="94" spans="2:11" ht="35.25" customHeight="1" x14ac:dyDescent="0.2">
      <c r="B94" s="121" t="s">
        <v>61</v>
      </c>
      <c r="C94" s="66">
        <f>115593710</f>
        <v>115593710</v>
      </c>
      <c r="D94" s="56">
        <f>49390018.93</f>
        <v>49390018.93</v>
      </c>
    </row>
    <row r="95" spans="2:11" ht="12.95" customHeight="1" x14ac:dyDescent="0.2">
      <c r="B95" s="121" t="s">
        <v>62</v>
      </c>
      <c r="C95" s="66">
        <f>1332502653.25</f>
        <v>1332502653.25</v>
      </c>
      <c r="D95" s="56">
        <f>683693974.93</f>
        <v>683693974.92999995</v>
      </c>
    </row>
    <row r="96" spans="2:11" ht="24" customHeight="1" x14ac:dyDescent="0.2">
      <c r="B96" s="121" t="s">
        <v>63</v>
      </c>
      <c r="C96" s="66">
        <f>0</f>
        <v>0</v>
      </c>
      <c r="D96" s="56">
        <f>0</f>
        <v>0</v>
      </c>
    </row>
    <row r="97" spans="2:4" ht="57.75" customHeight="1" x14ac:dyDescent="0.2">
      <c r="B97" s="121" t="s">
        <v>80</v>
      </c>
      <c r="C97" s="66">
        <f>1061794597.77</f>
        <v>1061794597.77</v>
      </c>
      <c r="D97" s="56">
        <f>338516600.49</f>
        <v>338516600.49000001</v>
      </c>
    </row>
    <row r="98" spans="2:4" ht="81" customHeight="1" x14ac:dyDescent="0.2">
      <c r="B98" s="121" t="s">
        <v>64</v>
      </c>
      <c r="C98" s="66">
        <f>1234299012.65</f>
        <v>1234299012.6500001</v>
      </c>
      <c r="D98" s="56">
        <f>399255650.6</f>
        <v>399255650.60000002</v>
      </c>
    </row>
    <row r="99" spans="2:4" ht="149.25" customHeight="1" x14ac:dyDescent="0.2">
      <c r="B99" s="121" t="s">
        <v>81</v>
      </c>
      <c r="C99" s="66">
        <f>779613472</f>
        <v>779613472</v>
      </c>
      <c r="D99" s="56">
        <f>474676353.6</f>
        <v>474676353.60000002</v>
      </c>
    </row>
    <row r="100" spans="2:4" ht="25.5" customHeight="1" x14ac:dyDescent="0.2">
      <c r="B100" s="121" t="s">
        <v>82</v>
      </c>
      <c r="C100" s="66">
        <f>10324198.22</f>
        <v>10324198.220000001</v>
      </c>
      <c r="D100" s="56">
        <f>4459815.82</f>
        <v>4459815.82</v>
      </c>
    </row>
    <row r="101" spans="2:4" ht="25.5" customHeight="1" x14ac:dyDescent="0.2">
      <c r="B101" s="129" t="s">
        <v>98</v>
      </c>
      <c r="C101" s="66">
        <f>94747593.88</f>
        <v>94747593.879999995</v>
      </c>
      <c r="D101" s="56">
        <f>34192757.46</f>
        <v>34192757.460000001</v>
      </c>
    </row>
    <row r="103" spans="2:4" ht="10.5" customHeight="1" x14ac:dyDescent="0.2">
      <c r="B103" s="24" t="s">
        <v>48</v>
      </c>
      <c r="C103" s="24">
        <f>4</f>
        <v>4</v>
      </c>
      <c r="D103" s="24" t="str">
        <f>IF(C103=1,"I Kwartał",IF(C103=2,"II Kwartały",IF(C103=3,"III Kwartały",IF(C103=4,"IV Kwartały",IF(C103="M1","Styczeń",IF(C103="M11","Listopad",IF(C103="M12","Grudzień","-")))))))</f>
        <v>IV Kwartały</v>
      </c>
    </row>
    <row r="104" spans="2:4" ht="10.5" customHeight="1" x14ac:dyDescent="0.2">
      <c r="B104" s="24" t="s">
        <v>49</v>
      </c>
      <c r="C104" s="100">
        <f>2023</f>
        <v>2023</v>
      </c>
      <c r="D104" s="25"/>
    </row>
    <row r="105" spans="2:4" ht="12" customHeight="1" x14ac:dyDescent="0.2">
      <c r="B105" s="24" t="s">
        <v>50</v>
      </c>
      <c r="C105" s="137" t="str">
        <f>"Mar 15 2024 12:00AM"</f>
        <v>Mar 15 2024 12:00AM</v>
      </c>
      <c r="D105" s="138"/>
    </row>
    <row r="106" spans="2:4" ht="9.75" hidden="1" customHeight="1" x14ac:dyDescent="0.2">
      <c r="B106" s="24" t="s">
        <v>54</v>
      </c>
      <c r="C106" s="101" t="str">
        <f>""</f>
        <v/>
      </c>
      <c r="D106" s="25"/>
    </row>
  </sheetData>
  <mergeCells count="22">
    <mergeCell ref="J3:L3"/>
    <mergeCell ref="E3:I4"/>
    <mergeCell ref="B2:B3"/>
    <mergeCell ref="C46:C48"/>
    <mergeCell ref="B46:B49"/>
    <mergeCell ref="I46:I48"/>
    <mergeCell ref="C49:I49"/>
    <mergeCell ref="C3:D3"/>
    <mergeCell ref="C105:D105"/>
    <mergeCell ref="E69:I71"/>
    <mergeCell ref="F46:H46"/>
    <mergeCell ref="G47:H47"/>
    <mergeCell ref="C70:D70"/>
    <mergeCell ref="C91:D91"/>
    <mergeCell ref="J70:K70"/>
    <mergeCell ref="D46:D48"/>
    <mergeCell ref="E46:E48"/>
    <mergeCell ref="F47:F48"/>
    <mergeCell ref="I61:J61"/>
    <mergeCell ref="K46:K48"/>
    <mergeCell ref="J46:J48"/>
    <mergeCell ref="J49:K49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useFirstPageNumber="1" r:id="rId1"/>
  <headerFooter alignWithMargins="0">
    <oddFooter>&amp;RStrona &amp;P z &amp;N</oddFooter>
  </headerFooter>
  <rowBreaks count="4" manualBreakCount="4">
    <brk id="34" min="1" max="11" man="1"/>
    <brk id="43" max="16383" man="1"/>
    <brk id="67" max="16383" man="1"/>
    <brk id="8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2017-03-30T11:49:59Z</cp:lastPrinted>
  <dcterms:created xsi:type="dcterms:W3CDTF">2001-05-17T08:58:03Z</dcterms:created>
  <dcterms:modified xsi:type="dcterms:W3CDTF">2024-03-27T09:02:44Z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2022-06-01T15:12:20.5504483+02:00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GRN-bdb4f178-0504-4a7c-baaa-5bdd997b4a6c</vt:lpwstr>
  </property>
  <property fmtid="{D5CDD505-2E9C-101B-9397-08002B2CF9AE}" pid="7" name="MFHash">
    <vt:lpwstr>cvgFc3qUTZFJKNGd/QdKw5m28phCkq0fuCyZvwRduGg=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