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547BC0B7-F97F-497A-873F-FAFF64A5CC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1" i="7" l="1"/>
  <c r="A96" i="7"/>
  <c r="A34" i="7"/>
  <c r="A77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<sst xmlns="http://schemas.openxmlformats.org/spreadsheetml/2006/main" count="97" uniqueCount="81">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</sst>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IV Kwartały 2023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38824385996.74</f>
        <v>38824385996.739998</v>
      </c>
      <c r="C13" s="28">
        <f>38824384951.29</f>
        <v>38824384951.290001</v>
      </c>
      <c r="D13" s="28">
        <f>2611213979.57</f>
        <v>2611213979.5700002</v>
      </c>
      <c r="E13" s="28">
        <f>235710826.11</f>
        <v>235710826.11000001</v>
      </c>
      <c r="F13" s="28">
        <f>510203130.09</f>
        <v>510203130.08999997</v>
      </c>
      <c r="G13" s="28">
        <f>1860986437.41</f>
        <v>1860986437.4100001</v>
      </c>
      <c r="H13" s="28">
        <f>4313585.96</f>
        <v>4313585.96</v>
      </c>
      <c r="I13" s="28">
        <f>0</f>
        <v>0</v>
      </c>
      <c r="J13" s="28">
        <f>33911204349.41</f>
        <v>33911204349.41</v>
      </c>
      <c r="K13" s="28">
        <f>2037981031.75</f>
        <v>2037981031.75</v>
      </c>
      <c r="L13" s="28">
        <f>224777799.89</f>
        <v>224777799.88999999</v>
      </c>
      <c r="M13" s="28">
        <f>23782429.96</f>
        <v>23782429.960000001</v>
      </c>
      <c r="N13" s="28">
        <f>15425360.71</f>
        <v>15425360.710000001</v>
      </c>
      <c r="O13" s="28">
        <f>1045.45</f>
        <v>1045.45</v>
      </c>
      <c r="P13" s="28">
        <f>0</f>
        <v>0</v>
      </c>
      <c r="Q13" s="28">
        <f>1045.45</f>
        <v>1045.45</v>
      </c>
    </row>
    <row r="14" spans="1:17" ht="26.25" customHeight="1" x14ac:dyDescent="0.2">
      <c r="A14" s="29" t="s">
        <v>47</v>
      </c>
      <c r="B14" s="28">
        <f>965280600</f>
        <v>965280600</v>
      </c>
      <c r="C14" s="28">
        <f>965280600</f>
        <v>965280600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882730600</f>
        <v>882730600</v>
      </c>
      <c r="K14" s="28">
        <f>82550000</f>
        <v>82550000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300000</f>
        <v>300000</v>
      </c>
      <c r="C15" s="33">
        <f>300000</f>
        <v>300000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0</f>
        <v>0</v>
      </c>
      <c r="K15" s="33">
        <f>300000</f>
        <v>300000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964980600</f>
        <v>964980600</v>
      </c>
      <c r="C16" s="33">
        <f>964980600</f>
        <v>964980600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882730600</f>
        <v>882730600</v>
      </c>
      <c r="K16" s="33">
        <f>82250000</f>
        <v>82250000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37794758189.06</f>
        <v>37794758189.059998</v>
      </c>
      <c r="C17" s="28">
        <f>37794758189.06</f>
        <v>37794758189.059998</v>
      </c>
      <c r="D17" s="28">
        <f>2591067993.92</f>
        <v>2591067993.9200001</v>
      </c>
      <c r="E17" s="28">
        <f>231575255.44</f>
        <v>231575255.44</v>
      </c>
      <c r="F17" s="28">
        <f>510094167.79</f>
        <v>510094167.79000002</v>
      </c>
      <c r="G17" s="28">
        <f>1849398570.69</f>
        <v>1849398570.6900001</v>
      </c>
      <c r="H17" s="28">
        <f>0</f>
        <v>0</v>
      </c>
      <c r="I17" s="28">
        <f>0</f>
        <v>0</v>
      </c>
      <c r="J17" s="28">
        <f>33028162004.72</f>
        <v>33028162004.720001</v>
      </c>
      <c r="K17" s="28">
        <f>1954871069.23</f>
        <v>1954871069.23</v>
      </c>
      <c r="L17" s="28">
        <f>195931283.66</f>
        <v>195931283.66</v>
      </c>
      <c r="M17" s="28">
        <f>11967027.17</f>
        <v>11967027.17</v>
      </c>
      <c r="N17" s="28">
        <f>12758810.36</f>
        <v>12758810.359999999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208659551.7</f>
        <v>208659551.69999999</v>
      </c>
      <c r="C18" s="33">
        <f>208659551.7</f>
        <v>208659551.69999999</v>
      </c>
      <c r="D18" s="33">
        <f>35314989.48</f>
        <v>35314989.479999997</v>
      </c>
      <c r="E18" s="33">
        <f>22251433.83</f>
        <v>22251433.829999998</v>
      </c>
      <c r="F18" s="33">
        <f>839397.4</f>
        <v>839397.4</v>
      </c>
      <c r="G18" s="33">
        <f>12224158.25</f>
        <v>12224158.25</v>
      </c>
      <c r="H18" s="33">
        <f>0</f>
        <v>0</v>
      </c>
      <c r="I18" s="33">
        <f>0</f>
        <v>0</v>
      </c>
      <c r="J18" s="33">
        <f>130608894.17</f>
        <v>130608894.17</v>
      </c>
      <c r="K18" s="33">
        <f>36767950</f>
        <v>36767950</v>
      </c>
      <c r="L18" s="33">
        <f>1971642.23</f>
        <v>1971642.23</v>
      </c>
      <c r="M18" s="33">
        <f>3996075.82</f>
        <v>3996075.82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37586098637.36</f>
        <v>37586098637.360001</v>
      </c>
      <c r="C19" s="33">
        <f>37586098637.36</f>
        <v>37586098637.360001</v>
      </c>
      <c r="D19" s="33">
        <f>2555753004.44</f>
        <v>2555753004.4400001</v>
      </c>
      <c r="E19" s="33">
        <f>209323821.61</f>
        <v>209323821.61000001</v>
      </c>
      <c r="F19" s="33">
        <f>509254770.39</f>
        <v>509254770.38999999</v>
      </c>
      <c r="G19" s="33">
        <f>1837174412.44</f>
        <v>1837174412.4400001</v>
      </c>
      <c r="H19" s="33">
        <f>0</f>
        <v>0</v>
      </c>
      <c r="I19" s="33">
        <f>0</f>
        <v>0</v>
      </c>
      <c r="J19" s="33">
        <f>32897553110.55</f>
        <v>32897553110.549999</v>
      </c>
      <c r="K19" s="33">
        <f>1918103119.23</f>
        <v>1918103119.23</v>
      </c>
      <c r="L19" s="33">
        <f>193959641.43</f>
        <v>193959641.43000001</v>
      </c>
      <c r="M19" s="33">
        <f>7970951.35</f>
        <v>7970951.3499999996</v>
      </c>
      <c r="N19" s="33">
        <f>12758810.36</f>
        <v>12758810.359999999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1500000</f>
        <v>1500000</v>
      </c>
      <c r="C20" s="28">
        <f>1500000</f>
        <v>1500000</v>
      </c>
      <c r="D20" s="28">
        <f>1500000</f>
        <v>1500000</v>
      </c>
      <c r="E20" s="28">
        <f>0</f>
        <v>0</v>
      </c>
      <c r="F20" s="28">
        <f>0</f>
        <v>0</v>
      </c>
      <c r="G20" s="28">
        <f>1500000</f>
        <v>1500000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62847207.68</f>
        <v>62847207.68</v>
      </c>
      <c r="C21" s="28">
        <f>62846162.23</f>
        <v>62846162.229999997</v>
      </c>
      <c r="D21" s="28">
        <f>18645985.65</f>
        <v>18645985.649999999</v>
      </c>
      <c r="E21" s="28">
        <f>4135570.67</f>
        <v>4135570.67</v>
      </c>
      <c r="F21" s="28">
        <f>108962.3</f>
        <v>108962.3</v>
      </c>
      <c r="G21" s="28">
        <f>10087866.72</f>
        <v>10087866.720000001</v>
      </c>
      <c r="H21" s="28">
        <f>4313585.96</f>
        <v>4313585.96</v>
      </c>
      <c r="I21" s="28">
        <f>0</f>
        <v>0</v>
      </c>
      <c r="J21" s="28">
        <f>311744.69</f>
        <v>311744.69</v>
      </c>
      <c r="K21" s="28">
        <f>559962.52</f>
        <v>559962.52</v>
      </c>
      <c r="L21" s="28">
        <f>28846516.23</f>
        <v>28846516.23</v>
      </c>
      <c r="M21" s="28">
        <f>11815402.79</f>
        <v>11815402.789999999</v>
      </c>
      <c r="N21" s="28">
        <f>2666550.35</f>
        <v>2666550.35</v>
      </c>
      <c r="O21" s="28">
        <f>1045.45</f>
        <v>1045.45</v>
      </c>
      <c r="P21" s="28">
        <f>0</f>
        <v>0</v>
      </c>
      <c r="Q21" s="28">
        <f>1045.45</f>
        <v>1045.45</v>
      </c>
    </row>
    <row r="22" spans="1:17" ht="27" customHeight="1" x14ac:dyDescent="0.2">
      <c r="A22" s="19" t="s">
        <v>55</v>
      </c>
      <c r="B22" s="33">
        <f>39210463.64</f>
        <v>39210463.640000001</v>
      </c>
      <c r="C22" s="33">
        <f>39210463.64</f>
        <v>39210463.640000001</v>
      </c>
      <c r="D22" s="33">
        <f>2310067.72</f>
        <v>2310067.7200000002</v>
      </c>
      <c r="E22" s="33">
        <f>4844.03</f>
        <v>4844.03</v>
      </c>
      <c r="F22" s="33">
        <f>16027.3</f>
        <v>16027.3</v>
      </c>
      <c r="G22" s="33">
        <f>2289196.39</f>
        <v>2289196.39</v>
      </c>
      <c r="H22" s="33">
        <f>0</f>
        <v>0</v>
      </c>
      <c r="I22" s="33">
        <f>0</f>
        <v>0</v>
      </c>
      <c r="J22" s="33">
        <f>168550.47</f>
        <v>168550.47</v>
      </c>
      <c r="K22" s="33">
        <f>559752.52</f>
        <v>559752.52</v>
      </c>
      <c r="L22" s="33">
        <f>25208647.13</f>
        <v>25208647.129999999</v>
      </c>
      <c r="M22" s="33">
        <f>8788750.69</f>
        <v>8788750.6899999995</v>
      </c>
      <c r="N22" s="33">
        <f>2174695.11</f>
        <v>2174695.11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23636744.04</f>
        <v>23636744.039999999</v>
      </c>
      <c r="C23" s="33">
        <f>23635698.59</f>
        <v>23635698.59</v>
      </c>
      <c r="D23" s="33">
        <f>16335917.93</f>
        <v>16335917.93</v>
      </c>
      <c r="E23" s="33">
        <f>4130726.64</f>
        <v>4130726.64</v>
      </c>
      <c r="F23" s="33">
        <f>92935</f>
        <v>92935</v>
      </c>
      <c r="G23" s="33">
        <f>7798670.33</f>
        <v>7798670.3300000001</v>
      </c>
      <c r="H23" s="33">
        <f>4313585.96</f>
        <v>4313585.96</v>
      </c>
      <c r="I23" s="33">
        <f>0</f>
        <v>0</v>
      </c>
      <c r="J23" s="33">
        <f>143194.22</f>
        <v>143194.22</v>
      </c>
      <c r="K23" s="33">
        <f>210</f>
        <v>210</v>
      </c>
      <c r="L23" s="33">
        <f>3637869.1</f>
        <v>3637869.1</v>
      </c>
      <c r="M23" s="33">
        <f>3026652.1</f>
        <v>3026652.1</v>
      </c>
      <c r="N23" s="33">
        <f>491855.24</f>
        <v>491855.24</v>
      </c>
      <c r="O23" s="33">
        <f>1045.45</f>
        <v>1045.45</v>
      </c>
      <c r="P23" s="33">
        <f>0</f>
        <v>0</v>
      </c>
      <c r="Q23" s="33">
        <f>1045.45</f>
        <v>1045.45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IV Kwartały 2023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61100289.87</f>
        <v>61100289.869999997</v>
      </c>
      <c r="C44" s="35">
        <f>61100289.87</f>
        <v>61100289.869999997</v>
      </c>
      <c r="D44" s="35">
        <f>138</f>
        <v>138</v>
      </c>
      <c r="E44" s="35">
        <f>0</f>
        <v>0</v>
      </c>
      <c r="F44" s="35">
        <f>0</f>
        <v>0</v>
      </c>
      <c r="G44" s="35">
        <f>0</f>
        <v>0</v>
      </c>
      <c r="H44" s="35">
        <f>138</f>
        <v>138</v>
      </c>
      <c r="I44" s="35">
        <f>0</f>
        <v>0</v>
      </c>
      <c r="J44" s="35">
        <f>200160.2</f>
        <v>200160.2</v>
      </c>
      <c r="K44" s="35">
        <f>26620</f>
        <v>26620</v>
      </c>
      <c r="L44" s="35">
        <f>60660933.12</f>
        <v>60660933.119999997</v>
      </c>
      <c r="M44" s="35">
        <f>112438.55</f>
        <v>112438.55</v>
      </c>
      <c r="N44" s="35">
        <f>100000</f>
        <v>100000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435479.48</f>
        <v>435479.48</v>
      </c>
      <c r="C45" s="26">
        <f>435479.48</f>
        <v>435479.48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0</f>
        <v>0</v>
      </c>
      <c r="K45" s="26">
        <f>0</f>
        <v>0</v>
      </c>
      <c r="L45" s="26">
        <f>370479.48</f>
        <v>370479.48</v>
      </c>
      <c r="M45" s="26">
        <f>0</f>
        <v>0</v>
      </c>
      <c r="N45" s="26">
        <f>65000</f>
        <v>65000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60664810.39</f>
        <v>60664810.390000001</v>
      </c>
      <c r="C46" s="26">
        <f>60664810.39</f>
        <v>60664810.390000001</v>
      </c>
      <c r="D46" s="26">
        <f>138</f>
        <v>138</v>
      </c>
      <c r="E46" s="26">
        <f>0</f>
        <v>0</v>
      </c>
      <c r="F46" s="26">
        <f>0</f>
        <v>0</v>
      </c>
      <c r="G46" s="26">
        <f>0</f>
        <v>0</v>
      </c>
      <c r="H46" s="26">
        <f>138</f>
        <v>138</v>
      </c>
      <c r="I46" s="26">
        <f>0</f>
        <v>0</v>
      </c>
      <c r="J46" s="26">
        <f>200160.2</f>
        <v>200160.2</v>
      </c>
      <c r="K46" s="26">
        <f>26620</f>
        <v>26620</v>
      </c>
      <c r="L46" s="26">
        <f>60290453.64</f>
        <v>60290453.640000001</v>
      </c>
      <c r="M46" s="26">
        <f>112438.55</f>
        <v>112438.55</v>
      </c>
      <c r="N46" s="26">
        <f>35000</f>
        <v>35000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456720092.48</f>
        <v>456720092.48000002</v>
      </c>
      <c r="C47" s="26">
        <f>456567208.82</f>
        <v>456567208.81999999</v>
      </c>
      <c r="D47" s="26">
        <f>34557198.79</f>
        <v>34557198.789999999</v>
      </c>
      <c r="E47" s="26">
        <f>13936.8</f>
        <v>13936.8</v>
      </c>
      <c r="F47" s="26">
        <f>4232</f>
        <v>4232</v>
      </c>
      <c r="G47" s="26">
        <f>24236141.99</f>
        <v>24236141.989999998</v>
      </c>
      <c r="H47" s="26">
        <f>10302888</f>
        <v>10302888</v>
      </c>
      <c r="I47" s="26">
        <f>0</f>
        <v>0</v>
      </c>
      <c r="J47" s="26">
        <f>506287</f>
        <v>506287</v>
      </c>
      <c r="K47" s="26">
        <f>1094295</f>
        <v>1094295</v>
      </c>
      <c r="L47" s="26">
        <f>163675046.42</f>
        <v>163675046.41999999</v>
      </c>
      <c r="M47" s="26">
        <f>206598450.03</f>
        <v>206598450.03</v>
      </c>
      <c r="N47" s="26">
        <f>50135931.58</f>
        <v>50135931.579999998</v>
      </c>
      <c r="O47" s="15">
        <f>152883.66</f>
        <v>152883.66</v>
      </c>
      <c r="P47" s="15">
        <f>3883.66</f>
        <v>3883.66</v>
      </c>
      <c r="Q47" s="15">
        <f>149000</f>
        <v>149000</v>
      </c>
    </row>
    <row r="48" spans="1:17" ht="24.75" customHeight="1" x14ac:dyDescent="0.2">
      <c r="A48" s="23" t="s">
        <v>31</v>
      </c>
      <c r="B48" s="26">
        <f>40126429.42</f>
        <v>40126429.420000002</v>
      </c>
      <c r="C48" s="26">
        <f>40126429.42</f>
        <v>40126429.420000002</v>
      </c>
      <c r="D48" s="26">
        <f>6515436.59</f>
        <v>6515436.5899999999</v>
      </c>
      <c r="E48" s="26">
        <f>714.8</f>
        <v>714.8</v>
      </c>
      <c r="F48" s="26">
        <f>0</f>
        <v>0</v>
      </c>
      <c r="G48" s="26">
        <f>6514721.79</f>
        <v>6514721.79</v>
      </c>
      <c r="H48" s="26">
        <f>0</f>
        <v>0</v>
      </c>
      <c r="I48" s="26">
        <f>0</f>
        <v>0</v>
      </c>
      <c r="J48" s="26">
        <f>176795</f>
        <v>176795</v>
      </c>
      <c r="K48" s="26">
        <f>0</f>
        <v>0</v>
      </c>
      <c r="L48" s="26">
        <f>13362937.5</f>
        <v>13362937.5</v>
      </c>
      <c r="M48" s="26">
        <f>1925623.61</f>
        <v>1925623.61</v>
      </c>
      <c r="N48" s="26">
        <f>18145636.72</f>
        <v>18145636.719999999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416593663.06</f>
        <v>416593663.06</v>
      </c>
      <c r="C49" s="26">
        <f>416440779.4</f>
        <v>416440779.39999998</v>
      </c>
      <c r="D49" s="26">
        <f>28041762.2</f>
        <v>28041762.199999999</v>
      </c>
      <c r="E49" s="26">
        <f>13222</f>
        <v>13222</v>
      </c>
      <c r="F49" s="26">
        <f>4232</f>
        <v>4232</v>
      </c>
      <c r="G49" s="26">
        <f>17721420.2</f>
        <v>17721420.199999999</v>
      </c>
      <c r="H49" s="26">
        <f>10302888</f>
        <v>10302888</v>
      </c>
      <c r="I49" s="26">
        <f>0</f>
        <v>0</v>
      </c>
      <c r="J49" s="26">
        <f>329492</f>
        <v>329492</v>
      </c>
      <c r="K49" s="26">
        <f>1094295</f>
        <v>1094295</v>
      </c>
      <c r="L49" s="26">
        <f>150312108.92</f>
        <v>150312108.91999999</v>
      </c>
      <c r="M49" s="26">
        <f>204672826.42</f>
        <v>204672826.41999999</v>
      </c>
      <c r="N49" s="26">
        <f>31990294.86</f>
        <v>31990294.859999999</v>
      </c>
      <c r="O49" s="15">
        <f>152883.66</f>
        <v>152883.66</v>
      </c>
      <c r="P49" s="15">
        <f>3883.66</f>
        <v>3883.66</v>
      </c>
      <c r="Q49" s="15">
        <f>149000</f>
        <v>149000</v>
      </c>
    </row>
    <row r="50" spans="1:17" ht="24.75" customHeight="1" x14ac:dyDescent="0.2">
      <c r="A50" s="34" t="s">
        <v>43</v>
      </c>
      <c r="B50" s="35">
        <f>20012896850.81</f>
        <v>20012896850.810001</v>
      </c>
      <c r="C50" s="35">
        <f>20012896850.81</f>
        <v>20012896850.810001</v>
      </c>
      <c r="D50" s="35">
        <f>2328625.21</f>
        <v>2328625.21</v>
      </c>
      <c r="E50" s="35">
        <f>332293.67</f>
        <v>332293.67</v>
      </c>
      <c r="F50" s="35">
        <f>12944.58</f>
        <v>12944.58</v>
      </c>
      <c r="G50" s="35">
        <f>1983386.96</f>
        <v>1983386.96</v>
      </c>
      <c r="H50" s="35">
        <f>0</f>
        <v>0</v>
      </c>
      <c r="I50" s="35">
        <f>0</f>
        <v>0</v>
      </c>
      <c r="J50" s="35">
        <f>19998990877.69</f>
        <v>19998990877.689999</v>
      </c>
      <c r="K50" s="35">
        <f>469001.78</f>
        <v>469001.78</v>
      </c>
      <c r="L50" s="35">
        <f>10955774.16</f>
        <v>10955774.16</v>
      </c>
      <c r="M50" s="35">
        <f>127417.36</f>
        <v>127417.36</v>
      </c>
      <c r="N50" s="35">
        <f>25154.61</f>
        <v>25154.61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1883467.78</f>
        <v>1883467.78</v>
      </c>
      <c r="C51" s="26">
        <f>1883467.78</f>
        <v>1883467.78</v>
      </c>
      <c r="D51" s="26">
        <f>1883467.78</f>
        <v>1883467.78</v>
      </c>
      <c r="E51" s="26">
        <f>0</f>
        <v>0</v>
      </c>
      <c r="F51" s="26">
        <f>0</f>
        <v>0</v>
      </c>
      <c r="G51" s="26">
        <f>1883467.78</f>
        <v>1883467.78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18338313546.66</f>
        <v>18338313546.66</v>
      </c>
      <c r="C52" s="26">
        <f>18338313546.66</f>
        <v>18338313546.66</v>
      </c>
      <c r="D52" s="26">
        <f>55856.6</f>
        <v>55856.6</v>
      </c>
      <c r="E52" s="26">
        <f>10907.62</f>
        <v>10907.62</v>
      </c>
      <c r="F52" s="26">
        <f>6480</f>
        <v>6480</v>
      </c>
      <c r="G52" s="26">
        <f>38468.98</f>
        <v>38468.980000000003</v>
      </c>
      <c r="H52" s="26">
        <f>0</f>
        <v>0</v>
      </c>
      <c r="I52" s="26">
        <f>0</f>
        <v>0</v>
      </c>
      <c r="J52" s="26">
        <f>18327119893.51</f>
        <v>18327119893.509998</v>
      </c>
      <c r="K52" s="26">
        <f>466495.46</f>
        <v>466495.46</v>
      </c>
      <c r="L52" s="26">
        <f>10635807.48</f>
        <v>10635807.48</v>
      </c>
      <c r="M52" s="26">
        <f>10339</f>
        <v>10339</v>
      </c>
      <c r="N52" s="26">
        <f>25154.61</f>
        <v>25154.61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1672699836.37</f>
        <v>1672699836.3699999</v>
      </c>
      <c r="C53" s="26">
        <f>1672699836.37</f>
        <v>1672699836.3699999</v>
      </c>
      <c r="D53" s="26">
        <f>389300.83</f>
        <v>389300.83</v>
      </c>
      <c r="E53" s="26">
        <f>321386.05</f>
        <v>321386.05</v>
      </c>
      <c r="F53" s="26">
        <f>6464.58</f>
        <v>6464.58</v>
      </c>
      <c r="G53" s="26">
        <f>61450.2</f>
        <v>61450.2</v>
      </c>
      <c r="H53" s="26">
        <f>0</f>
        <v>0</v>
      </c>
      <c r="I53" s="26">
        <f>0</f>
        <v>0</v>
      </c>
      <c r="J53" s="26">
        <f>1671870984.18</f>
        <v>1671870984.1800001</v>
      </c>
      <c r="K53" s="26">
        <f>2506.32</f>
        <v>2506.3200000000002</v>
      </c>
      <c r="L53" s="26">
        <f>319966.68</f>
        <v>319966.68</v>
      </c>
      <c r="M53" s="26">
        <f>117078.36</f>
        <v>117078.36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11185276791.8</f>
        <v>11185276791.799999</v>
      </c>
      <c r="C54" s="35">
        <f>11157962929.33</f>
        <v>11157962929.33</v>
      </c>
      <c r="D54" s="35">
        <f>102659042.35</f>
        <v>102659042.34999999</v>
      </c>
      <c r="E54" s="35">
        <f>59252190.32</f>
        <v>59252190.32</v>
      </c>
      <c r="F54" s="35">
        <f>1439329.22</f>
        <v>1439329.22</v>
      </c>
      <c r="G54" s="35">
        <f>41454065.24</f>
        <v>41454065.240000002</v>
      </c>
      <c r="H54" s="35">
        <f>513457.57</f>
        <v>513457.57</v>
      </c>
      <c r="I54" s="35">
        <f>0</f>
        <v>0</v>
      </c>
      <c r="J54" s="35">
        <f>10171458.63</f>
        <v>10171458.630000001</v>
      </c>
      <c r="K54" s="35">
        <f>21826618.27</f>
        <v>21826618.27</v>
      </c>
      <c r="L54" s="35">
        <f>2205531732.05</f>
        <v>2205531732.0500002</v>
      </c>
      <c r="M54" s="35">
        <f>8747738467.43</f>
        <v>8747738467.4300003</v>
      </c>
      <c r="N54" s="35">
        <f>70035610.6</f>
        <v>70035610.599999994</v>
      </c>
      <c r="O54" s="35">
        <f>27313862.47</f>
        <v>27313862.469999999</v>
      </c>
      <c r="P54" s="35">
        <f>18687357.8</f>
        <v>18687357.800000001</v>
      </c>
      <c r="Q54" s="35">
        <f>8626504.67</f>
        <v>8626504.6699999999</v>
      </c>
    </row>
    <row r="55" spans="1:17" ht="24.75" customHeight="1" x14ac:dyDescent="0.2">
      <c r="A55" s="22" t="s">
        <v>36</v>
      </c>
      <c r="B55" s="26">
        <f>1394547683.95</f>
        <v>1394547683.95</v>
      </c>
      <c r="C55" s="26">
        <f>1393938334.11</f>
        <v>1393938334.1099999</v>
      </c>
      <c r="D55" s="26">
        <f>7398692.7</f>
        <v>7398692.7000000002</v>
      </c>
      <c r="E55" s="26">
        <f>1675237.48</f>
        <v>1675237.48</v>
      </c>
      <c r="F55" s="26">
        <f>100749.78</f>
        <v>100749.78</v>
      </c>
      <c r="G55" s="26">
        <f>5289598.59</f>
        <v>5289598.59</v>
      </c>
      <c r="H55" s="26">
        <f>333106.85</f>
        <v>333106.84999999998</v>
      </c>
      <c r="I55" s="26">
        <f>0</f>
        <v>0</v>
      </c>
      <c r="J55" s="26">
        <f>171941.58</f>
        <v>171941.58</v>
      </c>
      <c r="K55" s="26">
        <f>1649611.44</f>
        <v>1649611.44</v>
      </c>
      <c r="L55" s="26">
        <f>301704443.73</f>
        <v>301704443.73000002</v>
      </c>
      <c r="M55" s="26">
        <f>1051965973.77</f>
        <v>1051965973.77</v>
      </c>
      <c r="N55" s="26">
        <f>31047670.89</f>
        <v>31047670.890000001</v>
      </c>
      <c r="O55" s="15">
        <f>609349.84</f>
        <v>609349.84</v>
      </c>
      <c r="P55" s="15">
        <f>435905.46</f>
        <v>435905.46</v>
      </c>
      <c r="Q55" s="15">
        <f>173444.38</f>
        <v>173444.38</v>
      </c>
    </row>
    <row r="56" spans="1:17" ht="24.75" customHeight="1" x14ac:dyDescent="0.2">
      <c r="A56" s="23" t="s">
        <v>37</v>
      </c>
      <c r="B56" s="26">
        <f>9790729107.85</f>
        <v>9790729107.8500004</v>
      </c>
      <c r="C56" s="26">
        <f>9764024595.22</f>
        <v>9764024595.2199993</v>
      </c>
      <c r="D56" s="26">
        <f>95260349.65</f>
        <v>95260349.650000006</v>
      </c>
      <c r="E56" s="26">
        <f>57576952.84</f>
        <v>57576952.840000004</v>
      </c>
      <c r="F56" s="26">
        <f>1338579.44</f>
        <v>1338579.44</v>
      </c>
      <c r="G56" s="26">
        <f>36164466.65</f>
        <v>36164466.649999999</v>
      </c>
      <c r="H56" s="26">
        <f>180350.72</f>
        <v>180350.72</v>
      </c>
      <c r="I56" s="26">
        <f>0</f>
        <v>0</v>
      </c>
      <c r="J56" s="26">
        <f>9999517.05</f>
        <v>9999517.0500000007</v>
      </c>
      <c r="K56" s="26">
        <f>20177006.83</f>
        <v>20177006.829999998</v>
      </c>
      <c r="L56" s="26">
        <f>1903827288.32</f>
        <v>1903827288.3199999</v>
      </c>
      <c r="M56" s="26">
        <f>7695772493.66</f>
        <v>7695772493.6599998</v>
      </c>
      <c r="N56" s="26">
        <f>38987939.71</f>
        <v>38987939.710000001</v>
      </c>
      <c r="O56" s="15">
        <f>26704512.63</f>
        <v>26704512.629999999</v>
      </c>
      <c r="P56" s="15">
        <f>18251452.34</f>
        <v>18251452.34</v>
      </c>
      <c r="Q56" s="15">
        <f>8453060.29</f>
        <v>8453060.2899999991</v>
      </c>
    </row>
    <row r="57" spans="1:17" ht="24.75" customHeight="1" x14ac:dyDescent="0.2">
      <c r="A57" s="34" t="s">
        <v>45</v>
      </c>
      <c r="B57" s="35">
        <f>2653011033.49</f>
        <v>2653011033.4899998</v>
      </c>
      <c r="C57" s="35">
        <f>2652715559.2</f>
        <v>2652715559.1999998</v>
      </c>
      <c r="D57" s="35">
        <f>550553253.39</f>
        <v>550553253.38999999</v>
      </c>
      <c r="E57" s="35">
        <f>391339682.3</f>
        <v>391339682.30000001</v>
      </c>
      <c r="F57" s="35">
        <f>8319211.17</f>
        <v>8319211.1699999999</v>
      </c>
      <c r="G57" s="35">
        <f>146466764.08</f>
        <v>146466764.08000001</v>
      </c>
      <c r="H57" s="35">
        <f>4427595.84</f>
        <v>4427595.84</v>
      </c>
      <c r="I57" s="35">
        <f>0</f>
        <v>0</v>
      </c>
      <c r="J57" s="35">
        <f>8207661.01</f>
        <v>8207661.0099999998</v>
      </c>
      <c r="K57" s="35">
        <f>11202101.45</f>
        <v>11202101.449999999</v>
      </c>
      <c r="L57" s="35">
        <f>1239296746.14</f>
        <v>1239296746.1400001</v>
      </c>
      <c r="M57" s="35">
        <f>809288884.98</f>
        <v>809288884.98000002</v>
      </c>
      <c r="N57" s="35">
        <f>34166912.23</f>
        <v>34166912.229999997</v>
      </c>
      <c r="O57" s="35">
        <f>295474.29</f>
        <v>295474.28999999998</v>
      </c>
      <c r="P57" s="35">
        <f>93896.3</f>
        <v>93896.3</v>
      </c>
      <c r="Q57" s="35">
        <f>201577.99</f>
        <v>201577.99</v>
      </c>
    </row>
    <row r="58" spans="1:17" ht="30" customHeight="1" x14ac:dyDescent="0.2">
      <c r="A58" s="22" t="s">
        <v>38</v>
      </c>
      <c r="B58" s="26">
        <f>538067389.3</f>
        <v>538067389.29999995</v>
      </c>
      <c r="C58" s="26">
        <f>537903212.69</f>
        <v>537903212.69000006</v>
      </c>
      <c r="D58" s="26">
        <f>36622324.47</f>
        <v>36622324.469999999</v>
      </c>
      <c r="E58" s="26">
        <f>4250280.89</f>
        <v>4250280.8899999997</v>
      </c>
      <c r="F58" s="26">
        <f>983951.59</f>
        <v>983951.59</v>
      </c>
      <c r="G58" s="26">
        <f>30677234.63</f>
        <v>30677234.629999999</v>
      </c>
      <c r="H58" s="26">
        <f>710857.36</f>
        <v>710857.36</v>
      </c>
      <c r="I58" s="26">
        <f>0</f>
        <v>0</v>
      </c>
      <c r="J58" s="26">
        <f>411599.07</f>
        <v>411599.07</v>
      </c>
      <c r="K58" s="26">
        <f>2733014.42</f>
        <v>2733014.42</v>
      </c>
      <c r="L58" s="26">
        <f>226269476.44</f>
        <v>226269476.44</v>
      </c>
      <c r="M58" s="26">
        <f>265657041.51</f>
        <v>265657041.50999999</v>
      </c>
      <c r="N58" s="26">
        <f>6209756.78</f>
        <v>6209756.7800000003</v>
      </c>
      <c r="O58" s="15">
        <f>164176.61</f>
        <v>164176.60999999999</v>
      </c>
      <c r="P58" s="15">
        <f>69561.62</f>
        <v>69561.62</v>
      </c>
      <c r="Q58" s="15">
        <f>94614.99</f>
        <v>94614.99</v>
      </c>
    </row>
    <row r="59" spans="1:17" ht="36" x14ac:dyDescent="0.2">
      <c r="A59" s="22" t="s">
        <v>39</v>
      </c>
      <c r="B59" s="26">
        <f>408672780.04</f>
        <v>408672780.04000002</v>
      </c>
      <c r="C59" s="26">
        <f>408672570.04</f>
        <v>408672570.04000002</v>
      </c>
      <c r="D59" s="26">
        <f>101034865.02</f>
        <v>101034865.02</v>
      </c>
      <c r="E59" s="26">
        <f>89407380.63</f>
        <v>89407380.629999995</v>
      </c>
      <c r="F59" s="26">
        <f>864378.21</f>
        <v>864378.21</v>
      </c>
      <c r="G59" s="26">
        <f>9083430.2</f>
        <v>9083430.1999999993</v>
      </c>
      <c r="H59" s="26">
        <f>1679675.98</f>
        <v>1679675.98</v>
      </c>
      <c r="I59" s="26">
        <f>0</f>
        <v>0</v>
      </c>
      <c r="J59" s="26">
        <f>28607.61</f>
        <v>28607.61</v>
      </c>
      <c r="K59" s="26">
        <f>4285012.63</f>
        <v>4285012.63</v>
      </c>
      <c r="L59" s="26">
        <f>181711883.98</f>
        <v>181711883.97999999</v>
      </c>
      <c r="M59" s="26">
        <f>120169625.6</f>
        <v>120169625.59999999</v>
      </c>
      <c r="N59" s="26">
        <f>1442575.2</f>
        <v>1442575.2</v>
      </c>
      <c r="O59" s="15">
        <f>210</f>
        <v>210</v>
      </c>
      <c r="P59" s="15">
        <f>210</f>
        <v>210</v>
      </c>
      <c r="Q59" s="15">
        <f>0</f>
        <v>0</v>
      </c>
    </row>
    <row r="60" spans="1:17" ht="30.75" customHeight="1" x14ac:dyDescent="0.2">
      <c r="A60" s="22" t="s">
        <v>40</v>
      </c>
      <c r="B60" s="26">
        <f>1706270864.15</f>
        <v>1706270864.1500001</v>
      </c>
      <c r="C60" s="26">
        <f>1706139776.47</f>
        <v>1706139776.47</v>
      </c>
      <c r="D60" s="26">
        <f>412896063.9</f>
        <v>412896063.89999998</v>
      </c>
      <c r="E60" s="26">
        <f>297682020.78</f>
        <v>297682020.77999997</v>
      </c>
      <c r="F60" s="26">
        <f>6470881.37</f>
        <v>6470881.3700000001</v>
      </c>
      <c r="G60" s="26">
        <f>106706099.25</f>
        <v>106706099.25</v>
      </c>
      <c r="H60" s="26">
        <f>2037062.5</f>
        <v>2037062.5</v>
      </c>
      <c r="I60" s="26">
        <f>0</f>
        <v>0</v>
      </c>
      <c r="J60" s="26">
        <f>7767454.33</f>
        <v>7767454.3300000001</v>
      </c>
      <c r="K60" s="26">
        <f>4184074.4</f>
        <v>4184074.4</v>
      </c>
      <c r="L60" s="26">
        <f>831315385.72</f>
        <v>831315385.72000003</v>
      </c>
      <c r="M60" s="26">
        <f>423462217.87</f>
        <v>423462217.87</v>
      </c>
      <c r="N60" s="26">
        <f>26514580.25</f>
        <v>26514580.25</v>
      </c>
      <c r="O60" s="15">
        <f>131087.68</f>
        <v>131087.67999999999</v>
      </c>
      <c r="P60" s="15">
        <f>24124.68</f>
        <v>24124.68</v>
      </c>
      <c r="Q60" s="15">
        <f>106963</f>
        <v>106963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IV Kwartały 2023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1136556477.33</f>
        <v>1136556477.3299999</v>
      </c>
      <c r="G87" s="33">
        <f>431574954.62</f>
        <v>431574954.62</v>
      </c>
      <c r="H87" s="33">
        <f>20120511</f>
        <v>20120511</v>
      </c>
      <c r="I87" s="33">
        <f>154934640.03</f>
        <v>154934640.03</v>
      </c>
      <c r="J87" s="33">
        <f>246074017.26</f>
        <v>246074017.25999999</v>
      </c>
      <c r="K87" s="33">
        <f>10445786.33</f>
        <v>10445786.33</v>
      </c>
      <c r="L87" s="33">
        <f>704981522.71</f>
        <v>704981522.71000004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6752319.86</f>
        <v>6752319.8600000003</v>
      </c>
      <c r="G88" s="33">
        <f>4978399.8</f>
        <v>4978399.8</v>
      </c>
      <c r="H88" s="33">
        <f>0</f>
        <v>0</v>
      </c>
      <c r="I88" s="33">
        <f>0</f>
        <v>0</v>
      </c>
      <c r="J88" s="33">
        <f>4978399.8</f>
        <v>4978399.8</v>
      </c>
      <c r="K88" s="33">
        <f>0</f>
        <v>0</v>
      </c>
      <c r="L88" s="33">
        <f>1773920.06</f>
        <v>1773920.06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158177846.27</f>
        <v>158177846.27000001</v>
      </c>
      <c r="G89" s="33">
        <f>58181107.11</f>
        <v>58181107.109999999</v>
      </c>
      <c r="H89" s="33">
        <f>532575</f>
        <v>532575</v>
      </c>
      <c r="I89" s="33">
        <f>7611780.72</f>
        <v>7611780.7199999997</v>
      </c>
      <c r="J89" s="33">
        <f>49927165.35</f>
        <v>49927165.350000001</v>
      </c>
      <c r="K89" s="33">
        <f>109586.04</f>
        <v>109586.04</v>
      </c>
      <c r="L89" s="33">
        <f>99996739.16</f>
        <v>99996739.159999996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5991459.86</f>
        <v>5991459.8600000003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5991459.86</f>
        <v>5991459.8600000003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24020.8</f>
        <v>24020.799999999999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24020.8</f>
        <v>24020.799999999999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1600432.82</f>
        <v>1600432.82</v>
      </c>
      <c r="G92" s="33">
        <f>275000</f>
        <v>275000</v>
      </c>
      <c r="H92" s="33">
        <f>0</f>
        <v>0</v>
      </c>
      <c r="I92" s="33">
        <f>0</f>
        <v>0</v>
      </c>
      <c r="J92" s="33">
        <f>275000</f>
        <v>275000</v>
      </c>
      <c r="K92" s="33">
        <f>0</f>
        <v>0</v>
      </c>
      <c r="L92" s="33">
        <f>1325432.82</f>
        <v>1325432.82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988639</f>
        <v>988639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988639</f>
        <v>988639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IV Kwartały 2023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432</f>
        <v>432</v>
      </c>
      <c r="H99" s="67"/>
      <c r="I99" s="68">
        <f>1176256535.04</f>
        <v>1176256535.04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1979</f>
        <v>1979</v>
      </c>
      <c r="H100" s="77"/>
      <c r="I100" s="78">
        <f>-11908573573.23</f>
        <v>-11908573573.23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4</f>
        <v>4</v>
      </c>
      <c r="C104" s="8" t="str">
        <f>IF(B104=1,"I Kwartał",IF(B104=2,"II Kwartały",IF(B104=3,"III Kwartały",IF(B104=4,"IV Kwartały","-"))))</f>
        <v>IV Kwartały</v>
      </c>
    </row>
    <row r="105" spans="1:11" ht="13.5" customHeight="1" x14ac:dyDescent="0.2">
      <c r="A105" s="8" t="s">
        <v>9</v>
      </c>
      <c r="B105" s="8">
        <f>2023</f>
        <v>2023</v>
      </c>
      <c r="C105" s="9"/>
    </row>
    <row r="106" spans="1:11" ht="13.5" customHeight="1" x14ac:dyDescent="0.2">
      <c r="A106" s="8" t="s">
        <v>10</v>
      </c>
      <c r="B106" s="10" t="str">
        <f>"Mar 15 2024 12:00AM"</f>
        <v>Mar 15 2024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2024-03-27T08:38:52Z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2024-03-27T09:38:49.7513199+01:00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GRN-2ef918af-5891-4364-9d5f-ba766e3d7c0e</vt:lpwstr>
  </property>
  <property fmtid="{D5CDD505-2E9C-101B-9397-08002B2CF9AE}" pid="7" name="MFHash">
    <vt:lpwstr>Bd9aQSGPCa01WgNtsYF/DYrRtpnrycCn0hsKRXXT7NI=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