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AD88A1B9-A22C-4915-A5CC-6AD65F6E39E0}" xr6:coauthVersionLast="47" xr6:coauthVersionMax="47" xr10:uidLastSave="{00000000-0000-0000-0000-000000000000}"/>
  <bookViews>
    <workbookView xWindow="-120" yWindow="-120" windowWidth="29040" windowHeight="15720"/>
  </bookViews>
  <sheets>
    <sheet name="doch_wyd" sheetId="4" r:id="rId1"/>
  </sheets>
  <definedNames>
    <definedName name="_xlnm.Print_Area" localSheetId="0">doch_wyd!$A$1:$M$120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4" l="1"/>
  <c r="C119" i="4"/>
  <c r="C118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3" i="4"/>
  <c r="C103" i="4"/>
  <c r="D102" i="4"/>
  <c r="C102" i="4"/>
  <c r="D101" i="4"/>
  <c r="C101" i="4"/>
  <c r="K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K90" i="4"/>
  <c r="D89" i="4"/>
  <c r="C89" i="4"/>
  <c r="D88" i="4"/>
  <c r="C88" i="4"/>
  <c r="D87" i="4"/>
  <c r="C87" i="4"/>
  <c r="I81" i="4"/>
  <c r="H81" i="4"/>
  <c r="G81" i="4"/>
  <c r="F81" i="4"/>
  <c r="E81" i="4"/>
  <c r="D81" i="4"/>
  <c r="C81" i="4"/>
  <c r="I80" i="4"/>
  <c r="H80" i="4"/>
  <c r="G80" i="4"/>
  <c r="F80" i="4"/>
  <c r="E80" i="4"/>
  <c r="E82" i="4"/>
  <c r="D80" i="4"/>
  <c r="C80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D69" i="4"/>
  <c r="C66" i="4"/>
  <c r="K66" i="4"/>
  <c r="I56" i="4"/>
  <c r="H56" i="4"/>
  <c r="G56" i="4"/>
  <c r="F56" i="4"/>
  <c r="E56" i="4"/>
  <c r="D56" i="4"/>
  <c r="C56" i="4"/>
  <c r="D53" i="4"/>
  <c r="C53" i="4"/>
  <c r="D52" i="4"/>
  <c r="J52" i="4"/>
  <c r="C52" i="4"/>
  <c r="D51" i="4"/>
  <c r="C51" i="4"/>
  <c r="D50" i="4"/>
  <c r="C50" i="4"/>
  <c r="D49" i="4"/>
  <c r="K49" i="4"/>
  <c r="C49" i="4"/>
  <c r="D48" i="4"/>
  <c r="C48" i="4"/>
  <c r="D47" i="4"/>
  <c r="C47" i="4"/>
  <c r="D45" i="4"/>
  <c r="C45" i="4"/>
  <c r="K45" i="4"/>
  <c r="D44" i="4"/>
  <c r="C44" i="4"/>
  <c r="D43" i="4"/>
  <c r="C43" i="4"/>
  <c r="D42" i="4"/>
  <c r="C42" i="4"/>
  <c r="D41" i="4"/>
  <c r="C41" i="4"/>
  <c r="D40" i="4"/>
  <c r="C40" i="4"/>
  <c r="D39" i="4"/>
  <c r="K39" i="4"/>
  <c r="C39" i="4"/>
  <c r="D38" i="4"/>
  <c r="C38" i="4"/>
  <c r="D37" i="4"/>
  <c r="C37" i="4"/>
  <c r="D36" i="4"/>
  <c r="C36" i="4"/>
  <c r="D35" i="4"/>
  <c r="C35" i="4"/>
  <c r="D34" i="4"/>
  <c r="C34" i="4"/>
  <c r="C23" i="4"/>
  <c r="C22" i="4"/>
  <c r="D33" i="4"/>
  <c r="C33" i="4"/>
  <c r="D32" i="4"/>
  <c r="C32" i="4"/>
  <c r="D31" i="4"/>
  <c r="K31" i="4"/>
  <c r="C31" i="4"/>
  <c r="D30" i="4"/>
  <c r="C30" i="4"/>
  <c r="D29" i="4"/>
  <c r="K29" i="4"/>
  <c r="C29" i="4"/>
  <c r="D28" i="4"/>
  <c r="C28" i="4"/>
  <c r="D27" i="4"/>
  <c r="C27" i="4"/>
  <c r="D26" i="4"/>
  <c r="K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K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J9" i="4"/>
  <c r="C9" i="4"/>
  <c r="K9" i="4"/>
  <c r="I8" i="4"/>
  <c r="H8" i="4"/>
  <c r="G8" i="4"/>
  <c r="F8" i="4"/>
  <c r="E8" i="4"/>
  <c r="D8" i="4"/>
  <c r="C8" i="4"/>
  <c r="I6" i="4"/>
  <c r="I7" i="4"/>
  <c r="H6" i="4"/>
  <c r="H55" i="4"/>
  <c r="H57" i="4"/>
  <c r="G6" i="4"/>
  <c r="G7" i="4"/>
  <c r="F6" i="4"/>
  <c r="F55" i="4"/>
  <c r="F57" i="4"/>
  <c r="E6" i="4"/>
  <c r="E55" i="4"/>
  <c r="E57" i="4"/>
  <c r="D6" i="4"/>
  <c r="J43" i="4"/>
  <c r="C6" i="4"/>
  <c r="K81" i="4"/>
  <c r="K47" i="4"/>
  <c r="K88" i="4"/>
  <c r="G69" i="4"/>
  <c r="H69" i="4"/>
  <c r="H75" i="4"/>
  <c r="K100" i="4"/>
  <c r="G55" i="4"/>
  <c r="G57" i="4"/>
  <c r="K8" i="4"/>
  <c r="K48" i="4"/>
  <c r="K20" i="4"/>
  <c r="K68" i="4"/>
  <c r="K102" i="4"/>
  <c r="K14" i="4"/>
  <c r="K15" i="4"/>
  <c r="K27" i="4"/>
  <c r="K12" i="4"/>
  <c r="K40" i="4"/>
  <c r="K56" i="4"/>
  <c r="K94" i="4"/>
  <c r="D118" i="4"/>
  <c r="B59" i="4"/>
  <c r="K28" i="4"/>
  <c r="C69" i="4"/>
  <c r="C75" i="4"/>
  <c r="K95" i="4"/>
  <c r="K89" i="4"/>
  <c r="K35" i="4"/>
  <c r="K41" i="4"/>
  <c r="E69" i="4"/>
  <c r="E75" i="4"/>
  <c r="K71" i="4"/>
  <c r="G82" i="4"/>
  <c r="J30" i="4"/>
  <c r="J14" i="4"/>
  <c r="J18" i="4"/>
  <c r="J36" i="4"/>
  <c r="J38" i="4"/>
  <c r="J27" i="4"/>
  <c r="J34" i="4"/>
  <c r="J24" i="4"/>
  <c r="J6" i="4"/>
  <c r="J42" i="4"/>
  <c r="J33" i="4"/>
  <c r="J26" i="4"/>
  <c r="J45" i="4"/>
  <c r="J15" i="4"/>
  <c r="J41" i="4"/>
  <c r="K19" i="4"/>
  <c r="F69" i="4"/>
  <c r="F75" i="4"/>
  <c r="I82" i="4"/>
  <c r="K96" i="4"/>
  <c r="I69" i="4"/>
  <c r="I75" i="4"/>
  <c r="K73" i="4"/>
  <c r="K91" i="4"/>
  <c r="K97" i="4"/>
  <c r="K103" i="4"/>
  <c r="E7" i="4"/>
  <c r="E21" i="4"/>
  <c r="K24" i="4"/>
  <c r="K30" i="4"/>
  <c r="K36" i="4"/>
  <c r="K42" i="4"/>
  <c r="K67" i="4"/>
  <c r="F7" i="4"/>
  <c r="K16" i="4"/>
  <c r="K80" i="4"/>
  <c r="C82" i="4"/>
  <c r="K82" i="4"/>
  <c r="K92" i="4"/>
  <c r="K98" i="4"/>
  <c r="K11" i="4"/>
  <c r="K43" i="4"/>
  <c r="K70" i="4"/>
  <c r="D82" i="4"/>
  <c r="J82" i="4"/>
  <c r="J80" i="4"/>
  <c r="J81" i="4"/>
  <c r="J100" i="4"/>
  <c r="J101" i="4"/>
  <c r="J98" i="4"/>
  <c r="J102" i="4"/>
  <c r="J103" i="4"/>
  <c r="J99" i="4"/>
  <c r="K25" i="4"/>
  <c r="K37" i="4"/>
  <c r="K50" i="4"/>
  <c r="K18" i="4"/>
  <c r="K87" i="4"/>
  <c r="K93" i="4"/>
  <c r="K99" i="4"/>
  <c r="I55" i="4"/>
  <c r="I57" i="4"/>
  <c r="K13" i="4"/>
  <c r="K32" i="4"/>
  <c r="K38" i="4"/>
  <c r="K44" i="4"/>
  <c r="K51" i="4"/>
  <c r="K72" i="4"/>
  <c r="F82" i="4"/>
  <c r="J95" i="4"/>
  <c r="J87" i="4"/>
  <c r="J88" i="4"/>
  <c r="J93" i="4"/>
  <c r="J92" i="4"/>
  <c r="J96" i="4"/>
  <c r="J91" i="4"/>
  <c r="J90" i="4"/>
  <c r="J89" i="4"/>
  <c r="J94" i="4"/>
  <c r="J97" i="4"/>
  <c r="J71" i="4"/>
  <c r="J67" i="4"/>
  <c r="J68" i="4"/>
  <c r="J73" i="4"/>
  <c r="J66" i="4"/>
  <c r="J74" i="4"/>
  <c r="J70" i="4"/>
  <c r="K74" i="4"/>
  <c r="H82" i="4"/>
  <c r="B1" i="4"/>
  <c r="B83" i="4"/>
  <c r="G75" i="4"/>
  <c r="J69" i="4"/>
  <c r="D75" i="4"/>
  <c r="J75" i="4"/>
  <c r="J72" i="4"/>
  <c r="K69" i="4"/>
  <c r="K53" i="4"/>
  <c r="K52" i="4"/>
  <c r="C46" i="4"/>
  <c r="C7" i="4"/>
  <c r="J49" i="4"/>
  <c r="D46" i="4"/>
  <c r="K34" i="4"/>
  <c r="K33" i="4"/>
  <c r="D23" i="4"/>
  <c r="D22" i="4"/>
  <c r="F21" i="4"/>
  <c r="K10" i="4"/>
  <c r="I21" i="4"/>
  <c r="G21" i="4"/>
  <c r="H7" i="4"/>
  <c r="H21" i="4"/>
  <c r="J32" i="4"/>
  <c r="J11" i="4"/>
  <c r="D55" i="4"/>
  <c r="J48" i="4"/>
  <c r="J37" i="4"/>
  <c r="J16" i="4"/>
  <c r="J28" i="4"/>
  <c r="J53" i="4"/>
  <c r="J8" i="4"/>
  <c r="J40" i="4"/>
  <c r="J17" i="4"/>
  <c r="J50" i="4"/>
  <c r="J20" i="4"/>
  <c r="J12" i="4"/>
  <c r="J25" i="4"/>
  <c r="J10" i="4"/>
  <c r="J29" i="4"/>
  <c r="J13" i="4"/>
  <c r="J35" i="4"/>
  <c r="J47" i="4"/>
  <c r="D76" i="4"/>
  <c r="J44" i="4"/>
  <c r="J31" i="4"/>
  <c r="J39" i="4"/>
  <c r="J19" i="4"/>
  <c r="J51" i="4"/>
  <c r="C76" i="4"/>
  <c r="C55" i="4"/>
  <c r="K6" i="4"/>
  <c r="K75" i="4"/>
  <c r="K46" i="4"/>
  <c r="J46" i="4"/>
  <c r="D7" i="4"/>
  <c r="L8" i="4"/>
  <c r="K23" i="4"/>
  <c r="J22" i="4"/>
  <c r="K22" i="4"/>
  <c r="L12" i="4"/>
  <c r="J23" i="4"/>
  <c r="C21" i="4"/>
  <c r="J56" i="4"/>
  <c r="J55" i="4"/>
  <c r="D57" i="4"/>
  <c r="D77" i="4"/>
  <c r="C57" i="4"/>
  <c r="K55" i="4"/>
  <c r="L10" i="4"/>
  <c r="L20" i="4"/>
  <c r="D21" i="4"/>
  <c r="L21" i="4"/>
  <c r="K7" i="4"/>
  <c r="L14" i="4"/>
  <c r="L13" i="4"/>
  <c r="L7" i="4"/>
  <c r="L9" i="4"/>
  <c r="L17" i="4"/>
  <c r="L18" i="4"/>
  <c r="L15" i="4"/>
  <c r="L11" i="4"/>
  <c r="L16" i="4"/>
  <c r="J7" i="4"/>
  <c r="L19" i="4"/>
  <c r="K21" i="4"/>
  <c r="J21" i="4"/>
  <c r="J57" i="4"/>
  <c r="C77" i="4"/>
  <c r="K57" i="4"/>
</calcChain>
</file>

<file path=xl/sharedStrings.xml><?xml version="1.0" encoding="utf-8"?>
<sst xmlns="http://schemas.openxmlformats.org/spreadsheetml/2006/main" count="371" uniqueCount="116">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</sst>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z_ł_-;\-* #,##0.00\ _z_ł_-;_-* &quot;-&quot;??\ _z_ł_-;_-@_-"/>
    <numFmt numFmtId="166" formatCode="#,##0.0"/>
    <numFmt numFmtId="170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6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6" fontId="13" fillId="20" borderId="10" xfId="0" applyNumberFormat="1" applyFont="1" applyFill="1" applyBorder="1" applyAlignment="1">
      <alignment horizontal="right" vertical="center"/>
    </xf>
    <xf numFmtId="166" fontId="4" fillId="0" borderId="10" xfId="0" applyNumberFormat="1" applyFont="1" applyFill="1" applyBorder="1" applyAlignment="1">
      <alignment horizontal="right" vertical="center"/>
    </xf>
    <xf numFmtId="166" fontId="6" fillId="0" borderId="10" xfId="0" applyNumberFormat="1" applyFont="1" applyFill="1" applyBorder="1" applyAlignment="1">
      <alignment horizontal="right" vertical="center"/>
    </xf>
    <xf numFmtId="166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6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5" fillId="23" borderId="10" xfId="41" applyFont="1" applyFill="1" applyBorder="1" applyAlignment="1">
      <alignment horizontal="left" vertical="center" wrapText="1"/>
    </xf>
    <xf numFmtId="166" fontId="11" fillId="22" borderId="10" xfId="29" applyNumberFormat="1" applyFont="1" applyFill="1" applyBorder="1" applyAlignment="1">
      <alignment horizontal="right" vertical="center"/>
    </xf>
    <xf numFmtId="166" fontId="11" fillId="22" borderId="10" xfId="0" applyNumberFormat="1" applyFont="1" applyFill="1" applyBorder="1" applyAlignment="1">
      <alignment horizontal="right" vertical="center"/>
    </xf>
    <xf numFmtId="166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6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6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6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6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170" fontId="2" fillId="0" borderId="13" xfId="0" applyNumberFormat="1" applyFont="1" applyBorder="1" applyAlignment="1">
      <alignment horizontal="center"/>
    </xf>
    <xf numFmtId="170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20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7" t="str">
        <f>CONCATENATE("Informacja z wykonania budżetów jednostek samorządu terytorialnego za ",$D$118," ",$C$119," roku")</f>
        <v>Informacja z wykonania budżetów jednostek samorządu terytorialnego za II Kwartały 2024 roku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.75" customHeight="1" x14ac:dyDescent="0.2"/>
    <row r="3" spans="2:13" ht="66.75" customHeight="1" x14ac:dyDescent="0.2">
      <c r="B3" s="106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06"/>
      <c r="C4" s="108" t="s">
        <v>78</v>
      </c>
      <c r="D4" s="109"/>
      <c r="E4" s="109"/>
      <c r="F4" s="109"/>
      <c r="G4" s="109"/>
      <c r="H4" s="109"/>
      <c r="I4" s="110"/>
      <c r="J4" s="107" t="s">
        <v>4</v>
      </c>
      <c r="K4" s="107"/>
      <c r="L4" s="107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7" t="s">
        <v>5</v>
      </c>
      <c r="C6" s="58">
        <f>429361482114.25</f>
        <v>429361482114.25</v>
      </c>
      <c r="D6" s="58">
        <f>215530623890.45</f>
        <v>215530623890.45001</v>
      </c>
      <c r="E6" s="58">
        <f>3386355934.07</f>
        <v>3386355934.0700002</v>
      </c>
      <c r="F6" s="58">
        <f>534691881.79</f>
        <v>534691881.79000002</v>
      </c>
      <c r="G6" s="58">
        <f>61008059.38</f>
        <v>61008059.380000003</v>
      </c>
      <c r="H6" s="58">
        <f>163256916.22</f>
        <v>163256916.22</v>
      </c>
      <c r="I6" s="58">
        <f>4658785.45</f>
        <v>4658785.45</v>
      </c>
      <c r="J6" s="59">
        <f t="shared" ref="J6:J53" si="0">IF($D$6=0,"",100*$D6/$D$6)</f>
        <v>100</v>
      </c>
      <c r="K6" s="59">
        <f t="shared" ref="K6:K51" si="1">IF(C6=0,"",100*D6/C6)</f>
        <v>50.197941098288567</v>
      </c>
      <c r="L6" s="59"/>
    </row>
    <row r="7" spans="2:13" ht="27.95" customHeight="1" x14ac:dyDescent="0.2">
      <c r="B7" s="76" t="s">
        <v>59</v>
      </c>
      <c r="C7" s="25">
        <f>C6-C22-C46</f>
        <v>208444161846.46002</v>
      </c>
      <c r="D7" s="25">
        <f>D6-D22-D46</f>
        <v>106108780625.84003</v>
      </c>
      <c r="E7" s="25">
        <f>E6</f>
        <v>3386355934.0700002</v>
      </c>
      <c r="F7" s="25">
        <f>F6</f>
        <v>534691881.79000002</v>
      </c>
      <c r="G7" s="25">
        <f>G6</f>
        <v>61008059.380000003</v>
      </c>
      <c r="H7" s="25">
        <f>H6</f>
        <v>163256916.22</v>
      </c>
      <c r="I7" s="25">
        <f>I6</f>
        <v>4658785.45</v>
      </c>
      <c r="J7" s="34">
        <f t="shared" si="0"/>
        <v>49.231417192840787</v>
      </c>
      <c r="K7" s="34">
        <f t="shared" si="1"/>
        <v>50.905134346722434</v>
      </c>
      <c r="L7" s="34">
        <f t="shared" ref="L7:L21" si="2">IF($D$7=0,"",100*$D7/$D$7)</f>
        <v>100</v>
      </c>
    </row>
    <row r="8" spans="2:13" ht="23.1" customHeight="1" outlineLevel="1" x14ac:dyDescent="0.2">
      <c r="B8" s="31" t="s">
        <v>34</v>
      </c>
      <c r="C8" s="23">
        <f>26369764782.4</f>
        <v>26369764782.400002</v>
      </c>
      <c r="D8" s="23">
        <f>13185167174</f>
        <v>13185167174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6.117537701139752</v>
      </c>
      <c r="K8" s="35">
        <f t="shared" si="1"/>
        <v>50.001079959576238</v>
      </c>
      <c r="L8" s="35">
        <f t="shared" si="2"/>
        <v>12.426084906670859</v>
      </c>
    </row>
    <row r="9" spans="2:13" ht="23.1" customHeight="1" outlineLevel="1" x14ac:dyDescent="0.2">
      <c r="B9" s="31" t="s">
        <v>19</v>
      </c>
      <c r="C9" s="23">
        <f>72388115761</f>
        <v>72388115761</v>
      </c>
      <c r="D9" s="23">
        <f>36196100718</f>
        <v>36196100718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16.793947915446932</v>
      </c>
      <c r="K9" s="35">
        <f t="shared" si="1"/>
        <v>50.002822061989768</v>
      </c>
      <c r="L9" s="35">
        <f t="shared" si="2"/>
        <v>34.112257726940065</v>
      </c>
    </row>
    <row r="10" spans="2:13" ht="12.95" customHeight="1" outlineLevel="1" x14ac:dyDescent="0.2">
      <c r="B10" s="31" t="s">
        <v>20</v>
      </c>
      <c r="C10" s="23">
        <f>2246205230.88</f>
        <v>2246205230.8800001</v>
      </c>
      <c r="D10" s="23">
        <f>1362562840.95</f>
        <v>1362562840.95</v>
      </c>
      <c r="E10" s="23">
        <f>236760606.91</f>
        <v>236760606.91</v>
      </c>
      <c r="F10" s="23">
        <f>1726837.98</f>
        <v>1726837.98</v>
      </c>
      <c r="G10" s="23">
        <f>2354127.38</f>
        <v>2354127.38</v>
      </c>
      <c r="H10" s="23">
        <f>2453091.21</f>
        <v>2453091.21</v>
      </c>
      <c r="I10" s="24">
        <f>94</f>
        <v>94</v>
      </c>
      <c r="J10" s="35">
        <f t="shared" si="0"/>
        <v>0.6321899024625679</v>
      </c>
      <c r="K10" s="35">
        <f t="shared" si="1"/>
        <v>60.66065656948836</v>
      </c>
      <c r="L10" s="35">
        <f t="shared" si="2"/>
        <v>1.2841188381521966</v>
      </c>
    </row>
    <row r="11" spans="2:13" ht="12.95" customHeight="1" outlineLevel="1" x14ac:dyDescent="0.2">
      <c r="B11" s="31" t="s">
        <v>21</v>
      </c>
      <c r="C11" s="23">
        <f>34380769801.12</f>
        <v>34380769801.120003</v>
      </c>
      <c r="D11" s="23">
        <f>18590920955.17</f>
        <v>18590920955.169998</v>
      </c>
      <c r="E11" s="23">
        <f>2124220681.43</f>
        <v>2124220681.4300001</v>
      </c>
      <c r="F11" s="23">
        <f>528022257.03</f>
        <v>528022257.02999997</v>
      </c>
      <c r="G11" s="23">
        <f>43917525.72</f>
        <v>43917525.719999999</v>
      </c>
      <c r="H11" s="23">
        <f>127637871.46</f>
        <v>127637871.45999999</v>
      </c>
      <c r="I11" s="24">
        <f>4347085.79</f>
        <v>4347085.79</v>
      </c>
      <c r="J11" s="35">
        <f t="shared" si="0"/>
        <v>8.6256517146349463</v>
      </c>
      <c r="K11" s="35">
        <f t="shared" si="1"/>
        <v>54.073602955115831</v>
      </c>
      <c r="L11" s="35">
        <f t="shared" si="2"/>
        <v>17.520624443631259</v>
      </c>
    </row>
    <row r="12" spans="2:13" ht="12.95" customHeight="1" outlineLevel="1" x14ac:dyDescent="0.2">
      <c r="B12" s="31" t="s">
        <v>22</v>
      </c>
      <c r="C12" s="23">
        <f>506382492.51</f>
        <v>506382492.50999999</v>
      </c>
      <c r="D12" s="23">
        <f>281311214</f>
        <v>281311214</v>
      </c>
      <c r="E12" s="23">
        <f>3011921.56</f>
        <v>3011921.56</v>
      </c>
      <c r="F12" s="23">
        <f>493773.5</f>
        <v>493773.5</v>
      </c>
      <c r="G12" s="23">
        <f>73728.18</f>
        <v>73728.179999999993</v>
      </c>
      <c r="H12" s="23">
        <f>20101.07</f>
        <v>20101.07</v>
      </c>
      <c r="I12" s="24">
        <f>0</f>
        <v>0</v>
      </c>
      <c r="J12" s="35">
        <f t="shared" si="0"/>
        <v>0.13052029865741258</v>
      </c>
      <c r="K12" s="35">
        <f t="shared" si="1"/>
        <v>55.55310820593678</v>
      </c>
      <c r="L12" s="35">
        <f t="shared" si="2"/>
        <v>0.26511586726451741</v>
      </c>
    </row>
    <row r="13" spans="2:13" ht="12.95" customHeight="1" outlineLevel="1" x14ac:dyDescent="0.2">
      <c r="B13" s="31" t="s">
        <v>23</v>
      </c>
      <c r="C13" s="23">
        <f>1519178504.23</f>
        <v>1519178504.23</v>
      </c>
      <c r="D13" s="23">
        <f>799239590.99</f>
        <v>799239590.99000001</v>
      </c>
      <c r="E13" s="23">
        <f>1010392644.19</f>
        <v>1010392644.1900001</v>
      </c>
      <c r="F13" s="23">
        <f>4357093.78</f>
        <v>4357093.78</v>
      </c>
      <c r="G13" s="23">
        <f>1867442.84</f>
        <v>1867442.84</v>
      </c>
      <c r="H13" s="23">
        <f>6053417.43</f>
        <v>6053417.4299999997</v>
      </c>
      <c r="I13" s="24">
        <f>4549</f>
        <v>4549</v>
      </c>
      <c r="J13" s="35">
        <f t="shared" si="0"/>
        <v>0.37082414394913915</v>
      </c>
      <c r="K13" s="35">
        <f t="shared" si="1"/>
        <v>52.609985512867489</v>
      </c>
      <c r="L13" s="35">
        <f t="shared" si="2"/>
        <v>0.75322662863149148</v>
      </c>
    </row>
    <row r="14" spans="2:13" ht="33" customHeight="1" outlineLevel="1" x14ac:dyDescent="0.2">
      <c r="B14" s="31" t="s">
        <v>43</v>
      </c>
      <c r="C14" s="23">
        <f>180790301.74</f>
        <v>180790301.74000001</v>
      </c>
      <c r="D14" s="23">
        <f>85578463.52</f>
        <v>85578463.519999996</v>
      </c>
      <c r="E14" s="23">
        <f>0</f>
        <v>0</v>
      </c>
      <c r="F14" s="23">
        <f>0</f>
        <v>0</v>
      </c>
      <c r="G14" s="23">
        <f>37469.63</f>
        <v>37469.629999999997</v>
      </c>
      <c r="H14" s="23">
        <f>144003.83</f>
        <v>144003.82999999999</v>
      </c>
      <c r="I14" s="24">
        <f>0</f>
        <v>0</v>
      </c>
      <c r="J14" s="35">
        <f t="shared" si="0"/>
        <v>3.9705941538729021E-2</v>
      </c>
      <c r="K14" s="35">
        <f t="shared" si="1"/>
        <v>47.335760102371516</v>
      </c>
      <c r="L14" s="35">
        <f t="shared" si="2"/>
        <v>8.0651632235569759E-2</v>
      </c>
    </row>
    <row r="15" spans="2:13" ht="12.95" customHeight="1" outlineLevel="1" x14ac:dyDescent="0.2">
      <c r="B15" s="31" t="s">
        <v>28</v>
      </c>
      <c r="C15" s="23">
        <f>494923484.15</f>
        <v>494923484.14999998</v>
      </c>
      <c r="D15" s="23">
        <f>292073358.95</f>
        <v>292073358.94999999</v>
      </c>
      <c r="E15" s="23">
        <f>0</f>
        <v>0</v>
      </c>
      <c r="F15" s="23">
        <f>0</f>
        <v>0</v>
      </c>
      <c r="G15" s="23">
        <f>3336181.99</f>
        <v>3336181.99</v>
      </c>
      <c r="H15" s="23">
        <f>11670091.11</f>
        <v>11670091.109999999</v>
      </c>
      <c r="I15" s="24">
        <f>0</f>
        <v>0</v>
      </c>
      <c r="J15" s="35">
        <f t="shared" si="0"/>
        <v>0.13551362385442506</v>
      </c>
      <c r="K15" s="35">
        <f t="shared" si="1"/>
        <v>59.013841190344337</v>
      </c>
      <c r="L15" s="35">
        <f t="shared" si="2"/>
        <v>0.27525842557733921</v>
      </c>
    </row>
    <row r="16" spans="2:13" ht="23.1" customHeight="1" outlineLevel="1" x14ac:dyDescent="0.2">
      <c r="B16" s="31" t="s">
        <v>29</v>
      </c>
      <c r="C16" s="23">
        <f>3500110934.83</f>
        <v>3500110934.8299999</v>
      </c>
      <c r="D16" s="23">
        <f>1968692899.94</f>
        <v>1968692899.9400001</v>
      </c>
      <c r="E16" s="23">
        <f>0</f>
        <v>0</v>
      </c>
      <c r="F16" s="23">
        <f>0</f>
        <v>0</v>
      </c>
      <c r="G16" s="23">
        <f>81331</f>
        <v>81331</v>
      </c>
      <c r="H16" s="23">
        <f>482933.59</f>
        <v>482933.59</v>
      </c>
      <c r="I16" s="24">
        <f>0</f>
        <v>0</v>
      </c>
      <c r="J16" s="35">
        <f t="shared" si="0"/>
        <v>0.91341678709223617</v>
      </c>
      <c r="K16" s="35">
        <f t="shared" si="1"/>
        <v>56.246585796733306</v>
      </c>
      <c r="L16" s="35">
        <f t="shared" si="2"/>
        <v>1.8553534291209979</v>
      </c>
    </row>
    <row r="17" spans="2:12" ht="12.95" customHeight="1" outlineLevel="1" x14ac:dyDescent="0.2">
      <c r="B17" s="31" t="s">
        <v>30</v>
      </c>
      <c r="C17" s="23">
        <f>609853341.57</f>
        <v>609853341.57000005</v>
      </c>
      <c r="D17" s="23">
        <f>342803134.06</f>
        <v>342803134.06</v>
      </c>
      <c r="E17" s="23">
        <f>0</f>
        <v>0</v>
      </c>
      <c r="F17" s="23">
        <f>0</f>
        <v>0</v>
      </c>
      <c r="G17" s="23">
        <f>5391</f>
        <v>5391</v>
      </c>
      <c r="H17" s="23">
        <f>9133</f>
        <v>9133</v>
      </c>
      <c r="I17" s="24">
        <f>0</f>
        <v>0</v>
      </c>
      <c r="J17" s="35">
        <f t="shared" si="0"/>
        <v>0.15905077796937112</v>
      </c>
      <c r="K17" s="35">
        <f t="shared" si="1"/>
        <v>56.210749485686378</v>
      </c>
      <c r="L17" s="35">
        <f t="shared" si="2"/>
        <v>0.32306764062136367</v>
      </c>
    </row>
    <row r="18" spans="2:12" ht="12.95" customHeight="1" outlineLevel="1" x14ac:dyDescent="0.2">
      <c r="B18" s="31" t="s">
        <v>31</v>
      </c>
      <c r="C18" s="23">
        <f>467659616.42</f>
        <v>467659616.42000002</v>
      </c>
      <c r="D18" s="23">
        <f>228424243.83</f>
        <v>228424243.83000001</v>
      </c>
      <c r="E18" s="23">
        <f>0</f>
        <v>0</v>
      </c>
      <c r="F18" s="23">
        <f>0</f>
        <v>0</v>
      </c>
      <c r="G18" s="23">
        <f>0</f>
        <v>0</v>
      </c>
      <c r="H18" s="23">
        <f>210505.35</f>
        <v>210505.35</v>
      </c>
      <c r="I18" s="24">
        <f>0</f>
        <v>0</v>
      </c>
      <c r="J18" s="35">
        <f t="shared" si="0"/>
        <v>0.10598226818389556</v>
      </c>
      <c r="K18" s="35">
        <f t="shared" si="1"/>
        <v>48.844124189858348</v>
      </c>
      <c r="L18" s="35">
        <f t="shared" si="2"/>
        <v>0.21527364887498596</v>
      </c>
    </row>
    <row r="19" spans="2:12" ht="12.95" customHeight="1" outlineLevel="1" x14ac:dyDescent="0.2">
      <c r="B19" s="31" t="s">
        <v>32</v>
      </c>
      <c r="C19" s="23">
        <f>132025821.84</f>
        <v>132025821.84</v>
      </c>
      <c r="D19" s="23">
        <f>53216663.57</f>
        <v>53216663.57</v>
      </c>
      <c r="E19" s="23">
        <f>588087.01</f>
        <v>588087.01</v>
      </c>
      <c r="F19" s="23">
        <f>0</f>
        <v>0</v>
      </c>
      <c r="G19" s="23">
        <f>0</f>
        <v>0</v>
      </c>
      <c r="H19" s="23">
        <f>72679.05</f>
        <v>72679.05</v>
      </c>
      <c r="I19" s="24">
        <f>0</f>
        <v>0</v>
      </c>
      <c r="J19" s="35">
        <f t="shared" si="0"/>
        <v>2.4690998712576913E-2</v>
      </c>
      <c r="K19" s="35">
        <f t="shared" si="1"/>
        <v>40.307769213883347</v>
      </c>
      <c r="L19" s="35">
        <f t="shared" si="2"/>
        <v>5.0152931035605988E-2</v>
      </c>
    </row>
    <row r="20" spans="2:12" ht="12.95" customHeight="1" outlineLevel="1" x14ac:dyDescent="0.2">
      <c r="B20" s="31" t="s">
        <v>24</v>
      </c>
      <c r="C20" s="23">
        <f>12349760007.68</f>
        <v>12349760007.68</v>
      </c>
      <c r="D20" s="23">
        <f>5176599081.9</f>
        <v>5176599081.8999996</v>
      </c>
      <c r="E20" s="23">
        <f>0</f>
        <v>0</v>
      </c>
      <c r="F20" s="23">
        <f>0</f>
        <v>0</v>
      </c>
      <c r="G20" s="23">
        <f>0</f>
        <v>0</v>
      </c>
      <c r="H20" s="23">
        <f>10698.22</f>
        <v>10698.22</v>
      </c>
      <c r="I20" s="24">
        <f>0</f>
        <v>0</v>
      </c>
      <c r="J20" s="35">
        <f t="shared" si="0"/>
        <v>2.4017928350317228</v>
      </c>
      <c r="K20" s="35">
        <f t="shared" si="1"/>
        <v>41.916596587146671</v>
      </c>
      <c r="L20" s="35">
        <f t="shared" si="2"/>
        <v>4.8785774856405935</v>
      </c>
    </row>
    <row r="21" spans="2:12" ht="12.95" customHeight="1" outlineLevel="1" x14ac:dyDescent="0.2">
      <c r="B21" s="31" t="s">
        <v>25</v>
      </c>
      <c r="C21" s="23">
        <f>C7-C8-C9-C10-C11-C12-C13-C14-C15-C16-C17-C18-C19-C20</f>
        <v>53298621766.090042</v>
      </c>
      <c r="D21" s="23">
        <f t="shared" ref="D21:I21" si="3">D7-D8-D9-D10-D11-D12-D13-D14-D15-D16-D17-D18-D19-D20</f>
        <v>27546090286.960037</v>
      </c>
      <c r="E21" s="23">
        <f t="shared" si="3"/>
        <v>11381992.970000258</v>
      </c>
      <c r="F21" s="23">
        <f t="shared" si="3"/>
        <v>91919.500000030734</v>
      </c>
      <c r="G21" s="23">
        <f t="shared" si="3"/>
        <v>9334861.6400000006</v>
      </c>
      <c r="H21" s="23">
        <f t="shared" si="3"/>
        <v>14492390.899999999</v>
      </c>
      <c r="I21" s="24">
        <f t="shared" si="3"/>
        <v>307056.66000000015</v>
      </c>
      <c r="J21" s="35">
        <f t="shared" si="0"/>
        <v>12.780592284167087</v>
      </c>
      <c r="K21" s="35">
        <f t="shared" si="1"/>
        <v>51.682556460560434</v>
      </c>
      <c r="L21" s="35">
        <f t="shared" si="2"/>
        <v>25.960236395603161</v>
      </c>
    </row>
    <row r="22" spans="2:12" ht="27.95" customHeight="1" x14ac:dyDescent="0.2">
      <c r="B22" s="77" t="s">
        <v>103</v>
      </c>
      <c r="C22" s="58">
        <f>C23+C42+C44</f>
        <v>104412712137.09</v>
      </c>
      <c r="D22" s="58">
        <f>D23+D42+D44</f>
        <v>40891754545.610001</v>
      </c>
      <c r="E22" s="60" t="s">
        <v>58</v>
      </c>
      <c r="F22" s="60" t="s">
        <v>58</v>
      </c>
      <c r="G22" s="60" t="s">
        <v>58</v>
      </c>
      <c r="H22" s="60" t="s">
        <v>58</v>
      </c>
      <c r="I22" s="60" t="s">
        <v>58</v>
      </c>
      <c r="J22" s="59">
        <f t="shared" si="0"/>
        <v>18.972596008627747</v>
      </c>
      <c r="K22" s="59">
        <f t="shared" si="1"/>
        <v>39.163578561124481</v>
      </c>
      <c r="L22" s="61"/>
    </row>
    <row r="23" spans="2:12" ht="27.95" customHeight="1" outlineLevel="1" x14ac:dyDescent="0.2">
      <c r="B23" s="82" t="s">
        <v>60</v>
      </c>
      <c r="C23" s="58">
        <f>C24+C26+C28+C30+C32+C34+C36+C38+C40</f>
        <v>88600235853.409988</v>
      </c>
      <c r="D23" s="58">
        <f>D24+D26+D28+D30+D32+D34+D36+D38+D40</f>
        <v>35653693837.050003</v>
      </c>
      <c r="E23" s="60" t="s">
        <v>58</v>
      </c>
      <c r="F23" s="60" t="s">
        <v>58</v>
      </c>
      <c r="G23" s="60" t="s">
        <v>58</v>
      </c>
      <c r="H23" s="60" t="s">
        <v>58</v>
      </c>
      <c r="I23" s="60" t="s">
        <v>58</v>
      </c>
      <c r="J23" s="59">
        <f t="shared" si="0"/>
        <v>16.542286749548907</v>
      </c>
      <c r="K23" s="59">
        <f t="shared" si="1"/>
        <v>40.241082310479861</v>
      </c>
      <c r="L23" s="61"/>
    </row>
    <row r="24" spans="2:12" ht="24.95" customHeight="1" outlineLevel="1" x14ac:dyDescent="0.2">
      <c r="B24" s="81" t="s">
        <v>9</v>
      </c>
      <c r="C24" s="24">
        <f>27039955345.96</f>
        <v>27039955345.959999</v>
      </c>
      <c r="D24" s="24">
        <f>17607942081.73</f>
        <v>17607942081.73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8.169577837198565</v>
      </c>
      <c r="K24" s="35">
        <f t="shared" si="1"/>
        <v>65.118236537179698</v>
      </c>
      <c r="L24" s="30"/>
    </row>
    <row r="25" spans="2:12" ht="12.95" customHeight="1" outlineLevel="1" x14ac:dyDescent="0.2">
      <c r="B25" s="83" t="s">
        <v>6</v>
      </c>
      <c r="C25" s="24">
        <f>277906464.37</f>
        <v>277906464.37</v>
      </c>
      <c r="D25" s="24">
        <f>53066677.69</f>
        <v>53066677.689999998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2.4621409585383443E-2</v>
      </c>
      <c r="K25" s="35">
        <f t="shared" si="1"/>
        <v>19.095157721609496</v>
      </c>
      <c r="L25" s="30"/>
    </row>
    <row r="26" spans="2:12" ht="12.95" customHeight="1" outlineLevel="1" x14ac:dyDescent="0.2">
      <c r="B26" s="81" t="s">
        <v>7</v>
      </c>
      <c r="C26" s="24">
        <f>9638108374.98</f>
        <v>9638108374.9799995</v>
      </c>
      <c r="D26" s="24">
        <f>4346230975.16</f>
        <v>4346230975.1599998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2.0165259565940401</v>
      </c>
      <c r="K26" s="35">
        <f t="shared" si="1"/>
        <v>45.094232250413135</v>
      </c>
      <c r="L26" s="30"/>
    </row>
    <row r="27" spans="2:12" ht="12.95" customHeight="1" outlineLevel="1" x14ac:dyDescent="0.2">
      <c r="B27" s="83" t="s">
        <v>6</v>
      </c>
      <c r="C27" s="24">
        <f>1455339494.65</f>
        <v>1455339494.6500001</v>
      </c>
      <c r="D27" s="24">
        <f>152615013.45</f>
        <v>152615013.44999999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7.0808969368348879E-2</v>
      </c>
      <c r="K27" s="35">
        <f t="shared" si="1"/>
        <v>10.486557535958504</v>
      </c>
      <c r="L27" s="30"/>
    </row>
    <row r="28" spans="2:12" ht="33" customHeight="1" outlineLevel="1" x14ac:dyDescent="0.2">
      <c r="B28" s="81" t="s">
        <v>10</v>
      </c>
      <c r="C28" s="24">
        <f>348350911.81</f>
        <v>348350911.81</v>
      </c>
      <c r="D28" s="24">
        <f>195167917.21</f>
        <v>195167917.21000001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9.0552290754375597E-2</v>
      </c>
      <c r="K28" s="35">
        <f t="shared" si="1"/>
        <v>56.02623980397383</v>
      </c>
      <c r="L28" s="30"/>
    </row>
    <row r="29" spans="2:12" ht="12.95" customHeight="1" outlineLevel="1" x14ac:dyDescent="0.2">
      <c r="B29" s="83" t="s">
        <v>6</v>
      </c>
      <c r="C29" s="24">
        <f>61244446.75</f>
        <v>61244446.75</v>
      </c>
      <c r="D29" s="24">
        <f>4449724.9</f>
        <v>4449724.9000000004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2.0645441560368277E-3</v>
      </c>
      <c r="K29" s="35">
        <f t="shared" si="1"/>
        <v>7.2655157097978043</v>
      </c>
      <c r="L29" s="30"/>
    </row>
    <row r="30" spans="2:12" ht="27.95" customHeight="1" outlineLevel="1" x14ac:dyDescent="0.2">
      <c r="B30" s="81" t="s">
        <v>11</v>
      </c>
      <c r="C30" s="24">
        <f>2165526886.49</f>
        <v>2165526886.4899998</v>
      </c>
      <c r="D30" s="24">
        <f>960896276.65</f>
        <v>960896276.64999998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0.44582818873034241</v>
      </c>
      <c r="K30" s="35">
        <f t="shared" si="1"/>
        <v>44.372401129938005</v>
      </c>
      <c r="L30" s="30"/>
    </row>
    <row r="31" spans="2:12" ht="12.95" customHeight="1" outlineLevel="1" x14ac:dyDescent="0.2">
      <c r="B31" s="83" t="s">
        <v>6</v>
      </c>
      <c r="C31" s="24">
        <f>432574308.59</f>
        <v>432574308.58999997</v>
      </c>
      <c r="D31" s="24">
        <f>88900034.65</f>
        <v>88900034.650000006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4.1247054847846652E-2</v>
      </c>
      <c r="K31" s="35">
        <f t="shared" si="1"/>
        <v>20.551390335633805</v>
      </c>
      <c r="L31" s="30"/>
    </row>
    <row r="32" spans="2:12" ht="33.75" outlineLevel="1" x14ac:dyDescent="0.2">
      <c r="B32" s="81" t="s">
        <v>79</v>
      </c>
      <c r="C32" s="24">
        <f>2791363172.2</f>
        <v>2791363172.1999998</v>
      </c>
      <c r="D32" s="24">
        <f>1060382278.16</f>
        <v>1060382278.16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0.49198682721717146</v>
      </c>
      <c r="K32" s="35">
        <f t="shared" si="1"/>
        <v>37.987972640774821</v>
      </c>
      <c r="L32" s="30"/>
    </row>
    <row r="33" spans="2:12" ht="12.95" customHeight="1" outlineLevel="1" x14ac:dyDescent="0.2">
      <c r="B33" s="83" t="s">
        <v>6</v>
      </c>
      <c r="C33" s="24">
        <f>2258021998.08</f>
        <v>2258021998.0799999</v>
      </c>
      <c r="D33" s="24">
        <f>741755245.78</f>
        <v>741755245.77999997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0.34415306390845862</v>
      </c>
      <c r="K33" s="35">
        <f t="shared" si="1"/>
        <v>32.849779426892908</v>
      </c>
      <c r="L33" s="30"/>
    </row>
    <row r="34" spans="2:12" ht="12.95" customHeight="1" outlineLevel="1" x14ac:dyDescent="0.2">
      <c r="B34" s="81" t="s">
        <v>8</v>
      </c>
      <c r="C34" s="24">
        <f>1000952479.34</f>
        <v>1000952479.34</v>
      </c>
      <c r="D34" s="24">
        <f>191609190.55</f>
        <v>191609190.55000001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8.8901144111841482E-2</v>
      </c>
      <c r="K34" s="35">
        <f t="shared" si="1"/>
        <v>19.142686042032857</v>
      </c>
      <c r="L34" s="30"/>
    </row>
    <row r="35" spans="2:12" ht="12.95" customHeight="1" outlineLevel="1" x14ac:dyDescent="0.2">
      <c r="B35" s="83" t="s">
        <v>6</v>
      </c>
      <c r="C35" s="24">
        <f>883395583.85</f>
        <v>883395583.85000002</v>
      </c>
      <c r="D35" s="24">
        <f>124115705.58</f>
        <v>124115705.58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5.758611158806165E-2</v>
      </c>
      <c r="K35" s="35">
        <f t="shared" si="1"/>
        <v>14.049844469346448</v>
      </c>
      <c r="L35" s="30"/>
    </row>
    <row r="36" spans="2:12" ht="67.5" outlineLevel="1" x14ac:dyDescent="0.2">
      <c r="B36" s="81" t="s">
        <v>96</v>
      </c>
      <c r="C36" s="24">
        <f>13182225.73</f>
        <v>13182225.73</v>
      </c>
      <c r="D36" s="24">
        <f>703270</f>
        <v>703270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3.2629701863502161E-4</v>
      </c>
      <c r="K36" s="35">
        <f t="shared" si="1"/>
        <v>5.3349867799601087</v>
      </c>
      <c r="L36" s="30"/>
    </row>
    <row r="37" spans="2:12" ht="12.95" customHeight="1" outlineLevel="1" x14ac:dyDescent="0.2">
      <c r="B37" s="83" t="s">
        <v>94</v>
      </c>
      <c r="C37" s="24">
        <f>10286935.73</f>
        <v>10286935.73</v>
      </c>
      <c r="D37" s="24">
        <f>256080</f>
        <v>256080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1.1881374227829473E-4</v>
      </c>
      <c r="K37" s="35">
        <f t="shared" si="1"/>
        <v>2.4893710500512674</v>
      </c>
      <c r="L37" s="30"/>
    </row>
    <row r="38" spans="2:12" ht="45" outlineLevel="1" x14ac:dyDescent="0.2">
      <c r="B38" s="84" t="s">
        <v>93</v>
      </c>
      <c r="C38" s="24">
        <f>43124677452.22</f>
        <v>43124677452.220001</v>
      </c>
      <c r="D38" s="24">
        <f>9010413994.86</f>
        <v>9010413994.8600006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4.1805725015855826</v>
      </c>
      <c r="K38" s="35">
        <f t="shared" si="1"/>
        <v>20.89386988422833</v>
      </c>
      <c r="L38" s="30"/>
    </row>
    <row r="39" spans="2:12" ht="12.95" customHeight="1" outlineLevel="1" x14ac:dyDescent="0.2">
      <c r="B39" s="85" t="s">
        <v>6</v>
      </c>
      <c r="C39" s="24">
        <f>42871703836.41</f>
        <v>42871703836.410004</v>
      </c>
      <c r="D39" s="24">
        <f>8850511889.57</f>
        <v>8850511889.5699997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4.1063825315462088</v>
      </c>
      <c r="K39" s="35">
        <f t="shared" si="1"/>
        <v>20.644180421057708</v>
      </c>
      <c r="L39" s="30"/>
    </row>
    <row r="40" spans="2:12" ht="22.5" outlineLevel="1" x14ac:dyDescent="0.2">
      <c r="B40" s="84" t="s">
        <v>105</v>
      </c>
      <c r="C40" s="24">
        <f>2478119004.68</f>
        <v>2478119004.6799998</v>
      </c>
      <c r="D40" s="24">
        <f>2280347852.73</f>
        <v>2280347852.73</v>
      </c>
      <c r="E40" s="24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35">
        <f t="shared" si="0"/>
        <v>1.0580157063383513</v>
      </c>
      <c r="K40" s="35">
        <f t="shared" si="1"/>
        <v>92.019303690561131</v>
      </c>
      <c r="L40" s="30"/>
    </row>
    <row r="41" spans="2:12" ht="12.95" customHeight="1" outlineLevel="1" x14ac:dyDescent="0.2">
      <c r="B41" s="85" t="s">
        <v>6</v>
      </c>
      <c r="C41" s="24">
        <f>2626748.81</f>
        <v>2626748.81</v>
      </c>
      <c r="D41" s="24">
        <f>2430749.84</f>
        <v>2430749.84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1.1277978953169563E-3</v>
      </c>
      <c r="K41" s="35">
        <f t="shared" si="1"/>
        <v>92.538343626393413</v>
      </c>
      <c r="L41" s="30"/>
    </row>
    <row r="42" spans="2:12" ht="14.1" customHeight="1" outlineLevel="1" x14ac:dyDescent="0.2">
      <c r="B42" s="82" t="s">
        <v>71</v>
      </c>
      <c r="C42" s="58">
        <f>2185361422.57</f>
        <v>2185361422.5700002</v>
      </c>
      <c r="D42" s="58">
        <f>651338817.64</f>
        <v>651338817.63999999</v>
      </c>
      <c r="E42" s="60" t="s">
        <v>58</v>
      </c>
      <c r="F42" s="60" t="s">
        <v>58</v>
      </c>
      <c r="G42" s="60" t="s">
        <v>58</v>
      </c>
      <c r="H42" s="60" t="s">
        <v>58</v>
      </c>
      <c r="I42" s="60" t="s">
        <v>58</v>
      </c>
      <c r="J42" s="59">
        <f t="shared" si="0"/>
        <v>0.30220244616888536</v>
      </c>
      <c r="K42" s="59">
        <f t="shared" si="1"/>
        <v>29.80462686460444</v>
      </c>
      <c r="L42" s="30"/>
    </row>
    <row r="43" spans="2:12" ht="12.95" customHeight="1" outlineLevel="1" x14ac:dyDescent="0.2">
      <c r="B43" s="88" t="s">
        <v>72</v>
      </c>
      <c r="C43" s="23">
        <f>1209621010.19</f>
        <v>1209621010.1900001</v>
      </c>
      <c r="D43" s="23">
        <f>346861722.33</f>
        <v>346861722.32999998</v>
      </c>
      <c r="E43" s="23" t="s">
        <v>58</v>
      </c>
      <c r="F43" s="23" t="s">
        <v>58</v>
      </c>
      <c r="G43" s="23" t="s">
        <v>58</v>
      </c>
      <c r="H43" s="23" t="s">
        <v>58</v>
      </c>
      <c r="I43" s="23" t="s">
        <v>58</v>
      </c>
      <c r="J43" s="35">
        <f t="shared" si="0"/>
        <v>0.16093384599782118</v>
      </c>
      <c r="K43" s="35">
        <f t="shared" si="1"/>
        <v>28.675239550900081</v>
      </c>
      <c r="L43" s="30"/>
    </row>
    <row r="44" spans="2:12" ht="14.1" customHeight="1" outlineLevel="1" x14ac:dyDescent="0.2">
      <c r="B44" s="82" t="s">
        <v>84</v>
      </c>
      <c r="C44" s="58">
        <f>13627114861.11</f>
        <v>13627114861.110001</v>
      </c>
      <c r="D44" s="58">
        <f>4586721890.92</f>
        <v>4586721890.9200001</v>
      </c>
      <c r="E44" s="60" t="s">
        <v>58</v>
      </c>
      <c r="F44" s="60" t="s">
        <v>58</v>
      </c>
      <c r="G44" s="60" t="s">
        <v>58</v>
      </c>
      <c r="H44" s="60" t="s">
        <v>58</v>
      </c>
      <c r="I44" s="60" t="s">
        <v>58</v>
      </c>
      <c r="J44" s="59">
        <f t="shared" si="0"/>
        <v>2.1281068129099561</v>
      </c>
      <c r="K44" s="59">
        <f t="shared" si="1"/>
        <v>33.658789389160454</v>
      </c>
      <c r="L44" s="30"/>
    </row>
    <row r="45" spans="2:12" ht="12.95" customHeight="1" outlineLevel="1" x14ac:dyDescent="0.2">
      <c r="B45" s="88" t="s">
        <v>85</v>
      </c>
      <c r="C45" s="23">
        <f>10289899643.73</f>
        <v>10289899643.73</v>
      </c>
      <c r="D45" s="23">
        <f>3265578947.32</f>
        <v>3265578947.3200002</v>
      </c>
      <c r="E45" s="23" t="s">
        <v>58</v>
      </c>
      <c r="F45" s="23" t="s">
        <v>58</v>
      </c>
      <c r="G45" s="23" t="s">
        <v>58</v>
      </c>
      <c r="H45" s="23" t="s">
        <v>58</v>
      </c>
      <c r="I45" s="23" t="s">
        <v>58</v>
      </c>
      <c r="J45" s="35">
        <f t="shared" si="0"/>
        <v>1.5151345495013413</v>
      </c>
      <c r="K45" s="35">
        <f t="shared" si="1"/>
        <v>31.735770613757474</v>
      </c>
      <c r="L45" s="30"/>
    </row>
    <row r="46" spans="2:12" ht="27.95" customHeight="1" x14ac:dyDescent="0.2">
      <c r="B46" s="77" t="s">
        <v>61</v>
      </c>
      <c r="C46" s="58">
        <f>C47+C48+C49+C50+C51+C52+C53</f>
        <v>116504608130.7</v>
      </c>
      <c r="D46" s="58">
        <f>D47+D48+D49+D50+D51+D52+D53</f>
        <v>68530088719</v>
      </c>
      <c r="E46" s="60" t="s">
        <v>58</v>
      </c>
      <c r="F46" s="60" t="s">
        <v>58</v>
      </c>
      <c r="G46" s="60" t="s">
        <v>58</v>
      </c>
      <c r="H46" s="60" t="s">
        <v>58</v>
      </c>
      <c r="I46" s="60" t="s">
        <v>58</v>
      </c>
      <c r="J46" s="59">
        <f t="shared" si="0"/>
        <v>31.795986798531469</v>
      </c>
      <c r="K46" s="59">
        <f t="shared" si="1"/>
        <v>58.821783806285097</v>
      </c>
      <c r="L46" s="30"/>
    </row>
    <row r="47" spans="2:12" ht="15" customHeight="1" outlineLevel="1" x14ac:dyDescent="0.2">
      <c r="B47" s="31" t="s">
        <v>47</v>
      </c>
      <c r="C47" s="23">
        <f>20993511378</f>
        <v>20993511378</v>
      </c>
      <c r="D47" s="23">
        <f>10498951866</f>
        <v>10498951866</v>
      </c>
      <c r="E47" s="23" t="s">
        <v>58</v>
      </c>
      <c r="F47" s="23" t="s">
        <v>58</v>
      </c>
      <c r="G47" s="23" t="s">
        <v>58</v>
      </c>
      <c r="H47" s="23" t="s">
        <v>58</v>
      </c>
      <c r="I47" s="23" t="s">
        <v>58</v>
      </c>
      <c r="J47" s="35">
        <f t="shared" si="0"/>
        <v>4.8712111886876972</v>
      </c>
      <c r="K47" s="35">
        <f t="shared" si="1"/>
        <v>50.010461218042359</v>
      </c>
      <c r="L47" s="30"/>
    </row>
    <row r="48" spans="2:12" ht="15" customHeight="1" outlineLevel="1" x14ac:dyDescent="0.2">
      <c r="B48" s="31" t="s">
        <v>46</v>
      </c>
      <c r="C48" s="23">
        <f>87392516351.87</f>
        <v>87392516351.869995</v>
      </c>
      <c r="D48" s="23">
        <f>53872587520</f>
        <v>53872587520</v>
      </c>
      <c r="E48" s="23" t="s">
        <v>58</v>
      </c>
      <c r="F48" s="23" t="s">
        <v>58</v>
      </c>
      <c r="G48" s="23" t="s">
        <v>58</v>
      </c>
      <c r="H48" s="23" t="s">
        <v>58</v>
      </c>
      <c r="I48" s="23" t="s">
        <v>58</v>
      </c>
      <c r="J48" s="35">
        <f t="shared" si="0"/>
        <v>24.995328528062156</v>
      </c>
      <c r="K48" s="35">
        <f t="shared" si="1"/>
        <v>61.644394473197075</v>
      </c>
      <c r="L48" s="30"/>
    </row>
    <row r="49" spans="1:26" ht="15" customHeight="1" outlineLevel="1" x14ac:dyDescent="0.2">
      <c r="B49" s="31" t="s">
        <v>45</v>
      </c>
      <c r="C49" s="23">
        <f>3471215</f>
        <v>3471215</v>
      </c>
      <c r="D49" s="23">
        <f>0</f>
        <v>0</v>
      </c>
      <c r="E49" s="23" t="s">
        <v>58</v>
      </c>
      <c r="F49" s="23" t="s">
        <v>58</v>
      </c>
      <c r="G49" s="23" t="s">
        <v>58</v>
      </c>
      <c r="H49" s="23" t="s">
        <v>58</v>
      </c>
      <c r="I49" s="23" t="s">
        <v>58</v>
      </c>
      <c r="J49" s="35">
        <f t="shared" si="0"/>
        <v>0</v>
      </c>
      <c r="K49" s="35">
        <f t="shared" si="1"/>
        <v>0</v>
      </c>
      <c r="L49" s="30"/>
    </row>
    <row r="50" spans="1:26" ht="15" customHeight="1" outlineLevel="1" x14ac:dyDescent="0.2">
      <c r="B50" s="31" t="s">
        <v>44</v>
      </c>
      <c r="C50" s="23">
        <f>3106019067</f>
        <v>3106019067</v>
      </c>
      <c r="D50" s="23">
        <f>1552246026</f>
        <v>1552246026</v>
      </c>
      <c r="E50" s="23" t="s">
        <v>58</v>
      </c>
      <c r="F50" s="23" t="s">
        <v>58</v>
      </c>
      <c r="G50" s="23" t="s">
        <v>58</v>
      </c>
      <c r="H50" s="23" t="s">
        <v>58</v>
      </c>
      <c r="I50" s="23" t="s">
        <v>58</v>
      </c>
      <c r="J50" s="35">
        <f t="shared" si="0"/>
        <v>0.72019743551105586</v>
      </c>
      <c r="K50" s="35">
        <f t="shared" si="1"/>
        <v>49.975418454184265</v>
      </c>
      <c r="L50" s="30"/>
    </row>
    <row r="51" spans="1:26" ht="15" customHeight="1" outlineLevel="1" x14ac:dyDescent="0.2">
      <c r="B51" s="31" t="s">
        <v>57</v>
      </c>
      <c r="C51" s="23">
        <f>1257099546</f>
        <v>1257099546</v>
      </c>
      <c r="D51" s="23">
        <f>628549770</f>
        <v>628549770</v>
      </c>
      <c r="E51" s="23" t="s">
        <v>58</v>
      </c>
      <c r="F51" s="23" t="s">
        <v>58</v>
      </c>
      <c r="G51" s="23" t="s">
        <v>58</v>
      </c>
      <c r="H51" s="23" t="s">
        <v>58</v>
      </c>
      <c r="I51" s="23" t="s">
        <v>58</v>
      </c>
      <c r="J51" s="35">
        <f t="shared" si="0"/>
        <v>0.29162898462145198</v>
      </c>
      <c r="K51" s="35">
        <f t="shared" si="1"/>
        <v>49.999999761355411</v>
      </c>
      <c r="L51" s="30"/>
    </row>
    <row r="52" spans="1:26" ht="15" customHeight="1" outlineLevel="1" x14ac:dyDescent="0.2">
      <c r="B52" s="31" t="s">
        <v>115</v>
      </c>
      <c r="C52" s="23">
        <f>3130379693.87</f>
        <v>3130379693.8699999</v>
      </c>
      <c r="D52" s="23">
        <f>1615500588</f>
        <v>1615500588</v>
      </c>
      <c r="E52" s="23" t="s">
        <v>58</v>
      </c>
      <c r="F52" s="23" t="s">
        <v>58</v>
      </c>
      <c r="G52" s="23" t="s">
        <v>58</v>
      </c>
      <c r="H52" s="23" t="s">
        <v>58</v>
      </c>
      <c r="I52" s="23" t="s">
        <v>58</v>
      </c>
      <c r="J52" s="35">
        <f t="shared" si="0"/>
        <v>0.74954572990106838</v>
      </c>
      <c r="K52" s="35">
        <f>IF(C52=0,"",100*D52/C52)</f>
        <v>51.607176955674738</v>
      </c>
      <c r="L52" s="30"/>
    </row>
    <row r="53" spans="1:26" ht="15" customHeight="1" outlineLevel="1" x14ac:dyDescent="0.2">
      <c r="B53" s="31" t="s">
        <v>42</v>
      </c>
      <c r="C53" s="23">
        <f>621610878.96</f>
        <v>621610878.96000004</v>
      </c>
      <c r="D53" s="23">
        <f>362252949</f>
        <v>362252949</v>
      </c>
      <c r="E53" s="23" t="s">
        <v>58</v>
      </c>
      <c r="F53" s="23" t="s">
        <v>58</v>
      </c>
      <c r="G53" s="23" t="s">
        <v>58</v>
      </c>
      <c r="H53" s="23" t="s">
        <v>58</v>
      </c>
      <c r="I53" s="23" t="s">
        <v>58</v>
      </c>
      <c r="J53" s="35">
        <f t="shared" si="0"/>
        <v>0.16807493174804061</v>
      </c>
      <c r="K53" s="35">
        <f>IF(C53=0,"",100*D53/C53)</f>
        <v>58.276481519447564</v>
      </c>
      <c r="L53" s="30"/>
    </row>
    <row r="54" spans="1:26" s="6" customFormat="1" ht="13.5" customHeight="1" x14ac:dyDescent="0.2">
      <c r="A54" s="3"/>
      <c r="B54" s="21"/>
      <c r="C54" s="8"/>
      <c r="D54" s="9"/>
      <c r="E54" s="16"/>
      <c r="F54" s="16"/>
      <c r="G54" s="16"/>
      <c r="H54" s="16"/>
      <c r="I54" s="16"/>
      <c r="J54" s="10"/>
      <c r="K54" s="10"/>
      <c r="L54" s="4"/>
    </row>
    <row r="55" spans="1:26" s="6" customFormat="1" ht="18.75" customHeight="1" x14ac:dyDescent="0.2">
      <c r="A55" s="3"/>
      <c r="B55" s="62" t="s">
        <v>5</v>
      </c>
      <c r="C55" s="63">
        <f t="shared" ref="C55:I55" si="4">+C6</f>
        <v>429361482114.25</v>
      </c>
      <c r="D55" s="63">
        <f t="shared" si="4"/>
        <v>215530623890.45001</v>
      </c>
      <c r="E55" s="63">
        <f t="shared" si="4"/>
        <v>3386355934.0700002</v>
      </c>
      <c r="F55" s="63">
        <f t="shared" si="4"/>
        <v>534691881.79000002</v>
      </c>
      <c r="G55" s="63">
        <f t="shared" si="4"/>
        <v>61008059.380000003</v>
      </c>
      <c r="H55" s="63">
        <f t="shared" si="4"/>
        <v>163256916.22</v>
      </c>
      <c r="I55" s="63">
        <f t="shared" si="4"/>
        <v>4658785.45</v>
      </c>
      <c r="J55" s="64">
        <f>IF($D$55=0,"",100*$D55/$D$55)</f>
        <v>100</v>
      </c>
      <c r="K55" s="64">
        <f>IF(C55=0,"",100*D55/C55)</f>
        <v>50.197941098288567</v>
      </c>
      <c r="L55" s="4"/>
    </row>
    <row r="56" spans="1:26" s="6" customFormat="1" ht="20.100000000000001" customHeight="1" x14ac:dyDescent="0.2">
      <c r="A56" s="3"/>
      <c r="B56" s="55" t="s">
        <v>74</v>
      </c>
      <c r="C56" s="56">
        <f>76480818594.4399</f>
        <v>76480818594.439896</v>
      </c>
      <c r="D56" s="56">
        <f>19322986239.75</f>
        <v>19322986239.75</v>
      </c>
      <c r="E56" s="56">
        <f>0</f>
        <v>0</v>
      </c>
      <c r="F56" s="56">
        <f>0</f>
        <v>0</v>
      </c>
      <c r="G56" s="56">
        <f>0</f>
        <v>0</v>
      </c>
      <c r="H56" s="56">
        <f>0</f>
        <v>0</v>
      </c>
      <c r="I56" s="56">
        <f>0</f>
        <v>0</v>
      </c>
      <c r="J56" s="36">
        <f>IF($D$55=0,"",100*$D56/$D$55)</f>
        <v>8.9653089157165411</v>
      </c>
      <c r="K56" s="36">
        <f>IF(C56=0,"",100*D56/C56)</f>
        <v>25.265140455955798</v>
      </c>
      <c r="L56" s="4"/>
    </row>
    <row r="57" spans="1:26" s="6" customFormat="1" ht="20.100000000000001" customHeight="1" x14ac:dyDescent="0.2">
      <c r="A57" s="3"/>
      <c r="B57" s="55" t="s">
        <v>75</v>
      </c>
      <c r="C57" s="56">
        <f>+C55-C56</f>
        <v>352880663519.81012</v>
      </c>
      <c r="D57" s="56">
        <f t="shared" ref="D57:I57" si="5">+D55-D56</f>
        <v>196207637650.70001</v>
      </c>
      <c r="E57" s="56">
        <f t="shared" si="5"/>
        <v>3386355934.0700002</v>
      </c>
      <c r="F57" s="56">
        <f t="shared" si="5"/>
        <v>534691881.79000002</v>
      </c>
      <c r="G57" s="56">
        <f t="shared" si="5"/>
        <v>61008059.380000003</v>
      </c>
      <c r="H57" s="56">
        <f t="shared" si="5"/>
        <v>163256916.22</v>
      </c>
      <c r="I57" s="56">
        <f t="shared" si="5"/>
        <v>4658785.45</v>
      </c>
      <c r="J57" s="36">
        <f>IF($D$55=0,"",100*$D57/$D$55)</f>
        <v>91.034691084283452</v>
      </c>
      <c r="K57" s="36">
        <f>IF(C57=0,"",100*D57/C57)</f>
        <v>55.601697098850877</v>
      </c>
      <c r="L57" s="4"/>
    </row>
    <row r="58" spans="1:26" s="6" customFormat="1" ht="13.5" customHeight="1" x14ac:dyDescent="0.2">
      <c r="A58" s="3"/>
      <c r="B58" s="92" t="s">
        <v>106</v>
      </c>
      <c r="C58" s="92"/>
      <c r="D58" s="92"/>
      <c r="E58" s="92"/>
      <c r="F58" s="92"/>
      <c r="G58" s="16"/>
      <c r="H58" s="16"/>
      <c r="I58" s="16"/>
      <c r="J58" s="16"/>
      <c r="K58" s="10"/>
      <c r="L58" s="10"/>
      <c r="M58" s="4"/>
    </row>
    <row r="59" spans="1:26" ht="27" customHeight="1" x14ac:dyDescent="0.2">
      <c r="B59" s="87" t="str">
        <f>CONCATENATE("Informacja z wykonania budżetów jednostek samorządu terytorialnego za ",$D$118," ",$C$119," roku")</f>
        <v>Informacja z wykonania budżetów jednostek samorządu terytorialnego za II Kwartały 2024 roku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spans="1:26" s="6" customFormat="1" ht="9.75" customHeight="1" x14ac:dyDescent="0.2">
      <c r="B60" s="7"/>
      <c r="C60" s="8"/>
      <c r="D60" s="9"/>
      <c r="E60" s="9"/>
      <c r="F60" s="5"/>
      <c r="G60" s="5"/>
      <c r="H60" s="5"/>
      <c r="I60" s="5"/>
      <c r="J60" s="5"/>
      <c r="K60" s="10"/>
      <c r="L60" s="10"/>
      <c r="M60" s="4"/>
    </row>
    <row r="61" spans="1:26" ht="29.25" customHeight="1" x14ac:dyDescent="0.2">
      <c r="B61" s="106" t="s">
        <v>0</v>
      </c>
      <c r="C61" s="94" t="s">
        <v>53</v>
      </c>
      <c r="D61" s="94" t="s">
        <v>55</v>
      </c>
      <c r="E61" s="94" t="s">
        <v>54</v>
      </c>
      <c r="F61" s="94" t="s">
        <v>12</v>
      </c>
      <c r="G61" s="94"/>
      <c r="H61" s="94"/>
      <c r="I61" s="120" t="s">
        <v>86</v>
      </c>
      <c r="J61" s="120" t="s">
        <v>2</v>
      </c>
      <c r="K61" s="117" t="s">
        <v>18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customHeight="1" x14ac:dyDescent="0.2">
      <c r="B62" s="106"/>
      <c r="C62" s="94"/>
      <c r="D62" s="94"/>
      <c r="E62" s="94"/>
      <c r="F62" s="111" t="s">
        <v>56</v>
      </c>
      <c r="G62" s="95" t="s">
        <v>33</v>
      </c>
      <c r="H62" s="96"/>
      <c r="I62" s="121"/>
      <c r="J62" s="121"/>
      <c r="K62" s="118"/>
      <c r="L62" s="12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66.75" customHeight="1" x14ac:dyDescent="0.2">
      <c r="B63" s="106"/>
      <c r="C63" s="94"/>
      <c r="D63" s="94"/>
      <c r="E63" s="94"/>
      <c r="F63" s="96"/>
      <c r="G63" s="18" t="s">
        <v>51</v>
      </c>
      <c r="H63" s="18" t="s">
        <v>52</v>
      </c>
      <c r="I63" s="122"/>
      <c r="J63" s="122"/>
      <c r="K63" s="119"/>
      <c r="L63" s="12"/>
      <c r="M63" s="11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3.5" customHeight="1" x14ac:dyDescent="0.2">
      <c r="B64" s="106"/>
      <c r="C64" s="108" t="s">
        <v>78</v>
      </c>
      <c r="D64" s="109"/>
      <c r="E64" s="109"/>
      <c r="F64" s="109"/>
      <c r="G64" s="109"/>
      <c r="H64" s="110"/>
      <c r="I64" s="72"/>
      <c r="J64" s="107" t="s">
        <v>4</v>
      </c>
      <c r="K64" s="107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 ht="11.25" customHeight="1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1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 ht="27" customHeight="1" x14ac:dyDescent="0.2">
      <c r="B66" s="57" t="s">
        <v>62</v>
      </c>
      <c r="C66" s="63">
        <f>469967401522.22</f>
        <v>469967401522.21997</v>
      </c>
      <c r="D66" s="63">
        <f>194350679128.9</f>
        <v>194350679128.89999</v>
      </c>
      <c r="E66" s="63">
        <f>343486895803.2</f>
        <v>343486895803.20001</v>
      </c>
      <c r="F66" s="63">
        <f>11513261176.61</f>
        <v>11513261176.610001</v>
      </c>
      <c r="G66" s="63">
        <f>16318786.26</f>
        <v>16318786.26</v>
      </c>
      <c r="H66" s="63">
        <f>56586538.6</f>
        <v>56586538.600000001</v>
      </c>
      <c r="I66" s="69">
        <f>0</f>
        <v>0</v>
      </c>
      <c r="J66" s="50">
        <f>IF($D$66=0,"",100*$D66/$D$66)</f>
        <v>100</v>
      </c>
      <c r="K66" s="50">
        <f>IF(C66=0,"",100*D66/C66)</f>
        <v>41.354076580503239</v>
      </c>
    </row>
    <row r="67" spans="2:26" ht="16.5" customHeight="1" x14ac:dyDescent="0.2">
      <c r="B67" s="76" t="s">
        <v>14</v>
      </c>
      <c r="C67" s="27">
        <f>125941927458.38</f>
        <v>125941927458.38</v>
      </c>
      <c r="D67" s="27">
        <f>26012540719.68</f>
        <v>26012540719.68</v>
      </c>
      <c r="E67" s="27">
        <f>70987301554.19</f>
        <v>70987301554.190002</v>
      </c>
      <c r="F67" s="27">
        <f>3458543790.33</f>
        <v>3458543790.3299999</v>
      </c>
      <c r="G67" s="27">
        <f>3124200.39</f>
        <v>3124200.39</v>
      </c>
      <c r="H67" s="27">
        <f>22378370.72</f>
        <v>22378370.719999999</v>
      </c>
      <c r="I67" s="70">
        <f>0</f>
        <v>0</v>
      </c>
      <c r="J67" s="50">
        <f t="shared" ref="J67:J75" si="6">IF($D$66=0,"",100*$D67/$D$66)</f>
        <v>13.384332298848102</v>
      </c>
      <c r="K67" s="50">
        <f t="shared" ref="K67:K75" si="7">IF(C67=0,"",100*D67/C67)</f>
        <v>20.6543930560983</v>
      </c>
    </row>
    <row r="68" spans="2:26" ht="18" customHeight="1" outlineLevel="1" x14ac:dyDescent="0.2">
      <c r="B68" s="31" t="s">
        <v>13</v>
      </c>
      <c r="C68" s="23">
        <f>121947378403.48</f>
        <v>121947378403.48</v>
      </c>
      <c r="D68" s="23">
        <f>24142899168.25</f>
        <v>24142899168.25</v>
      </c>
      <c r="E68" s="23">
        <f>68639568493.74</f>
        <v>68639568493.739998</v>
      </c>
      <c r="F68" s="23">
        <f>3421475946.5</f>
        <v>3421475946.5</v>
      </c>
      <c r="G68" s="23">
        <f>3124200.39</f>
        <v>3124200.39</v>
      </c>
      <c r="H68" s="23">
        <f>19428370.72</f>
        <v>19428370.719999999</v>
      </c>
      <c r="I68" s="71">
        <f>0</f>
        <v>0</v>
      </c>
      <c r="J68" s="50">
        <f t="shared" si="6"/>
        <v>12.422338463884454</v>
      </c>
      <c r="K68" s="50">
        <f t="shared" si="7"/>
        <v>19.797800891110455</v>
      </c>
    </row>
    <row r="69" spans="2:26" ht="27" customHeight="1" x14ac:dyDescent="0.2">
      <c r="B69" s="77" t="s">
        <v>63</v>
      </c>
      <c r="C69" s="63">
        <f t="shared" ref="C69:I69" si="8">C66-C67</f>
        <v>344025474063.83997</v>
      </c>
      <c r="D69" s="63">
        <f t="shared" si="8"/>
        <v>168338138409.22</v>
      </c>
      <c r="E69" s="63">
        <f t="shared" si="8"/>
        <v>272499594249.01001</v>
      </c>
      <c r="F69" s="63">
        <f t="shared" si="8"/>
        <v>8054717386.2800007</v>
      </c>
      <c r="G69" s="63">
        <f t="shared" si="8"/>
        <v>13194585.869999999</v>
      </c>
      <c r="H69" s="63">
        <f t="shared" si="8"/>
        <v>34208167.880000003</v>
      </c>
      <c r="I69" s="69">
        <f t="shared" si="8"/>
        <v>0</v>
      </c>
      <c r="J69" s="50">
        <f t="shared" si="6"/>
        <v>86.615667701151906</v>
      </c>
      <c r="K69" s="50">
        <f t="shared" si="7"/>
        <v>48.931881822792548</v>
      </c>
    </row>
    <row r="70" spans="2:26" ht="23.1" customHeight="1" outlineLevel="1" x14ac:dyDescent="0.2">
      <c r="B70" s="31" t="s">
        <v>101</v>
      </c>
      <c r="C70" s="23">
        <f>156418158798.91</f>
        <v>156418158798.91</v>
      </c>
      <c r="D70" s="23">
        <f>79888482871.3302</f>
        <v>79888482871.3302</v>
      </c>
      <c r="E70" s="23">
        <f>137815081902.68</f>
        <v>137815081902.67999</v>
      </c>
      <c r="F70" s="23">
        <f>3521159628.58</f>
        <v>3521159628.5799999</v>
      </c>
      <c r="G70" s="23">
        <f>965051.44</f>
        <v>965051.44</v>
      </c>
      <c r="H70" s="23">
        <f>4523256.35</f>
        <v>4523256.3499999996</v>
      </c>
      <c r="I70" s="71">
        <f>0</f>
        <v>0</v>
      </c>
      <c r="J70" s="50">
        <f t="shared" si="6"/>
        <v>41.105327354346642</v>
      </c>
      <c r="K70" s="50">
        <f t="shared" si="7"/>
        <v>51.073662728656856</v>
      </c>
    </row>
    <row r="71" spans="2:26" ht="18" customHeight="1" outlineLevel="1" x14ac:dyDescent="0.2">
      <c r="B71" s="31" t="s">
        <v>50</v>
      </c>
      <c r="C71" s="23">
        <f>43847404693.58</f>
        <v>43847404693.580002</v>
      </c>
      <c r="D71" s="23">
        <f>23206168031.77</f>
        <v>23206168031.77</v>
      </c>
      <c r="E71" s="23">
        <f>33837807237.12</f>
        <v>33837807237.119999</v>
      </c>
      <c r="F71" s="23">
        <f>429617370.15</f>
        <v>429617370.14999998</v>
      </c>
      <c r="G71" s="23">
        <f>11792</f>
        <v>11792</v>
      </c>
      <c r="H71" s="23">
        <f>763227.84</f>
        <v>763227.84</v>
      </c>
      <c r="I71" s="71">
        <f>0</f>
        <v>0</v>
      </c>
      <c r="J71" s="50">
        <f t="shared" si="6"/>
        <v>11.940358601154607</v>
      </c>
      <c r="K71" s="50">
        <f t="shared" si="7"/>
        <v>52.924838297596608</v>
      </c>
    </row>
    <row r="72" spans="2:26" ht="18" customHeight="1" outlineLevel="1" x14ac:dyDescent="0.2">
      <c r="B72" s="31" t="s">
        <v>49</v>
      </c>
      <c r="C72" s="23">
        <f>6794286715.72</f>
        <v>6794286715.7200003</v>
      </c>
      <c r="D72" s="23">
        <f>3105981864.96</f>
        <v>3105981864.96</v>
      </c>
      <c r="E72" s="23">
        <f>4476989080.92</f>
        <v>4476989080.9200001</v>
      </c>
      <c r="F72" s="23">
        <f>198237658.98</f>
        <v>198237658.97999999</v>
      </c>
      <c r="G72" s="23">
        <f>0</f>
        <v>0</v>
      </c>
      <c r="H72" s="23">
        <f>1867056.54</f>
        <v>1867056.54</v>
      </c>
      <c r="I72" s="71">
        <f>0</f>
        <v>0</v>
      </c>
      <c r="J72" s="50">
        <f t="shared" si="6"/>
        <v>1.5981327561505494</v>
      </c>
      <c r="K72" s="50">
        <f t="shared" si="7"/>
        <v>45.714612805103776</v>
      </c>
    </row>
    <row r="73" spans="2:26" ht="23.1" customHeight="1" outlineLevel="1" x14ac:dyDescent="0.2">
      <c r="B73" s="31" t="s">
        <v>69</v>
      </c>
      <c r="C73" s="23">
        <f>383226969.62</f>
        <v>383226969.62</v>
      </c>
      <c r="D73" s="23">
        <f>22282140.86</f>
        <v>22282140.859999999</v>
      </c>
      <c r="E73" s="23">
        <f>48383225.05</f>
        <v>48383225.049999997</v>
      </c>
      <c r="F73" s="23">
        <f>0</f>
        <v>0</v>
      </c>
      <c r="G73" s="23">
        <f>0</f>
        <v>0</v>
      </c>
      <c r="H73" s="23">
        <f>0</f>
        <v>0</v>
      </c>
      <c r="I73" s="71">
        <f>0</f>
        <v>0</v>
      </c>
      <c r="J73" s="50">
        <f t="shared" si="6"/>
        <v>1.1464915358089243E-2</v>
      </c>
      <c r="K73" s="50">
        <f t="shared" si="7"/>
        <v>5.8143457080002783</v>
      </c>
    </row>
    <row r="74" spans="2:26" ht="23.1" customHeight="1" outlineLevel="1" x14ac:dyDescent="0.2">
      <c r="B74" s="31" t="s">
        <v>70</v>
      </c>
      <c r="C74" s="23">
        <f>23810868728.55</f>
        <v>23810868728.549999</v>
      </c>
      <c r="D74" s="23">
        <f>13671239008.62</f>
        <v>13671239008.620001</v>
      </c>
      <c r="E74" s="23">
        <f>18986871120.21</f>
        <v>18986871120.209999</v>
      </c>
      <c r="F74" s="23">
        <f>255875495.08</f>
        <v>255875495.08000001</v>
      </c>
      <c r="G74" s="23">
        <f>116162.61</f>
        <v>116162.61</v>
      </c>
      <c r="H74" s="23">
        <f>561485.05</f>
        <v>561485.05000000005</v>
      </c>
      <c r="I74" s="71">
        <f>0</f>
        <v>0</v>
      </c>
      <c r="J74" s="50">
        <f t="shared" si="6"/>
        <v>7.0343150175218936</v>
      </c>
      <c r="K74" s="50">
        <f t="shared" si="7"/>
        <v>57.415960603855432</v>
      </c>
    </row>
    <row r="75" spans="2:26" ht="18" customHeight="1" outlineLevel="1" x14ac:dyDescent="0.2">
      <c r="B75" s="31" t="s">
        <v>48</v>
      </c>
      <c r="C75" s="23">
        <f t="shared" ref="C75:I75" si="9">C69-C70-C71-C72-C73-C74</f>
        <v>112771528157.45998</v>
      </c>
      <c r="D75" s="23">
        <f t="shared" si="9"/>
        <v>48443984491.679794</v>
      </c>
      <c r="E75" s="23">
        <f t="shared" si="9"/>
        <v>77334461683.030029</v>
      </c>
      <c r="F75" s="23">
        <f t="shared" si="9"/>
        <v>3649827233.4900007</v>
      </c>
      <c r="G75" s="23">
        <f t="shared" si="9"/>
        <v>12101579.82</v>
      </c>
      <c r="H75" s="23">
        <f t="shared" si="9"/>
        <v>26493142.100000001</v>
      </c>
      <c r="I75" s="71">
        <f t="shared" si="9"/>
        <v>0</v>
      </c>
      <c r="J75" s="50">
        <f t="shared" si="6"/>
        <v>24.926069056620118</v>
      </c>
      <c r="K75" s="50">
        <f t="shared" si="7"/>
        <v>42.957637697379347</v>
      </c>
    </row>
    <row r="76" spans="2:26" ht="18.75" customHeight="1" x14ac:dyDescent="0.2">
      <c r="B76" s="20" t="s">
        <v>15</v>
      </c>
      <c r="C76" s="27">
        <f>C6-C66</f>
        <v>-40605919407.969971</v>
      </c>
      <c r="D76" s="27">
        <f>D6-D66</f>
        <v>21179944761.550018</v>
      </c>
      <c r="E76" s="29"/>
      <c r="F76" s="29"/>
      <c r="G76" s="14"/>
    </row>
    <row r="77" spans="2:26" ht="38.25" x14ac:dyDescent="0.2">
      <c r="B77" s="51" t="s">
        <v>104</v>
      </c>
      <c r="C77" s="52">
        <f>+C57-C69</f>
        <v>8855189455.9701538</v>
      </c>
      <c r="D77" s="52">
        <f>+D57-D69</f>
        <v>27869499241.480011</v>
      </c>
      <c r="E77" s="29"/>
      <c r="F77" s="29"/>
      <c r="G77" s="14"/>
    </row>
    <row r="78" spans="2:26" ht="12" customHeight="1" x14ac:dyDescent="0.2">
      <c r="B78" s="53"/>
      <c r="C78" s="54"/>
      <c r="D78" s="54"/>
      <c r="E78" s="54"/>
      <c r="F78" s="2"/>
      <c r="G78" s="2"/>
      <c r="H78" s="2"/>
      <c r="I78" s="2"/>
      <c r="L78" s="11"/>
      <c r="M78" s="11"/>
    </row>
    <row r="79" spans="2:26" ht="12" customHeight="1" x14ac:dyDescent="0.2">
      <c r="B79" s="90" t="s">
        <v>107</v>
      </c>
      <c r="C79" s="54"/>
      <c r="D79" s="54"/>
      <c r="E79" s="54"/>
      <c r="F79" s="2"/>
      <c r="G79" s="2"/>
      <c r="H79" s="2"/>
      <c r="I79" s="2"/>
      <c r="L79" s="11"/>
      <c r="M79" s="11"/>
    </row>
    <row r="80" spans="2:26" ht="27.95" customHeight="1" x14ac:dyDescent="0.2">
      <c r="B80" s="91" t="s">
        <v>73</v>
      </c>
      <c r="C80" s="63">
        <f>17249203614.8799</f>
        <v>17249203614.879902</v>
      </c>
      <c r="D80" s="63">
        <f>3501816772.98001</f>
        <v>3501816772.98001</v>
      </c>
      <c r="E80" s="63">
        <f>8389199991.93999</f>
        <v>8389199991.93999</v>
      </c>
      <c r="F80" s="63">
        <f>258592719.55</f>
        <v>258592719.55000001</v>
      </c>
      <c r="G80" s="63">
        <f>9304.58</f>
        <v>9304.58</v>
      </c>
      <c r="H80" s="63">
        <f>186258.41</f>
        <v>186258.41</v>
      </c>
      <c r="I80" s="69">
        <f>0</f>
        <v>0</v>
      </c>
      <c r="J80" s="50">
        <f>IF($D$80=0,"",100*$D80/$D$80)</f>
        <v>99.999999999999986</v>
      </c>
      <c r="K80" s="50">
        <f>IF(C80=0,"",100*D80/C80)</f>
        <v>20.301324346123391</v>
      </c>
      <c r="L80" s="11"/>
    </row>
    <row r="81" spans="2:13" ht="20.100000000000001" customHeight="1" x14ac:dyDescent="0.2">
      <c r="B81" s="55" t="s">
        <v>76</v>
      </c>
      <c r="C81" s="65">
        <f>12120122241.38</f>
        <v>12120122241.379999</v>
      </c>
      <c r="D81" s="65">
        <f>2016970445.6</f>
        <v>2016970445.5999999</v>
      </c>
      <c r="E81" s="65">
        <f>5897119082.19</f>
        <v>5897119082.1899996</v>
      </c>
      <c r="F81" s="65">
        <f>228410226.09</f>
        <v>228410226.09</v>
      </c>
      <c r="G81" s="65">
        <f>9104.58</f>
        <v>9104.58</v>
      </c>
      <c r="H81" s="65">
        <f>170008.41</f>
        <v>170008.41</v>
      </c>
      <c r="I81" s="74">
        <f>0</f>
        <v>0</v>
      </c>
      <c r="J81" s="50">
        <f>IF($D$80=0,"",100*$D81/$D$80)</f>
        <v>57.597829251459636</v>
      </c>
      <c r="K81" s="50">
        <f>IF(C81=0,"",100*D81/C81)</f>
        <v>16.641502498330805</v>
      </c>
      <c r="L81" s="11"/>
    </row>
    <row r="82" spans="2:13" ht="20.100000000000001" customHeight="1" x14ac:dyDescent="0.2">
      <c r="B82" s="55" t="s">
        <v>77</v>
      </c>
      <c r="C82" s="65">
        <f t="shared" ref="C82:I82" si="10">C80-C81</f>
        <v>5129081373.4999027</v>
      </c>
      <c r="D82" s="65">
        <f t="shared" si="10"/>
        <v>1484846327.3800101</v>
      </c>
      <c r="E82" s="65">
        <f t="shared" si="10"/>
        <v>2492080909.7499905</v>
      </c>
      <c r="F82" s="65">
        <f t="shared" si="10"/>
        <v>30182493.460000008</v>
      </c>
      <c r="G82" s="65">
        <f t="shared" si="10"/>
        <v>200</v>
      </c>
      <c r="H82" s="65">
        <f t="shared" si="10"/>
        <v>16250</v>
      </c>
      <c r="I82" s="74">
        <f t="shared" si="10"/>
        <v>0</v>
      </c>
      <c r="J82" s="50">
        <f>IF($D$80=0,"",100*$D82/$D$80)</f>
        <v>42.402170748540371</v>
      </c>
      <c r="K82" s="50">
        <f>IF(C82=0,"",100*D82/C82)</f>
        <v>28.949556835882362</v>
      </c>
    </row>
    <row r="83" spans="2:13" ht="20.25" x14ac:dyDescent="0.2">
      <c r="B83" s="87" t="str">
        <f>CONCATENATE("Informacja z wykonania budżetów jednostek samorządu terytorialnego za ",$D$118," ",$C$119," roku")</f>
        <v>Informacja z wykonania budżetów jednostek samorządu terytorialnego za II Kwartały 2024 roku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</row>
    <row r="84" spans="2:13" ht="18" customHeight="1" x14ac:dyDescent="0.2">
      <c r="B84" s="41" t="s">
        <v>16</v>
      </c>
      <c r="C84" s="73" t="s">
        <v>17</v>
      </c>
      <c r="D84" s="73" t="s">
        <v>1</v>
      </c>
      <c r="E84" s="97" t="s">
        <v>58</v>
      </c>
      <c r="F84" s="98"/>
      <c r="G84" s="98"/>
      <c r="H84" s="98"/>
      <c r="I84" s="99"/>
      <c r="J84" s="19" t="s">
        <v>26</v>
      </c>
      <c r="K84" s="19" t="s">
        <v>27</v>
      </c>
    </row>
    <row r="85" spans="2:13" x14ac:dyDescent="0.2">
      <c r="B85" s="41"/>
      <c r="C85" s="111" t="s">
        <v>78</v>
      </c>
      <c r="D85" s="112"/>
      <c r="E85" s="100"/>
      <c r="F85" s="101"/>
      <c r="G85" s="101"/>
      <c r="H85" s="101"/>
      <c r="I85" s="102"/>
      <c r="J85" s="115" t="s">
        <v>4</v>
      </c>
      <c r="K85" s="116"/>
    </row>
    <row r="86" spans="2:13" x14ac:dyDescent="0.2">
      <c r="B86" s="39">
        <v>1</v>
      </c>
      <c r="C86" s="73">
        <v>2</v>
      </c>
      <c r="D86" s="73">
        <v>3</v>
      </c>
      <c r="E86" s="103"/>
      <c r="F86" s="104"/>
      <c r="G86" s="104"/>
      <c r="H86" s="104"/>
      <c r="I86" s="105"/>
      <c r="J86" s="40">
        <v>4</v>
      </c>
      <c r="K86" s="40">
        <v>5</v>
      </c>
    </row>
    <row r="87" spans="2:13" ht="25.5" x14ac:dyDescent="0.2">
      <c r="B87" s="38" t="s">
        <v>64</v>
      </c>
      <c r="C87" s="43">
        <f>51395349981.3</f>
        <v>51395349981.300003</v>
      </c>
      <c r="D87" s="43">
        <f>35637263493.02</f>
        <v>35637263493.019997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42">
        <f>IF($D$87=0,"",100*$D87/$D$87)</f>
        <v>100</v>
      </c>
      <c r="K87" s="37">
        <f t="shared" ref="K87:K102" si="11">IF(C87=0,"",100*D87/C87)</f>
        <v>69.339470411207387</v>
      </c>
    </row>
    <row r="88" spans="2:13" ht="33.75" x14ac:dyDescent="0.2">
      <c r="B88" s="78" t="s">
        <v>108</v>
      </c>
      <c r="C88" s="44">
        <f>28002714293.65</f>
        <v>28002714293.650002</v>
      </c>
      <c r="D88" s="44">
        <f>1486918696.12</f>
        <v>1486918696.1199999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48">
        <f t="shared" ref="J88:J97" si="12">IF($D$87=0,"",100*$D88/$D$87)</f>
        <v>4.1723705761280794</v>
      </c>
      <c r="K88" s="49">
        <f t="shared" si="11"/>
        <v>5.3099091771156592</v>
      </c>
    </row>
    <row r="89" spans="2:13" ht="22.5" x14ac:dyDescent="0.2">
      <c r="B89" s="79" t="s">
        <v>87</v>
      </c>
      <c r="C89" s="67">
        <f>1432334454.71</f>
        <v>1432334454.71</v>
      </c>
      <c r="D89" s="67">
        <f>5030000</f>
        <v>5030000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8">
        <f t="shared" si="12"/>
        <v>1.4114439513531078E-2</v>
      </c>
      <c r="K89" s="66">
        <f t="shared" si="11"/>
        <v>0.35117496360292522</v>
      </c>
    </row>
    <row r="90" spans="2:13" x14ac:dyDescent="0.2">
      <c r="B90" s="32" t="s">
        <v>88</v>
      </c>
      <c r="C90" s="67">
        <f>425304027.35</f>
        <v>425304027.35000002</v>
      </c>
      <c r="D90" s="67">
        <f>118016199.87</f>
        <v>118016199.87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8">
        <f t="shared" si="12"/>
        <v>0.33115954566240741</v>
      </c>
      <c r="K90" s="66">
        <f t="shared" si="11"/>
        <v>27.748667372218335</v>
      </c>
    </row>
    <row r="91" spans="2:13" ht="48" customHeight="1" x14ac:dyDescent="0.2">
      <c r="B91" s="32" t="s">
        <v>97</v>
      </c>
      <c r="C91" s="67">
        <f>5436694845.44</f>
        <v>5436694845.4399996</v>
      </c>
      <c r="D91" s="67">
        <f>9252176713.82</f>
        <v>9252176713.8199997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8">
        <f t="shared" si="12"/>
        <v>25.962085207895253</v>
      </c>
      <c r="K91" s="66">
        <f t="shared" si="11"/>
        <v>170.1801733746417</v>
      </c>
    </row>
    <row r="92" spans="2:13" ht="33.75" x14ac:dyDescent="0.2">
      <c r="B92" s="32" t="s">
        <v>98</v>
      </c>
      <c r="C92" s="67">
        <f>4491779833.26</f>
        <v>4491779833.2600002</v>
      </c>
      <c r="D92" s="67">
        <f>5580393697.52</f>
        <v>5580393697.5200005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68">
        <f t="shared" si="12"/>
        <v>15.658872625315324</v>
      </c>
      <c r="K92" s="66">
        <f t="shared" si="11"/>
        <v>124.23569063201204</v>
      </c>
    </row>
    <row r="93" spans="2:13" x14ac:dyDescent="0.2">
      <c r="B93" s="32" t="s">
        <v>89</v>
      </c>
      <c r="C93" s="67">
        <f>0</f>
        <v>0</v>
      </c>
      <c r="D93" s="67">
        <f>0</f>
        <v>0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68">
        <f t="shared" si="12"/>
        <v>0</v>
      </c>
      <c r="K93" s="66" t="str">
        <f t="shared" si="11"/>
        <v/>
      </c>
    </row>
    <row r="94" spans="2:13" ht="33.75" x14ac:dyDescent="0.2">
      <c r="B94" s="32" t="s">
        <v>90</v>
      </c>
      <c r="C94" s="67">
        <f>12037071155.62</f>
        <v>12037071155.620001</v>
      </c>
      <c r="D94" s="67">
        <f>17664552069.98</f>
        <v>17664552069.98</v>
      </c>
      <c r="E94" s="43" t="s">
        <v>58</v>
      </c>
      <c r="F94" s="43" t="s">
        <v>58</v>
      </c>
      <c r="G94" s="43" t="s">
        <v>58</v>
      </c>
      <c r="H94" s="43" t="s">
        <v>58</v>
      </c>
      <c r="I94" s="43" t="s">
        <v>58</v>
      </c>
      <c r="J94" s="68">
        <f t="shared" si="12"/>
        <v>49.567644478201373</v>
      </c>
      <c r="K94" s="66">
        <f t="shared" si="11"/>
        <v>146.75124738905095</v>
      </c>
    </row>
    <row r="95" spans="2:13" ht="56.25" x14ac:dyDescent="0.2">
      <c r="B95" s="32" t="s">
        <v>109</v>
      </c>
      <c r="C95" s="67">
        <f>0</f>
        <v>0</v>
      </c>
      <c r="D95" s="67">
        <f>642462973.76</f>
        <v>642462973.75999999</v>
      </c>
      <c r="E95" s="43"/>
      <c r="F95" s="43"/>
      <c r="G95" s="43"/>
      <c r="H95" s="43"/>
      <c r="I95" s="43"/>
      <c r="J95" s="68">
        <f>IF($D$87=0,"",100*$D95/$D$87)</f>
        <v>1.8027842510574204</v>
      </c>
      <c r="K95" s="66" t="str">
        <f>IF(C95=0,"",100*D95/C95)</f>
        <v/>
      </c>
    </row>
    <row r="96" spans="2:13" x14ac:dyDescent="0.2">
      <c r="B96" s="32" t="s">
        <v>110</v>
      </c>
      <c r="C96" s="67">
        <f>1001785825.98</f>
        <v>1001785825.98</v>
      </c>
      <c r="D96" s="67">
        <f>892743141.95</f>
        <v>892743141.95000005</v>
      </c>
      <c r="E96" s="43"/>
      <c r="F96" s="43"/>
      <c r="G96" s="43"/>
      <c r="H96" s="43"/>
      <c r="I96" s="43"/>
      <c r="J96" s="48">
        <f t="shared" si="12"/>
        <v>2.5050833157401518</v>
      </c>
      <c r="K96" s="49">
        <f>IF(C96=0,"",100*D96/C96)</f>
        <v>89.115170009185476</v>
      </c>
    </row>
    <row r="97" spans="2:11" ht="22.5" x14ac:dyDescent="0.2">
      <c r="B97" s="79" t="s">
        <v>111</v>
      </c>
      <c r="C97" s="67">
        <f>671796893.19</f>
        <v>671796893.19000006</v>
      </c>
      <c r="D97" s="67">
        <f>639084905.73</f>
        <v>639084905.73000002</v>
      </c>
      <c r="E97" s="43" t="s">
        <v>58</v>
      </c>
      <c r="F97" s="43" t="s">
        <v>58</v>
      </c>
      <c r="G97" s="43" t="s">
        <v>58</v>
      </c>
      <c r="H97" s="43" t="s">
        <v>58</v>
      </c>
      <c r="I97" s="43" t="s">
        <v>58</v>
      </c>
      <c r="J97" s="68">
        <f t="shared" si="12"/>
        <v>1.7933052178800788</v>
      </c>
      <c r="K97" s="66">
        <f>IF(C97=0,"",100*D97/C97)</f>
        <v>95.130673006737425</v>
      </c>
    </row>
    <row r="98" spans="2:11" ht="25.5" x14ac:dyDescent="0.2">
      <c r="B98" s="38" t="s">
        <v>65</v>
      </c>
      <c r="C98" s="26">
        <f>10761201546.32</f>
        <v>10761201546.32</v>
      </c>
      <c r="D98" s="26">
        <f>6402856529.85</f>
        <v>6402856529.8500004</v>
      </c>
      <c r="E98" s="43" t="s">
        <v>58</v>
      </c>
      <c r="F98" s="43" t="s">
        <v>58</v>
      </c>
      <c r="G98" s="43" t="s">
        <v>58</v>
      </c>
      <c r="H98" s="43" t="s">
        <v>58</v>
      </c>
      <c r="I98" s="43" t="s">
        <v>58</v>
      </c>
      <c r="J98" s="42">
        <f t="shared" ref="J98:J103" si="13">IF($D$98=0,"",100*$D98/$D$98)</f>
        <v>100</v>
      </c>
      <c r="K98" s="37">
        <f t="shared" si="11"/>
        <v>59.49945740064296</v>
      </c>
    </row>
    <row r="99" spans="2:11" ht="22.5" x14ac:dyDescent="0.2">
      <c r="B99" s="78" t="s">
        <v>91</v>
      </c>
      <c r="C99" s="67">
        <f>9555598596.16</f>
        <v>9555598596.1599998</v>
      </c>
      <c r="D99" s="67">
        <f>4064706449.87</f>
        <v>4064706449.8699999</v>
      </c>
      <c r="E99" s="43" t="s">
        <v>58</v>
      </c>
      <c r="F99" s="43" t="s">
        <v>58</v>
      </c>
      <c r="G99" s="43" t="s">
        <v>58</v>
      </c>
      <c r="H99" s="43" t="s">
        <v>58</v>
      </c>
      <c r="I99" s="43" t="s">
        <v>58</v>
      </c>
      <c r="J99" s="48">
        <f t="shared" si="13"/>
        <v>63.482703866944583</v>
      </c>
      <c r="K99" s="49">
        <f t="shared" si="11"/>
        <v>42.537434038966829</v>
      </c>
    </row>
    <row r="100" spans="2:11" x14ac:dyDescent="0.2">
      <c r="B100" s="79" t="s">
        <v>92</v>
      </c>
      <c r="C100" s="67">
        <f>495828520.2</f>
        <v>495828520.19999999</v>
      </c>
      <c r="D100" s="67">
        <f>223746712.16</f>
        <v>223746712.16</v>
      </c>
      <c r="E100" s="43" t="s">
        <v>58</v>
      </c>
      <c r="F100" s="43" t="s">
        <v>58</v>
      </c>
      <c r="G100" s="43" t="s">
        <v>58</v>
      </c>
      <c r="H100" s="43" t="s">
        <v>58</v>
      </c>
      <c r="I100" s="43" t="s">
        <v>58</v>
      </c>
      <c r="J100" s="68">
        <f t="shared" si="13"/>
        <v>3.4944826753012022</v>
      </c>
      <c r="K100" s="66">
        <f t="shared" si="11"/>
        <v>45.125825369978386</v>
      </c>
    </row>
    <row r="101" spans="2:11" x14ac:dyDescent="0.2">
      <c r="B101" s="32" t="s">
        <v>99</v>
      </c>
      <c r="C101" s="67">
        <f>412376489.03</f>
        <v>412376489.02999997</v>
      </c>
      <c r="D101" s="67">
        <f>231459001.08</f>
        <v>231459001.08000001</v>
      </c>
      <c r="E101" s="43" t="s">
        <v>58</v>
      </c>
      <c r="F101" s="43" t="s">
        <v>58</v>
      </c>
      <c r="G101" s="43" t="s">
        <v>58</v>
      </c>
      <c r="H101" s="43" t="s">
        <v>58</v>
      </c>
      <c r="I101" s="43" t="s">
        <v>58</v>
      </c>
      <c r="J101" s="68">
        <f t="shared" si="13"/>
        <v>3.6149334285555574</v>
      </c>
      <c r="K101" s="66">
        <f t="shared" si="11"/>
        <v>56.128078888406655</v>
      </c>
    </row>
    <row r="102" spans="2:11" x14ac:dyDescent="0.2">
      <c r="B102" s="80" t="s">
        <v>112</v>
      </c>
      <c r="C102" s="67">
        <f>793226461.13</f>
        <v>793226461.13</v>
      </c>
      <c r="D102" s="67">
        <f>2106691078.9</f>
        <v>2106691078.9000001</v>
      </c>
      <c r="E102" s="43" t="s">
        <v>58</v>
      </c>
      <c r="F102" s="43" t="s">
        <v>58</v>
      </c>
      <c r="G102" s="43" t="s">
        <v>58</v>
      </c>
      <c r="H102" s="43" t="s">
        <v>58</v>
      </c>
      <c r="I102" s="43" t="s">
        <v>58</v>
      </c>
      <c r="J102" s="48">
        <f t="shared" si="13"/>
        <v>32.902362704499851</v>
      </c>
      <c r="K102" s="49">
        <f t="shared" si="11"/>
        <v>265.58507338482991</v>
      </c>
    </row>
    <row r="103" spans="2:11" ht="22.5" x14ac:dyDescent="0.2">
      <c r="B103" s="93" t="s">
        <v>113</v>
      </c>
      <c r="C103" s="67">
        <f>90787112.89</f>
        <v>90787112.890000001</v>
      </c>
      <c r="D103" s="67">
        <f>68701668.42</f>
        <v>68701668.420000002</v>
      </c>
      <c r="E103" s="43" t="s">
        <v>58</v>
      </c>
      <c r="F103" s="43" t="s">
        <v>58</v>
      </c>
      <c r="G103" s="43" t="s">
        <v>58</v>
      </c>
      <c r="H103" s="43" t="s">
        <v>58</v>
      </c>
      <c r="I103" s="43" t="s">
        <v>58</v>
      </c>
      <c r="J103" s="48">
        <f t="shared" si="13"/>
        <v>1.0729846608262121</v>
      </c>
      <c r="K103" s="49">
        <f>IF(C103=0,"",100*D103/C103)</f>
        <v>75.673370628318921</v>
      </c>
    </row>
    <row r="105" spans="2:11" ht="18" customHeight="1" x14ac:dyDescent="0.2">
      <c r="B105" s="41" t="s">
        <v>16</v>
      </c>
      <c r="C105" s="73" t="s">
        <v>17</v>
      </c>
      <c r="D105" s="19" t="s">
        <v>1</v>
      </c>
    </row>
    <row r="106" spans="2:11" x14ac:dyDescent="0.2">
      <c r="B106" s="41"/>
      <c r="C106" s="111" t="s">
        <v>78</v>
      </c>
      <c r="D106" s="112"/>
    </row>
    <row r="107" spans="2:11" x14ac:dyDescent="0.2">
      <c r="B107" s="39">
        <v>1</v>
      </c>
      <c r="C107" s="73">
        <v>2</v>
      </c>
      <c r="D107" s="19">
        <v>3</v>
      </c>
    </row>
    <row r="108" spans="2:11" ht="33.75" x14ac:dyDescent="0.2">
      <c r="B108" s="47" t="s">
        <v>114</v>
      </c>
      <c r="C108" s="45">
        <f>40846782071.1</f>
        <v>40846782071.099998</v>
      </c>
      <c r="D108" s="28">
        <f>0</f>
        <v>0</v>
      </c>
    </row>
    <row r="109" spans="2:11" ht="33.75" x14ac:dyDescent="0.2">
      <c r="B109" s="86" t="s">
        <v>80</v>
      </c>
      <c r="C109" s="46">
        <f>940607465.6</f>
        <v>940607465.60000002</v>
      </c>
      <c r="D109" s="75">
        <f>0</f>
        <v>0</v>
      </c>
    </row>
    <row r="110" spans="2:11" x14ac:dyDescent="0.2">
      <c r="B110" s="86" t="s">
        <v>81</v>
      </c>
      <c r="C110" s="46">
        <f>20979992349.98</f>
        <v>20979992349.98</v>
      </c>
      <c r="D110" s="75">
        <f>0</f>
        <v>0</v>
      </c>
    </row>
    <row r="111" spans="2:11" ht="22.5" x14ac:dyDescent="0.2">
      <c r="B111" s="86" t="s">
        <v>82</v>
      </c>
      <c r="C111" s="46">
        <f>0</f>
        <v>0</v>
      </c>
      <c r="D111" s="75">
        <f>0</f>
        <v>0</v>
      </c>
    </row>
    <row r="112" spans="2:11" ht="56.25" x14ac:dyDescent="0.2">
      <c r="B112" s="86" t="s">
        <v>100</v>
      </c>
      <c r="C112" s="46">
        <f>4582287292.03</f>
        <v>4582287292.0299997</v>
      </c>
      <c r="D112" s="75">
        <f>0</f>
        <v>0</v>
      </c>
    </row>
    <row r="113" spans="2:4" ht="78.75" x14ac:dyDescent="0.2">
      <c r="B113" s="86" t="s">
        <v>83</v>
      </c>
      <c r="C113" s="46">
        <f>9429679334.7</f>
        <v>9429679334.7000008</v>
      </c>
      <c r="D113" s="75">
        <f>0</f>
        <v>0</v>
      </c>
    </row>
    <row r="114" spans="2:4" ht="146.25" x14ac:dyDescent="0.2">
      <c r="B114" s="86" t="s">
        <v>102</v>
      </c>
      <c r="C114" s="46">
        <f>4267625814.36</f>
        <v>4267625814.3600001</v>
      </c>
      <c r="D114" s="75">
        <f>0</f>
        <v>0</v>
      </c>
    </row>
    <row r="115" spans="2:4" ht="22.5" x14ac:dyDescent="0.2">
      <c r="B115" s="86" t="s">
        <v>95</v>
      </c>
      <c r="C115" s="46">
        <f>94014684.04</f>
        <v>94014684.040000007</v>
      </c>
      <c r="D115" s="75">
        <f>0</f>
        <v>0</v>
      </c>
    </row>
    <row r="116" spans="2:4" ht="22.5" x14ac:dyDescent="0.2">
      <c r="B116" s="86" t="s">
        <v>111</v>
      </c>
      <c r="C116" s="46">
        <f>552575130.39</f>
        <v>552575130.38999999</v>
      </c>
      <c r="D116" s="75">
        <f>0</f>
        <v>0</v>
      </c>
    </row>
    <row r="118" spans="2:4" x14ac:dyDescent="0.2">
      <c r="B118" s="33" t="s">
        <v>66</v>
      </c>
      <c r="C118" s="33">
        <f>2</f>
        <v>2</v>
      </c>
      <c r="D118" s="33" t="str">
        <f>IF(C118=1,"I Kwartał",IF(C118=2,"II Kwartały",IF(C118=3,"III Kwartały",IF(C118=4,"IV Kwartały",IF(C118="M1","Styczeń",IF(C118="M11","Listopad",IF(C118="M12","Grudzień","-")))))))</f>
        <v>II Kwartały</v>
      </c>
    </row>
    <row r="119" spans="2:4" x14ac:dyDescent="0.2">
      <c r="B119" s="33" t="s">
        <v>67</v>
      </c>
      <c r="C119" s="89">
        <f>2024</f>
        <v>2024</v>
      </c>
    </row>
    <row r="120" spans="2:4" x14ac:dyDescent="0.2">
      <c r="B120" s="33" t="s">
        <v>68</v>
      </c>
      <c r="C120" s="113" t="str">
        <f>"Aug 14 2024 12:00AM"</f>
        <v>Aug 14 2024 12:00AM</v>
      </c>
      <c r="D120" s="114"/>
    </row>
  </sheetData>
  <mergeCells count="20">
    <mergeCell ref="C85:D85"/>
    <mergeCell ref="F62:F63"/>
    <mergeCell ref="C120:D120"/>
    <mergeCell ref="C106:D106"/>
    <mergeCell ref="J85:K85"/>
    <mergeCell ref="J64:K64"/>
    <mergeCell ref="K61:K63"/>
    <mergeCell ref="I61:I63"/>
    <mergeCell ref="J61:J63"/>
    <mergeCell ref="F61:H61"/>
    <mergeCell ref="C61:C63"/>
    <mergeCell ref="G62:H62"/>
    <mergeCell ref="E84:I86"/>
    <mergeCell ref="B3:B4"/>
    <mergeCell ref="J4:L4"/>
    <mergeCell ref="B61:B64"/>
    <mergeCell ref="C4:I4"/>
    <mergeCell ref="D61:D63"/>
    <mergeCell ref="E61:E63"/>
    <mergeCell ref="C64:H64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8" max="16383" man="1"/>
    <brk id="8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2024-08-26T09:36:52Z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2024-08-26T11:36:43.6155425+02:00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GRN-ad9c8d98-52af-4167-ae73-faf6e18575de</vt:lpwstr>
  </property>
  <property fmtid="{D5CDD505-2E9C-101B-9397-08002B2CF9AE}" pid="7" name="MFHash">
    <vt:lpwstr>q1yyXXQ1+Fue3Wa+QX3sUr06ymsEyWzF7JsqhB9ZZDo=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