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D26" i="46"/>
  <c r="E26" i="46" s="1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D13" i="46"/>
  <c r="E13" i="46" s="1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K308" i="36" l="1"/>
  <c r="K307" i="36"/>
  <c r="K306" i="36"/>
  <c r="J306" i="36"/>
  <c r="J308" i="36"/>
  <c r="J307" i="36"/>
  <c r="L534" i="45" l="1"/>
  <c r="K534" i="45"/>
  <c r="J534" i="45"/>
  <c r="I534" i="45"/>
  <c r="H534" i="45"/>
  <c r="G534" i="45"/>
  <c r="F534" i="45"/>
  <c r="E534" i="45"/>
  <c r="D534" i="45"/>
  <c r="C532" i="45"/>
  <c r="C531" i="45"/>
  <c r="C530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88" i="45"/>
  <c r="C487" i="45"/>
  <c r="C486" i="45"/>
  <c r="C485" i="45"/>
  <c r="C484" i="45"/>
  <c r="C483" i="45"/>
  <c r="C482" i="45"/>
  <c r="C495" i="45" s="1"/>
  <c r="G306" i="36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449" i="36"/>
  <c r="K450" i="36"/>
  <c r="K451" i="36"/>
  <c r="K302" i="36"/>
  <c r="K445" i="36" s="1"/>
  <c r="J303" i="36"/>
  <c r="J446" i="36" s="1"/>
  <c r="J304" i="36"/>
  <c r="J447" i="36" s="1"/>
  <c r="J305" i="36"/>
  <c r="J448" i="36" s="1"/>
  <c r="J449" i="36"/>
  <c r="J450" i="36"/>
  <c r="J451" i="36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<sst xmlns="http://schemas.openxmlformats.org/spreadsheetml/2006/main" count="4907" uniqueCount="379">
  <si>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</si>
  <si>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</si>
  <si>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</si>
  <si>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</si>
  <si>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</si>
  <si>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</si>
  <si>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</si>
  <si>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</si>
  <si>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</si>
  <si>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</si>
  <si>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</si>
  <si>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</si>
  <si>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</si>
  <si>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</si>
  <si>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</si>
  <si>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</si>
  <si>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</si>
  <si>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</si>
  <si>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</si>
  <si>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</si>
  <si>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</si>
  <si>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</si>
  <si>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</si>
  <si>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</si>
  <si>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</si>
  <si>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</si>
  <si>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</si>
  <si>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</si>
  <si>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</si>
  <si>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</si>
  <si>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</si>
  <si>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</si>
  <si>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</si>
  <si>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</si>
  <si>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</si>
  <si>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</si>
  <si>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</si>
  <si>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</si>
  <si>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</si>
  <si>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</si>
  <si>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</si>
  <si>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</si>
  <si>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</si>
  <si>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</si>
  <si>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</si>
  <si>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</si>
  <si>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</si>
  <si>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</si>
  <si>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</si>
  <si>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</si>
  <si>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</si>
  <si>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</si>
  <si>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</si>
  <si>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</si>
  <si>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</si>
  <si>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</si>
  <si>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</si>
  <si>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</si>
  <si>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</si>
  <si>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</si>
  <si>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</si>
  <si>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</si>
  <si>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</si>
  <si>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</si>
  <si>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</si>
  <si>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</si>
  <si>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</si>
  <si>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</si>
  <si>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</si>
  <si>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</si>
  <si>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</si>
  <si>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</si>
  <si>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</si>
  <si>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</si>
  <si>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</si>
  <si>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</si>
  <si>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</si>
  <si>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</si>
  <si>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</si>
  <si>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</si>
  <si>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</si>
  <si>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</si>
  <si>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</si>
  <si>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</si>
  <si>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</si>
  <si>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</si>
  <si>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</si>
  <si>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</si>
  <si>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</si>
  <si>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</si>
  <si>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</si>
  <si>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</si>
  <si>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</si>
  <si>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</si>
  <si>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</si>
  <si>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</si>
  <si>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</si>
  <si>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</si>
  <si>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</si>
  <si>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</si>
  <si>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</si>
  <si>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</si>
  <si>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</si>
  <si>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</si>
  <si>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</si>
  <si>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</si>
  <si>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</si>
  <si>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</si>
  <si>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</si>
  <si>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</si>
  <si>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</si>
  <si>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</si>
  <si>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</si>
  <si>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</si>
  <si>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</si>
  <si>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</si>
  <si>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</si>
  <si>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</si>
  <si>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</si>
  <si>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</si>
  <si>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</si>
  <si>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</si>
  <si>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</si>
  <si>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</si>
  <si>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</si>
  <si>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</si>
  <si>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</si>
  <si>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</si>
  <si>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</si>
  <si>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</si>
  <si>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</si>
  <si>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</si>
  <si>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</si>
  <si>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</si>
  <si>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</si>
  <si>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</si>
  <si>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</si>
  <si>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</si>
  <si>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</si>
  <si>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</si>
  <si>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</si>
  <si>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</si>
  <si>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</si>
  <si>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</si>
  <si>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</si>
  <si>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</si>
  <si>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</si>
  <si>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</si>
  <si>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</si>
  <si>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</si>
  <si>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</si>
  <si>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</si>
  <si>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</si>
  <si>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</si>
  <si>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</si>
  <si>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</si>
  <si>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</si>
  <si>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</si>
  <si>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</si>
  <si>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</si>
  <si>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</si>
  <si>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</si>
  <si>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</si>
  <si>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</si>
  <si>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</si>
  <si>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</si>
  <si>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</si>
  <si>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</si>
  <si>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</si>
  <si>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</si>
  <si>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</si>
  <si>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</si>
  <si>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</si>
  <si>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</si>
  <si>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</si>
  <si>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</si>
  <si>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</si>
  <si>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</si>
  <si>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</si>
  <si>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</si>
  <si>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</si>
  <si>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</si>
  <si>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</si>
  <si>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</si>
  <si>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</si>
  <si>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</si>
  <si>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</si>
  <si>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</si>
  <si>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</si>
  <si>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</si>
  <si>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</si>
  <si>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</si>
  <si>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</si>
  <si>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</si>
  <si>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</si>
  <si>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</si>
  <si>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</si>
  <si>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</si>
  <si>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</si>
  <si>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</si>
  <si>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</si>
  <si>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</si>
  <si>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</si>
  <si>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</si>
  <si>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</si>
  <si>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</si>
  <si>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</si>
  <si>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</si>
  <si>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</si>
  <si>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</si>
  <si>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</si>
  <si>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</si>
  <si>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</si>
  <si>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</si>
  <si>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</si>
  <si>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</si>
  <si>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</si>
  <si>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</si>
  <si>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</si>
  <si>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</si>
  <si>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</si>
  <si>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</si>
  <si>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</si>
  <si>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</si>
  <si>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</si>
  <si>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</si>
  <si>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</si>
  <si>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</si>
  <si>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</si>
  <si>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</si>
  <si>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</si>
  <si>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</si>
  <si>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</si>
  <si>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</si>
  <si>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</si>
  <si>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</si>
  <si>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</si>
  <si>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</si>
  <si>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</si>
  <si>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</si>
  <si>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</si>
  <si>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</si>
  <si>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</si>
  <si>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</si>
  <si>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</si>
  <si>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</si>
  <si>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</si>
  <si>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</si>
  <si>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</si>
  <si>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</si>
  <si>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</si>
  <si>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</si>
  <si>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</si>
  <si>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</si>
  <si>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</si>
  <si>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</si>
  <si>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</si>
  <si>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</si>
  <si>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</si>
  <si>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</si>
  <si>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</si>
  <si>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</si>
  <si>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</si>
  <si>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</si>
  <si>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</si>
  <si>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</si>
  <si>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</si>
  <si>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</si>
  <si>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</si>
  <si>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</si>
  <si>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</si>
  <si>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</si>
  <si>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</si>
  <si>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</si>
  <si>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</si>
  <si>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</si>
  <si>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</si>
  <si>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</si>
  <si>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</si>
  <si>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</si>
  <si>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</si>
  <si>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</si>
  <si>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</si>
  <si>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</si>
  <si>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</si>
  <si>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</si>
  <si>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</si>
  <si>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</si>
  <si>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</si>
  <si>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</si>
  <si>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</si>
  <si>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</si>
  <si>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</si>
  <si>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</si>
  <si>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</si>
  <si>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</si>
  <si>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</si>
  <si>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</si>
  <si>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</si>
  <si>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</si>
  <si>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</si>
  <si>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</si>
  <si>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</si>
  <si>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</si>
  <si>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</si>
  <si>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</si>
  <si>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</si>
  <si>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</si>
  <si>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</si>
  <si>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</si>
  <si>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</si>
  <si>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</si>
  <si>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</si>
  <si>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</si>
  <si>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</si>
  <si>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</si>
  <si>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</si>
  <si>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</si>
  <si>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</si>
  <si>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</si>
  <si>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</si>
  <si>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</si>
  <si>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</si>
  <si>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</si>
  <si>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</si>
  <si>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</si>
  <si>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</si>
  <si>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</si>
  <si>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</si>
  <si>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</si>
  <si>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</si>
  <si>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</si>
  <si>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</si>
  <si>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</si>
  <si>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</si>
  <si>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</si>
  <si>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</si>
  <si>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</si>
  <si>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</si>
  <si>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</si>
  <si>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</si>
  <si>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</si>
  <si>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</si>
  <si>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</si>
  <si>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</si>
  <si>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</si>
  <si>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</si>
  <si>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</si>
  <si>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</si>
  <si>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</si>
  <si>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</si>
  <si>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</si>
  <si>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</si>
  <si>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</si>
  <si>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</si>
  <si>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</si>
  <si>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</si>
  <si>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</si>
  <si>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</si>
  <si>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</si>
  <si>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</si>
  <si>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</si>
  <si>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Uzbekistan</t>
  </si>
  <si>
    <t>Norwegia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</si>
  <si>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I-X 2018 r. (dane wstępne) </t>
    </r>
    <r>
      <rPr>
        <b/>
        <sz val="11"/>
        <rFont val="Times New Roman"/>
        <family val="1"/>
        <charset val="238"/>
      </rPr>
      <t xml:space="preserve">w porównaniu do I-X  2017 r. </t>
    </r>
    <r>
      <rPr>
        <i/>
        <sz val="11"/>
        <rFont val="Times New Roman"/>
        <family val="1"/>
        <charset val="238"/>
      </rPr>
      <t>(wg wstępnych danych Min. Finansów).</t>
    </r>
  </si>
  <si>
    <t>I-X 2018 r. (wstępne)</t>
  </si>
  <si>
    <t>I-X 2017 r.</t>
  </si>
  <si>
    <t>zmiana I-X 2018 /I-X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</si>
  <si>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I-X 2018 r. (dane wstępne) </t>
    </r>
    <r>
      <rPr>
        <b/>
        <sz val="11"/>
        <rFont val="Times New Roman"/>
        <family val="1"/>
        <charset val="238"/>
      </rPr>
      <t>w porównaniu do  I-X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</si>
  <si>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I-X 2018r. (dane wstępne)</t>
  </si>
  <si>
    <t>OKRES: I-X 2018 r. (wstępne) - ważniejsze państwa</t>
  </si>
  <si>
    <t>Kierunki, wartość, wolumen oraz średnia cena uzyskana w imporcie bydła żywego i mięsa wołowego w I-X 2018r. (dane wstępne)</t>
  </si>
  <si>
    <t>NR 01/2019</t>
  </si>
  <si>
    <t>10.01.2019 r.</t>
  </si>
  <si>
    <t>Notowania z okresu: 31.12 - 06.01.2019r.</t>
  </si>
  <si>
    <t>2019-01-06</t>
  </si>
  <si>
    <t>2018-12-31 - 2019-01-06</t>
  </si>
  <si>
    <t>2018-12-30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</si>
  <si>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31.12 - 06.01.2019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</si>
</sst>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6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4" fillId="0" borderId="0"/>
    <xf numFmtId="167" fontId="59" fillId="0" borderId="0" applyFont="0" applyFill="0" applyBorder="0" applyAlignment="0" applyProtection="0"/>
    <xf numFmtId="0" fontId="59" fillId="0" borderId="0"/>
    <xf numFmtId="0" fontId="115" fillId="0" borderId="0"/>
    <xf numFmtId="0" fontId="122" fillId="0" borderId="0"/>
    <xf numFmtId="0" fontId="2" fillId="0" borderId="0"/>
    <xf numFmtId="0" fontId="2" fillId="14" borderId="0" applyNumberFormat="0" applyBorder="0" applyAlignment="0" applyProtection="0"/>
    <xf numFmtId="0" fontId="136" fillId="38" borderId="0" applyNumberFormat="0" applyBorder="0" applyAlignment="0" applyProtection="0"/>
    <xf numFmtId="0" fontId="2" fillId="18" borderId="0" applyNumberFormat="0" applyBorder="0" applyAlignment="0" applyProtection="0"/>
    <xf numFmtId="0" fontId="136" fillId="39" borderId="0" applyNumberFormat="0" applyBorder="0" applyAlignment="0" applyProtection="0"/>
    <xf numFmtId="0" fontId="2" fillId="22" borderId="0" applyNumberFormat="0" applyBorder="0" applyAlignment="0" applyProtection="0"/>
    <xf numFmtId="0" fontId="136" fillId="40" borderId="0" applyNumberFormat="0" applyBorder="0" applyAlignment="0" applyProtection="0"/>
    <xf numFmtId="0" fontId="2" fillId="26" borderId="0" applyNumberFormat="0" applyBorder="0" applyAlignment="0" applyProtection="0"/>
    <xf numFmtId="0" fontId="136" fillId="41" borderId="0" applyNumberFormat="0" applyBorder="0" applyAlignment="0" applyProtection="0"/>
    <xf numFmtId="0" fontId="2" fillId="30" borderId="0" applyNumberFormat="0" applyBorder="0" applyAlignment="0" applyProtection="0"/>
    <xf numFmtId="0" fontId="136" fillId="42" borderId="0" applyNumberFormat="0" applyBorder="0" applyAlignment="0" applyProtection="0"/>
    <xf numFmtId="0" fontId="2" fillId="34" borderId="0" applyNumberFormat="0" applyBorder="0" applyAlignment="0" applyProtection="0"/>
    <xf numFmtId="0" fontId="136" fillId="43" borderId="0" applyNumberFormat="0" applyBorder="0" applyAlignment="0" applyProtection="0"/>
    <xf numFmtId="0" fontId="2" fillId="15" borderId="0" applyNumberFormat="0" applyBorder="0" applyAlignment="0" applyProtection="0"/>
    <xf numFmtId="0" fontId="136" fillId="44" borderId="0" applyNumberFormat="0" applyBorder="0" applyAlignment="0" applyProtection="0"/>
    <xf numFmtId="0" fontId="2" fillId="19" borderId="0" applyNumberFormat="0" applyBorder="0" applyAlignment="0" applyProtection="0"/>
    <xf numFmtId="0" fontId="136" fillId="45" borderId="0" applyNumberFormat="0" applyBorder="0" applyAlignment="0" applyProtection="0"/>
    <xf numFmtId="0" fontId="2" fillId="23" borderId="0" applyNumberFormat="0" applyBorder="0" applyAlignment="0" applyProtection="0"/>
    <xf numFmtId="0" fontId="136" fillId="46" borderId="0" applyNumberFormat="0" applyBorder="0" applyAlignment="0" applyProtection="0"/>
    <xf numFmtId="0" fontId="2" fillId="27" borderId="0" applyNumberFormat="0" applyBorder="0" applyAlignment="0" applyProtection="0"/>
    <xf numFmtId="0" fontId="136" fillId="41" borderId="0" applyNumberFormat="0" applyBorder="0" applyAlignment="0" applyProtection="0"/>
    <xf numFmtId="0" fontId="2" fillId="31" borderId="0" applyNumberFormat="0" applyBorder="0" applyAlignment="0" applyProtection="0"/>
    <xf numFmtId="0" fontId="136" fillId="44" borderId="0" applyNumberFormat="0" applyBorder="0" applyAlignment="0" applyProtection="0"/>
    <xf numFmtId="0" fontId="2" fillId="35" borderId="0" applyNumberFormat="0" applyBorder="0" applyAlignment="0" applyProtection="0"/>
    <xf numFmtId="0" fontId="136" fillId="47" borderId="0" applyNumberFormat="0" applyBorder="0" applyAlignment="0" applyProtection="0"/>
    <xf numFmtId="0" fontId="76" fillId="16" borderId="0" applyNumberFormat="0" applyBorder="0" applyAlignment="0" applyProtection="0"/>
    <xf numFmtId="0" fontId="137" fillId="48" borderId="0" applyNumberFormat="0" applyBorder="0" applyAlignment="0" applyProtection="0"/>
    <xf numFmtId="0" fontId="76" fillId="20" borderId="0" applyNumberFormat="0" applyBorder="0" applyAlignment="0" applyProtection="0"/>
    <xf numFmtId="0" fontId="137" fillId="45" borderId="0" applyNumberFormat="0" applyBorder="0" applyAlignment="0" applyProtection="0"/>
    <xf numFmtId="0" fontId="76" fillId="24" borderId="0" applyNumberFormat="0" applyBorder="0" applyAlignment="0" applyProtection="0"/>
    <xf numFmtId="0" fontId="137" fillId="46" borderId="0" applyNumberFormat="0" applyBorder="0" applyAlignment="0" applyProtection="0"/>
    <xf numFmtId="0" fontId="76" fillId="28" borderId="0" applyNumberFormat="0" applyBorder="0" applyAlignment="0" applyProtection="0"/>
    <xf numFmtId="0" fontId="137" fillId="49" borderId="0" applyNumberFormat="0" applyBorder="0" applyAlignment="0" applyProtection="0"/>
    <xf numFmtId="0" fontId="76" fillId="32" borderId="0" applyNumberFormat="0" applyBorder="0" applyAlignment="0" applyProtection="0"/>
    <xf numFmtId="0" fontId="137" fillId="50" borderId="0" applyNumberFormat="0" applyBorder="0" applyAlignment="0" applyProtection="0"/>
    <xf numFmtId="0" fontId="76" fillId="36" borderId="0" applyNumberFormat="0" applyBorder="0" applyAlignment="0" applyProtection="0"/>
    <xf numFmtId="0" fontId="137" fillId="51" borderId="0" applyNumberFormat="0" applyBorder="0" applyAlignment="0" applyProtection="0"/>
    <xf numFmtId="0" fontId="76" fillId="13" borderId="0" applyNumberFormat="0" applyBorder="0" applyAlignment="0" applyProtection="0"/>
    <xf numFmtId="0" fontId="137" fillId="52" borderId="0" applyNumberFormat="0" applyBorder="0" applyAlignment="0" applyProtection="0"/>
    <xf numFmtId="0" fontId="76" fillId="17" borderId="0" applyNumberFormat="0" applyBorder="0" applyAlignment="0" applyProtection="0"/>
    <xf numFmtId="0" fontId="137" fillId="53" borderId="0" applyNumberFormat="0" applyBorder="0" applyAlignment="0" applyProtection="0"/>
    <xf numFmtId="0" fontId="76" fillId="21" borderId="0" applyNumberFormat="0" applyBorder="0" applyAlignment="0" applyProtection="0"/>
    <xf numFmtId="0" fontId="137" fillId="54" borderId="0" applyNumberFormat="0" applyBorder="0" applyAlignment="0" applyProtection="0"/>
    <xf numFmtId="0" fontId="76" fillId="25" borderId="0" applyNumberFormat="0" applyBorder="0" applyAlignment="0" applyProtection="0"/>
    <xf numFmtId="0" fontId="137" fillId="49" borderId="0" applyNumberFormat="0" applyBorder="0" applyAlignment="0" applyProtection="0"/>
    <xf numFmtId="0" fontId="76" fillId="29" borderId="0" applyNumberFormat="0" applyBorder="0" applyAlignment="0" applyProtection="0"/>
    <xf numFmtId="0" fontId="137" fillId="50" borderId="0" applyNumberFormat="0" applyBorder="0" applyAlignment="0" applyProtection="0"/>
    <xf numFmtId="0" fontId="76" fillId="33" borderId="0" applyNumberFormat="0" applyBorder="0" applyAlignment="0" applyProtection="0"/>
    <xf numFmtId="0" fontId="137" fillId="55" borderId="0" applyNumberFormat="0" applyBorder="0" applyAlignment="0" applyProtection="0"/>
    <xf numFmtId="0" fontId="68" fillId="9" borderId="70" applyNumberFormat="0" applyAlignment="0" applyProtection="0"/>
    <xf numFmtId="0" fontId="138" fillId="43" borderId="84" applyNumberFormat="0" applyAlignment="0" applyProtection="0"/>
    <xf numFmtId="0" fontId="69" fillId="10" borderId="71" applyNumberFormat="0" applyAlignment="0" applyProtection="0"/>
    <xf numFmtId="0" fontId="139" fillId="56" borderId="85" applyNumberFormat="0" applyAlignment="0" applyProtection="0"/>
    <xf numFmtId="0" fontId="65" fillId="6" borderId="0" applyNumberFormat="0" applyBorder="0" applyAlignment="0" applyProtection="0"/>
    <xf numFmtId="0" fontId="140" fillId="40" borderId="0" applyNumberFormat="0" applyBorder="0" applyAlignment="0" applyProtection="0"/>
    <xf numFmtId="0" fontId="71" fillId="0" borderId="72" applyNumberFormat="0" applyFill="0" applyAlignment="0" applyProtection="0"/>
    <xf numFmtId="0" fontId="141" fillId="0" borderId="86" applyNumberFormat="0" applyFill="0" applyAlignment="0" applyProtection="0"/>
    <xf numFmtId="0" fontId="72" fillId="11" borderId="73" applyNumberFormat="0" applyAlignment="0" applyProtection="0"/>
    <xf numFmtId="0" fontId="142" fillId="57" borderId="87" applyNumberFormat="0" applyAlignment="0" applyProtection="0"/>
    <xf numFmtId="0" fontId="62" fillId="0" borderId="67" applyNumberFormat="0" applyFill="0" applyAlignment="0" applyProtection="0"/>
    <xf numFmtId="0" fontId="143" fillId="0" borderId="88" applyNumberFormat="0" applyFill="0" applyAlignment="0" applyProtection="0"/>
    <xf numFmtId="0" fontId="63" fillId="0" borderId="68" applyNumberFormat="0" applyFill="0" applyAlignment="0" applyProtection="0"/>
    <xf numFmtId="0" fontId="144" fillId="0" borderId="89" applyNumberFormat="0" applyFill="0" applyAlignment="0" applyProtection="0"/>
    <xf numFmtId="0" fontId="64" fillId="0" borderId="69" applyNumberFormat="0" applyFill="0" applyAlignment="0" applyProtection="0"/>
    <xf numFmtId="0" fontId="145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6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7" fillId="56" borderId="84" applyNumberFormat="0" applyAlignment="0" applyProtection="0"/>
    <xf numFmtId="0" fontId="75" fillId="0" borderId="75" applyNumberFormat="0" applyFill="0" applyAlignment="0" applyProtection="0"/>
    <xf numFmtId="0" fontId="148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6" fillId="7" borderId="0" applyNumberFormat="0" applyBorder="0" applyAlignment="0" applyProtection="0"/>
    <xf numFmtId="0" fontId="152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29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0" fontId="23" fillId="0" borderId="2" xfId="0" applyFont="1" applyBorder="1" applyAlignment="1">
      <alignment horizontal="centerContinuous"/>
    </xf>
    <xf numFmtId="0" fontId="24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6" xfId="0" applyFont="1" applyBorder="1"/>
    <xf numFmtId="0" fontId="25" fillId="0" borderId="17" xfId="0" applyFont="1" applyBorder="1" applyAlignment="1">
      <alignment horizontal="center"/>
    </xf>
    <xf numFmtId="0" fontId="25" fillId="0" borderId="2" xfId="0" applyFont="1" applyFill="1" applyBorder="1"/>
    <xf numFmtId="0" fontId="25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5" fillId="0" borderId="3" xfId="0" applyFont="1" applyFill="1" applyBorder="1"/>
    <xf numFmtId="0" fontId="25" fillId="0" borderId="14" xfId="0" applyFont="1" applyBorder="1"/>
    <xf numFmtId="0" fontId="25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5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5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9" fillId="0" borderId="0" xfId="0" applyFont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9" fillId="0" borderId="0" xfId="0" applyFont="1"/>
    <xf numFmtId="0" fontId="6" fillId="3" borderId="0" xfId="0" applyFont="1" applyFill="1"/>
    <xf numFmtId="0" fontId="43" fillId="3" borderId="0" xfId="0" applyFont="1" applyFill="1"/>
    <xf numFmtId="0" fontId="7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8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6" fillId="3" borderId="0" xfId="0" applyFont="1" applyFill="1" applyAlignment="1">
      <alignment horizontal="left"/>
    </xf>
    <xf numFmtId="0" fontId="26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4" fillId="0" borderId="0" xfId="51" applyFont="1"/>
    <xf numFmtId="0" fontId="4" fillId="0" borderId="0" xfId="51"/>
    <xf numFmtId="0" fontId="27" fillId="0" borderId="46" xfId="51" applyFont="1" applyBorder="1" applyAlignment="1">
      <alignment horizontal="left"/>
    </xf>
    <xf numFmtId="0" fontId="35" fillId="0" borderId="0" xfId="51" applyFont="1"/>
    <xf numFmtId="0" fontId="28" fillId="0" borderId="0" xfId="51" applyFont="1"/>
    <xf numFmtId="0" fontId="27" fillId="0" borderId="0" xfId="51" applyFont="1"/>
    <xf numFmtId="0" fontId="28" fillId="0" borderId="0" xfId="51" applyFont="1" applyAlignment="1">
      <alignment horizontal="left"/>
    </xf>
    <xf numFmtId="0" fontId="27" fillId="0" borderId="0" xfId="51" applyFont="1" applyAlignment="1">
      <alignment horizontal="left"/>
    </xf>
    <xf numFmtId="0" fontId="28" fillId="0" borderId="16" xfId="51" applyFont="1" applyBorder="1" applyAlignment="1">
      <alignment horizontal="left"/>
    </xf>
    <xf numFmtId="0" fontId="28" fillId="0" borderId="27" xfId="51" applyFont="1" applyBorder="1" applyAlignment="1">
      <alignment horizontal="left"/>
    </xf>
    <xf numFmtId="0" fontId="27" fillId="0" borderId="14" xfId="51" applyFont="1" applyBorder="1" applyAlignment="1">
      <alignment horizontal="left"/>
    </xf>
    <xf numFmtId="0" fontId="27" fillId="0" borderId="28" xfId="51" applyFont="1" applyBorder="1" applyAlignment="1">
      <alignment horizontal="left"/>
    </xf>
    <xf numFmtId="0" fontId="27" fillId="0" borderId="20" xfId="51" applyFont="1" applyBorder="1" applyAlignment="1">
      <alignment horizontal="left"/>
    </xf>
    <xf numFmtId="0" fontId="27" fillId="0" borderId="29" xfId="51" applyFont="1" applyBorder="1" applyAlignment="1">
      <alignment horizontal="left"/>
    </xf>
    <xf numFmtId="0" fontId="27" fillId="0" borderId="22" xfId="51" applyFont="1" applyBorder="1" applyAlignment="1">
      <alignment horizontal="left"/>
    </xf>
    <xf numFmtId="0" fontId="27" fillId="0" borderId="30" xfId="51" applyFont="1" applyBorder="1" applyAlignment="1">
      <alignment horizontal="left"/>
    </xf>
    <xf numFmtId="0" fontId="6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2" fillId="0" borderId="0" xfId="104"/>
    <xf numFmtId="0" fontId="124" fillId="5" borderId="0" xfId="104" applyFont="1" applyFill="1"/>
    <xf numFmtId="0" fontId="122" fillId="5" borderId="0" xfId="104" applyFill="1"/>
    <xf numFmtId="0" fontId="121" fillId="4" borderId="0" xfId="104" applyFont="1" applyFill="1"/>
    <xf numFmtId="0" fontId="122" fillId="4" borderId="0" xfId="104" applyFill="1"/>
    <xf numFmtId="0" fontId="128" fillId="4" borderId="0" xfId="104" applyFont="1" applyFill="1"/>
    <xf numFmtId="0" fontId="119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22" fillId="0" borderId="0" xfId="104" applyBorder="1"/>
    <xf numFmtId="0" fontId="122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5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6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22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6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22" fillId="0" borderId="0" xfId="104" applyNumberFormat="1"/>
    <xf numFmtId="2" fontId="18" fillId="4" borderId="12" xfId="104" applyNumberFormat="1" applyFont="1" applyFill="1" applyBorder="1"/>
    <xf numFmtId="0" fontId="18" fillId="4" borderId="33" xfId="104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22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21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22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22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9" fillId="37" borderId="0" xfId="104" applyFont="1" applyFill="1"/>
    <xf numFmtId="0" fontId="122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8" fillId="37" borderId="0" xfId="104" applyFont="1" applyFill="1"/>
    <xf numFmtId="0" fontId="121" fillId="37" borderId="0" xfId="104" applyFont="1" applyFill="1"/>
    <xf numFmtId="0" fontId="122" fillId="37" borderId="0" xfId="104" applyFill="1" applyBorder="1"/>
    <xf numFmtId="0" fontId="119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5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31" fillId="0" borderId="0" xfId="104" applyFont="1" applyFill="1" applyBorder="1" applyAlignment="1">
      <alignment horizontal="left" vertical="center"/>
    </xf>
    <xf numFmtId="0" fontId="122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2" fillId="0" borderId="0" xfId="104" applyNumberFormat="1"/>
    <xf numFmtId="170" fontId="41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32" fillId="0" borderId="0" xfId="104" applyFont="1" applyFill="1" applyBorder="1" applyAlignment="1"/>
    <xf numFmtId="170" fontId="132" fillId="0" borderId="0" xfId="104" applyNumberFormat="1" applyFont="1" applyFill="1" applyBorder="1" applyAlignment="1"/>
    <xf numFmtId="0" fontId="133" fillId="0" borderId="0" xfId="104" applyFont="1" applyFill="1"/>
    <xf numFmtId="0" fontId="122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4" fillId="0" borderId="0" xfId="104" applyNumberFormat="1" applyFont="1" applyFill="1" applyBorder="1"/>
    <xf numFmtId="170" fontId="134" fillId="0" borderId="0" xfId="104" applyNumberFormat="1" applyFont="1" applyFill="1" applyBorder="1"/>
    <xf numFmtId="0" fontId="122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7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9" fillId="0" borderId="0" xfId="104" applyFont="1" applyFill="1"/>
    <xf numFmtId="0" fontId="135" fillId="0" borderId="0" xfId="104" applyFont="1" applyFill="1"/>
    <xf numFmtId="1" fontId="123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5" fillId="2" borderId="0" xfId="104" applyFont="1" applyFill="1"/>
    <xf numFmtId="0" fontId="122" fillId="2" borderId="0" xfId="104" applyFill="1"/>
    <xf numFmtId="0" fontId="121" fillId="2" borderId="0" xfId="104" applyFont="1" applyFill="1"/>
    <xf numFmtId="0" fontId="119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22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6" fillId="0" borderId="0" xfId="104" applyFont="1" applyFill="1" applyBorder="1"/>
    <xf numFmtId="0" fontId="132" fillId="0" borderId="0" xfId="104" applyFont="1"/>
    <xf numFmtId="0" fontId="134" fillId="0" borderId="16" xfId="104" applyFont="1" applyFill="1" applyBorder="1"/>
    <xf numFmtId="170" fontId="134" fillId="0" borderId="27" xfId="104" applyNumberFormat="1" applyFont="1" applyFill="1" applyBorder="1"/>
    <xf numFmtId="0" fontId="127" fillId="0" borderId="18" xfId="104" applyFont="1" applyBorder="1"/>
    <xf numFmtId="170" fontId="127" fillId="0" borderId="28" xfId="104" applyNumberFormat="1" applyFont="1" applyFill="1" applyBorder="1"/>
    <xf numFmtId="0" fontId="127" fillId="0" borderId="14" xfId="104" applyFont="1" applyFill="1" applyBorder="1"/>
    <xf numFmtId="0" fontId="127" fillId="0" borderId="20" xfId="104" applyFont="1" applyFill="1" applyBorder="1"/>
    <xf numFmtId="170" fontId="127" fillId="0" borderId="29" xfId="104" applyNumberFormat="1" applyFont="1" applyFill="1" applyBorder="1"/>
    <xf numFmtId="0" fontId="127" fillId="0" borderId="22" xfId="104" applyFont="1" applyFill="1" applyBorder="1"/>
    <xf numFmtId="170" fontId="127" fillId="0" borderId="30" xfId="104" applyNumberFormat="1" applyFont="1" applyFill="1" applyBorder="1"/>
    <xf numFmtId="0" fontId="128" fillId="0" borderId="0" xfId="104" applyFont="1" applyFill="1" applyBorder="1"/>
    <xf numFmtId="2" fontId="11" fillId="0" borderId="0" xfId="104" applyNumberFormat="1" applyFont="1" applyFill="1" applyBorder="1"/>
    <xf numFmtId="2" fontId="126" fillId="0" borderId="0" xfId="104" applyNumberFormat="1" applyFont="1" applyFill="1" applyBorder="1"/>
    <xf numFmtId="2" fontId="19" fillId="0" borderId="0" xfId="104" applyNumberFormat="1" applyFont="1" applyFill="1" applyBorder="1"/>
    <xf numFmtId="164" fontId="122" fillId="0" borderId="0" xfId="104" applyNumberFormat="1" applyFill="1" applyBorder="1"/>
    <xf numFmtId="0" fontId="24" fillId="60" borderId="33" xfId="0" applyFont="1" applyFill="1" applyBorder="1" applyAlignment="1">
      <alignment horizontal="center" vertical="center"/>
    </xf>
    <xf numFmtId="0" fontId="24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6" fillId="0" borderId="0" xfId="51" applyFont="1"/>
    <xf numFmtId="0" fontId="119" fillId="0" borderId="0" xfId="51" applyFont="1" applyBorder="1"/>
    <xf numFmtId="0" fontId="120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6" fillId="0" borderId="49" xfId="51" applyFont="1" applyBorder="1"/>
    <xf numFmtId="0" fontId="4" fillId="0" borderId="0" xfId="51" applyBorder="1" applyAlignment="1">
      <alignment horizontal="center"/>
    </xf>
    <xf numFmtId="0" fontId="28" fillId="0" borderId="0" xfId="51" applyFont="1" applyBorder="1" applyAlignment="1"/>
    <xf numFmtId="0" fontId="27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27" fillId="0" borderId="0" xfId="51" applyFont="1" applyBorder="1" applyAlignment="1">
      <alignment horizontal="center"/>
    </xf>
    <xf numFmtId="0" fontId="121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7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7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8" fillId="0" borderId="0" xfId="51" applyFont="1"/>
    <xf numFmtId="0" fontId="154" fillId="0" borderId="0" xfId="51" applyFont="1"/>
    <xf numFmtId="0" fontId="154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5" fillId="0" borderId="0" xfId="51" applyNumberFormat="1" applyFont="1"/>
    <xf numFmtId="164" fontId="18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6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7" fillId="0" borderId="25" xfId="51" applyFont="1" applyBorder="1" applyAlignment="1">
      <alignment horizontal="center" vertical="center"/>
    </xf>
    <xf numFmtId="0" fontId="27" fillId="0" borderId="58" xfId="51" applyFont="1" applyBorder="1" applyAlignment="1">
      <alignment horizontal="center" vertical="center"/>
    </xf>
    <xf numFmtId="0" fontId="27" fillId="0" borderId="10" xfId="51" applyFont="1" applyBorder="1" applyAlignment="1">
      <alignment horizontal="center" vertical="center"/>
    </xf>
    <xf numFmtId="0" fontId="27" fillId="0" borderId="62" xfId="51" applyFont="1" applyBorder="1" applyAlignment="1">
      <alignment horizontal="center" vertical="center"/>
    </xf>
    <xf numFmtId="0" fontId="27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6" fillId="0" borderId="0" xfId="51" applyFont="1" applyBorder="1"/>
    <xf numFmtId="0" fontId="28" fillId="0" borderId="64" xfId="51" applyFont="1" applyBorder="1" applyAlignment="1">
      <alignment horizontal="center"/>
    </xf>
    <xf numFmtId="0" fontId="27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7" fillId="0" borderId="10" xfId="51" applyFont="1" applyBorder="1" applyAlignment="1">
      <alignment horizontal="center"/>
    </xf>
    <xf numFmtId="0" fontId="27" fillId="0" borderId="10" xfId="51" applyFont="1" applyBorder="1" applyAlignment="1">
      <alignment horizontal="left"/>
    </xf>
    <xf numFmtId="0" fontId="27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6" fillId="0" borderId="34" xfId="51" applyFont="1" applyBorder="1"/>
    <xf numFmtId="0" fontId="116" fillId="0" borderId="64" xfId="51" applyFont="1" applyBorder="1"/>
    <xf numFmtId="0" fontId="156" fillId="0" borderId="34" xfId="51" applyFont="1" applyBorder="1"/>
    <xf numFmtId="0" fontId="156" fillId="0" borderId="0" xfId="51" applyFont="1" applyBorder="1"/>
    <xf numFmtId="0" fontId="157" fillId="0" borderId="0" xfId="51" applyFont="1" applyBorder="1"/>
    <xf numFmtId="0" fontId="156" fillId="0" borderId="64" xfId="51" applyFont="1" applyBorder="1"/>
    <xf numFmtId="0" fontId="156" fillId="0" borderId="32" xfId="51" applyFont="1" applyBorder="1"/>
    <xf numFmtId="164" fontId="156" fillId="0" borderId="33" xfId="51" applyNumberFormat="1" applyFont="1" applyBorder="1"/>
    <xf numFmtId="164" fontId="156" fillId="0" borderId="9" xfId="51" applyNumberFormat="1" applyFont="1" applyBorder="1"/>
    <xf numFmtId="164" fontId="156" fillId="0" borderId="0" xfId="51" applyNumberFormat="1" applyFont="1" applyBorder="1"/>
    <xf numFmtId="164" fontId="156" fillId="0" borderId="64" xfId="51" applyNumberFormat="1" applyFont="1" applyBorder="1"/>
    <xf numFmtId="0" fontId="156" fillId="0" borderId="50" xfId="51" applyFont="1" applyBorder="1"/>
    <xf numFmtId="164" fontId="156" fillId="0" borderId="41" xfId="51" applyNumberFormat="1" applyFont="1" applyBorder="1"/>
    <xf numFmtId="164" fontId="156" fillId="0" borderId="42" xfId="51" applyNumberFormat="1" applyFont="1" applyBorder="1"/>
    <xf numFmtId="0" fontId="158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3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6" fillId="0" borderId="0" xfId="51" applyFont="1"/>
    <xf numFmtId="0" fontId="157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9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5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27" fillId="0" borderId="65" xfId="188" applyFont="1" applyBorder="1"/>
    <xf numFmtId="0" fontId="102" fillId="0" borderId="0" xfId="188" applyFont="1" applyFill="1" applyBorder="1" applyAlignment="1">
      <alignment wrapText="1"/>
    </xf>
    <xf numFmtId="0" fontId="4" fillId="0" borderId="0" xfId="188" applyFill="1" applyBorder="1"/>
    <xf numFmtId="0" fontId="103" fillId="0" borderId="0" xfId="188" applyFont="1" applyFill="1" applyBorder="1" applyAlignment="1">
      <alignment vertical="center"/>
    </xf>
    <xf numFmtId="0" fontId="103" fillId="0" borderId="0" xfId="188" applyFont="1" applyFill="1" applyBorder="1" applyAlignment="1">
      <alignment horizontal="center" vertical="center"/>
    </xf>
    <xf numFmtId="49" fontId="4" fillId="0" borderId="0" xfId="188" applyNumberForma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5" fillId="0" borderId="0" xfId="188" applyFont="1" applyFill="1" applyBorder="1" applyAlignment="1">
      <alignment horizontal="center"/>
    </xf>
    <xf numFmtId="2" fontId="106" fillId="0" borderId="0" xfId="188" applyNumberFormat="1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0" fontId="107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8" fillId="0" borderId="0" xfId="188" applyFont="1" applyFill="1" applyBorder="1"/>
    <xf numFmtId="0" fontId="108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60" fillId="0" borderId="0" xfId="188" applyFont="1" applyFill="1"/>
    <xf numFmtId="0" fontId="43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11" fillId="0" borderId="0" xfId="188" applyFont="1" applyAlignment="1">
      <alignment horizontal="left" vertical="center" wrapText="1"/>
    </xf>
    <xf numFmtId="0" fontId="112" fillId="0" borderId="0" xfId="188" applyFont="1" applyAlignment="1">
      <alignment vertical="center" wrapText="1"/>
    </xf>
    <xf numFmtId="0" fontId="113" fillId="0" borderId="0" xfId="188" applyFont="1"/>
    <xf numFmtId="0" fontId="112" fillId="0" borderId="0" xfId="188" applyFont="1" applyAlignment="1">
      <alignment vertical="center"/>
    </xf>
    <xf numFmtId="49" fontId="112" fillId="0" borderId="0" xfId="188" applyNumberFormat="1" applyFont="1" applyAlignment="1">
      <alignment vertical="center"/>
    </xf>
    <xf numFmtId="49" fontId="112" fillId="0" borderId="0" xfId="188" applyNumberFormat="1" applyFont="1"/>
    <xf numFmtId="0" fontId="28" fillId="0" borderId="5" xfId="188" applyFont="1" applyFill="1" applyBorder="1" applyAlignment="1">
      <alignment horizontal="center" vertical="center" wrapText="1"/>
    </xf>
    <xf numFmtId="0" fontId="28" fillId="0" borderId="6" xfId="188" applyFont="1" applyFill="1" applyBorder="1" applyAlignment="1">
      <alignment horizontal="center" vertical="center" wrapText="1"/>
    </xf>
    <xf numFmtId="0" fontId="28" fillId="0" borderId="44" xfId="188" applyFont="1" applyFill="1" applyBorder="1" applyAlignment="1">
      <alignment horizontal="center" vertical="center" wrapText="1"/>
    </xf>
    <xf numFmtId="0" fontId="28" fillId="0" borderId="45" xfId="188" applyFont="1" applyBorder="1" applyAlignment="1">
      <alignment horizontal="center" vertical="center" wrapText="1"/>
    </xf>
    <xf numFmtId="0" fontId="28" fillId="0" borderId="16" xfId="188" applyFont="1" applyFill="1" applyBorder="1" applyAlignment="1">
      <alignment horizontal="center" vertical="center" wrapText="1"/>
    </xf>
    <xf numFmtId="0" fontId="28" fillId="0" borderId="17" xfId="188" applyFont="1" applyFill="1" applyBorder="1" applyAlignment="1">
      <alignment horizontal="center" vertical="center" wrapText="1"/>
    </xf>
    <xf numFmtId="0" fontId="28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0" fontId="38" fillId="0" borderId="16" xfId="188" applyFont="1" applyFill="1" applyBorder="1"/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4" fillId="60" borderId="33" xfId="0" applyFont="1" applyFill="1" applyBorder="1" applyAlignment="1">
      <alignment horizontal="center" vertical="center"/>
    </xf>
    <xf numFmtId="0" fontId="165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20" xfId="0" applyFont="1" applyBorder="1"/>
    <xf numFmtId="2" fontId="35" fillId="0" borderId="46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2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166" fillId="0" borderId="45" xfId="188" applyFont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29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2" fillId="0" borderId="20" xfId="0" applyFont="1" applyBorder="1"/>
    <xf numFmtId="0" fontId="35" fillId="61" borderId="20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4" fillId="0" borderId="21" xfId="0" applyNumberFormat="1" applyFont="1" applyFill="1" applyBorder="1"/>
    <xf numFmtId="164" fontId="174" fillId="0" borderId="29" xfId="0" applyNumberFormat="1" applyFont="1" applyFill="1" applyBorder="1"/>
    <xf numFmtId="164" fontId="177" fillId="0" borderId="21" xfId="0" quotePrefix="1" applyNumberFormat="1" applyFont="1" applyFill="1" applyBorder="1" applyAlignment="1">
      <alignment horizontal="center"/>
    </xf>
    <xf numFmtId="164" fontId="174" fillId="0" borderId="23" xfId="0" applyNumberFormat="1" applyFont="1" applyFill="1" applyBorder="1"/>
    <xf numFmtId="164" fontId="177" fillId="0" borderId="15" xfId="0" quotePrefix="1" applyNumberFormat="1" applyFont="1" applyFill="1" applyBorder="1" applyAlignment="1">
      <alignment horizontal="center"/>
    </xf>
    <xf numFmtId="164" fontId="177" fillId="0" borderId="29" xfId="0" applyNumberFormat="1" applyFont="1" applyFill="1" applyBorder="1"/>
    <xf numFmtId="164" fontId="174" fillId="0" borderId="30" xfId="0" applyNumberFormat="1" applyFont="1" applyFill="1" applyBorder="1"/>
    <xf numFmtId="164" fontId="177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9" fillId="3" borderId="0" xfId="188" applyNumberFormat="1" applyFont="1" applyFill="1"/>
    <xf numFmtId="0" fontId="180" fillId="0" borderId="0" xfId="188" applyFont="1" applyAlignment="1">
      <alignment horizontal="center" vertical="center" wrapText="1"/>
    </xf>
    <xf numFmtId="2" fontId="156" fillId="0" borderId="29" xfId="188" applyNumberFormat="1" applyFont="1" applyFill="1" applyBorder="1" applyAlignment="1"/>
    <xf numFmtId="2" fontId="156" fillId="0" borderId="29" xfId="188" applyNumberFormat="1" applyFont="1" applyFill="1" applyBorder="1" applyAlignment="1">
      <alignment vertical="center"/>
    </xf>
    <xf numFmtId="2" fontId="156" fillId="0" borderId="28" xfId="188" applyNumberFormat="1" applyFont="1" applyFill="1" applyBorder="1" applyAlignment="1"/>
    <xf numFmtId="0" fontId="166" fillId="0" borderId="27" xfId="188" applyFont="1" applyBorder="1" applyAlignment="1">
      <alignment horizontal="center" vertical="center" wrapText="1"/>
    </xf>
    <xf numFmtId="0" fontId="181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3" fillId="3" borderId="0" xfId="0" applyFont="1" applyFill="1"/>
    <xf numFmtId="0" fontId="153" fillId="62" borderId="0" xfId="0" applyFont="1" applyFill="1"/>
    <xf numFmtId="0" fontId="6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6" fillId="0" borderId="19" xfId="0" applyNumberFormat="1" applyFont="1" applyFill="1" applyBorder="1" applyAlignment="1">
      <alignment horizontal="centerContinuous" vertical="center" wrapText="1"/>
    </xf>
    <xf numFmtId="164" fontId="176" fillId="0" borderId="7" xfId="0" applyNumberFormat="1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183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9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82" fillId="0" borderId="46" xfId="0" applyNumberFormat="1" applyFont="1" applyBorder="1" applyAlignment="1">
      <alignment horizontal="center" vertical="center" wrapText="1"/>
    </xf>
    <xf numFmtId="14" fontId="182" fillId="0" borderId="46" xfId="0" applyNumberFormat="1" applyFont="1" applyFill="1" applyBorder="1" applyAlignment="1">
      <alignment horizontal="center" vertical="center" wrapText="1"/>
    </xf>
    <xf numFmtId="0" fontId="28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2" fillId="0" borderId="0" xfId="188" applyFont="1" applyFill="1" applyAlignment="1">
      <alignment vertical="center" wrapText="1"/>
    </xf>
    <xf numFmtId="4" fontId="14" fillId="0" borderId="0" xfId="0" applyNumberFormat="1" applyFont="1"/>
    <xf numFmtId="0" fontId="14" fillId="0" borderId="0" xfId="0" applyFont="1" applyFill="1"/>
    <xf numFmtId="0" fontId="25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8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8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4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3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7" fillId="0" borderId="52" xfId="51" applyFont="1" applyBorder="1"/>
    <xf numFmtId="0" fontId="27" fillId="0" borderId="52" xfId="51" applyFont="1" applyBorder="1" applyAlignment="1">
      <alignment horizontal="left"/>
    </xf>
    <xf numFmtId="0" fontId="27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4" fillId="0" borderId="52" xfId="51" applyBorder="1"/>
    <xf numFmtId="0" fontId="43" fillId="0" borderId="49" xfId="51" applyFont="1" applyFill="1" applyBorder="1"/>
    <xf numFmtId="0" fontId="175" fillId="62" borderId="0" xfId="0" applyFont="1" applyFill="1"/>
    <xf numFmtId="0" fontId="185" fillId="63" borderId="0" xfId="0" applyFont="1" applyFill="1"/>
    <xf numFmtId="0" fontId="32" fillId="63" borderId="0" xfId="0" applyFont="1" applyFill="1"/>
    <xf numFmtId="0" fontId="8" fillId="63" borderId="0" xfId="0" applyFont="1" applyFill="1"/>
    <xf numFmtId="0" fontId="185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7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6" fillId="0" borderId="7" xfId="188" applyNumberFormat="1" applyFont="1" applyFill="1" applyBorder="1" applyAlignment="1"/>
    <xf numFmtId="171" fontId="116" fillId="0" borderId="0" xfId="51" applyNumberFormat="1" applyFont="1"/>
    <xf numFmtId="0" fontId="188" fillId="3" borderId="0" xfId="0" applyFont="1" applyFill="1"/>
    <xf numFmtId="0" fontId="189" fillId="3" borderId="0" xfId="0" applyFont="1" applyFill="1"/>
    <xf numFmtId="3" fontId="27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7" fillId="60" borderId="3" xfId="188" applyNumberFormat="1" applyFont="1" applyFill="1" applyBorder="1"/>
    <xf numFmtId="3" fontId="27" fillId="60" borderId="65" xfId="188" quotePrefix="1" applyNumberFormat="1" applyFont="1" applyFill="1" applyBorder="1" applyAlignment="1">
      <alignment horizontal="right"/>
    </xf>
    <xf numFmtId="3" fontId="27" fillId="60" borderId="65" xfId="188" applyNumberFormat="1" applyFont="1" applyFill="1" applyBorder="1"/>
    <xf numFmtId="3" fontId="27" fillId="60" borderId="56" xfId="188" applyNumberFormat="1" applyFont="1" applyFill="1" applyBorder="1" applyAlignment="1">
      <alignment horizontal="right" wrapText="1"/>
    </xf>
    <xf numFmtId="3" fontId="27" fillId="60" borderId="65" xfId="188" applyNumberFormat="1" applyFont="1" applyFill="1" applyBorder="1" applyAlignment="1">
      <alignment horizontal="right" wrapText="1"/>
    </xf>
    <xf numFmtId="168" fontId="27" fillId="60" borderId="41" xfId="188" quotePrefix="1" applyNumberFormat="1" applyFont="1" applyFill="1" applyBorder="1" applyAlignment="1">
      <alignment wrapText="1"/>
    </xf>
    <xf numFmtId="168" fontId="27" fillId="60" borderId="3" xfId="188" quotePrefix="1" applyNumberFormat="1" applyFont="1" applyFill="1" applyBorder="1" applyAlignment="1"/>
    <xf numFmtId="168" fontId="27" fillId="60" borderId="41" xfId="188" applyNumberFormat="1" applyFont="1" applyFill="1" applyBorder="1" applyAlignment="1">
      <alignment horizontal="right" wrapText="1"/>
    </xf>
    <xf numFmtId="168" fontId="27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62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3" fontId="35" fillId="60" borderId="12" xfId="0" applyNumberFormat="1" applyFont="1" applyFill="1" applyBorder="1"/>
    <xf numFmtId="164" fontId="35" fillId="60" borderId="12" xfId="0" applyNumberFormat="1" applyFont="1" applyFill="1" applyBorder="1"/>
    <xf numFmtId="164" fontId="190" fillId="60" borderId="28" xfId="0" applyNumberFormat="1" applyFont="1" applyFill="1" applyBorder="1" applyAlignment="1">
      <alignment horizontal="right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91" fillId="60" borderId="48" xfId="0" applyNumberFormat="1" applyFont="1" applyFill="1" applyBorder="1" applyAlignment="1">
      <alignment horizontal="center" vertical="center" wrapText="1"/>
    </xf>
    <xf numFmtId="0" fontId="191" fillId="60" borderId="62" xfId="0" applyFont="1" applyFill="1" applyBorder="1" applyAlignment="1">
      <alignment horizontal="center" vertical="center" wrapText="1"/>
    </xf>
    <xf numFmtId="0" fontId="191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6" fillId="0" borderId="16" xfId="0" applyFont="1" applyBorder="1"/>
    <xf numFmtId="2" fontId="28" fillId="0" borderId="55" xfId="0" applyNumberFormat="1" applyFont="1" applyBorder="1" applyAlignment="1"/>
    <xf numFmtId="3" fontId="28" fillId="0" borderId="55" xfId="0" applyNumberFormat="1" applyFont="1" applyBorder="1" applyAlignment="1"/>
    <xf numFmtId="3" fontId="28" fillId="4" borderId="55" xfId="0" applyNumberFormat="1" applyFont="1" applyFill="1" applyBorder="1" applyAlignment="1"/>
    <xf numFmtId="164" fontId="166" fillId="0" borderId="55" xfId="0" applyNumberFormat="1" applyFont="1" applyBorder="1" applyAlignment="1"/>
    <xf numFmtId="164" fontId="28" fillId="0" borderId="55" xfId="0" applyNumberFormat="1" applyFont="1" applyBorder="1" applyAlignment="1"/>
    <xf numFmtId="164" fontId="166" fillId="0" borderId="27" xfId="0" applyNumberFormat="1" applyFont="1" applyBorder="1" applyAlignment="1"/>
    <xf numFmtId="0" fontId="27" fillId="0" borderId="14" xfId="0" applyFont="1" applyBorder="1"/>
    <xf numFmtId="2" fontId="27" fillId="0" borderId="12" xfId="0" applyNumberFormat="1" applyFont="1" applyBorder="1" applyAlignment="1"/>
    <xf numFmtId="3" fontId="27" fillId="0" borderId="12" xfId="0" applyNumberFormat="1" applyFont="1" applyBorder="1" applyAlignment="1"/>
    <xf numFmtId="3" fontId="27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7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7" fillId="0" borderId="20" xfId="0" applyFont="1" applyBorder="1"/>
    <xf numFmtId="2" fontId="27" fillId="0" borderId="46" xfId="0" applyNumberFormat="1" applyFont="1" applyBorder="1" applyAlignment="1"/>
    <xf numFmtId="3" fontId="27" fillId="0" borderId="46" xfId="0" applyNumberFormat="1" applyFont="1" applyBorder="1" applyAlignment="1"/>
    <xf numFmtId="3" fontId="27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7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7" fillId="0" borderId="46" xfId="0" quotePrefix="1" applyNumberFormat="1" applyFont="1" applyBorder="1" applyAlignment="1"/>
    <xf numFmtId="0" fontId="27" fillId="0" borderId="22" xfId="0" applyFont="1" applyBorder="1"/>
    <xf numFmtId="2" fontId="27" fillId="0" borderId="51" xfId="0" applyNumberFormat="1" applyFont="1" applyBorder="1" applyAlignment="1"/>
    <xf numFmtId="3" fontId="27" fillId="0" borderId="51" xfId="0" applyNumberFormat="1" applyFont="1" applyBorder="1" applyAlignment="1"/>
    <xf numFmtId="3" fontId="27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7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6" fillId="0" borderId="55" xfId="0" applyNumberFormat="1" applyFont="1" applyBorder="1" applyAlignment="1"/>
    <xf numFmtId="3" fontId="166" fillId="0" borderId="55" xfId="0" applyNumberFormat="1" applyFont="1" applyBorder="1" applyAlignment="1"/>
    <xf numFmtId="3" fontId="166" fillId="4" borderId="55" xfId="0" applyNumberFormat="1" applyFont="1" applyFill="1" applyBorder="1" applyAlignment="1"/>
    <xf numFmtId="2" fontId="27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5" fillId="4" borderId="0" xfId="0" applyFont="1" applyFill="1"/>
    <xf numFmtId="14" fontId="182" fillId="2" borderId="51" xfId="0" applyNumberFormat="1" applyFont="1" applyFill="1" applyBorder="1" applyAlignment="1">
      <alignment horizontal="center" vertical="center" wrapText="1"/>
    </xf>
    <xf numFmtId="14" fontId="182" fillId="2" borderId="2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Continuous"/>
    </xf>
    <xf numFmtId="0" fontId="91" fillId="0" borderId="0" xfId="0" applyFont="1" applyBorder="1" applyAlignment="1">
      <alignment horizontal="center"/>
    </xf>
    <xf numFmtId="0" fontId="119" fillId="0" borderId="0" xfId="0" applyFont="1" applyBorder="1"/>
    <xf numFmtId="0" fontId="27" fillId="0" borderId="52" xfId="0" applyFont="1" applyBorder="1"/>
    <xf numFmtId="0" fontId="27" fillId="0" borderId="52" xfId="0" applyFont="1" applyBorder="1" applyAlignment="1">
      <alignment horizontal="center"/>
    </xf>
    <xf numFmtId="0" fontId="27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164" fontId="177" fillId="4" borderId="29" xfId="0" applyNumberFormat="1" applyFont="1" applyFill="1" applyBorder="1"/>
    <xf numFmtId="164" fontId="174" fillId="4" borderId="29" xfId="0" applyNumberFormat="1" applyFont="1" applyFill="1" applyBorder="1"/>
    <xf numFmtId="164" fontId="174" fillId="4" borderId="30" xfId="0" applyNumberFormat="1" applyFont="1" applyFill="1" applyBorder="1"/>
    <xf numFmtId="164" fontId="177" fillId="4" borderId="28" xfId="0" applyNumberFormat="1" applyFont="1" applyFill="1" applyBorder="1"/>
    <xf numFmtId="2" fontId="176" fillId="0" borderId="82" xfId="0" applyNumberFormat="1" applyFont="1" applyBorder="1" applyAlignment="1">
      <alignment horizontal="centerContinuous" vertical="center" wrapText="1"/>
    </xf>
    <xf numFmtId="3" fontId="35" fillId="60" borderId="46" xfId="0" quotePrefix="1" applyNumberFormat="1" applyFont="1" applyFill="1" applyBorder="1" applyAlignment="1">
      <alignment horizontal="center"/>
    </xf>
    <xf numFmtId="3" fontId="35" fillId="60" borderId="46" xfId="0" applyNumberFormat="1" applyFont="1" applyFill="1" applyBorder="1" applyAlignment="1">
      <alignment horizontal="center"/>
    </xf>
    <xf numFmtId="14" fontId="191" fillId="60" borderId="62" xfId="0" applyNumberFormat="1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38" fillId="0" borderId="0" xfId="188" applyFont="1" applyFill="1" applyBorder="1"/>
    <xf numFmtId="0" fontId="28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6" fillId="0" borderId="0" xfId="188" applyNumberFormat="1" applyFont="1" applyFill="1" applyBorder="1" applyAlignment="1">
      <alignment vertical="center"/>
    </xf>
    <xf numFmtId="2" fontId="156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6" fillId="0" borderId="1" xfId="0" applyNumberFormat="1" applyFont="1" applyFill="1" applyBorder="1" applyAlignment="1">
      <alignment vertical="center" wrapText="1"/>
    </xf>
    <xf numFmtId="2" fontId="190" fillId="60" borderId="15" xfId="0" applyNumberFormat="1" applyFont="1" applyFill="1" applyBorder="1" applyAlignment="1"/>
    <xf numFmtId="2" fontId="190" fillId="60" borderId="21" xfId="0" applyNumberFormat="1" applyFont="1" applyFill="1" applyBorder="1" applyAlignment="1"/>
    <xf numFmtId="3" fontId="35" fillId="60" borderId="21" xfId="0" quotePrefix="1" applyNumberFormat="1" applyFont="1" applyFill="1" applyBorder="1" applyAlignment="1">
      <alignment horizontal="center"/>
    </xf>
    <xf numFmtId="2" fontId="190" fillId="60" borderId="23" xfId="0" applyNumberFormat="1" applyFont="1" applyFill="1" applyBorder="1" applyAlignment="1"/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0" fontId="196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8" fillId="4" borderId="45" xfId="0" applyFont="1" applyFill="1" applyBorder="1" applyAlignment="1">
      <alignment horizontal="center" vertical="center" wrapText="1"/>
    </xf>
    <xf numFmtId="0" fontId="178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6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6" fillId="0" borderId="19" xfId="0" applyNumberFormat="1" applyFont="1" applyFill="1" applyBorder="1" applyAlignment="1">
      <alignment horizontal="centerContinuous" vertical="center" wrapText="1"/>
    </xf>
    <xf numFmtId="49" fontId="176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92" fillId="60" borderId="48" xfId="0" applyFont="1" applyFill="1" applyBorder="1" applyAlignment="1">
      <alignment horizontal="center" vertical="justify" wrapText="1"/>
    </xf>
    <xf numFmtId="0" fontId="47" fillId="60" borderId="42" xfId="188" applyFont="1" applyFill="1" applyBorder="1" applyAlignment="1">
      <alignment horizontal="center" wrapText="1"/>
    </xf>
    <xf numFmtId="0" fontId="56" fillId="60" borderId="40" xfId="188" applyFont="1" applyFill="1" applyBorder="1" applyAlignment="1">
      <alignment wrapText="1"/>
    </xf>
    <xf numFmtId="0" fontId="56" fillId="60" borderId="65" xfId="188" applyFont="1" applyFill="1" applyBorder="1" applyAlignment="1">
      <alignment wrapText="1"/>
    </xf>
    <xf numFmtId="0" fontId="27" fillId="60" borderId="65" xfId="188" applyFont="1" applyFill="1" applyBorder="1"/>
    <xf numFmtId="0" fontId="56" fillId="60" borderId="16" xfId="188" applyFont="1" applyFill="1" applyBorder="1" applyAlignment="1">
      <alignment wrapText="1"/>
    </xf>
    <xf numFmtId="4" fontId="156" fillId="0" borderId="29" xfId="188" applyNumberFormat="1" applyFont="1" applyFill="1" applyBorder="1" applyAlignment="1"/>
    <xf numFmtId="0" fontId="178" fillId="4" borderId="28" xfId="0" applyFont="1" applyFill="1" applyBorder="1" applyAlignment="1">
      <alignment horizontal="center" vertical="center" wrapText="1"/>
    </xf>
    <xf numFmtId="0" fontId="178" fillId="0" borderId="37" xfId="0" applyFont="1" applyFill="1" applyBorder="1" applyAlignment="1">
      <alignment horizontal="center" vertical="center" wrapText="1"/>
    </xf>
    <xf numFmtId="0" fontId="178" fillId="0" borderId="28" xfId="0" applyFont="1" applyFill="1" applyBorder="1" applyAlignment="1">
      <alignment horizontal="center" vertical="center" wrapText="1"/>
    </xf>
    <xf numFmtId="2" fontId="87" fillId="0" borderId="46" xfId="0" applyNumberFormat="1" applyFont="1" applyFill="1" applyBorder="1"/>
    <xf numFmtId="2" fontId="87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7" fillId="0" borderId="12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3" fontId="35" fillId="0" borderId="51" xfId="51" quotePrefix="1" applyNumberFormat="1" applyFont="1" applyBorder="1" applyAlignment="1"/>
    <xf numFmtId="0" fontId="193" fillId="0" borderId="46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193" fillId="0" borderId="1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6" fillId="0" borderId="51" xfId="0" applyFont="1" applyBorder="1" applyAlignment="1">
      <alignment horizontal="center" vertical="center" wrapText="1"/>
    </xf>
    <xf numFmtId="0" fontId="4" fillId="60" borderId="0" xfId="188" applyFill="1"/>
    <xf numFmtId="4" fontId="37" fillId="0" borderId="27" xfId="188" applyNumberFormat="1" applyFont="1" applyFill="1" applyBorder="1" applyAlignment="1"/>
    <xf numFmtId="2" fontId="35" fillId="0" borderId="12" xfId="0" applyNumberFormat="1" applyFont="1" applyBorder="1" applyAlignment="1"/>
    <xf numFmtId="164" fontId="163" fillId="0" borderId="28" xfId="0" applyNumberFormat="1" applyFont="1" applyBorder="1" applyAlignment="1">
      <alignment horizontal="right"/>
    </xf>
    <xf numFmtId="164" fontId="163" fillId="0" borderId="29" xfId="0" applyNumberFormat="1" applyFont="1" applyBorder="1" applyAlignment="1">
      <alignment horizontal="right"/>
    </xf>
    <xf numFmtId="164" fontId="163" fillId="61" borderId="29" xfId="0" applyNumberFormat="1" applyFont="1" applyFill="1" applyBorder="1" applyAlignment="1">
      <alignment horizontal="right"/>
    </xf>
    <xf numFmtId="164" fontId="35" fillId="61" borderId="48" xfId="0" applyNumberFormat="1" applyFont="1" applyFill="1" applyBorder="1" applyAlignment="1"/>
    <xf numFmtId="164" fontId="163" fillId="61" borderId="62" xfId="0" applyNumberFormat="1" applyFont="1" applyFill="1" applyBorder="1" applyAlignment="1">
      <alignment horizontal="right"/>
    </xf>
    <xf numFmtId="2" fontId="35" fillId="0" borderId="3" xfId="0" applyNumberFormat="1" applyFont="1" applyBorder="1" applyAlignment="1"/>
    <xf numFmtId="164" fontId="163" fillId="0" borderId="4" xfId="0" applyNumberFormat="1" applyFont="1" applyBorder="1" applyAlignment="1">
      <alignment horizontal="right"/>
    </xf>
    <xf numFmtId="164" fontId="163" fillId="61" borderId="30" xfId="0" applyNumberFormat="1" applyFont="1" applyFill="1" applyBorder="1" applyAlignment="1">
      <alignment horizontal="right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4" fillId="0" borderId="23" xfId="0" applyFont="1" applyBorder="1" applyAlignment="1">
      <alignment horizontal="center" vertical="center" wrapText="1"/>
    </xf>
    <xf numFmtId="0" fontId="194" fillId="0" borderId="30" xfId="0" applyFont="1" applyBorder="1" applyAlignment="1">
      <alignment horizontal="center" vertical="center" wrapText="1"/>
    </xf>
    <xf numFmtId="2" fontId="38" fillId="2" borderId="18" xfId="0" quotePrefix="1" applyNumberFormat="1" applyFont="1" applyFill="1" applyBorder="1" applyAlignment="1">
      <alignment horizontal="right" vertical="center" wrapText="1"/>
    </xf>
    <xf numFmtId="2" fontId="36" fillId="0" borderId="7" xfId="0" applyNumberFormat="1" applyFont="1" applyBorder="1" applyAlignment="1">
      <alignment vertical="center" wrapText="1"/>
    </xf>
    <xf numFmtId="164" fontId="156" fillId="0" borderId="19" xfId="0" quotePrefix="1" applyNumberFormat="1" applyFont="1" applyBorder="1" applyAlignment="1">
      <alignment vertical="center" wrapText="1"/>
    </xf>
    <xf numFmtId="164" fontId="156" fillId="0" borderId="7" xfId="0" applyNumberFormat="1" applyFont="1" applyBorder="1" applyAlignment="1">
      <alignment vertical="center" wrapText="1"/>
    </xf>
    <xf numFmtId="2" fontId="38" fillId="2" borderId="22" xfId="0" quotePrefix="1" applyNumberFormat="1" applyFont="1" applyFill="1" applyBorder="1" applyAlignment="1">
      <alignment horizontal="right" vertical="center" wrapText="1"/>
    </xf>
    <xf numFmtId="2" fontId="36" fillId="0" borderId="51" xfId="0" applyNumberFormat="1" applyFont="1" applyFill="1" applyBorder="1" applyAlignment="1">
      <alignment vertical="center" wrapText="1"/>
    </xf>
    <xf numFmtId="2" fontId="36" fillId="0" borderId="30" xfId="0" applyNumberFormat="1" applyFont="1" applyBorder="1" applyAlignment="1">
      <alignment vertical="center" wrapText="1"/>
    </xf>
    <xf numFmtId="164" fontId="156" fillId="0" borderId="23" xfId="0" applyNumberFormat="1" applyFont="1" applyBorder="1" applyAlignment="1">
      <alignment vertical="center" wrapText="1"/>
    </xf>
    <xf numFmtId="164" fontId="156" fillId="0" borderId="30" xfId="0" applyNumberFormat="1" applyFont="1" applyBorder="1" applyAlignment="1">
      <alignment vertical="center" wrapText="1"/>
    </xf>
    <xf numFmtId="4" fontId="156" fillId="0" borderId="7" xfId="188" applyNumberFormat="1" applyFont="1" applyFill="1" applyBorder="1" applyAlignment="1"/>
    <xf numFmtId="0" fontId="38" fillId="0" borderId="16" xfId="188" applyFont="1" applyBorder="1"/>
    <xf numFmtId="0" fontId="35" fillId="0" borderId="14" xfId="0" applyFont="1" applyBorder="1"/>
    <xf numFmtId="0" fontId="35" fillId="61" borderId="25" xfId="0" applyFont="1" applyFill="1" applyBorder="1"/>
    <xf numFmtId="2" fontId="35" fillId="0" borderId="12" xfId="0" quotePrefix="1" applyNumberFormat="1" applyFont="1" applyBorder="1" applyAlignment="1"/>
    <xf numFmtId="0" fontId="168" fillId="0" borderId="16" xfId="51" applyFont="1" applyBorder="1"/>
    <xf numFmtId="3" fontId="191" fillId="0" borderId="55" xfId="51" applyNumberFormat="1" applyFont="1" applyBorder="1" applyAlignment="1"/>
    <xf numFmtId="164" fontId="168" fillId="0" borderId="55" xfId="51" applyNumberFormat="1" applyFont="1" applyBorder="1" applyAlignment="1"/>
    <xf numFmtId="164" fontId="168" fillId="0" borderId="27" xfId="51" applyNumberFormat="1" applyFont="1" applyBorder="1" applyAlignment="1"/>
    <xf numFmtId="0" fontId="43" fillId="0" borderId="49" xfId="0" applyFont="1" applyFill="1" applyBorder="1"/>
    <xf numFmtId="171" fontId="43" fillId="0" borderId="11" xfId="0" applyNumberFormat="1" applyFont="1" applyFill="1" applyBorder="1" applyAlignment="1"/>
    <xf numFmtId="14" fontId="182" fillId="0" borderId="46" xfId="0" applyNumberFormat="1" applyFont="1" applyBorder="1" applyAlignment="1">
      <alignment vertical="center" wrapText="1"/>
    </xf>
    <xf numFmtId="0" fontId="24" fillId="0" borderId="4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0" fillId="0" borderId="41" xfId="0" applyFill="1" applyBorder="1"/>
    <xf numFmtId="0" fontId="24" fillId="0" borderId="4" xfId="0" applyFont="1" applyFill="1" applyBorder="1" applyAlignment="1">
      <alignment horizontal="centerContinuous"/>
    </xf>
    <xf numFmtId="0" fontId="12" fillId="0" borderId="51" xfId="51" applyFont="1" applyBorder="1" applyAlignment="1">
      <alignment horizontal="center" vertical="center"/>
    </xf>
    <xf numFmtId="168" fontId="87" fillId="0" borderId="46" xfId="0" applyNumberFormat="1" applyFont="1" applyBorder="1"/>
    <xf numFmtId="0" fontId="168" fillId="0" borderId="51" xfId="51" applyFont="1" applyBorder="1" applyAlignment="1">
      <alignment horizontal="center" vertical="center"/>
    </xf>
    <xf numFmtId="0" fontId="168" fillId="0" borderId="30" xfId="51" applyFont="1" applyBorder="1" applyAlignment="1">
      <alignment horizontal="center" vertical="center"/>
    </xf>
    <xf numFmtId="3" fontId="37" fillId="0" borderId="12" xfId="51" quotePrefix="1" applyNumberFormat="1" applyFont="1" applyFill="1" applyBorder="1" applyAlignment="1"/>
    <xf numFmtId="3" fontId="37" fillId="0" borderId="28" xfId="51" quotePrefix="1" applyNumberFormat="1" applyFont="1" applyFill="1" applyBorder="1" applyAlignment="1"/>
    <xf numFmtId="168" fontId="37" fillId="0" borderId="46" xfId="51" quotePrefix="1" applyNumberFormat="1" applyFont="1" applyFill="1" applyBorder="1" applyAlignment="1"/>
    <xf numFmtId="168" fontId="37" fillId="0" borderId="29" xfId="51" quotePrefix="1" applyNumberFormat="1" applyFont="1" applyFill="1" applyBorder="1" applyAlignment="1"/>
    <xf numFmtId="168" fontId="37" fillId="0" borderId="28" xfId="51" quotePrefix="1" applyNumberFormat="1" applyFont="1" applyFill="1" applyBorder="1" applyAlignment="1"/>
    <xf numFmtId="168" fontId="37" fillId="0" borderId="12" xfId="51" quotePrefix="1" applyNumberFormat="1" applyFont="1" applyFill="1" applyBorder="1" applyAlignment="1"/>
    <xf numFmtId="164" fontId="162" fillId="0" borderId="29" xfId="51" applyNumberFormat="1" applyFont="1" applyFill="1" applyBorder="1" applyAlignment="1"/>
    <xf numFmtId="3" fontId="37" fillId="0" borderId="43" xfId="51" quotePrefix="1" applyNumberFormat="1" applyFont="1" applyFill="1" applyBorder="1" applyAlignment="1"/>
    <xf numFmtId="168" fontId="37" fillId="0" borderId="30" xfId="51" quotePrefix="1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2" fontId="104" fillId="60" borderId="0" xfId="188" applyNumberFormat="1" applyFont="1" applyFill="1" applyBorder="1" applyAlignment="1">
      <alignment horizontal="center"/>
    </xf>
    <xf numFmtId="2" fontId="36" fillId="0" borderId="51" xfId="0" applyNumberFormat="1" applyFont="1" applyFill="1" applyBorder="1" applyAlignment="1">
      <alignment horizontal="right" vertical="center" wrapText="1"/>
    </xf>
    <xf numFmtId="4" fontId="36" fillId="0" borderId="39" xfId="0" quotePrefix="1" applyNumberFormat="1" applyFont="1" applyBorder="1" applyAlignment="1">
      <alignment horizontal="right" vertical="center" wrapText="1"/>
    </xf>
    <xf numFmtId="164" fontId="156" fillId="0" borderId="23" xfId="0" quotePrefix="1" applyNumberFormat="1" applyFont="1" applyBorder="1" applyAlignment="1">
      <alignment horizontal="right" vertical="center" wrapText="1"/>
    </xf>
    <xf numFmtId="164" fontId="156" fillId="0" borderId="30" xfId="0" quotePrefix="1" applyNumberFormat="1" applyFont="1" applyBorder="1" applyAlignment="1">
      <alignment horizontal="right" vertical="center" wrapText="1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0" fontId="105" fillId="3" borderId="0" xfId="0" applyFont="1" applyFill="1"/>
    <xf numFmtId="0" fontId="4" fillId="3" borderId="0" xfId="0" applyFont="1" applyFill="1"/>
    <xf numFmtId="0" fontId="49" fillId="3" borderId="0" xfId="0" applyFont="1" applyFill="1"/>
    <xf numFmtId="0" fontId="200" fillId="3" borderId="0" xfId="0" applyFont="1" applyFill="1"/>
    <xf numFmtId="0" fontId="48" fillId="3" borderId="0" xfId="0" applyFont="1" applyFill="1"/>
    <xf numFmtId="0" fontId="18" fillId="3" borderId="0" xfId="0" applyFont="1" applyFill="1"/>
    <xf numFmtId="0" fontId="116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164" fontId="183" fillId="0" borderId="0" xfId="0" applyNumberFormat="1" applyFont="1" applyFill="1"/>
    <xf numFmtId="164" fontId="5" fillId="0" borderId="61" xfId="0" quotePrefix="1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183" fillId="0" borderId="0" xfId="0" applyFont="1"/>
    <xf numFmtId="0" fontId="201" fillId="0" borderId="10" xfId="0" applyFont="1" applyFill="1" applyBorder="1"/>
    <xf numFmtId="0" fontId="201" fillId="0" borderId="38" xfId="0" applyFont="1" applyFill="1" applyBorder="1"/>
    <xf numFmtId="2" fontId="36" fillId="0" borderId="0" xfId="0" applyNumberFormat="1" applyFont="1" applyFill="1" applyBorder="1" applyAlignment="1">
      <alignment horizontal="right" vertical="center" wrapText="1"/>
    </xf>
    <xf numFmtId="4" fontId="36" fillId="0" borderId="0" xfId="0" quotePrefix="1" applyNumberFormat="1" applyFont="1" applyBorder="1" applyAlignment="1">
      <alignment horizontal="right" vertical="center" wrapText="1"/>
    </xf>
    <xf numFmtId="164" fontId="156" fillId="0" borderId="0" xfId="0" quotePrefix="1" applyNumberFormat="1" applyFont="1" applyBorder="1" applyAlignment="1">
      <alignment horizontal="right" vertical="center" wrapText="1"/>
    </xf>
    <xf numFmtId="0" fontId="35" fillId="0" borderId="18" xfId="51" applyFont="1" applyBorder="1"/>
    <xf numFmtId="3" fontId="35" fillId="0" borderId="1" xfId="51" applyNumberFormat="1" applyFont="1" applyBorder="1" applyAlignment="1"/>
    <xf numFmtId="3" fontId="37" fillId="0" borderId="1" xfId="51" quotePrefix="1" applyNumberFormat="1" applyFont="1" applyFill="1" applyBorder="1" applyAlignment="1"/>
    <xf numFmtId="3" fontId="37" fillId="0" borderId="7" xfId="51" quotePrefix="1" applyNumberFormat="1" applyFont="1" applyFill="1" applyBorder="1" applyAlignment="1"/>
    <xf numFmtId="168" fontId="58" fillId="64" borderId="36" xfId="188" applyNumberFormat="1" applyFont="1" applyFill="1" applyBorder="1"/>
    <xf numFmtId="168" fontId="58" fillId="64" borderId="65" xfId="188" applyNumberFormat="1" applyFont="1" applyFill="1" applyBorder="1"/>
    <xf numFmtId="168" fontId="58" fillId="64" borderId="38" xfId="188" applyNumberFormat="1" applyFont="1" applyFill="1" applyBorder="1"/>
    <xf numFmtId="168" fontId="58" fillId="64" borderId="40" xfId="188" applyNumberFormat="1" applyFont="1" applyFill="1" applyBorder="1"/>
    <xf numFmtId="0" fontId="202" fillId="0" borderId="0" xfId="0" applyFont="1"/>
    <xf numFmtId="3" fontId="36" fillId="0" borderId="1" xfId="188" applyNumberFormat="1" applyFont="1" applyFill="1" applyBorder="1" applyAlignment="1">
      <alignment vertical="center"/>
    </xf>
    <xf numFmtId="2" fontId="156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82" fillId="0" borderId="12" xfId="0" applyNumberFormat="1" applyFont="1" applyFill="1" applyBorder="1" applyAlignment="1">
      <alignment horizontal="center" vertical="center" wrapText="1"/>
    </xf>
    <xf numFmtId="14" fontId="182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1" xfId="0" applyNumberFormat="1" applyFont="1" applyFill="1" applyBorder="1"/>
    <xf numFmtId="164" fontId="5" fillId="0" borderId="57" xfId="0" applyNumberFormat="1" applyFont="1" applyFill="1" applyBorder="1"/>
    <xf numFmtId="164" fontId="5" fillId="0" borderId="8" xfId="0" applyNumberFormat="1" applyFont="1" applyFill="1" applyBorder="1"/>
    <xf numFmtId="164" fontId="5" fillId="0" borderId="45" xfId="0" applyNumberFormat="1" applyFont="1" applyFill="1" applyBorder="1"/>
    <xf numFmtId="164" fontId="14" fillId="0" borderId="76" xfId="0" applyNumberFormat="1" applyFont="1" applyFill="1" applyBorder="1"/>
    <xf numFmtId="164" fontId="14" fillId="0" borderId="62" xfId="0" applyNumberFormat="1" applyFont="1" applyFill="1" applyBorder="1"/>
    <xf numFmtId="3" fontId="5" fillId="2" borderId="46" xfId="0" quotePrefix="1" applyNumberFormat="1" applyFont="1" applyFill="1" applyBorder="1"/>
    <xf numFmtId="2" fontId="5" fillId="0" borderId="58" xfId="0" quotePrefix="1" applyNumberFormat="1" applyFont="1" applyFill="1" applyBorder="1"/>
    <xf numFmtId="164" fontId="5" fillId="0" borderId="76" xfId="0" applyNumberFormat="1" applyFont="1" applyFill="1" applyBorder="1"/>
    <xf numFmtId="164" fontId="5" fillId="0" borderId="62" xfId="0" quotePrefix="1" applyNumberFormat="1" applyFont="1" applyFill="1" applyBorder="1"/>
    <xf numFmtId="3" fontId="14" fillId="0" borderId="46" xfId="0" quotePrefix="1" applyNumberFormat="1" applyFont="1" applyBorder="1"/>
    <xf numFmtId="3" fontId="14" fillId="2" borderId="46" xfId="0" quotePrefix="1" applyNumberFormat="1" applyFont="1" applyFill="1" applyBorder="1"/>
    <xf numFmtId="164" fontId="5" fillId="0" borderId="62" xfId="0" applyNumberFormat="1" applyFont="1" applyFill="1" applyBorder="1"/>
    <xf numFmtId="3" fontId="14" fillId="0" borderId="48" xfId="0" quotePrefix="1" applyNumberFormat="1" applyFont="1" applyBorder="1"/>
    <xf numFmtId="3" fontId="14" fillId="2" borderId="48" xfId="0" quotePrefix="1" applyNumberFormat="1" applyFont="1" applyFill="1" applyBorder="1"/>
    <xf numFmtId="2" fontId="14" fillId="0" borderId="63" xfId="0" applyNumberFormat="1" applyFont="1" applyFill="1" applyBorder="1"/>
    <xf numFmtId="164" fontId="14" fillId="0" borderId="77" xfId="0" applyNumberFormat="1" applyFont="1" applyFill="1" applyBorder="1"/>
    <xf numFmtId="164" fontId="5" fillId="0" borderId="37" xfId="0" applyNumberFormat="1" applyFont="1" applyFill="1" applyBorder="1"/>
    <xf numFmtId="2" fontId="5" fillId="0" borderId="58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3" fontId="5" fillId="0" borderId="46" xfId="0" quotePrefix="1" applyNumberFormat="1" applyFont="1" applyBorder="1"/>
    <xf numFmtId="164" fontId="5" fillId="0" borderId="47" xfId="0" quotePrefix="1" applyNumberFormat="1" applyFont="1" applyFill="1" applyBorder="1"/>
    <xf numFmtId="0" fontId="0" fillId="0" borderId="0" xfId="0" applyFill="1" applyBorder="1"/>
    <xf numFmtId="2" fontId="14" fillId="0" borderId="58" xfId="0" quotePrefix="1" applyNumberFormat="1" applyFont="1" applyFill="1" applyBorder="1"/>
    <xf numFmtId="164" fontId="162" fillId="0" borderId="29" xfId="0" quotePrefix="1" applyNumberFormat="1" applyFont="1" applyBorder="1" applyAlignment="1">
      <alignment horizontal="right"/>
    </xf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9" fillId="0" borderId="44" xfId="0" applyFont="1" applyFill="1" applyBorder="1" applyAlignment="1">
      <alignment horizontal="center" vertical="center" wrapText="1"/>
    </xf>
    <xf numFmtId="0" fontId="169" fillId="0" borderId="12" xfId="0" applyFont="1" applyFill="1" applyBorder="1" applyAlignment="1">
      <alignment horizontal="center" vertical="center" wrapText="1"/>
    </xf>
    <xf numFmtId="0" fontId="172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71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8" fillId="0" borderId="0" xfId="51" applyFont="1" applyAlignment="1">
      <alignment horizontal="left"/>
    </xf>
    <xf numFmtId="0" fontId="27" fillId="0" borderId="47" xfId="51" applyFont="1" applyBorder="1" applyAlignment="1">
      <alignment horizontal="left"/>
    </xf>
    <xf numFmtId="0" fontId="27" fillId="0" borderId="93" xfId="51" applyFont="1" applyBorder="1" applyAlignment="1">
      <alignment horizontal="left"/>
    </xf>
    <xf numFmtId="0" fontId="27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8" fillId="0" borderId="1" xfId="51" applyFont="1" applyBorder="1" applyAlignment="1">
      <alignment horizontal="center" vertical="center" wrapText="1"/>
    </xf>
    <xf numFmtId="0" fontId="168" fillId="0" borderId="7" xfId="51" applyFont="1" applyBorder="1" applyAlignment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0" fontId="123" fillId="0" borderId="38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94" fillId="0" borderId="82" xfId="0" applyFont="1" applyBorder="1" applyAlignment="1">
      <alignment horizontal="center" vertical="center" wrapText="1"/>
    </xf>
    <xf numFmtId="0" fontId="194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82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3" fillId="0" borderId="0" xfId="0" applyFont="1" applyFill="1" applyAlignment="1">
      <alignment horizontal="center" vertical="center" wrapText="1"/>
    </xf>
    <xf numFmtId="0" fontId="47" fillId="0" borderId="36" xfId="188" applyFont="1" applyBorder="1" applyAlignment="1">
      <alignment horizontal="center" wrapText="1"/>
    </xf>
    <xf numFmtId="0" fontId="47" fillId="0" borderId="83" xfId="188" applyFont="1" applyBorder="1" applyAlignment="1">
      <alignment horizontal="center" wrapText="1"/>
    </xf>
    <xf numFmtId="0" fontId="117" fillId="0" borderId="0" xfId="188" applyFont="1" applyFill="1" applyBorder="1" applyAlignment="1">
      <alignment horizontal="left" wrapText="1"/>
    </xf>
    <xf numFmtId="0" fontId="109" fillId="0" borderId="0" xfId="188" applyFont="1" applyFill="1" applyBorder="1" applyAlignment="1">
      <alignment horizontal="center"/>
    </xf>
    <xf numFmtId="0" fontId="28" fillId="0" borderId="41" xfId="188" applyFont="1" applyBorder="1" applyAlignment="1">
      <alignment horizontal="justify" wrapText="1"/>
    </xf>
    <xf numFmtId="0" fontId="47" fillId="60" borderId="36" xfId="188" applyFont="1" applyFill="1" applyBorder="1" applyAlignment="1">
      <alignment horizontal="center" wrapText="1"/>
    </xf>
    <xf numFmtId="0" fontId="47" fillId="60" borderId="83" xfId="188" applyFont="1" applyFill="1" applyBorder="1" applyAlignment="1">
      <alignment horizontal="center" wrapText="1"/>
    </xf>
    <xf numFmtId="0" fontId="123" fillId="60" borderId="2" xfId="188" applyFont="1" applyFill="1" applyBorder="1" applyAlignment="1">
      <alignment horizontal="center" wrapText="1"/>
    </xf>
    <xf numFmtId="0" fontId="123" fillId="60" borderId="3" xfId="188" applyFont="1" applyFill="1" applyBorder="1" applyAlignment="1">
      <alignment horizontal="center" wrapText="1"/>
    </xf>
    <xf numFmtId="0" fontId="123" fillId="60" borderId="4" xfId="188" applyFont="1" applyFill="1" applyBorder="1" applyAlignment="1">
      <alignment horizontal="center" wrapText="1"/>
    </xf>
    <xf numFmtId="0" fontId="123" fillId="60" borderId="36" xfId="188" applyFont="1" applyFill="1" applyBorder="1" applyAlignment="1">
      <alignment horizontal="center" vertical="center" wrapText="1"/>
    </xf>
    <xf numFmtId="0" fontId="123" fillId="60" borderId="40" xfId="188" applyFont="1" applyFill="1" applyBorder="1" applyAlignment="1">
      <alignment horizontal="center" vertical="center" wrapText="1"/>
    </xf>
    <xf numFmtId="0" fontId="47" fillId="0" borderId="40" xfId="188" applyFont="1" applyBorder="1" applyAlignment="1">
      <alignment horizontal="center" wrapText="1"/>
    </xf>
    <xf numFmtId="0" fontId="123" fillId="0" borderId="2" xfId="188" applyFont="1" applyBorder="1" applyAlignment="1">
      <alignment horizontal="center" wrapText="1"/>
    </xf>
    <xf numFmtId="0" fontId="123" fillId="0" borderId="3" xfId="188" applyFont="1" applyBorder="1" applyAlignment="1">
      <alignment horizontal="center" wrapText="1"/>
    </xf>
    <xf numFmtId="0" fontId="123" fillId="0" borderId="4" xfId="188" applyFont="1" applyBorder="1" applyAlignment="1">
      <alignment horizontal="center" wrapText="1"/>
    </xf>
    <xf numFmtId="0" fontId="123" fillId="0" borderId="36" xfId="188" applyFont="1" applyBorder="1" applyAlignment="1">
      <alignment horizontal="center" vertical="center" wrapText="1"/>
    </xf>
    <xf numFmtId="0" fontId="123" fillId="0" borderId="40" xfId="188" applyFont="1" applyBorder="1" applyAlignment="1">
      <alignment horizontal="center" vertical="center" wrapText="1"/>
    </xf>
    <xf numFmtId="0" fontId="110" fillId="0" borderId="0" xfId="188" applyFont="1" applyAlignment="1">
      <alignment horizontal="left" vertical="center" wrapText="1"/>
    </xf>
    <xf numFmtId="0" fontId="184" fillId="0" borderId="0" xfId="188" applyFont="1" applyAlignment="1">
      <alignment horizontal="center" vertical="center" wrapText="1"/>
    </xf>
    <xf numFmtId="0" fontId="112" fillId="0" borderId="41" xfId="188" applyFont="1" applyBorder="1" applyAlignment="1">
      <alignment horizontal="center" vertical="center" wrapText="1"/>
    </xf>
    <xf numFmtId="0" fontId="161" fillId="0" borderId="0" xfId="188" applyFont="1" applyAlignment="1">
      <alignment horizontal="left" vertical="center" wrapText="1"/>
    </xf>
    <xf numFmtId="0" fontId="108" fillId="0" borderId="0" xfId="51" applyFont="1" applyAlignment="1">
      <alignment horizontal="center" vertical="center" wrapText="1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94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8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/>
    </xf>
    <xf numFmtId="0" fontId="118" fillId="0" borderId="52" xfId="51" applyFont="1" applyBorder="1" applyAlignment="1">
      <alignment horizontal="center" vertical="center"/>
    </xf>
    <xf numFmtId="0" fontId="118" fillId="0" borderId="1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 wrapText="1"/>
    </xf>
    <xf numFmtId="0" fontId="118" fillId="0" borderId="12" xfId="51" applyFont="1" applyBorder="1" applyAlignment="1">
      <alignment horizontal="center" vertical="center" wrapText="1"/>
    </xf>
    <xf numFmtId="0" fontId="118" fillId="0" borderId="52" xfId="51" applyFont="1" applyBorder="1" applyAlignment="1">
      <alignment horizontal="center" vertical="center" wrapText="1"/>
    </xf>
    <xf numFmtId="0" fontId="28" fillId="0" borderId="11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8" fillId="0" borderId="48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9" fillId="4" borderId="41" xfId="104" applyFont="1" applyFill="1" applyBorder="1" applyAlignment="1">
      <alignment horizontal="center"/>
    </xf>
    <xf numFmtId="0" fontId="123" fillId="0" borderId="0" xfId="104" applyFont="1" applyAlignment="1">
      <alignment horizontal="left" vertical="center" wrapText="1"/>
    </xf>
    <xf numFmtId="0" fontId="122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10</xdr:col>
      <xdr:colOff>343828</xdr:colOff>
      <xdr:row>21</xdr:row>
      <xdr:rowOff>114217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6316003" cy="343844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22</xdr:row>
      <xdr:rowOff>66675</xdr:rowOff>
    </xdr:from>
    <xdr:to>
      <xdr:col>10</xdr:col>
      <xdr:colOff>312199</xdr:colOff>
      <xdr:row>43</xdr:row>
      <xdr:rowOff>86402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3629025"/>
          <a:ext cx="6236749" cy="3420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12" t="s">
        <v>373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06" t="s">
        <v>358</v>
      </c>
      <c r="C5" s="806"/>
      <c r="D5" s="806"/>
      <c r="E5" s="806"/>
      <c r="F5" s="80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5" t="s">
        <v>372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1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2" t="s">
        <v>374</v>
      </c>
      <c r="C13" s="793"/>
      <c r="D13" s="793"/>
      <c r="E13" s="793"/>
      <c r="F13" s="794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12.75">
      <c r="A14" s="805"/>
      <c r="B14" s="1056"/>
      <c r="C14" s="1051"/>
      <c r="D14" s="1052"/>
      <c r="E14" s="1052"/>
      <c r="F14" s="1052"/>
      <c r="G14" s="1052"/>
      <c r="H14" s="1052"/>
      <c r="I14" s="1052"/>
      <c r="J14" s="1053"/>
      <c r="K14" s="1054"/>
      <c r="L14" s="1054"/>
      <c r="M14" s="1054"/>
      <c r="N14" s="1054"/>
      <c r="O14" s="1055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12.75">
      <c r="A15" s="66"/>
      <c r="B15" s="1056"/>
      <c r="C15" s="1057"/>
      <c r="D15" s="1056"/>
      <c r="E15" s="1056"/>
      <c r="F15" s="1056"/>
      <c r="G15" s="1056"/>
      <c r="H15" s="1056"/>
      <c r="I15" s="1056"/>
      <c r="J15" s="1056"/>
      <c r="K15" s="1058"/>
      <c r="L15" s="1058"/>
      <c r="M15" s="1058"/>
      <c r="N15" s="1058"/>
      <c r="O15" s="1059"/>
      <c r="P15" s="1060"/>
      <c r="Q15" s="1060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12.75">
      <c r="A16" s="66"/>
      <c r="B16" s="1056"/>
      <c r="C16" s="1057"/>
      <c r="D16" s="1056"/>
      <c r="E16" s="1056"/>
      <c r="F16" s="1056"/>
      <c r="G16" s="1056"/>
      <c r="H16" s="1056"/>
      <c r="I16" s="1056"/>
      <c r="J16" s="1056"/>
      <c r="K16" s="1058"/>
      <c r="L16" s="1058"/>
      <c r="M16" s="1058"/>
      <c r="N16" s="1058"/>
      <c r="O16" s="1059"/>
      <c r="P16" s="1060"/>
      <c r="Q16" s="1060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ht="12.75">
      <c r="A17" s="66"/>
      <c r="B17" s="1051"/>
      <c r="C17" s="1051"/>
      <c r="D17" s="1052"/>
      <c r="E17" s="1052"/>
      <c r="F17" s="1052"/>
      <c r="G17" s="1052"/>
      <c r="H17" s="1052"/>
      <c r="I17" s="1052"/>
      <c r="J17" s="1052"/>
      <c r="K17" s="1055"/>
      <c r="L17" s="1055"/>
      <c r="M17" s="1055"/>
      <c r="N17" s="1055"/>
      <c r="O17" s="1055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346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357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3" t="s">
        <v>327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4"/>
      <c r="C29" s="705"/>
      <c r="D29" s="705"/>
      <c r="E29" s="705"/>
      <c r="F29" s="705"/>
      <c r="G29" s="705"/>
      <c r="H29" s="705"/>
      <c r="I29" s="70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4" t="s">
        <v>339</v>
      </c>
      <c r="C30" s="705"/>
      <c r="D30" s="705"/>
      <c r="E30" s="705"/>
      <c r="F30" s="705"/>
      <c r="G30" s="705"/>
      <c r="H30" s="705"/>
      <c r="I30" s="705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82"/>
  <sheetViews>
    <sheetView workbookViewId="0">
      <selection sqref="A1:XFD1048576"/>
    </sheetView>
  </sheetViews>
  <sheetFormatPr defaultRowHeight="12.75"/>
  <cols>
    <col min="1" max="1" width="4.42578125" style="713" customWidth="1"/>
    <col min="2" max="2" width="18.85546875" style="713" customWidth="1"/>
    <col min="3" max="3" width="12" style="713" customWidth="1"/>
    <col min="4" max="4" width="13.7109375" style="713" customWidth="1"/>
    <col min="5" max="5" width="12.85546875" style="713" bestFit="1" customWidth="1"/>
    <col min="6" max="6" width="13.85546875" style="713" customWidth="1"/>
    <col min="7" max="7" width="17.5703125" style="713" customWidth="1"/>
    <col min="8" max="8" width="9.140625" style="713"/>
    <col min="9" max="9" width="18.85546875" style="713" bestFit="1" customWidth="1"/>
    <col min="10" max="10" width="12.5703125" style="713" customWidth="1"/>
    <col min="11" max="252" width="9.140625" style="713"/>
    <col min="253" max="253" width="4.42578125" style="713" customWidth="1"/>
    <col min="254" max="254" width="20.85546875" style="713" customWidth="1"/>
    <col min="255" max="256" width="12" style="713" customWidth="1"/>
    <col min="257" max="257" width="14.5703125" style="713" customWidth="1"/>
    <col min="258" max="258" width="12.42578125" style="713" customWidth="1"/>
    <col min="259" max="259" width="19.7109375" style="713" customWidth="1"/>
    <col min="260" max="260" width="9.140625" style="713"/>
    <col min="261" max="261" width="16.85546875" style="713" customWidth="1"/>
    <col min="262" max="262" width="12.5703125" style="713" customWidth="1"/>
    <col min="263" max="263" width="11.7109375" style="713" customWidth="1"/>
    <col min="264" max="264" width="12.28515625" style="713" customWidth="1"/>
    <col min="265" max="508" width="9.140625" style="713"/>
    <col min="509" max="509" width="4.42578125" style="713" customWidth="1"/>
    <col min="510" max="510" width="20.85546875" style="713" customWidth="1"/>
    <col min="511" max="512" width="12" style="713" customWidth="1"/>
    <col min="513" max="513" width="14.5703125" style="713" customWidth="1"/>
    <col min="514" max="514" width="12.42578125" style="713" customWidth="1"/>
    <col min="515" max="515" width="19.7109375" style="713" customWidth="1"/>
    <col min="516" max="516" width="9.140625" style="713"/>
    <col min="517" max="517" width="16.85546875" style="713" customWidth="1"/>
    <col min="518" max="518" width="12.5703125" style="713" customWidth="1"/>
    <col min="519" max="519" width="11.7109375" style="713" customWidth="1"/>
    <col min="520" max="520" width="12.28515625" style="713" customWidth="1"/>
    <col min="521" max="764" width="9.140625" style="713"/>
    <col min="765" max="765" width="4.42578125" style="713" customWidth="1"/>
    <col min="766" max="766" width="20.85546875" style="713" customWidth="1"/>
    <col min="767" max="768" width="12" style="713" customWidth="1"/>
    <col min="769" max="769" width="14.5703125" style="713" customWidth="1"/>
    <col min="770" max="770" width="12.42578125" style="713" customWidth="1"/>
    <col min="771" max="771" width="19.7109375" style="713" customWidth="1"/>
    <col min="772" max="772" width="9.140625" style="713"/>
    <col min="773" max="773" width="16.85546875" style="713" customWidth="1"/>
    <col min="774" max="774" width="12.5703125" style="713" customWidth="1"/>
    <col min="775" max="775" width="11.7109375" style="713" customWidth="1"/>
    <col min="776" max="776" width="12.28515625" style="713" customWidth="1"/>
    <col min="777" max="1020" width="9.140625" style="713"/>
    <col min="1021" max="1021" width="4.42578125" style="713" customWidth="1"/>
    <col min="1022" max="1022" width="20.85546875" style="713" customWidth="1"/>
    <col min="1023" max="1024" width="12" style="713" customWidth="1"/>
    <col min="1025" max="1025" width="14.5703125" style="713" customWidth="1"/>
    <col min="1026" max="1026" width="12.42578125" style="713" customWidth="1"/>
    <col min="1027" max="1027" width="19.7109375" style="713" customWidth="1"/>
    <col min="1028" max="1028" width="9.140625" style="713"/>
    <col min="1029" max="1029" width="16.85546875" style="713" customWidth="1"/>
    <col min="1030" max="1030" width="12.5703125" style="713" customWidth="1"/>
    <col min="1031" max="1031" width="11.7109375" style="713" customWidth="1"/>
    <col min="1032" max="1032" width="12.28515625" style="713" customWidth="1"/>
    <col min="1033" max="1276" width="9.140625" style="713"/>
    <col min="1277" max="1277" width="4.42578125" style="713" customWidth="1"/>
    <col min="1278" max="1278" width="20.85546875" style="713" customWidth="1"/>
    <col min="1279" max="1280" width="12" style="713" customWidth="1"/>
    <col min="1281" max="1281" width="14.5703125" style="713" customWidth="1"/>
    <col min="1282" max="1282" width="12.42578125" style="713" customWidth="1"/>
    <col min="1283" max="1283" width="19.7109375" style="713" customWidth="1"/>
    <col min="1284" max="1284" width="9.140625" style="713"/>
    <col min="1285" max="1285" width="16.85546875" style="713" customWidth="1"/>
    <col min="1286" max="1286" width="12.5703125" style="713" customWidth="1"/>
    <col min="1287" max="1287" width="11.7109375" style="713" customWidth="1"/>
    <col min="1288" max="1288" width="12.28515625" style="713" customWidth="1"/>
    <col min="1289" max="1532" width="9.140625" style="713"/>
    <col min="1533" max="1533" width="4.42578125" style="713" customWidth="1"/>
    <col min="1534" max="1534" width="20.85546875" style="713" customWidth="1"/>
    <col min="1535" max="1536" width="12" style="713" customWidth="1"/>
    <col min="1537" max="1537" width="14.5703125" style="713" customWidth="1"/>
    <col min="1538" max="1538" width="12.42578125" style="713" customWidth="1"/>
    <col min="1539" max="1539" width="19.7109375" style="713" customWidth="1"/>
    <col min="1540" max="1540" width="9.140625" style="713"/>
    <col min="1541" max="1541" width="16.85546875" style="713" customWidth="1"/>
    <col min="1542" max="1542" width="12.5703125" style="713" customWidth="1"/>
    <col min="1543" max="1543" width="11.7109375" style="713" customWidth="1"/>
    <col min="1544" max="1544" width="12.28515625" style="713" customWidth="1"/>
    <col min="1545" max="1788" width="9.140625" style="713"/>
    <col min="1789" max="1789" width="4.42578125" style="713" customWidth="1"/>
    <col min="1790" max="1790" width="20.85546875" style="713" customWidth="1"/>
    <col min="1791" max="1792" width="12" style="713" customWidth="1"/>
    <col min="1793" max="1793" width="14.5703125" style="713" customWidth="1"/>
    <col min="1794" max="1794" width="12.42578125" style="713" customWidth="1"/>
    <col min="1795" max="1795" width="19.7109375" style="713" customWidth="1"/>
    <col min="1796" max="1796" width="9.140625" style="713"/>
    <col min="1797" max="1797" width="16.85546875" style="713" customWidth="1"/>
    <col min="1798" max="1798" width="12.5703125" style="713" customWidth="1"/>
    <col min="1799" max="1799" width="11.7109375" style="713" customWidth="1"/>
    <col min="1800" max="1800" width="12.28515625" style="713" customWidth="1"/>
    <col min="1801" max="2044" width="9.140625" style="713"/>
    <col min="2045" max="2045" width="4.42578125" style="713" customWidth="1"/>
    <col min="2046" max="2046" width="20.85546875" style="713" customWidth="1"/>
    <col min="2047" max="2048" width="12" style="713" customWidth="1"/>
    <col min="2049" max="2049" width="14.5703125" style="713" customWidth="1"/>
    <col min="2050" max="2050" width="12.42578125" style="713" customWidth="1"/>
    <col min="2051" max="2051" width="19.7109375" style="713" customWidth="1"/>
    <col min="2052" max="2052" width="9.140625" style="713"/>
    <col min="2053" max="2053" width="16.85546875" style="713" customWidth="1"/>
    <col min="2054" max="2054" width="12.5703125" style="713" customWidth="1"/>
    <col min="2055" max="2055" width="11.7109375" style="713" customWidth="1"/>
    <col min="2056" max="2056" width="12.28515625" style="713" customWidth="1"/>
    <col min="2057" max="2300" width="9.140625" style="713"/>
    <col min="2301" max="2301" width="4.42578125" style="713" customWidth="1"/>
    <col min="2302" max="2302" width="20.85546875" style="713" customWidth="1"/>
    <col min="2303" max="2304" width="12" style="713" customWidth="1"/>
    <col min="2305" max="2305" width="14.5703125" style="713" customWidth="1"/>
    <col min="2306" max="2306" width="12.42578125" style="713" customWidth="1"/>
    <col min="2307" max="2307" width="19.7109375" style="713" customWidth="1"/>
    <col min="2308" max="2308" width="9.140625" style="713"/>
    <col min="2309" max="2309" width="16.85546875" style="713" customWidth="1"/>
    <col min="2310" max="2310" width="12.5703125" style="713" customWidth="1"/>
    <col min="2311" max="2311" width="11.7109375" style="713" customWidth="1"/>
    <col min="2312" max="2312" width="12.28515625" style="713" customWidth="1"/>
    <col min="2313" max="2556" width="9.140625" style="713"/>
    <col min="2557" max="2557" width="4.42578125" style="713" customWidth="1"/>
    <col min="2558" max="2558" width="20.85546875" style="713" customWidth="1"/>
    <col min="2559" max="2560" width="12" style="713" customWidth="1"/>
    <col min="2561" max="2561" width="14.5703125" style="713" customWidth="1"/>
    <col min="2562" max="2562" width="12.42578125" style="713" customWidth="1"/>
    <col min="2563" max="2563" width="19.7109375" style="713" customWidth="1"/>
    <col min="2564" max="2564" width="9.140625" style="713"/>
    <col min="2565" max="2565" width="16.85546875" style="713" customWidth="1"/>
    <col min="2566" max="2566" width="12.5703125" style="713" customWidth="1"/>
    <col min="2567" max="2567" width="11.7109375" style="713" customWidth="1"/>
    <col min="2568" max="2568" width="12.28515625" style="713" customWidth="1"/>
    <col min="2569" max="2812" width="9.140625" style="713"/>
    <col min="2813" max="2813" width="4.42578125" style="713" customWidth="1"/>
    <col min="2814" max="2814" width="20.85546875" style="713" customWidth="1"/>
    <col min="2815" max="2816" width="12" style="713" customWidth="1"/>
    <col min="2817" max="2817" width="14.5703125" style="713" customWidth="1"/>
    <col min="2818" max="2818" width="12.42578125" style="713" customWidth="1"/>
    <col min="2819" max="2819" width="19.7109375" style="713" customWidth="1"/>
    <col min="2820" max="2820" width="9.140625" style="713"/>
    <col min="2821" max="2821" width="16.85546875" style="713" customWidth="1"/>
    <col min="2822" max="2822" width="12.5703125" style="713" customWidth="1"/>
    <col min="2823" max="2823" width="11.7109375" style="713" customWidth="1"/>
    <col min="2824" max="2824" width="12.28515625" style="713" customWidth="1"/>
    <col min="2825" max="3068" width="9.140625" style="713"/>
    <col min="3069" max="3069" width="4.42578125" style="713" customWidth="1"/>
    <col min="3070" max="3070" width="20.85546875" style="713" customWidth="1"/>
    <col min="3071" max="3072" width="12" style="713" customWidth="1"/>
    <col min="3073" max="3073" width="14.5703125" style="713" customWidth="1"/>
    <col min="3074" max="3074" width="12.42578125" style="713" customWidth="1"/>
    <col min="3075" max="3075" width="19.7109375" style="713" customWidth="1"/>
    <col min="3076" max="3076" width="9.140625" style="713"/>
    <col min="3077" max="3077" width="16.85546875" style="713" customWidth="1"/>
    <col min="3078" max="3078" width="12.5703125" style="713" customWidth="1"/>
    <col min="3079" max="3079" width="11.7109375" style="713" customWidth="1"/>
    <col min="3080" max="3080" width="12.28515625" style="713" customWidth="1"/>
    <col min="3081" max="3324" width="9.140625" style="713"/>
    <col min="3325" max="3325" width="4.42578125" style="713" customWidth="1"/>
    <col min="3326" max="3326" width="20.85546875" style="713" customWidth="1"/>
    <col min="3327" max="3328" width="12" style="713" customWidth="1"/>
    <col min="3329" max="3329" width="14.5703125" style="713" customWidth="1"/>
    <col min="3330" max="3330" width="12.42578125" style="713" customWidth="1"/>
    <col min="3331" max="3331" width="19.7109375" style="713" customWidth="1"/>
    <col min="3332" max="3332" width="9.140625" style="713"/>
    <col min="3333" max="3333" width="16.85546875" style="713" customWidth="1"/>
    <col min="3334" max="3334" width="12.5703125" style="713" customWidth="1"/>
    <col min="3335" max="3335" width="11.7109375" style="713" customWidth="1"/>
    <col min="3336" max="3336" width="12.28515625" style="713" customWidth="1"/>
    <col min="3337" max="3580" width="9.140625" style="713"/>
    <col min="3581" max="3581" width="4.42578125" style="713" customWidth="1"/>
    <col min="3582" max="3582" width="20.85546875" style="713" customWidth="1"/>
    <col min="3583" max="3584" width="12" style="713" customWidth="1"/>
    <col min="3585" max="3585" width="14.5703125" style="713" customWidth="1"/>
    <col min="3586" max="3586" width="12.42578125" style="713" customWidth="1"/>
    <col min="3587" max="3587" width="19.7109375" style="713" customWidth="1"/>
    <col min="3588" max="3588" width="9.140625" style="713"/>
    <col min="3589" max="3589" width="16.85546875" style="713" customWidth="1"/>
    <col min="3590" max="3590" width="12.5703125" style="713" customWidth="1"/>
    <col min="3591" max="3591" width="11.7109375" style="713" customWidth="1"/>
    <col min="3592" max="3592" width="12.28515625" style="713" customWidth="1"/>
    <col min="3593" max="3836" width="9.140625" style="713"/>
    <col min="3837" max="3837" width="4.42578125" style="713" customWidth="1"/>
    <col min="3838" max="3838" width="20.85546875" style="713" customWidth="1"/>
    <col min="3839" max="3840" width="12" style="713" customWidth="1"/>
    <col min="3841" max="3841" width="14.5703125" style="713" customWidth="1"/>
    <col min="3842" max="3842" width="12.42578125" style="713" customWidth="1"/>
    <col min="3843" max="3843" width="19.7109375" style="713" customWidth="1"/>
    <col min="3844" max="3844" width="9.140625" style="713"/>
    <col min="3845" max="3845" width="16.85546875" style="713" customWidth="1"/>
    <col min="3846" max="3846" width="12.5703125" style="713" customWidth="1"/>
    <col min="3847" max="3847" width="11.7109375" style="713" customWidth="1"/>
    <col min="3848" max="3848" width="12.28515625" style="713" customWidth="1"/>
    <col min="3849" max="4092" width="9.140625" style="713"/>
    <col min="4093" max="4093" width="4.42578125" style="713" customWidth="1"/>
    <col min="4094" max="4094" width="20.85546875" style="713" customWidth="1"/>
    <col min="4095" max="4096" width="12" style="713" customWidth="1"/>
    <col min="4097" max="4097" width="14.5703125" style="713" customWidth="1"/>
    <col min="4098" max="4098" width="12.42578125" style="713" customWidth="1"/>
    <col min="4099" max="4099" width="19.7109375" style="713" customWidth="1"/>
    <col min="4100" max="4100" width="9.140625" style="713"/>
    <col min="4101" max="4101" width="16.85546875" style="713" customWidth="1"/>
    <col min="4102" max="4102" width="12.5703125" style="713" customWidth="1"/>
    <col min="4103" max="4103" width="11.7109375" style="713" customWidth="1"/>
    <col min="4104" max="4104" width="12.28515625" style="713" customWidth="1"/>
    <col min="4105" max="4348" width="9.140625" style="713"/>
    <col min="4349" max="4349" width="4.42578125" style="713" customWidth="1"/>
    <col min="4350" max="4350" width="20.85546875" style="713" customWidth="1"/>
    <col min="4351" max="4352" width="12" style="713" customWidth="1"/>
    <col min="4353" max="4353" width="14.5703125" style="713" customWidth="1"/>
    <col min="4354" max="4354" width="12.42578125" style="713" customWidth="1"/>
    <col min="4355" max="4355" width="19.7109375" style="713" customWidth="1"/>
    <col min="4356" max="4356" width="9.140625" style="713"/>
    <col min="4357" max="4357" width="16.85546875" style="713" customWidth="1"/>
    <col min="4358" max="4358" width="12.5703125" style="713" customWidth="1"/>
    <col min="4359" max="4359" width="11.7109375" style="713" customWidth="1"/>
    <col min="4360" max="4360" width="12.28515625" style="713" customWidth="1"/>
    <col min="4361" max="4604" width="9.140625" style="713"/>
    <col min="4605" max="4605" width="4.42578125" style="713" customWidth="1"/>
    <col min="4606" max="4606" width="20.85546875" style="713" customWidth="1"/>
    <col min="4607" max="4608" width="12" style="713" customWidth="1"/>
    <col min="4609" max="4609" width="14.5703125" style="713" customWidth="1"/>
    <col min="4610" max="4610" width="12.42578125" style="713" customWidth="1"/>
    <col min="4611" max="4611" width="19.7109375" style="713" customWidth="1"/>
    <col min="4612" max="4612" width="9.140625" style="713"/>
    <col min="4613" max="4613" width="16.85546875" style="713" customWidth="1"/>
    <col min="4614" max="4614" width="12.5703125" style="713" customWidth="1"/>
    <col min="4615" max="4615" width="11.7109375" style="713" customWidth="1"/>
    <col min="4616" max="4616" width="12.28515625" style="713" customWidth="1"/>
    <col min="4617" max="4860" width="9.140625" style="713"/>
    <col min="4861" max="4861" width="4.42578125" style="713" customWidth="1"/>
    <col min="4862" max="4862" width="20.85546875" style="713" customWidth="1"/>
    <col min="4863" max="4864" width="12" style="713" customWidth="1"/>
    <col min="4865" max="4865" width="14.5703125" style="713" customWidth="1"/>
    <col min="4866" max="4866" width="12.42578125" style="713" customWidth="1"/>
    <col min="4867" max="4867" width="19.7109375" style="713" customWidth="1"/>
    <col min="4868" max="4868" width="9.140625" style="713"/>
    <col min="4869" max="4869" width="16.85546875" style="713" customWidth="1"/>
    <col min="4870" max="4870" width="12.5703125" style="713" customWidth="1"/>
    <col min="4871" max="4871" width="11.7109375" style="713" customWidth="1"/>
    <col min="4872" max="4872" width="12.28515625" style="713" customWidth="1"/>
    <col min="4873" max="5116" width="9.140625" style="713"/>
    <col min="5117" max="5117" width="4.42578125" style="713" customWidth="1"/>
    <col min="5118" max="5118" width="20.85546875" style="713" customWidth="1"/>
    <col min="5119" max="5120" width="12" style="713" customWidth="1"/>
    <col min="5121" max="5121" width="14.5703125" style="713" customWidth="1"/>
    <col min="5122" max="5122" width="12.42578125" style="713" customWidth="1"/>
    <col min="5123" max="5123" width="19.7109375" style="713" customWidth="1"/>
    <col min="5124" max="5124" width="9.140625" style="713"/>
    <col min="5125" max="5125" width="16.85546875" style="713" customWidth="1"/>
    <col min="5126" max="5126" width="12.5703125" style="713" customWidth="1"/>
    <col min="5127" max="5127" width="11.7109375" style="713" customWidth="1"/>
    <col min="5128" max="5128" width="12.28515625" style="713" customWidth="1"/>
    <col min="5129" max="5372" width="9.140625" style="713"/>
    <col min="5373" max="5373" width="4.42578125" style="713" customWidth="1"/>
    <col min="5374" max="5374" width="20.85546875" style="713" customWidth="1"/>
    <col min="5375" max="5376" width="12" style="713" customWidth="1"/>
    <col min="5377" max="5377" width="14.5703125" style="713" customWidth="1"/>
    <col min="5378" max="5378" width="12.42578125" style="713" customWidth="1"/>
    <col min="5379" max="5379" width="19.7109375" style="713" customWidth="1"/>
    <col min="5380" max="5380" width="9.140625" style="713"/>
    <col min="5381" max="5381" width="16.85546875" style="713" customWidth="1"/>
    <col min="5382" max="5382" width="12.5703125" style="713" customWidth="1"/>
    <col min="5383" max="5383" width="11.7109375" style="713" customWidth="1"/>
    <col min="5384" max="5384" width="12.28515625" style="713" customWidth="1"/>
    <col min="5385" max="5628" width="9.140625" style="713"/>
    <col min="5629" max="5629" width="4.42578125" style="713" customWidth="1"/>
    <col min="5630" max="5630" width="20.85546875" style="713" customWidth="1"/>
    <col min="5631" max="5632" width="12" style="713" customWidth="1"/>
    <col min="5633" max="5633" width="14.5703125" style="713" customWidth="1"/>
    <col min="5634" max="5634" width="12.42578125" style="713" customWidth="1"/>
    <col min="5635" max="5635" width="19.7109375" style="713" customWidth="1"/>
    <col min="5636" max="5636" width="9.140625" style="713"/>
    <col min="5637" max="5637" width="16.85546875" style="713" customWidth="1"/>
    <col min="5638" max="5638" width="12.5703125" style="713" customWidth="1"/>
    <col min="5639" max="5639" width="11.7109375" style="713" customWidth="1"/>
    <col min="5640" max="5640" width="12.28515625" style="713" customWidth="1"/>
    <col min="5641" max="5884" width="9.140625" style="713"/>
    <col min="5885" max="5885" width="4.42578125" style="713" customWidth="1"/>
    <col min="5886" max="5886" width="20.85546875" style="713" customWidth="1"/>
    <col min="5887" max="5888" width="12" style="713" customWidth="1"/>
    <col min="5889" max="5889" width="14.5703125" style="713" customWidth="1"/>
    <col min="5890" max="5890" width="12.42578125" style="713" customWidth="1"/>
    <col min="5891" max="5891" width="19.7109375" style="713" customWidth="1"/>
    <col min="5892" max="5892" width="9.140625" style="713"/>
    <col min="5893" max="5893" width="16.85546875" style="713" customWidth="1"/>
    <col min="5894" max="5894" width="12.5703125" style="713" customWidth="1"/>
    <col min="5895" max="5895" width="11.7109375" style="713" customWidth="1"/>
    <col min="5896" max="5896" width="12.28515625" style="713" customWidth="1"/>
    <col min="5897" max="6140" width="9.140625" style="713"/>
    <col min="6141" max="6141" width="4.42578125" style="713" customWidth="1"/>
    <col min="6142" max="6142" width="20.85546875" style="713" customWidth="1"/>
    <col min="6143" max="6144" width="12" style="713" customWidth="1"/>
    <col min="6145" max="6145" width="14.5703125" style="713" customWidth="1"/>
    <col min="6146" max="6146" width="12.42578125" style="713" customWidth="1"/>
    <col min="6147" max="6147" width="19.7109375" style="713" customWidth="1"/>
    <col min="6148" max="6148" width="9.140625" style="713"/>
    <col min="6149" max="6149" width="16.85546875" style="713" customWidth="1"/>
    <col min="6150" max="6150" width="12.5703125" style="713" customWidth="1"/>
    <col min="6151" max="6151" width="11.7109375" style="713" customWidth="1"/>
    <col min="6152" max="6152" width="12.28515625" style="713" customWidth="1"/>
    <col min="6153" max="6396" width="9.140625" style="713"/>
    <col min="6397" max="6397" width="4.42578125" style="713" customWidth="1"/>
    <col min="6398" max="6398" width="20.85546875" style="713" customWidth="1"/>
    <col min="6399" max="6400" width="12" style="713" customWidth="1"/>
    <col min="6401" max="6401" width="14.5703125" style="713" customWidth="1"/>
    <col min="6402" max="6402" width="12.42578125" style="713" customWidth="1"/>
    <col min="6403" max="6403" width="19.7109375" style="713" customWidth="1"/>
    <col min="6404" max="6404" width="9.140625" style="713"/>
    <col min="6405" max="6405" width="16.85546875" style="713" customWidth="1"/>
    <col min="6406" max="6406" width="12.5703125" style="713" customWidth="1"/>
    <col min="6407" max="6407" width="11.7109375" style="713" customWidth="1"/>
    <col min="6408" max="6408" width="12.28515625" style="713" customWidth="1"/>
    <col min="6409" max="6652" width="9.140625" style="713"/>
    <col min="6653" max="6653" width="4.42578125" style="713" customWidth="1"/>
    <col min="6654" max="6654" width="20.85546875" style="713" customWidth="1"/>
    <col min="6655" max="6656" width="12" style="713" customWidth="1"/>
    <col min="6657" max="6657" width="14.5703125" style="713" customWidth="1"/>
    <col min="6658" max="6658" width="12.42578125" style="713" customWidth="1"/>
    <col min="6659" max="6659" width="19.7109375" style="713" customWidth="1"/>
    <col min="6660" max="6660" width="9.140625" style="713"/>
    <col min="6661" max="6661" width="16.85546875" style="713" customWidth="1"/>
    <col min="6662" max="6662" width="12.5703125" style="713" customWidth="1"/>
    <col min="6663" max="6663" width="11.7109375" style="713" customWidth="1"/>
    <col min="6664" max="6664" width="12.28515625" style="713" customWidth="1"/>
    <col min="6665" max="6908" width="9.140625" style="713"/>
    <col min="6909" max="6909" width="4.42578125" style="713" customWidth="1"/>
    <col min="6910" max="6910" width="20.85546875" style="713" customWidth="1"/>
    <col min="6911" max="6912" width="12" style="713" customWidth="1"/>
    <col min="6913" max="6913" width="14.5703125" style="713" customWidth="1"/>
    <col min="6914" max="6914" width="12.42578125" style="713" customWidth="1"/>
    <col min="6915" max="6915" width="19.7109375" style="713" customWidth="1"/>
    <col min="6916" max="6916" width="9.140625" style="713"/>
    <col min="6917" max="6917" width="16.85546875" style="713" customWidth="1"/>
    <col min="6918" max="6918" width="12.5703125" style="713" customWidth="1"/>
    <col min="6919" max="6919" width="11.7109375" style="713" customWidth="1"/>
    <col min="6920" max="6920" width="12.28515625" style="713" customWidth="1"/>
    <col min="6921" max="7164" width="9.140625" style="713"/>
    <col min="7165" max="7165" width="4.42578125" style="713" customWidth="1"/>
    <col min="7166" max="7166" width="20.85546875" style="713" customWidth="1"/>
    <col min="7167" max="7168" width="12" style="713" customWidth="1"/>
    <col min="7169" max="7169" width="14.5703125" style="713" customWidth="1"/>
    <col min="7170" max="7170" width="12.42578125" style="713" customWidth="1"/>
    <col min="7171" max="7171" width="19.7109375" style="713" customWidth="1"/>
    <col min="7172" max="7172" width="9.140625" style="713"/>
    <col min="7173" max="7173" width="16.85546875" style="713" customWidth="1"/>
    <col min="7174" max="7174" width="12.5703125" style="713" customWidth="1"/>
    <col min="7175" max="7175" width="11.7109375" style="713" customWidth="1"/>
    <col min="7176" max="7176" width="12.28515625" style="713" customWidth="1"/>
    <col min="7177" max="7420" width="9.140625" style="713"/>
    <col min="7421" max="7421" width="4.42578125" style="713" customWidth="1"/>
    <col min="7422" max="7422" width="20.85546875" style="713" customWidth="1"/>
    <col min="7423" max="7424" width="12" style="713" customWidth="1"/>
    <col min="7425" max="7425" width="14.5703125" style="713" customWidth="1"/>
    <col min="7426" max="7426" width="12.42578125" style="713" customWidth="1"/>
    <col min="7427" max="7427" width="19.7109375" style="713" customWidth="1"/>
    <col min="7428" max="7428" width="9.140625" style="713"/>
    <col min="7429" max="7429" width="16.85546875" style="713" customWidth="1"/>
    <col min="7430" max="7430" width="12.5703125" style="713" customWidth="1"/>
    <col min="7431" max="7431" width="11.7109375" style="713" customWidth="1"/>
    <col min="7432" max="7432" width="12.28515625" style="713" customWidth="1"/>
    <col min="7433" max="7676" width="9.140625" style="713"/>
    <col min="7677" max="7677" width="4.42578125" style="713" customWidth="1"/>
    <col min="7678" max="7678" width="20.85546875" style="713" customWidth="1"/>
    <col min="7679" max="7680" width="12" style="713" customWidth="1"/>
    <col min="7681" max="7681" width="14.5703125" style="713" customWidth="1"/>
    <col min="7682" max="7682" width="12.42578125" style="713" customWidth="1"/>
    <col min="7683" max="7683" width="19.7109375" style="713" customWidth="1"/>
    <col min="7684" max="7684" width="9.140625" style="713"/>
    <col min="7685" max="7685" width="16.85546875" style="713" customWidth="1"/>
    <col min="7686" max="7686" width="12.5703125" style="713" customWidth="1"/>
    <col min="7687" max="7687" width="11.7109375" style="713" customWidth="1"/>
    <col min="7688" max="7688" width="12.28515625" style="713" customWidth="1"/>
    <col min="7689" max="7932" width="9.140625" style="713"/>
    <col min="7933" max="7933" width="4.42578125" style="713" customWidth="1"/>
    <col min="7934" max="7934" width="20.85546875" style="713" customWidth="1"/>
    <col min="7935" max="7936" width="12" style="713" customWidth="1"/>
    <col min="7937" max="7937" width="14.5703125" style="713" customWidth="1"/>
    <col min="7938" max="7938" width="12.42578125" style="713" customWidth="1"/>
    <col min="7939" max="7939" width="19.7109375" style="713" customWidth="1"/>
    <col min="7940" max="7940" width="9.140625" style="713"/>
    <col min="7941" max="7941" width="16.85546875" style="713" customWidth="1"/>
    <col min="7942" max="7942" width="12.5703125" style="713" customWidth="1"/>
    <col min="7943" max="7943" width="11.7109375" style="713" customWidth="1"/>
    <col min="7944" max="7944" width="12.28515625" style="713" customWidth="1"/>
    <col min="7945" max="8188" width="9.140625" style="713"/>
    <col min="8189" max="8189" width="4.42578125" style="713" customWidth="1"/>
    <col min="8190" max="8190" width="20.85546875" style="713" customWidth="1"/>
    <col min="8191" max="8192" width="12" style="713" customWidth="1"/>
    <col min="8193" max="8193" width="14.5703125" style="713" customWidth="1"/>
    <col min="8194" max="8194" width="12.42578125" style="713" customWidth="1"/>
    <col min="8195" max="8195" width="19.7109375" style="713" customWidth="1"/>
    <col min="8196" max="8196" width="9.140625" style="713"/>
    <col min="8197" max="8197" width="16.85546875" style="713" customWidth="1"/>
    <col min="8198" max="8198" width="12.5703125" style="713" customWidth="1"/>
    <col min="8199" max="8199" width="11.7109375" style="713" customWidth="1"/>
    <col min="8200" max="8200" width="12.28515625" style="713" customWidth="1"/>
    <col min="8201" max="8444" width="9.140625" style="713"/>
    <col min="8445" max="8445" width="4.42578125" style="713" customWidth="1"/>
    <col min="8446" max="8446" width="20.85546875" style="713" customWidth="1"/>
    <col min="8447" max="8448" width="12" style="713" customWidth="1"/>
    <col min="8449" max="8449" width="14.5703125" style="713" customWidth="1"/>
    <col min="8450" max="8450" width="12.42578125" style="713" customWidth="1"/>
    <col min="8451" max="8451" width="19.7109375" style="713" customWidth="1"/>
    <col min="8452" max="8452" width="9.140625" style="713"/>
    <col min="8453" max="8453" width="16.85546875" style="713" customWidth="1"/>
    <col min="8454" max="8454" width="12.5703125" style="713" customWidth="1"/>
    <col min="8455" max="8455" width="11.7109375" style="713" customWidth="1"/>
    <col min="8456" max="8456" width="12.28515625" style="713" customWidth="1"/>
    <col min="8457" max="8700" width="9.140625" style="713"/>
    <col min="8701" max="8701" width="4.42578125" style="713" customWidth="1"/>
    <col min="8702" max="8702" width="20.85546875" style="713" customWidth="1"/>
    <col min="8703" max="8704" width="12" style="713" customWidth="1"/>
    <col min="8705" max="8705" width="14.5703125" style="713" customWidth="1"/>
    <col min="8706" max="8706" width="12.42578125" style="713" customWidth="1"/>
    <col min="8707" max="8707" width="19.7109375" style="713" customWidth="1"/>
    <col min="8708" max="8708" width="9.140625" style="713"/>
    <col min="8709" max="8709" width="16.85546875" style="713" customWidth="1"/>
    <col min="8710" max="8710" width="12.5703125" style="713" customWidth="1"/>
    <col min="8711" max="8711" width="11.7109375" style="713" customWidth="1"/>
    <col min="8712" max="8712" width="12.28515625" style="713" customWidth="1"/>
    <col min="8713" max="8956" width="9.140625" style="713"/>
    <col min="8957" max="8957" width="4.42578125" style="713" customWidth="1"/>
    <col min="8958" max="8958" width="20.85546875" style="713" customWidth="1"/>
    <col min="8959" max="8960" width="12" style="713" customWidth="1"/>
    <col min="8961" max="8961" width="14.5703125" style="713" customWidth="1"/>
    <col min="8962" max="8962" width="12.42578125" style="713" customWidth="1"/>
    <col min="8963" max="8963" width="19.7109375" style="713" customWidth="1"/>
    <col min="8964" max="8964" width="9.140625" style="713"/>
    <col min="8965" max="8965" width="16.85546875" style="713" customWidth="1"/>
    <col min="8966" max="8966" width="12.5703125" style="713" customWidth="1"/>
    <col min="8967" max="8967" width="11.7109375" style="713" customWidth="1"/>
    <col min="8968" max="8968" width="12.28515625" style="713" customWidth="1"/>
    <col min="8969" max="9212" width="9.140625" style="713"/>
    <col min="9213" max="9213" width="4.42578125" style="713" customWidth="1"/>
    <col min="9214" max="9214" width="20.85546875" style="713" customWidth="1"/>
    <col min="9215" max="9216" width="12" style="713" customWidth="1"/>
    <col min="9217" max="9217" width="14.5703125" style="713" customWidth="1"/>
    <col min="9218" max="9218" width="12.42578125" style="713" customWidth="1"/>
    <col min="9219" max="9219" width="19.7109375" style="713" customWidth="1"/>
    <col min="9220" max="9220" width="9.140625" style="713"/>
    <col min="9221" max="9221" width="16.85546875" style="713" customWidth="1"/>
    <col min="9222" max="9222" width="12.5703125" style="713" customWidth="1"/>
    <col min="9223" max="9223" width="11.7109375" style="713" customWidth="1"/>
    <col min="9224" max="9224" width="12.28515625" style="713" customWidth="1"/>
    <col min="9225" max="9468" width="9.140625" style="713"/>
    <col min="9469" max="9469" width="4.42578125" style="713" customWidth="1"/>
    <col min="9470" max="9470" width="20.85546875" style="713" customWidth="1"/>
    <col min="9471" max="9472" width="12" style="713" customWidth="1"/>
    <col min="9473" max="9473" width="14.5703125" style="713" customWidth="1"/>
    <col min="9474" max="9474" width="12.42578125" style="713" customWidth="1"/>
    <col min="9475" max="9475" width="19.7109375" style="713" customWidth="1"/>
    <col min="9476" max="9476" width="9.140625" style="713"/>
    <col min="9477" max="9477" width="16.85546875" style="713" customWidth="1"/>
    <col min="9478" max="9478" width="12.5703125" style="713" customWidth="1"/>
    <col min="9479" max="9479" width="11.7109375" style="713" customWidth="1"/>
    <col min="9480" max="9480" width="12.28515625" style="713" customWidth="1"/>
    <col min="9481" max="9724" width="9.140625" style="713"/>
    <col min="9725" max="9725" width="4.42578125" style="713" customWidth="1"/>
    <col min="9726" max="9726" width="20.85546875" style="713" customWidth="1"/>
    <col min="9727" max="9728" width="12" style="713" customWidth="1"/>
    <col min="9729" max="9729" width="14.5703125" style="713" customWidth="1"/>
    <col min="9730" max="9730" width="12.42578125" style="713" customWidth="1"/>
    <col min="9731" max="9731" width="19.7109375" style="713" customWidth="1"/>
    <col min="9732" max="9732" width="9.140625" style="713"/>
    <col min="9733" max="9733" width="16.85546875" style="713" customWidth="1"/>
    <col min="9734" max="9734" width="12.5703125" style="713" customWidth="1"/>
    <col min="9735" max="9735" width="11.7109375" style="713" customWidth="1"/>
    <col min="9736" max="9736" width="12.28515625" style="713" customWidth="1"/>
    <col min="9737" max="9980" width="9.140625" style="713"/>
    <col min="9981" max="9981" width="4.42578125" style="713" customWidth="1"/>
    <col min="9982" max="9982" width="20.85546875" style="713" customWidth="1"/>
    <col min="9983" max="9984" width="12" style="713" customWidth="1"/>
    <col min="9985" max="9985" width="14.5703125" style="713" customWidth="1"/>
    <col min="9986" max="9986" width="12.42578125" style="713" customWidth="1"/>
    <col min="9987" max="9987" width="19.7109375" style="713" customWidth="1"/>
    <col min="9988" max="9988" width="9.140625" style="713"/>
    <col min="9989" max="9989" width="16.85546875" style="713" customWidth="1"/>
    <col min="9990" max="9990" width="12.5703125" style="713" customWidth="1"/>
    <col min="9991" max="9991" width="11.7109375" style="713" customWidth="1"/>
    <col min="9992" max="9992" width="12.28515625" style="713" customWidth="1"/>
    <col min="9993" max="10236" width="9.140625" style="713"/>
    <col min="10237" max="10237" width="4.42578125" style="713" customWidth="1"/>
    <col min="10238" max="10238" width="20.85546875" style="713" customWidth="1"/>
    <col min="10239" max="10240" width="12" style="713" customWidth="1"/>
    <col min="10241" max="10241" width="14.5703125" style="713" customWidth="1"/>
    <col min="10242" max="10242" width="12.42578125" style="713" customWidth="1"/>
    <col min="10243" max="10243" width="19.7109375" style="713" customWidth="1"/>
    <col min="10244" max="10244" width="9.140625" style="713"/>
    <col min="10245" max="10245" width="16.85546875" style="713" customWidth="1"/>
    <col min="10246" max="10246" width="12.5703125" style="713" customWidth="1"/>
    <col min="10247" max="10247" width="11.7109375" style="713" customWidth="1"/>
    <col min="10248" max="10248" width="12.28515625" style="713" customWidth="1"/>
    <col min="10249" max="10492" width="9.140625" style="713"/>
    <col min="10493" max="10493" width="4.42578125" style="713" customWidth="1"/>
    <col min="10494" max="10494" width="20.85546875" style="713" customWidth="1"/>
    <col min="10495" max="10496" width="12" style="713" customWidth="1"/>
    <col min="10497" max="10497" width="14.5703125" style="713" customWidth="1"/>
    <col min="10498" max="10498" width="12.42578125" style="713" customWidth="1"/>
    <col min="10499" max="10499" width="19.7109375" style="713" customWidth="1"/>
    <col min="10500" max="10500" width="9.140625" style="713"/>
    <col min="10501" max="10501" width="16.85546875" style="713" customWidth="1"/>
    <col min="10502" max="10502" width="12.5703125" style="713" customWidth="1"/>
    <col min="10503" max="10503" width="11.7109375" style="713" customWidth="1"/>
    <col min="10504" max="10504" width="12.28515625" style="713" customWidth="1"/>
    <col min="10505" max="10748" width="9.140625" style="713"/>
    <col min="10749" max="10749" width="4.42578125" style="713" customWidth="1"/>
    <col min="10750" max="10750" width="20.85546875" style="713" customWidth="1"/>
    <col min="10751" max="10752" width="12" style="713" customWidth="1"/>
    <col min="10753" max="10753" width="14.5703125" style="713" customWidth="1"/>
    <col min="10754" max="10754" width="12.42578125" style="713" customWidth="1"/>
    <col min="10755" max="10755" width="19.7109375" style="713" customWidth="1"/>
    <col min="10756" max="10756" width="9.140625" style="713"/>
    <col min="10757" max="10757" width="16.85546875" style="713" customWidth="1"/>
    <col min="10758" max="10758" width="12.5703125" style="713" customWidth="1"/>
    <col min="10759" max="10759" width="11.7109375" style="713" customWidth="1"/>
    <col min="10760" max="10760" width="12.28515625" style="713" customWidth="1"/>
    <col min="10761" max="11004" width="9.140625" style="713"/>
    <col min="11005" max="11005" width="4.42578125" style="713" customWidth="1"/>
    <col min="11006" max="11006" width="20.85546875" style="713" customWidth="1"/>
    <col min="11007" max="11008" width="12" style="713" customWidth="1"/>
    <col min="11009" max="11009" width="14.5703125" style="713" customWidth="1"/>
    <col min="11010" max="11010" width="12.42578125" style="713" customWidth="1"/>
    <col min="11011" max="11011" width="19.7109375" style="713" customWidth="1"/>
    <col min="11012" max="11012" width="9.140625" style="713"/>
    <col min="11013" max="11013" width="16.85546875" style="713" customWidth="1"/>
    <col min="11014" max="11014" width="12.5703125" style="713" customWidth="1"/>
    <col min="11015" max="11015" width="11.7109375" style="713" customWidth="1"/>
    <col min="11016" max="11016" width="12.28515625" style="713" customWidth="1"/>
    <col min="11017" max="11260" width="9.140625" style="713"/>
    <col min="11261" max="11261" width="4.42578125" style="713" customWidth="1"/>
    <col min="11262" max="11262" width="20.85546875" style="713" customWidth="1"/>
    <col min="11263" max="11264" width="12" style="713" customWidth="1"/>
    <col min="11265" max="11265" width="14.5703125" style="713" customWidth="1"/>
    <col min="11266" max="11266" width="12.42578125" style="713" customWidth="1"/>
    <col min="11267" max="11267" width="19.7109375" style="713" customWidth="1"/>
    <col min="11268" max="11268" width="9.140625" style="713"/>
    <col min="11269" max="11269" width="16.85546875" style="713" customWidth="1"/>
    <col min="11270" max="11270" width="12.5703125" style="713" customWidth="1"/>
    <col min="11271" max="11271" width="11.7109375" style="713" customWidth="1"/>
    <col min="11272" max="11272" width="12.28515625" style="713" customWidth="1"/>
    <col min="11273" max="11516" width="9.140625" style="713"/>
    <col min="11517" max="11517" width="4.42578125" style="713" customWidth="1"/>
    <col min="11518" max="11518" width="20.85546875" style="713" customWidth="1"/>
    <col min="11519" max="11520" width="12" style="713" customWidth="1"/>
    <col min="11521" max="11521" width="14.5703125" style="713" customWidth="1"/>
    <col min="11522" max="11522" width="12.42578125" style="713" customWidth="1"/>
    <col min="11523" max="11523" width="19.7109375" style="713" customWidth="1"/>
    <col min="11524" max="11524" width="9.140625" style="713"/>
    <col min="11525" max="11525" width="16.85546875" style="713" customWidth="1"/>
    <col min="11526" max="11526" width="12.5703125" style="713" customWidth="1"/>
    <col min="11527" max="11527" width="11.7109375" style="713" customWidth="1"/>
    <col min="11528" max="11528" width="12.28515625" style="713" customWidth="1"/>
    <col min="11529" max="11772" width="9.140625" style="713"/>
    <col min="11773" max="11773" width="4.42578125" style="713" customWidth="1"/>
    <col min="11774" max="11774" width="20.85546875" style="713" customWidth="1"/>
    <col min="11775" max="11776" width="12" style="713" customWidth="1"/>
    <col min="11777" max="11777" width="14.5703125" style="713" customWidth="1"/>
    <col min="11778" max="11778" width="12.42578125" style="713" customWidth="1"/>
    <col min="11779" max="11779" width="19.7109375" style="713" customWidth="1"/>
    <col min="11780" max="11780" width="9.140625" style="713"/>
    <col min="11781" max="11781" width="16.85546875" style="713" customWidth="1"/>
    <col min="11782" max="11782" width="12.5703125" style="713" customWidth="1"/>
    <col min="11783" max="11783" width="11.7109375" style="713" customWidth="1"/>
    <col min="11784" max="11784" width="12.28515625" style="713" customWidth="1"/>
    <col min="11785" max="12028" width="9.140625" style="713"/>
    <col min="12029" max="12029" width="4.42578125" style="713" customWidth="1"/>
    <col min="12030" max="12030" width="20.85546875" style="713" customWidth="1"/>
    <col min="12031" max="12032" width="12" style="713" customWidth="1"/>
    <col min="12033" max="12033" width="14.5703125" style="713" customWidth="1"/>
    <col min="12034" max="12034" width="12.42578125" style="713" customWidth="1"/>
    <col min="12035" max="12035" width="19.7109375" style="713" customWidth="1"/>
    <col min="12036" max="12036" width="9.140625" style="713"/>
    <col min="12037" max="12037" width="16.85546875" style="713" customWidth="1"/>
    <col min="12038" max="12038" width="12.5703125" style="713" customWidth="1"/>
    <col min="12039" max="12039" width="11.7109375" style="713" customWidth="1"/>
    <col min="12040" max="12040" width="12.28515625" style="713" customWidth="1"/>
    <col min="12041" max="12284" width="9.140625" style="713"/>
    <col min="12285" max="12285" width="4.42578125" style="713" customWidth="1"/>
    <col min="12286" max="12286" width="20.85546875" style="713" customWidth="1"/>
    <col min="12287" max="12288" width="12" style="713" customWidth="1"/>
    <col min="12289" max="12289" width="14.5703125" style="713" customWidth="1"/>
    <col min="12290" max="12290" width="12.42578125" style="713" customWidth="1"/>
    <col min="12291" max="12291" width="19.7109375" style="713" customWidth="1"/>
    <col min="12292" max="12292" width="9.140625" style="713"/>
    <col min="12293" max="12293" width="16.85546875" style="713" customWidth="1"/>
    <col min="12294" max="12294" width="12.5703125" style="713" customWidth="1"/>
    <col min="12295" max="12295" width="11.7109375" style="713" customWidth="1"/>
    <col min="12296" max="12296" width="12.28515625" style="713" customWidth="1"/>
    <col min="12297" max="12540" width="9.140625" style="713"/>
    <col min="12541" max="12541" width="4.42578125" style="713" customWidth="1"/>
    <col min="12542" max="12542" width="20.85546875" style="713" customWidth="1"/>
    <col min="12543" max="12544" width="12" style="713" customWidth="1"/>
    <col min="12545" max="12545" width="14.5703125" style="713" customWidth="1"/>
    <col min="12546" max="12546" width="12.42578125" style="713" customWidth="1"/>
    <col min="12547" max="12547" width="19.7109375" style="713" customWidth="1"/>
    <col min="12548" max="12548" width="9.140625" style="713"/>
    <col min="12549" max="12549" width="16.85546875" style="713" customWidth="1"/>
    <col min="12550" max="12550" width="12.5703125" style="713" customWidth="1"/>
    <col min="12551" max="12551" width="11.7109375" style="713" customWidth="1"/>
    <col min="12552" max="12552" width="12.28515625" style="713" customWidth="1"/>
    <col min="12553" max="12796" width="9.140625" style="713"/>
    <col min="12797" max="12797" width="4.42578125" style="713" customWidth="1"/>
    <col min="12798" max="12798" width="20.85546875" style="713" customWidth="1"/>
    <col min="12799" max="12800" width="12" style="713" customWidth="1"/>
    <col min="12801" max="12801" width="14.5703125" style="713" customWidth="1"/>
    <col min="12802" max="12802" width="12.42578125" style="713" customWidth="1"/>
    <col min="12803" max="12803" width="19.7109375" style="713" customWidth="1"/>
    <col min="12804" max="12804" width="9.140625" style="713"/>
    <col min="12805" max="12805" width="16.85546875" style="713" customWidth="1"/>
    <col min="12806" max="12806" width="12.5703125" style="713" customWidth="1"/>
    <col min="12807" max="12807" width="11.7109375" style="713" customWidth="1"/>
    <col min="12808" max="12808" width="12.28515625" style="713" customWidth="1"/>
    <col min="12809" max="13052" width="9.140625" style="713"/>
    <col min="13053" max="13053" width="4.42578125" style="713" customWidth="1"/>
    <col min="13054" max="13054" width="20.85546875" style="713" customWidth="1"/>
    <col min="13055" max="13056" width="12" style="713" customWidth="1"/>
    <col min="13057" max="13057" width="14.5703125" style="713" customWidth="1"/>
    <col min="13058" max="13058" width="12.42578125" style="713" customWidth="1"/>
    <col min="13059" max="13059" width="19.7109375" style="713" customWidth="1"/>
    <col min="13060" max="13060" width="9.140625" style="713"/>
    <col min="13061" max="13061" width="16.85546875" style="713" customWidth="1"/>
    <col min="13062" max="13062" width="12.5703125" style="713" customWidth="1"/>
    <col min="13063" max="13063" width="11.7109375" style="713" customWidth="1"/>
    <col min="13064" max="13064" width="12.28515625" style="713" customWidth="1"/>
    <col min="13065" max="13308" width="9.140625" style="713"/>
    <col min="13309" max="13309" width="4.42578125" style="713" customWidth="1"/>
    <col min="13310" max="13310" width="20.85546875" style="713" customWidth="1"/>
    <col min="13311" max="13312" width="12" style="713" customWidth="1"/>
    <col min="13313" max="13313" width="14.5703125" style="713" customWidth="1"/>
    <col min="13314" max="13314" width="12.42578125" style="713" customWidth="1"/>
    <col min="13315" max="13315" width="19.7109375" style="713" customWidth="1"/>
    <col min="13316" max="13316" width="9.140625" style="713"/>
    <col min="13317" max="13317" width="16.85546875" style="713" customWidth="1"/>
    <col min="13318" max="13318" width="12.5703125" style="713" customWidth="1"/>
    <col min="13319" max="13319" width="11.7109375" style="713" customWidth="1"/>
    <col min="13320" max="13320" width="12.28515625" style="713" customWidth="1"/>
    <col min="13321" max="13564" width="9.140625" style="713"/>
    <col min="13565" max="13565" width="4.42578125" style="713" customWidth="1"/>
    <col min="13566" max="13566" width="20.85546875" style="713" customWidth="1"/>
    <col min="13567" max="13568" width="12" style="713" customWidth="1"/>
    <col min="13569" max="13569" width="14.5703125" style="713" customWidth="1"/>
    <col min="13570" max="13570" width="12.42578125" style="713" customWidth="1"/>
    <col min="13571" max="13571" width="19.7109375" style="713" customWidth="1"/>
    <col min="13572" max="13572" width="9.140625" style="713"/>
    <col min="13573" max="13573" width="16.85546875" style="713" customWidth="1"/>
    <col min="13574" max="13574" width="12.5703125" style="713" customWidth="1"/>
    <col min="13575" max="13575" width="11.7109375" style="713" customWidth="1"/>
    <col min="13576" max="13576" width="12.28515625" style="713" customWidth="1"/>
    <col min="13577" max="13820" width="9.140625" style="713"/>
    <col min="13821" max="13821" width="4.42578125" style="713" customWidth="1"/>
    <col min="13822" max="13822" width="20.85546875" style="713" customWidth="1"/>
    <col min="13823" max="13824" width="12" style="713" customWidth="1"/>
    <col min="13825" max="13825" width="14.5703125" style="713" customWidth="1"/>
    <col min="13826" max="13826" width="12.42578125" style="713" customWidth="1"/>
    <col min="13827" max="13827" width="19.7109375" style="713" customWidth="1"/>
    <col min="13828" max="13828" width="9.140625" style="713"/>
    <col min="13829" max="13829" width="16.85546875" style="713" customWidth="1"/>
    <col min="13830" max="13830" width="12.5703125" style="713" customWidth="1"/>
    <col min="13831" max="13831" width="11.7109375" style="713" customWidth="1"/>
    <col min="13832" max="13832" width="12.28515625" style="713" customWidth="1"/>
    <col min="13833" max="14076" width="9.140625" style="713"/>
    <col min="14077" max="14077" width="4.42578125" style="713" customWidth="1"/>
    <col min="14078" max="14078" width="20.85546875" style="713" customWidth="1"/>
    <col min="14079" max="14080" width="12" style="713" customWidth="1"/>
    <col min="14081" max="14081" width="14.5703125" style="713" customWidth="1"/>
    <col min="14082" max="14082" width="12.42578125" style="713" customWidth="1"/>
    <col min="14083" max="14083" width="19.7109375" style="713" customWidth="1"/>
    <col min="14084" max="14084" width="9.140625" style="713"/>
    <col min="14085" max="14085" width="16.85546875" style="713" customWidth="1"/>
    <col min="14086" max="14086" width="12.5703125" style="713" customWidth="1"/>
    <col min="14087" max="14087" width="11.7109375" style="713" customWidth="1"/>
    <col min="14088" max="14088" width="12.28515625" style="713" customWidth="1"/>
    <col min="14089" max="14332" width="9.140625" style="713"/>
    <col min="14333" max="14333" width="4.42578125" style="713" customWidth="1"/>
    <col min="14334" max="14334" width="20.85546875" style="713" customWidth="1"/>
    <col min="14335" max="14336" width="12" style="713" customWidth="1"/>
    <col min="14337" max="14337" width="14.5703125" style="713" customWidth="1"/>
    <col min="14338" max="14338" width="12.42578125" style="713" customWidth="1"/>
    <col min="14339" max="14339" width="19.7109375" style="713" customWidth="1"/>
    <col min="14340" max="14340" width="9.140625" style="713"/>
    <col min="14341" max="14341" width="16.85546875" style="713" customWidth="1"/>
    <col min="14342" max="14342" width="12.5703125" style="713" customWidth="1"/>
    <col min="14343" max="14343" width="11.7109375" style="713" customWidth="1"/>
    <col min="14344" max="14344" width="12.28515625" style="713" customWidth="1"/>
    <col min="14345" max="14588" width="9.140625" style="713"/>
    <col min="14589" max="14589" width="4.42578125" style="713" customWidth="1"/>
    <col min="14590" max="14590" width="20.85546875" style="713" customWidth="1"/>
    <col min="14591" max="14592" width="12" style="713" customWidth="1"/>
    <col min="14593" max="14593" width="14.5703125" style="713" customWidth="1"/>
    <col min="14594" max="14594" width="12.42578125" style="713" customWidth="1"/>
    <col min="14595" max="14595" width="19.7109375" style="713" customWidth="1"/>
    <col min="14596" max="14596" width="9.140625" style="713"/>
    <col min="14597" max="14597" width="16.85546875" style="713" customWidth="1"/>
    <col min="14598" max="14598" width="12.5703125" style="713" customWidth="1"/>
    <col min="14599" max="14599" width="11.7109375" style="713" customWidth="1"/>
    <col min="14600" max="14600" width="12.28515625" style="713" customWidth="1"/>
    <col min="14601" max="14844" width="9.140625" style="713"/>
    <col min="14845" max="14845" width="4.42578125" style="713" customWidth="1"/>
    <col min="14846" max="14846" width="20.85546875" style="713" customWidth="1"/>
    <col min="14847" max="14848" width="12" style="713" customWidth="1"/>
    <col min="14849" max="14849" width="14.5703125" style="713" customWidth="1"/>
    <col min="14850" max="14850" width="12.42578125" style="713" customWidth="1"/>
    <col min="14851" max="14851" width="19.7109375" style="713" customWidth="1"/>
    <col min="14852" max="14852" width="9.140625" style="713"/>
    <col min="14853" max="14853" width="16.85546875" style="713" customWidth="1"/>
    <col min="14854" max="14854" width="12.5703125" style="713" customWidth="1"/>
    <col min="14855" max="14855" width="11.7109375" style="713" customWidth="1"/>
    <col min="14856" max="14856" width="12.28515625" style="713" customWidth="1"/>
    <col min="14857" max="15100" width="9.140625" style="713"/>
    <col min="15101" max="15101" width="4.42578125" style="713" customWidth="1"/>
    <col min="15102" max="15102" width="20.85546875" style="713" customWidth="1"/>
    <col min="15103" max="15104" width="12" style="713" customWidth="1"/>
    <col min="15105" max="15105" width="14.5703125" style="713" customWidth="1"/>
    <col min="15106" max="15106" width="12.42578125" style="713" customWidth="1"/>
    <col min="15107" max="15107" width="19.7109375" style="713" customWidth="1"/>
    <col min="15108" max="15108" width="9.140625" style="713"/>
    <col min="15109" max="15109" width="16.85546875" style="713" customWidth="1"/>
    <col min="15110" max="15110" width="12.5703125" style="713" customWidth="1"/>
    <col min="15111" max="15111" width="11.7109375" style="713" customWidth="1"/>
    <col min="15112" max="15112" width="12.28515625" style="713" customWidth="1"/>
    <col min="15113" max="15356" width="9.140625" style="713"/>
    <col min="15357" max="15357" width="4.42578125" style="713" customWidth="1"/>
    <col min="15358" max="15358" width="20.85546875" style="713" customWidth="1"/>
    <col min="15359" max="15360" width="12" style="713" customWidth="1"/>
    <col min="15361" max="15361" width="14.5703125" style="713" customWidth="1"/>
    <col min="15362" max="15362" width="12.42578125" style="713" customWidth="1"/>
    <col min="15363" max="15363" width="19.7109375" style="713" customWidth="1"/>
    <col min="15364" max="15364" width="9.140625" style="713"/>
    <col min="15365" max="15365" width="16.85546875" style="713" customWidth="1"/>
    <col min="15366" max="15366" width="12.5703125" style="713" customWidth="1"/>
    <col min="15367" max="15367" width="11.7109375" style="713" customWidth="1"/>
    <col min="15368" max="15368" width="12.28515625" style="713" customWidth="1"/>
    <col min="15369" max="15612" width="9.140625" style="713"/>
    <col min="15613" max="15613" width="4.42578125" style="713" customWidth="1"/>
    <col min="15614" max="15614" width="20.85546875" style="713" customWidth="1"/>
    <col min="15615" max="15616" width="12" style="713" customWidth="1"/>
    <col min="15617" max="15617" width="14.5703125" style="713" customWidth="1"/>
    <col min="15618" max="15618" width="12.42578125" style="713" customWidth="1"/>
    <col min="15619" max="15619" width="19.7109375" style="713" customWidth="1"/>
    <col min="15620" max="15620" width="9.140625" style="713"/>
    <col min="15621" max="15621" width="16.85546875" style="713" customWidth="1"/>
    <col min="15622" max="15622" width="12.5703125" style="713" customWidth="1"/>
    <col min="15623" max="15623" width="11.7109375" style="713" customWidth="1"/>
    <col min="15624" max="15624" width="12.28515625" style="713" customWidth="1"/>
    <col min="15625" max="15868" width="9.140625" style="713"/>
    <col min="15869" max="15869" width="4.42578125" style="713" customWidth="1"/>
    <col min="15870" max="15870" width="20.85546875" style="713" customWidth="1"/>
    <col min="15871" max="15872" width="12" style="713" customWidth="1"/>
    <col min="15873" max="15873" width="14.5703125" style="713" customWidth="1"/>
    <col min="15874" max="15874" width="12.42578125" style="713" customWidth="1"/>
    <col min="15875" max="15875" width="19.7109375" style="713" customWidth="1"/>
    <col min="15876" max="15876" width="9.140625" style="713"/>
    <col min="15877" max="15877" width="16.85546875" style="713" customWidth="1"/>
    <col min="15878" max="15878" width="12.5703125" style="713" customWidth="1"/>
    <col min="15879" max="15879" width="11.7109375" style="713" customWidth="1"/>
    <col min="15880" max="15880" width="12.28515625" style="713" customWidth="1"/>
    <col min="15881" max="16124" width="9.140625" style="713"/>
    <col min="16125" max="16125" width="4.42578125" style="713" customWidth="1"/>
    <col min="16126" max="16126" width="20.85546875" style="713" customWidth="1"/>
    <col min="16127" max="16128" width="12" style="713" customWidth="1"/>
    <col min="16129" max="16129" width="14.5703125" style="713" customWidth="1"/>
    <col min="16130" max="16130" width="12.42578125" style="713" customWidth="1"/>
    <col min="16131" max="16131" width="19.7109375" style="713" customWidth="1"/>
    <col min="16132" max="16132" width="9.140625" style="713"/>
    <col min="16133" max="16133" width="16.85546875" style="713" customWidth="1"/>
    <col min="16134" max="16134" width="12.5703125" style="713" customWidth="1"/>
    <col min="16135" max="16135" width="11.7109375" style="713" customWidth="1"/>
    <col min="16136" max="16136" width="12.28515625" style="713" customWidth="1"/>
    <col min="16137" max="16384" width="9.140625" style="713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197" t="s">
        <v>364</v>
      </c>
      <c r="C5" s="1197"/>
      <c r="D5" s="1197"/>
      <c r="E5" s="1197"/>
      <c r="F5" s="1197"/>
      <c r="G5" s="1197"/>
      <c r="I5" s="695" t="s">
        <v>340</v>
      </c>
    </row>
    <row r="6" spans="2:11" ht="15.75" customHeight="1" thickBot="1">
      <c r="B6" s="1198" t="s">
        <v>172</v>
      </c>
      <c r="C6" s="1200" t="s">
        <v>365</v>
      </c>
      <c r="D6" s="1201"/>
      <c r="E6" s="1202"/>
      <c r="F6" s="1203" t="s">
        <v>366</v>
      </c>
      <c r="G6" s="1198" t="s">
        <v>367</v>
      </c>
    </row>
    <row r="7" spans="2:11" ht="31.5" customHeight="1" thickBot="1">
      <c r="B7" s="1199"/>
      <c r="C7" s="962" t="s">
        <v>318</v>
      </c>
      <c r="D7" s="962" t="s">
        <v>329</v>
      </c>
      <c r="E7" s="962" t="s">
        <v>330</v>
      </c>
      <c r="F7" s="1204"/>
      <c r="G7" s="1199"/>
    </row>
    <row r="8" spans="2:11" ht="17.25" customHeight="1" thickBot="1">
      <c r="B8" s="963" t="s">
        <v>173</v>
      </c>
      <c r="C8" s="807">
        <v>9159.6859999999997</v>
      </c>
      <c r="D8" s="807">
        <v>2624.5230000000001</v>
      </c>
      <c r="E8" s="1078">
        <f>(D8/C8)*100</f>
        <v>28.652980025734507</v>
      </c>
      <c r="F8" s="807">
        <v>11208.806</v>
      </c>
      <c r="G8" s="1078">
        <f>((C8-F8)/F8)*100</f>
        <v>-18.281340581681945</v>
      </c>
      <c r="I8" s="736" t="s">
        <v>174</v>
      </c>
    </row>
    <row r="9" spans="2:11" ht="18" customHeight="1" thickBot="1">
      <c r="B9" s="964" t="s">
        <v>175</v>
      </c>
      <c r="C9" s="808">
        <v>46383</v>
      </c>
      <c r="D9" s="808">
        <v>6912</v>
      </c>
      <c r="E9" s="1079">
        <f t="shared" ref="E9:E13" si="0">(D9/C9)*100</f>
        <v>14.902011512838756</v>
      </c>
      <c r="F9" s="808">
        <v>57094</v>
      </c>
      <c r="G9" s="1079">
        <f t="shared" ref="G9:G13" si="1">((C9-F9)/F9)*100</f>
        <v>-18.760290047991031</v>
      </c>
      <c r="I9" s="694">
        <f>C9-F9</f>
        <v>-10711</v>
      </c>
    </row>
    <row r="10" spans="2:11" ht="15" customHeight="1" thickBot="1">
      <c r="B10" s="965" t="s">
        <v>309</v>
      </c>
      <c r="C10" s="809">
        <v>25659</v>
      </c>
      <c r="D10" s="810">
        <v>0</v>
      </c>
      <c r="E10" s="1079">
        <f t="shared" si="0"/>
        <v>0</v>
      </c>
      <c r="F10" s="811">
        <v>31365</v>
      </c>
      <c r="G10" s="1079">
        <f t="shared" si="1"/>
        <v>-18.192252510760401</v>
      </c>
    </row>
    <row r="11" spans="2:11" ht="17.25" customHeight="1" thickBot="1">
      <c r="B11" s="966" t="s">
        <v>176</v>
      </c>
      <c r="C11" s="812">
        <v>259681.81599999999</v>
      </c>
      <c r="D11" s="813">
        <v>44376.184999999998</v>
      </c>
      <c r="E11" s="1080">
        <f t="shared" si="0"/>
        <v>17.088676320717042</v>
      </c>
      <c r="F11" s="813">
        <v>255550.55900000001</v>
      </c>
      <c r="G11" s="1080">
        <f t="shared" si="1"/>
        <v>1.6166104336324241</v>
      </c>
      <c r="K11" s="960"/>
    </row>
    <row r="12" spans="2:11" ht="15" customHeight="1" thickBot="1">
      <c r="B12" s="963" t="s">
        <v>177</v>
      </c>
      <c r="C12" s="807">
        <v>74659.149000000005</v>
      </c>
      <c r="D12" s="807">
        <v>12224.757</v>
      </c>
      <c r="E12" s="1079">
        <f t="shared" si="0"/>
        <v>16.374091003903619</v>
      </c>
      <c r="F12" s="807">
        <v>85998.994999999995</v>
      </c>
      <c r="G12" s="1079">
        <f t="shared" si="1"/>
        <v>-13.186021534321407</v>
      </c>
    </row>
    <row r="13" spans="2:11" ht="15" customHeight="1" thickBot="1">
      <c r="B13" s="963" t="s">
        <v>178</v>
      </c>
      <c r="C13" s="807">
        <f t="shared" ref="C13:D13" si="2">C11+C12</f>
        <v>334340.96499999997</v>
      </c>
      <c r="D13" s="807">
        <f t="shared" si="2"/>
        <v>56600.941999999995</v>
      </c>
      <c r="E13" s="1081">
        <f t="shared" si="0"/>
        <v>16.929107685024476</v>
      </c>
      <c r="F13" s="807">
        <f t="shared" ref="F13" si="3">F11+F12</f>
        <v>341549.554</v>
      </c>
      <c r="G13" s="1081">
        <f t="shared" si="1"/>
        <v>-2.1105543589730575</v>
      </c>
    </row>
    <row r="14" spans="2:11">
      <c r="C14" s="989"/>
      <c r="D14" s="989"/>
    </row>
    <row r="16" spans="2:11" ht="15.75">
      <c r="B16" s="597" t="s">
        <v>310</v>
      </c>
    </row>
    <row r="18" spans="1:15" ht="33" customHeight="1" thickBot="1">
      <c r="B18" s="1197" t="s">
        <v>368</v>
      </c>
      <c r="C18" s="1197"/>
      <c r="D18" s="1197"/>
      <c r="E18" s="1197"/>
      <c r="F18" s="1197"/>
      <c r="G18" s="1197"/>
      <c r="L18" s="127"/>
      <c r="M18" s="127"/>
      <c r="N18" s="127"/>
    </row>
    <row r="19" spans="1:15" ht="24.75" customHeight="1" thickBot="1">
      <c r="B19" s="1193" t="s">
        <v>179</v>
      </c>
      <c r="C19" s="1206" t="s">
        <v>365</v>
      </c>
      <c r="D19" s="1207"/>
      <c r="E19" s="1208"/>
      <c r="F19" s="1209" t="s">
        <v>366</v>
      </c>
      <c r="G19" s="1193" t="s">
        <v>367</v>
      </c>
      <c r="K19" s="127"/>
      <c r="L19" s="127"/>
      <c r="M19" s="127"/>
      <c r="N19" s="127"/>
      <c r="O19" s="989"/>
    </row>
    <row r="20" spans="1:15" ht="21" customHeight="1" thickBot="1">
      <c r="B20" s="1205"/>
      <c r="C20" s="1045" t="s">
        <v>318</v>
      </c>
      <c r="D20" s="1045" t="s">
        <v>329</v>
      </c>
      <c r="E20" s="1045" t="s">
        <v>330</v>
      </c>
      <c r="F20" s="1210"/>
      <c r="G20" s="1194"/>
      <c r="K20" s="127"/>
      <c r="L20" s="127"/>
      <c r="M20" s="1082"/>
      <c r="N20" s="127"/>
    </row>
    <row r="21" spans="1:15" ht="15.75" thickBot="1">
      <c r="B21" s="595" t="s">
        <v>173</v>
      </c>
      <c r="C21" s="807">
        <v>79609.736999999994</v>
      </c>
      <c r="D21" s="814">
        <v>0</v>
      </c>
      <c r="E21" s="1078">
        <f>(D21/C21)*100</f>
        <v>0</v>
      </c>
      <c r="F21" s="807">
        <v>33643.987999999998</v>
      </c>
      <c r="G21" s="1078">
        <f>((C21-F21)/F21)*100</f>
        <v>136.62396086932381</v>
      </c>
      <c r="I21" s="736" t="s">
        <v>180</v>
      </c>
      <c r="K21" s="127"/>
      <c r="L21" s="127"/>
      <c r="M21" s="127"/>
      <c r="N21" s="127"/>
    </row>
    <row r="22" spans="1:15" ht="15.75" thickBot="1">
      <c r="B22" s="595" t="s">
        <v>175</v>
      </c>
      <c r="C22" s="807">
        <v>153960</v>
      </c>
      <c r="D22" s="814">
        <v>0</v>
      </c>
      <c r="E22" s="1079">
        <f t="shared" ref="E22:E26" si="4">(D22/C22)*100</f>
        <v>0</v>
      </c>
      <c r="F22" s="807">
        <v>134860</v>
      </c>
      <c r="G22" s="1079">
        <f t="shared" ref="G22:G26" si="5">((C22-F22)/F22)*100</f>
        <v>14.162835533145484</v>
      </c>
      <c r="I22" s="694">
        <f>C22-F22</f>
        <v>19100</v>
      </c>
      <c r="L22" s="127"/>
      <c r="M22" s="127"/>
      <c r="N22" s="127"/>
    </row>
    <row r="23" spans="1:15" ht="15.75" thickBot="1">
      <c r="B23" s="596" t="s">
        <v>309</v>
      </c>
      <c r="C23" s="811">
        <v>47064</v>
      </c>
      <c r="D23" s="815">
        <v>0</v>
      </c>
      <c r="E23" s="1079">
        <f t="shared" si="4"/>
        <v>0</v>
      </c>
      <c r="F23" s="811">
        <v>33190</v>
      </c>
      <c r="G23" s="1079">
        <f t="shared" si="5"/>
        <v>41.801747514311536</v>
      </c>
      <c r="L23" s="127"/>
      <c r="M23" s="127"/>
      <c r="N23" s="127"/>
    </row>
    <row r="24" spans="1:15" ht="15.75" thickBot="1">
      <c r="B24" s="595" t="s">
        <v>176</v>
      </c>
      <c r="C24" s="807">
        <v>13201.588</v>
      </c>
      <c r="D24" s="816">
        <v>0</v>
      </c>
      <c r="E24" s="1080">
        <f t="shared" si="4"/>
        <v>0</v>
      </c>
      <c r="F24" s="807">
        <v>13692.204</v>
      </c>
      <c r="G24" s="1080">
        <f t="shared" si="5"/>
        <v>-3.5831776973232357</v>
      </c>
      <c r="L24" s="127"/>
      <c r="M24" s="127"/>
      <c r="N24" s="127"/>
    </row>
    <row r="25" spans="1:15" ht="15.75" thickBot="1">
      <c r="B25" s="595" t="s">
        <v>177</v>
      </c>
      <c r="C25" s="807">
        <v>4355.8230000000003</v>
      </c>
      <c r="D25" s="816">
        <v>101.072</v>
      </c>
      <c r="E25" s="1079">
        <f t="shared" si="4"/>
        <v>2.3203881333102836</v>
      </c>
      <c r="F25" s="807">
        <v>4834.1670000000004</v>
      </c>
      <c r="G25" s="1079">
        <f t="shared" si="5"/>
        <v>-9.8950656855669248</v>
      </c>
      <c r="L25" s="127"/>
      <c r="M25" s="127"/>
      <c r="N25" s="127"/>
    </row>
    <row r="26" spans="1:15" ht="15.75" thickBot="1">
      <c r="B26" s="595" t="s">
        <v>178</v>
      </c>
      <c r="C26" s="807">
        <f t="shared" ref="C26:D26" si="6">C24+C25</f>
        <v>17557.411</v>
      </c>
      <c r="D26" s="817">
        <f t="shared" si="6"/>
        <v>101.072</v>
      </c>
      <c r="E26" s="1081">
        <f t="shared" si="4"/>
        <v>0.5756657402392642</v>
      </c>
      <c r="F26" s="807">
        <f>F24+F25</f>
        <v>18526.370999999999</v>
      </c>
      <c r="G26" s="1081">
        <f t="shared" si="5"/>
        <v>-5.230166231692106</v>
      </c>
      <c r="L26" s="127"/>
      <c r="M26" s="127"/>
      <c r="N26" s="127"/>
    </row>
    <row r="27" spans="1:15" ht="16.5" customHeight="1">
      <c r="B27" s="1195"/>
      <c r="C27" s="1195"/>
      <c r="D27" s="1195"/>
      <c r="E27" s="1195"/>
      <c r="F27" s="1195"/>
      <c r="G27" s="1195"/>
      <c r="L27" s="127"/>
      <c r="M27" s="127"/>
      <c r="N27" s="127"/>
    </row>
    <row r="28" spans="1:15">
      <c r="L28" s="127"/>
      <c r="M28" s="127"/>
      <c r="N28" s="127"/>
    </row>
    <row r="29" spans="1:15">
      <c r="L29" s="127"/>
      <c r="M29" s="127"/>
      <c r="N29" s="127"/>
    </row>
    <row r="30" spans="1:15">
      <c r="A30" s="598"/>
      <c r="B30" s="601"/>
      <c r="C30" s="602"/>
      <c r="D30" s="603"/>
      <c r="E30" s="1046"/>
      <c r="F30" s="604"/>
      <c r="G30" s="604"/>
      <c r="H30" s="598"/>
      <c r="J30" s="598"/>
      <c r="L30" s="127"/>
      <c r="M30" s="127"/>
      <c r="N30" s="127"/>
    </row>
    <row r="31" spans="1:15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5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196"/>
      <c r="D43" s="1196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89"/>
  <sheetViews>
    <sheetView workbookViewId="0">
      <selection sqref="A1:XFD1048576"/>
    </sheetView>
  </sheetViews>
  <sheetFormatPr defaultRowHeight="12.75"/>
  <cols>
    <col min="1" max="1" width="5" style="713" customWidth="1"/>
    <col min="2" max="2" width="21.7109375" style="713" customWidth="1"/>
    <col min="3" max="3" width="11.140625" style="713" customWidth="1"/>
    <col min="4" max="4" width="12.140625" style="713" customWidth="1"/>
    <col min="5" max="5" width="12.28515625" style="713" customWidth="1"/>
    <col min="6" max="6" width="3" style="713" customWidth="1"/>
    <col min="7" max="7" width="20.28515625" style="713" customWidth="1"/>
    <col min="8" max="8" width="10.5703125" style="713" customWidth="1"/>
    <col min="9" max="9" width="9.85546875" style="713" bestFit="1" customWidth="1"/>
    <col min="10" max="10" width="11" style="713" customWidth="1"/>
    <col min="11" max="11" width="2.85546875" style="713" customWidth="1"/>
    <col min="12" max="12" width="19.85546875" style="713" customWidth="1"/>
    <col min="13" max="13" width="18.28515625" style="713" customWidth="1"/>
    <col min="14" max="14" width="14.140625" style="713" customWidth="1"/>
    <col min="15" max="15" width="10.140625" style="713" customWidth="1"/>
    <col min="16" max="16" width="4.42578125" style="713" customWidth="1"/>
    <col min="17" max="17" width="21.85546875" style="713" customWidth="1"/>
    <col min="18" max="18" width="12.42578125" style="713" customWidth="1"/>
    <col min="19" max="19" width="9.85546875" style="713" bestFit="1" customWidth="1"/>
    <col min="20" max="20" width="10.42578125" style="713" customWidth="1"/>
    <col min="21" max="253" width="9.140625" style="713"/>
    <col min="254" max="254" width="5" style="713" customWidth="1"/>
    <col min="255" max="255" width="17.7109375" style="713" customWidth="1"/>
    <col min="256" max="256" width="13.85546875" style="713" customWidth="1"/>
    <col min="257" max="257" width="13.140625" style="713" customWidth="1"/>
    <col min="258" max="258" width="12.28515625" style="713" customWidth="1"/>
    <col min="259" max="259" width="3" style="713" customWidth="1"/>
    <col min="260" max="260" width="20.28515625" style="713" customWidth="1"/>
    <col min="261" max="261" width="12.5703125" style="713" customWidth="1"/>
    <col min="262" max="262" width="11.7109375" style="713" customWidth="1"/>
    <col min="263" max="263" width="9.140625" style="713"/>
    <col min="264" max="264" width="2.85546875" style="713" customWidth="1"/>
    <col min="265" max="265" width="18.5703125" style="713" customWidth="1"/>
    <col min="266" max="266" width="14.42578125" style="713" customWidth="1"/>
    <col min="267" max="267" width="13.7109375" style="713" customWidth="1"/>
    <col min="268" max="268" width="10.140625" style="713" customWidth="1"/>
    <col min="269" max="269" width="4.42578125" style="713" customWidth="1"/>
    <col min="270" max="270" width="24" style="713" customWidth="1"/>
    <col min="271" max="271" width="13.140625" style="713" customWidth="1"/>
    <col min="272" max="272" width="13" style="713" customWidth="1"/>
    <col min="273" max="273" width="10.42578125" style="713" customWidth="1"/>
    <col min="274" max="509" width="9.140625" style="713"/>
    <col min="510" max="510" width="5" style="713" customWidth="1"/>
    <col min="511" max="511" width="17.7109375" style="713" customWidth="1"/>
    <col min="512" max="512" width="13.85546875" style="713" customWidth="1"/>
    <col min="513" max="513" width="13.140625" style="713" customWidth="1"/>
    <col min="514" max="514" width="12.28515625" style="713" customWidth="1"/>
    <col min="515" max="515" width="3" style="713" customWidth="1"/>
    <col min="516" max="516" width="20.28515625" style="713" customWidth="1"/>
    <col min="517" max="517" width="12.5703125" style="713" customWidth="1"/>
    <col min="518" max="518" width="11.7109375" style="713" customWidth="1"/>
    <col min="519" max="519" width="9.140625" style="713"/>
    <col min="520" max="520" width="2.85546875" style="713" customWidth="1"/>
    <col min="521" max="521" width="18.5703125" style="713" customWidth="1"/>
    <col min="522" max="522" width="14.42578125" style="713" customWidth="1"/>
    <col min="523" max="523" width="13.7109375" style="713" customWidth="1"/>
    <col min="524" max="524" width="10.140625" style="713" customWidth="1"/>
    <col min="525" max="525" width="4.42578125" style="713" customWidth="1"/>
    <col min="526" max="526" width="24" style="713" customWidth="1"/>
    <col min="527" max="527" width="13.140625" style="713" customWidth="1"/>
    <col min="528" max="528" width="13" style="713" customWidth="1"/>
    <col min="529" max="529" width="10.42578125" style="713" customWidth="1"/>
    <col min="530" max="765" width="9.140625" style="713"/>
    <col min="766" max="766" width="5" style="713" customWidth="1"/>
    <col min="767" max="767" width="17.7109375" style="713" customWidth="1"/>
    <col min="768" max="768" width="13.85546875" style="713" customWidth="1"/>
    <col min="769" max="769" width="13.140625" style="713" customWidth="1"/>
    <col min="770" max="770" width="12.28515625" style="713" customWidth="1"/>
    <col min="771" max="771" width="3" style="713" customWidth="1"/>
    <col min="772" max="772" width="20.28515625" style="713" customWidth="1"/>
    <col min="773" max="773" width="12.5703125" style="713" customWidth="1"/>
    <col min="774" max="774" width="11.7109375" style="713" customWidth="1"/>
    <col min="775" max="775" width="9.140625" style="713"/>
    <col min="776" max="776" width="2.85546875" style="713" customWidth="1"/>
    <col min="777" max="777" width="18.5703125" style="713" customWidth="1"/>
    <col min="778" max="778" width="14.42578125" style="713" customWidth="1"/>
    <col min="779" max="779" width="13.7109375" style="713" customWidth="1"/>
    <col min="780" max="780" width="10.140625" style="713" customWidth="1"/>
    <col min="781" max="781" width="4.42578125" style="713" customWidth="1"/>
    <col min="782" max="782" width="24" style="713" customWidth="1"/>
    <col min="783" max="783" width="13.140625" style="713" customWidth="1"/>
    <col min="784" max="784" width="13" style="713" customWidth="1"/>
    <col min="785" max="785" width="10.42578125" style="713" customWidth="1"/>
    <col min="786" max="1021" width="9.140625" style="713"/>
    <col min="1022" max="1022" width="5" style="713" customWidth="1"/>
    <col min="1023" max="1023" width="17.7109375" style="713" customWidth="1"/>
    <col min="1024" max="1024" width="13.85546875" style="713" customWidth="1"/>
    <col min="1025" max="1025" width="13.140625" style="713" customWidth="1"/>
    <col min="1026" max="1026" width="12.28515625" style="713" customWidth="1"/>
    <col min="1027" max="1027" width="3" style="713" customWidth="1"/>
    <col min="1028" max="1028" width="20.28515625" style="713" customWidth="1"/>
    <col min="1029" max="1029" width="12.5703125" style="713" customWidth="1"/>
    <col min="1030" max="1030" width="11.7109375" style="713" customWidth="1"/>
    <col min="1031" max="1031" width="9.140625" style="713"/>
    <col min="1032" max="1032" width="2.85546875" style="713" customWidth="1"/>
    <col min="1033" max="1033" width="18.5703125" style="713" customWidth="1"/>
    <col min="1034" max="1034" width="14.42578125" style="713" customWidth="1"/>
    <col min="1035" max="1035" width="13.7109375" style="713" customWidth="1"/>
    <col min="1036" max="1036" width="10.140625" style="713" customWidth="1"/>
    <col min="1037" max="1037" width="4.42578125" style="713" customWidth="1"/>
    <col min="1038" max="1038" width="24" style="713" customWidth="1"/>
    <col min="1039" max="1039" width="13.140625" style="713" customWidth="1"/>
    <col min="1040" max="1040" width="13" style="713" customWidth="1"/>
    <col min="1041" max="1041" width="10.42578125" style="713" customWidth="1"/>
    <col min="1042" max="1277" width="9.140625" style="713"/>
    <col min="1278" max="1278" width="5" style="713" customWidth="1"/>
    <col min="1279" max="1279" width="17.7109375" style="713" customWidth="1"/>
    <col min="1280" max="1280" width="13.85546875" style="713" customWidth="1"/>
    <col min="1281" max="1281" width="13.140625" style="713" customWidth="1"/>
    <col min="1282" max="1282" width="12.28515625" style="713" customWidth="1"/>
    <col min="1283" max="1283" width="3" style="713" customWidth="1"/>
    <col min="1284" max="1284" width="20.28515625" style="713" customWidth="1"/>
    <col min="1285" max="1285" width="12.5703125" style="713" customWidth="1"/>
    <col min="1286" max="1286" width="11.7109375" style="713" customWidth="1"/>
    <col min="1287" max="1287" width="9.140625" style="713"/>
    <col min="1288" max="1288" width="2.85546875" style="713" customWidth="1"/>
    <col min="1289" max="1289" width="18.5703125" style="713" customWidth="1"/>
    <col min="1290" max="1290" width="14.42578125" style="713" customWidth="1"/>
    <col min="1291" max="1291" width="13.7109375" style="713" customWidth="1"/>
    <col min="1292" max="1292" width="10.140625" style="713" customWidth="1"/>
    <col min="1293" max="1293" width="4.42578125" style="713" customWidth="1"/>
    <col min="1294" max="1294" width="24" style="713" customWidth="1"/>
    <col min="1295" max="1295" width="13.140625" style="713" customWidth="1"/>
    <col min="1296" max="1296" width="13" style="713" customWidth="1"/>
    <col min="1297" max="1297" width="10.42578125" style="713" customWidth="1"/>
    <col min="1298" max="1533" width="9.140625" style="713"/>
    <col min="1534" max="1534" width="5" style="713" customWidth="1"/>
    <col min="1535" max="1535" width="17.7109375" style="713" customWidth="1"/>
    <col min="1536" max="1536" width="13.85546875" style="713" customWidth="1"/>
    <col min="1537" max="1537" width="13.140625" style="713" customWidth="1"/>
    <col min="1538" max="1538" width="12.28515625" style="713" customWidth="1"/>
    <col min="1539" max="1539" width="3" style="713" customWidth="1"/>
    <col min="1540" max="1540" width="20.28515625" style="713" customWidth="1"/>
    <col min="1541" max="1541" width="12.5703125" style="713" customWidth="1"/>
    <col min="1542" max="1542" width="11.7109375" style="713" customWidth="1"/>
    <col min="1543" max="1543" width="9.140625" style="713"/>
    <col min="1544" max="1544" width="2.85546875" style="713" customWidth="1"/>
    <col min="1545" max="1545" width="18.5703125" style="713" customWidth="1"/>
    <col min="1546" max="1546" width="14.42578125" style="713" customWidth="1"/>
    <col min="1547" max="1547" width="13.7109375" style="713" customWidth="1"/>
    <col min="1548" max="1548" width="10.140625" style="713" customWidth="1"/>
    <col min="1549" max="1549" width="4.42578125" style="713" customWidth="1"/>
    <col min="1550" max="1550" width="24" style="713" customWidth="1"/>
    <col min="1551" max="1551" width="13.140625" style="713" customWidth="1"/>
    <col min="1552" max="1552" width="13" style="713" customWidth="1"/>
    <col min="1553" max="1553" width="10.42578125" style="713" customWidth="1"/>
    <col min="1554" max="1789" width="9.140625" style="713"/>
    <col min="1790" max="1790" width="5" style="713" customWidth="1"/>
    <col min="1791" max="1791" width="17.7109375" style="713" customWidth="1"/>
    <col min="1792" max="1792" width="13.85546875" style="713" customWidth="1"/>
    <col min="1793" max="1793" width="13.140625" style="713" customWidth="1"/>
    <col min="1794" max="1794" width="12.28515625" style="713" customWidth="1"/>
    <col min="1795" max="1795" width="3" style="713" customWidth="1"/>
    <col min="1796" max="1796" width="20.28515625" style="713" customWidth="1"/>
    <col min="1797" max="1797" width="12.5703125" style="713" customWidth="1"/>
    <col min="1798" max="1798" width="11.7109375" style="713" customWidth="1"/>
    <col min="1799" max="1799" width="9.140625" style="713"/>
    <col min="1800" max="1800" width="2.85546875" style="713" customWidth="1"/>
    <col min="1801" max="1801" width="18.5703125" style="713" customWidth="1"/>
    <col min="1802" max="1802" width="14.42578125" style="713" customWidth="1"/>
    <col min="1803" max="1803" width="13.7109375" style="713" customWidth="1"/>
    <col min="1804" max="1804" width="10.140625" style="713" customWidth="1"/>
    <col min="1805" max="1805" width="4.42578125" style="713" customWidth="1"/>
    <col min="1806" max="1806" width="24" style="713" customWidth="1"/>
    <col min="1807" max="1807" width="13.140625" style="713" customWidth="1"/>
    <col min="1808" max="1808" width="13" style="713" customWidth="1"/>
    <col min="1809" max="1809" width="10.42578125" style="713" customWidth="1"/>
    <col min="1810" max="2045" width="9.140625" style="713"/>
    <col min="2046" max="2046" width="5" style="713" customWidth="1"/>
    <col min="2047" max="2047" width="17.7109375" style="713" customWidth="1"/>
    <col min="2048" max="2048" width="13.85546875" style="713" customWidth="1"/>
    <col min="2049" max="2049" width="13.140625" style="713" customWidth="1"/>
    <col min="2050" max="2050" width="12.28515625" style="713" customWidth="1"/>
    <col min="2051" max="2051" width="3" style="713" customWidth="1"/>
    <col min="2052" max="2052" width="20.28515625" style="713" customWidth="1"/>
    <col min="2053" max="2053" width="12.5703125" style="713" customWidth="1"/>
    <col min="2054" max="2054" width="11.7109375" style="713" customWidth="1"/>
    <col min="2055" max="2055" width="9.140625" style="713"/>
    <col min="2056" max="2056" width="2.85546875" style="713" customWidth="1"/>
    <col min="2057" max="2057" width="18.5703125" style="713" customWidth="1"/>
    <col min="2058" max="2058" width="14.42578125" style="713" customWidth="1"/>
    <col min="2059" max="2059" width="13.7109375" style="713" customWidth="1"/>
    <col min="2060" max="2060" width="10.140625" style="713" customWidth="1"/>
    <col min="2061" max="2061" width="4.42578125" style="713" customWidth="1"/>
    <col min="2062" max="2062" width="24" style="713" customWidth="1"/>
    <col min="2063" max="2063" width="13.140625" style="713" customWidth="1"/>
    <col min="2064" max="2064" width="13" style="713" customWidth="1"/>
    <col min="2065" max="2065" width="10.42578125" style="713" customWidth="1"/>
    <col min="2066" max="2301" width="9.140625" style="713"/>
    <col min="2302" max="2302" width="5" style="713" customWidth="1"/>
    <col min="2303" max="2303" width="17.7109375" style="713" customWidth="1"/>
    <col min="2304" max="2304" width="13.85546875" style="713" customWidth="1"/>
    <col min="2305" max="2305" width="13.140625" style="713" customWidth="1"/>
    <col min="2306" max="2306" width="12.28515625" style="713" customWidth="1"/>
    <col min="2307" max="2307" width="3" style="713" customWidth="1"/>
    <col min="2308" max="2308" width="20.28515625" style="713" customWidth="1"/>
    <col min="2309" max="2309" width="12.5703125" style="713" customWidth="1"/>
    <col min="2310" max="2310" width="11.7109375" style="713" customWidth="1"/>
    <col min="2311" max="2311" width="9.140625" style="713"/>
    <col min="2312" max="2312" width="2.85546875" style="713" customWidth="1"/>
    <col min="2313" max="2313" width="18.5703125" style="713" customWidth="1"/>
    <col min="2314" max="2314" width="14.42578125" style="713" customWidth="1"/>
    <col min="2315" max="2315" width="13.7109375" style="713" customWidth="1"/>
    <col min="2316" max="2316" width="10.140625" style="713" customWidth="1"/>
    <col min="2317" max="2317" width="4.42578125" style="713" customWidth="1"/>
    <col min="2318" max="2318" width="24" style="713" customWidth="1"/>
    <col min="2319" max="2319" width="13.140625" style="713" customWidth="1"/>
    <col min="2320" max="2320" width="13" style="713" customWidth="1"/>
    <col min="2321" max="2321" width="10.42578125" style="713" customWidth="1"/>
    <col min="2322" max="2557" width="9.140625" style="713"/>
    <col min="2558" max="2558" width="5" style="713" customWidth="1"/>
    <col min="2559" max="2559" width="17.7109375" style="713" customWidth="1"/>
    <col min="2560" max="2560" width="13.85546875" style="713" customWidth="1"/>
    <col min="2561" max="2561" width="13.140625" style="713" customWidth="1"/>
    <col min="2562" max="2562" width="12.28515625" style="713" customWidth="1"/>
    <col min="2563" max="2563" width="3" style="713" customWidth="1"/>
    <col min="2564" max="2564" width="20.28515625" style="713" customWidth="1"/>
    <col min="2565" max="2565" width="12.5703125" style="713" customWidth="1"/>
    <col min="2566" max="2566" width="11.7109375" style="713" customWidth="1"/>
    <col min="2567" max="2567" width="9.140625" style="713"/>
    <col min="2568" max="2568" width="2.85546875" style="713" customWidth="1"/>
    <col min="2569" max="2569" width="18.5703125" style="713" customWidth="1"/>
    <col min="2570" max="2570" width="14.42578125" style="713" customWidth="1"/>
    <col min="2571" max="2571" width="13.7109375" style="713" customWidth="1"/>
    <col min="2572" max="2572" width="10.140625" style="713" customWidth="1"/>
    <col min="2573" max="2573" width="4.42578125" style="713" customWidth="1"/>
    <col min="2574" max="2574" width="24" style="713" customWidth="1"/>
    <col min="2575" max="2575" width="13.140625" style="713" customWidth="1"/>
    <col min="2576" max="2576" width="13" style="713" customWidth="1"/>
    <col min="2577" max="2577" width="10.42578125" style="713" customWidth="1"/>
    <col min="2578" max="2813" width="9.140625" style="713"/>
    <col min="2814" max="2814" width="5" style="713" customWidth="1"/>
    <col min="2815" max="2815" width="17.7109375" style="713" customWidth="1"/>
    <col min="2816" max="2816" width="13.85546875" style="713" customWidth="1"/>
    <col min="2817" max="2817" width="13.140625" style="713" customWidth="1"/>
    <col min="2818" max="2818" width="12.28515625" style="713" customWidth="1"/>
    <col min="2819" max="2819" width="3" style="713" customWidth="1"/>
    <col min="2820" max="2820" width="20.28515625" style="713" customWidth="1"/>
    <col min="2821" max="2821" width="12.5703125" style="713" customWidth="1"/>
    <col min="2822" max="2822" width="11.7109375" style="713" customWidth="1"/>
    <col min="2823" max="2823" width="9.140625" style="713"/>
    <col min="2824" max="2824" width="2.85546875" style="713" customWidth="1"/>
    <col min="2825" max="2825" width="18.5703125" style="713" customWidth="1"/>
    <col min="2826" max="2826" width="14.42578125" style="713" customWidth="1"/>
    <col min="2827" max="2827" width="13.7109375" style="713" customWidth="1"/>
    <col min="2828" max="2828" width="10.140625" style="713" customWidth="1"/>
    <col min="2829" max="2829" width="4.42578125" style="713" customWidth="1"/>
    <col min="2830" max="2830" width="24" style="713" customWidth="1"/>
    <col min="2831" max="2831" width="13.140625" style="713" customWidth="1"/>
    <col min="2832" max="2832" width="13" style="713" customWidth="1"/>
    <col min="2833" max="2833" width="10.42578125" style="713" customWidth="1"/>
    <col min="2834" max="3069" width="9.140625" style="713"/>
    <col min="3070" max="3070" width="5" style="713" customWidth="1"/>
    <col min="3071" max="3071" width="17.7109375" style="713" customWidth="1"/>
    <col min="3072" max="3072" width="13.85546875" style="713" customWidth="1"/>
    <col min="3073" max="3073" width="13.140625" style="713" customWidth="1"/>
    <col min="3074" max="3074" width="12.28515625" style="713" customWidth="1"/>
    <col min="3075" max="3075" width="3" style="713" customWidth="1"/>
    <col min="3076" max="3076" width="20.28515625" style="713" customWidth="1"/>
    <col min="3077" max="3077" width="12.5703125" style="713" customWidth="1"/>
    <col min="3078" max="3078" width="11.7109375" style="713" customWidth="1"/>
    <col min="3079" max="3079" width="9.140625" style="713"/>
    <col min="3080" max="3080" width="2.85546875" style="713" customWidth="1"/>
    <col min="3081" max="3081" width="18.5703125" style="713" customWidth="1"/>
    <col min="3082" max="3082" width="14.42578125" style="713" customWidth="1"/>
    <col min="3083" max="3083" width="13.7109375" style="713" customWidth="1"/>
    <col min="3084" max="3084" width="10.140625" style="713" customWidth="1"/>
    <col min="3085" max="3085" width="4.42578125" style="713" customWidth="1"/>
    <col min="3086" max="3086" width="24" style="713" customWidth="1"/>
    <col min="3087" max="3087" width="13.140625" style="713" customWidth="1"/>
    <col min="3088" max="3088" width="13" style="713" customWidth="1"/>
    <col min="3089" max="3089" width="10.42578125" style="713" customWidth="1"/>
    <col min="3090" max="3325" width="9.140625" style="713"/>
    <col min="3326" max="3326" width="5" style="713" customWidth="1"/>
    <col min="3327" max="3327" width="17.7109375" style="713" customWidth="1"/>
    <col min="3328" max="3328" width="13.85546875" style="713" customWidth="1"/>
    <col min="3329" max="3329" width="13.140625" style="713" customWidth="1"/>
    <col min="3330" max="3330" width="12.28515625" style="713" customWidth="1"/>
    <col min="3331" max="3331" width="3" style="713" customWidth="1"/>
    <col min="3332" max="3332" width="20.28515625" style="713" customWidth="1"/>
    <col min="3333" max="3333" width="12.5703125" style="713" customWidth="1"/>
    <col min="3334" max="3334" width="11.7109375" style="713" customWidth="1"/>
    <col min="3335" max="3335" width="9.140625" style="713"/>
    <col min="3336" max="3336" width="2.85546875" style="713" customWidth="1"/>
    <col min="3337" max="3337" width="18.5703125" style="713" customWidth="1"/>
    <col min="3338" max="3338" width="14.42578125" style="713" customWidth="1"/>
    <col min="3339" max="3339" width="13.7109375" style="713" customWidth="1"/>
    <col min="3340" max="3340" width="10.140625" style="713" customWidth="1"/>
    <col min="3341" max="3341" width="4.42578125" style="713" customWidth="1"/>
    <col min="3342" max="3342" width="24" style="713" customWidth="1"/>
    <col min="3343" max="3343" width="13.140625" style="713" customWidth="1"/>
    <col min="3344" max="3344" width="13" style="713" customWidth="1"/>
    <col min="3345" max="3345" width="10.42578125" style="713" customWidth="1"/>
    <col min="3346" max="3581" width="9.140625" style="713"/>
    <col min="3582" max="3582" width="5" style="713" customWidth="1"/>
    <col min="3583" max="3583" width="17.7109375" style="713" customWidth="1"/>
    <col min="3584" max="3584" width="13.85546875" style="713" customWidth="1"/>
    <col min="3585" max="3585" width="13.140625" style="713" customWidth="1"/>
    <col min="3586" max="3586" width="12.28515625" style="713" customWidth="1"/>
    <col min="3587" max="3587" width="3" style="713" customWidth="1"/>
    <col min="3588" max="3588" width="20.28515625" style="713" customWidth="1"/>
    <col min="3589" max="3589" width="12.5703125" style="713" customWidth="1"/>
    <col min="3590" max="3590" width="11.7109375" style="713" customWidth="1"/>
    <col min="3591" max="3591" width="9.140625" style="713"/>
    <col min="3592" max="3592" width="2.85546875" style="713" customWidth="1"/>
    <col min="3593" max="3593" width="18.5703125" style="713" customWidth="1"/>
    <col min="3594" max="3594" width="14.42578125" style="713" customWidth="1"/>
    <col min="3595" max="3595" width="13.7109375" style="713" customWidth="1"/>
    <col min="3596" max="3596" width="10.140625" style="713" customWidth="1"/>
    <col min="3597" max="3597" width="4.42578125" style="713" customWidth="1"/>
    <col min="3598" max="3598" width="24" style="713" customWidth="1"/>
    <col min="3599" max="3599" width="13.140625" style="713" customWidth="1"/>
    <col min="3600" max="3600" width="13" style="713" customWidth="1"/>
    <col min="3601" max="3601" width="10.42578125" style="713" customWidth="1"/>
    <col min="3602" max="3837" width="9.140625" style="713"/>
    <col min="3838" max="3838" width="5" style="713" customWidth="1"/>
    <col min="3839" max="3839" width="17.7109375" style="713" customWidth="1"/>
    <col min="3840" max="3840" width="13.85546875" style="713" customWidth="1"/>
    <col min="3841" max="3841" width="13.140625" style="713" customWidth="1"/>
    <col min="3842" max="3842" width="12.28515625" style="713" customWidth="1"/>
    <col min="3843" max="3843" width="3" style="713" customWidth="1"/>
    <col min="3844" max="3844" width="20.28515625" style="713" customWidth="1"/>
    <col min="3845" max="3845" width="12.5703125" style="713" customWidth="1"/>
    <col min="3846" max="3846" width="11.7109375" style="713" customWidth="1"/>
    <col min="3847" max="3847" width="9.140625" style="713"/>
    <col min="3848" max="3848" width="2.85546875" style="713" customWidth="1"/>
    <col min="3849" max="3849" width="18.5703125" style="713" customWidth="1"/>
    <col min="3850" max="3850" width="14.42578125" style="713" customWidth="1"/>
    <col min="3851" max="3851" width="13.7109375" style="713" customWidth="1"/>
    <col min="3852" max="3852" width="10.140625" style="713" customWidth="1"/>
    <col min="3853" max="3853" width="4.42578125" style="713" customWidth="1"/>
    <col min="3854" max="3854" width="24" style="713" customWidth="1"/>
    <col min="3855" max="3855" width="13.140625" style="713" customWidth="1"/>
    <col min="3856" max="3856" width="13" style="713" customWidth="1"/>
    <col min="3857" max="3857" width="10.42578125" style="713" customWidth="1"/>
    <col min="3858" max="4093" width="9.140625" style="713"/>
    <col min="4094" max="4094" width="5" style="713" customWidth="1"/>
    <col min="4095" max="4095" width="17.7109375" style="713" customWidth="1"/>
    <col min="4096" max="4096" width="13.85546875" style="713" customWidth="1"/>
    <col min="4097" max="4097" width="13.140625" style="713" customWidth="1"/>
    <col min="4098" max="4098" width="12.28515625" style="713" customWidth="1"/>
    <col min="4099" max="4099" width="3" style="713" customWidth="1"/>
    <col min="4100" max="4100" width="20.28515625" style="713" customWidth="1"/>
    <col min="4101" max="4101" width="12.5703125" style="713" customWidth="1"/>
    <col min="4102" max="4102" width="11.7109375" style="713" customWidth="1"/>
    <col min="4103" max="4103" width="9.140625" style="713"/>
    <col min="4104" max="4104" width="2.85546875" style="713" customWidth="1"/>
    <col min="4105" max="4105" width="18.5703125" style="713" customWidth="1"/>
    <col min="4106" max="4106" width="14.42578125" style="713" customWidth="1"/>
    <col min="4107" max="4107" width="13.7109375" style="713" customWidth="1"/>
    <col min="4108" max="4108" width="10.140625" style="713" customWidth="1"/>
    <col min="4109" max="4109" width="4.42578125" style="713" customWidth="1"/>
    <col min="4110" max="4110" width="24" style="713" customWidth="1"/>
    <col min="4111" max="4111" width="13.140625" style="713" customWidth="1"/>
    <col min="4112" max="4112" width="13" style="713" customWidth="1"/>
    <col min="4113" max="4113" width="10.42578125" style="713" customWidth="1"/>
    <col min="4114" max="4349" width="9.140625" style="713"/>
    <col min="4350" max="4350" width="5" style="713" customWidth="1"/>
    <col min="4351" max="4351" width="17.7109375" style="713" customWidth="1"/>
    <col min="4352" max="4352" width="13.85546875" style="713" customWidth="1"/>
    <col min="4353" max="4353" width="13.140625" style="713" customWidth="1"/>
    <col min="4354" max="4354" width="12.28515625" style="713" customWidth="1"/>
    <col min="4355" max="4355" width="3" style="713" customWidth="1"/>
    <col min="4356" max="4356" width="20.28515625" style="713" customWidth="1"/>
    <col min="4357" max="4357" width="12.5703125" style="713" customWidth="1"/>
    <col min="4358" max="4358" width="11.7109375" style="713" customWidth="1"/>
    <col min="4359" max="4359" width="9.140625" style="713"/>
    <col min="4360" max="4360" width="2.85546875" style="713" customWidth="1"/>
    <col min="4361" max="4361" width="18.5703125" style="713" customWidth="1"/>
    <col min="4362" max="4362" width="14.42578125" style="713" customWidth="1"/>
    <col min="4363" max="4363" width="13.7109375" style="713" customWidth="1"/>
    <col min="4364" max="4364" width="10.140625" style="713" customWidth="1"/>
    <col min="4365" max="4365" width="4.42578125" style="713" customWidth="1"/>
    <col min="4366" max="4366" width="24" style="713" customWidth="1"/>
    <col min="4367" max="4367" width="13.140625" style="713" customWidth="1"/>
    <col min="4368" max="4368" width="13" style="713" customWidth="1"/>
    <col min="4369" max="4369" width="10.42578125" style="713" customWidth="1"/>
    <col min="4370" max="4605" width="9.140625" style="713"/>
    <col min="4606" max="4606" width="5" style="713" customWidth="1"/>
    <col min="4607" max="4607" width="17.7109375" style="713" customWidth="1"/>
    <col min="4608" max="4608" width="13.85546875" style="713" customWidth="1"/>
    <col min="4609" max="4609" width="13.140625" style="713" customWidth="1"/>
    <col min="4610" max="4610" width="12.28515625" style="713" customWidth="1"/>
    <col min="4611" max="4611" width="3" style="713" customWidth="1"/>
    <col min="4612" max="4612" width="20.28515625" style="713" customWidth="1"/>
    <col min="4613" max="4613" width="12.5703125" style="713" customWidth="1"/>
    <col min="4614" max="4614" width="11.7109375" style="713" customWidth="1"/>
    <col min="4615" max="4615" width="9.140625" style="713"/>
    <col min="4616" max="4616" width="2.85546875" style="713" customWidth="1"/>
    <col min="4617" max="4617" width="18.5703125" style="713" customWidth="1"/>
    <col min="4618" max="4618" width="14.42578125" style="713" customWidth="1"/>
    <col min="4619" max="4619" width="13.7109375" style="713" customWidth="1"/>
    <col min="4620" max="4620" width="10.140625" style="713" customWidth="1"/>
    <col min="4621" max="4621" width="4.42578125" style="713" customWidth="1"/>
    <col min="4622" max="4622" width="24" style="713" customWidth="1"/>
    <col min="4623" max="4623" width="13.140625" style="713" customWidth="1"/>
    <col min="4624" max="4624" width="13" style="713" customWidth="1"/>
    <col min="4625" max="4625" width="10.42578125" style="713" customWidth="1"/>
    <col min="4626" max="4861" width="9.140625" style="713"/>
    <col min="4862" max="4862" width="5" style="713" customWidth="1"/>
    <col min="4863" max="4863" width="17.7109375" style="713" customWidth="1"/>
    <col min="4864" max="4864" width="13.85546875" style="713" customWidth="1"/>
    <col min="4865" max="4865" width="13.140625" style="713" customWidth="1"/>
    <col min="4866" max="4866" width="12.28515625" style="713" customWidth="1"/>
    <col min="4867" max="4867" width="3" style="713" customWidth="1"/>
    <col min="4868" max="4868" width="20.28515625" style="713" customWidth="1"/>
    <col min="4869" max="4869" width="12.5703125" style="713" customWidth="1"/>
    <col min="4870" max="4870" width="11.7109375" style="713" customWidth="1"/>
    <col min="4871" max="4871" width="9.140625" style="713"/>
    <col min="4872" max="4872" width="2.85546875" style="713" customWidth="1"/>
    <col min="4873" max="4873" width="18.5703125" style="713" customWidth="1"/>
    <col min="4874" max="4874" width="14.42578125" style="713" customWidth="1"/>
    <col min="4875" max="4875" width="13.7109375" style="713" customWidth="1"/>
    <col min="4876" max="4876" width="10.140625" style="713" customWidth="1"/>
    <col min="4877" max="4877" width="4.42578125" style="713" customWidth="1"/>
    <col min="4878" max="4878" width="24" style="713" customWidth="1"/>
    <col min="4879" max="4879" width="13.140625" style="713" customWidth="1"/>
    <col min="4880" max="4880" width="13" style="713" customWidth="1"/>
    <col min="4881" max="4881" width="10.42578125" style="713" customWidth="1"/>
    <col min="4882" max="5117" width="9.140625" style="713"/>
    <col min="5118" max="5118" width="5" style="713" customWidth="1"/>
    <col min="5119" max="5119" width="17.7109375" style="713" customWidth="1"/>
    <col min="5120" max="5120" width="13.85546875" style="713" customWidth="1"/>
    <col min="5121" max="5121" width="13.140625" style="713" customWidth="1"/>
    <col min="5122" max="5122" width="12.28515625" style="713" customWidth="1"/>
    <col min="5123" max="5123" width="3" style="713" customWidth="1"/>
    <col min="5124" max="5124" width="20.28515625" style="713" customWidth="1"/>
    <col min="5125" max="5125" width="12.5703125" style="713" customWidth="1"/>
    <col min="5126" max="5126" width="11.7109375" style="713" customWidth="1"/>
    <col min="5127" max="5127" width="9.140625" style="713"/>
    <col min="5128" max="5128" width="2.85546875" style="713" customWidth="1"/>
    <col min="5129" max="5129" width="18.5703125" style="713" customWidth="1"/>
    <col min="5130" max="5130" width="14.42578125" style="713" customWidth="1"/>
    <col min="5131" max="5131" width="13.7109375" style="713" customWidth="1"/>
    <col min="5132" max="5132" width="10.140625" style="713" customWidth="1"/>
    <col min="5133" max="5133" width="4.42578125" style="713" customWidth="1"/>
    <col min="5134" max="5134" width="24" style="713" customWidth="1"/>
    <col min="5135" max="5135" width="13.140625" style="713" customWidth="1"/>
    <col min="5136" max="5136" width="13" style="713" customWidth="1"/>
    <col min="5137" max="5137" width="10.42578125" style="713" customWidth="1"/>
    <col min="5138" max="5373" width="9.140625" style="713"/>
    <col min="5374" max="5374" width="5" style="713" customWidth="1"/>
    <col min="5375" max="5375" width="17.7109375" style="713" customWidth="1"/>
    <col min="5376" max="5376" width="13.85546875" style="713" customWidth="1"/>
    <col min="5377" max="5377" width="13.140625" style="713" customWidth="1"/>
    <col min="5378" max="5378" width="12.28515625" style="713" customWidth="1"/>
    <col min="5379" max="5379" width="3" style="713" customWidth="1"/>
    <col min="5380" max="5380" width="20.28515625" style="713" customWidth="1"/>
    <col min="5381" max="5381" width="12.5703125" style="713" customWidth="1"/>
    <col min="5382" max="5382" width="11.7109375" style="713" customWidth="1"/>
    <col min="5383" max="5383" width="9.140625" style="713"/>
    <col min="5384" max="5384" width="2.85546875" style="713" customWidth="1"/>
    <col min="5385" max="5385" width="18.5703125" style="713" customWidth="1"/>
    <col min="5386" max="5386" width="14.42578125" style="713" customWidth="1"/>
    <col min="5387" max="5387" width="13.7109375" style="713" customWidth="1"/>
    <col min="5388" max="5388" width="10.140625" style="713" customWidth="1"/>
    <col min="5389" max="5389" width="4.42578125" style="713" customWidth="1"/>
    <col min="5390" max="5390" width="24" style="713" customWidth="1"/>
    <col min="5391" max="5391" width="13.140625" style="713" customWidth="1"/>
    <col min="5392" max="5392" width="13" style="713" customWidth="1"/>
    <col min="5393" max="5393" width="10.42578125" style="713" customWidth="1"/>
    <col min="5394" max="5629" width="9.140625" style="713"/>
    <col min="5630" max="5630" width="5" style="713" customWidth="1"/>
    <col min="5631" max="5631" width="17.7109375" style="713" customWidth="1"/>
    <col min="5632" max="5632" width="13.85546875" style="713" customWidth="1"/>
    <col min="5633" max="5633" width="13.140625" style="713" customWidth="1"/>
    <col min="5634" max="5634" width="12.28515625" style="713" customWidth="1"/>
    <col min="5635" max="5635" width="3" style="713" customWidth="1"/>
    <col min="5636" max="5636" width="20.28515625" style="713" customWidth="1"/>
    <col min="5637" max="5637" width="12.5703125" style="713" customWidth="1"/>
    <col min="5638" max="5638" width="11.7109375" style="713" customWidth="1"/>
    <col min="5639" max="5639" width="9.140625" style="713"/>
    <col min="5640" max="5640" width="2.85546875" style="713" customWidth="1"/>
    <col min="5641" max="5641" width="18.5703125" style="713" customWidth="1"/>
    <col min="5642" max="5642" width="14.42578125" style="713" customWidth="1"/>
    <col min="5643" max="5643" width="13.7109375" style="713" customWidth="1"/>
    <col min="5644" max="5644" width="10.140625" style="713" customWidth="1"/>
    <col min="5645" max="5645" width="4.42578125" style="713" customWidth="1"/>
    <col min="5646" max="5646" width="24" style="713" customWidth="1"/>
    <col min="5647" max="5647" width="13.140625" style="713" customWidth="1"/>
    <col min="5648" max="5648" width="13" style="713" customWidth="1"/>
    <col min="5649" max="5649" width="10.42578125" style="713" customWidth="1"/>
    <col min="5650" max="5885" width="9.140625" style="713"/>
    <col min="5886" max="5886" width="5" style="713" customWidth="1"/>
    <col min="5887" max="5887" width="17.7109375" style="713" customWidth="1"/>
    <col min="5888" max="5888" width="13.85546875" style="713" customWidth="1"/>
    <col min="5889" max="5889" width="13.140625" style="713" customWidth="1"/>
    <col min="5890" max="5890" width="12.28515625" style="713" customWidth="1"/>
    <col min="5891" max="5891" width="3" style="713" customWidth="1"/>
    <col min="5892" max="5892" width="20.28515625" style="713" customWidth="1"/>
    <col min="5893" max="5893" width="12.5703125" style="713" customWidth="1"/>
    <col min="5894" max="5894" width="11.7109375" style="713" customWidth="1"/>
    <col min="5895" max="5895" width="9.140625" style="713"/>
    <col min="5896" max="5896" width="2.85546875" style="713" customWidth="1"/>
    <col min="5897" max="5897" width="18.5703125" style="713" customWidth="1"/>
    <col min="5898" max="5898" width="14.42578125" style="713" customWidth="1"/>
    <col min="5899" max="5899" width="13.7109375" style="713" customWidth="1"/>
    <col min="5900" max="5900" width="10.140625" style="713" customWidth="1"/>
    <col min="5901" max="5901" width="4.42578125" style="713" customWidth="1"/>
    <col min="5902" max="5902" width="24" style="713" customWidth="1"/>
    <col min="5903" max="5903" width="13.140625" style="713" customWidth="1"/>
    <col min="5904" max="5904" width="13" style="713" customWidth="1"/>
    <col min="5905" max="5905" width="10.42578125" style="713" customWidth="1"/>
    <col min="5906" max="6141" width="9.140625" style="713"/>
    <col min="6142" max="6142" width="5" style="713" customWidth="1"/>
    <col min="6143" max="6143" width="17.7109375" style="713" customWidth="1"/>
    <col min="6144" max="6144" width="13.85546875" style="713" customWidth="1"/>
    <col min="6145" max="6145" width="13.140625" style="713" customWidth="1"/>
    <col min="6146" max="6146" width="12.28515625" style="713" customWidth="1"/>
    <col min="6147" max="6147" width="3" style="713" customWidth="1"/>
    <col min="6148" max="6148" width="20.28515625" style="713" customWidth="1"/>
    <col min="6149" max="6149" width="12.5703125" style="713" customWidth="1"/>
    <col min="6150" max="6150" width="11.7109375" style="713" customWidth="1"/>
    <col min="6151" max="6151" width="9.140625" style="713"/>
    <col min="6152" max="6152" width="2.85546875" style="713" customWidth="1"/>
    <col min="6153" max="6153" width="18.5703125" style="713" customWidth="1"/>
    <col min="6154" max="6154" width="14.42578125" style="713" customWidth="1"/>
    <col min="6155" max="6155" width="13.7109375" style="713" customWidth="1"/>
    <col min="6156" max="6156" width="10.140625" style="713" customWidth="1"/>
    <col min="6157" max="6157" width="4.42578125" style="713" customWidth="1"/>
    <col min="6158" max="6158" width="24" style="713" customWidth="1"/>
    <col min="6159" max="6159" width="13.140625" style="713" customWidth="1"/>
    <col min="6160" max="6160" width="13" style="713" customWidth="1"/>
    <col min="6161" max="6161" width="10.42578125" style="713" customWidth="1"/>
    <col min="6162" max="6397" width="9.140625" style="713"/>
    <col min="6398" max="6398" width="5" style="713" customWidth="1"/>
    <col min="6399" max="6399" width="17.7109375" style="713" customWidth="1"/>
    <col min="6400" max="6400" width="13.85546875" style="713" customWidth="1"/>
    <col min="6401" max="6401" width="13.140625" style="713" customWidth="1"/>
    <col min="6402" max="6402" width="12.28515625" style="713" customWidth="1"/>
    <col min="6403" max="6403" width="3" style="713" customWidth="1"/>
    <col min="6404" max="6404" width="20.28515625" style="713" customWidth="1"/>
    <col min="6405" max="6405" width="12.5703125" style="713" customWidth="1"/>
    <col min="6406" max="6406" width="11.7109375" style="713" customWidth="1"/>
    <col min="6407" max="6407" width="9.140625" style="713"/>
    <col min="6408" max="6408" width="2.85546875" style="713" customWidth="1"/>
    <col min="6409" max="6409" width="18.5703125" style="713" customWidth="1"/>
    <col min="6410" max="6410" width="14.42578125" style="713" customWidth="1"/>
    <col min="6411" max="6411" width="13.7109375" style="713" customWidth="1"/>
    <col min="6412" max="6412" width="10.140625" style="713" customWidth="1"/>
    <col min="6413" max="6413" width="4.42578125" style="713" customWidth="1"/>
    <col min="6414" max="6414" width="24" style="713" customWidth="1"/>
    <col min="6415" max="6415" width="13.140625" style="713" customWidth="1"/>
    <col min="6416" max="6416" width="13" style="713" customWidth="1"/>
    <col min="6417" max="6417" width="10.42578125" style="713" customWidth="1"/>
    <col min="6418" max="6653" width="9.140625" style="713"/>
    <col min="6654" max="6654" width="5" style="713" customWidth="1"/>
    <col min="6655" max="6655" width="17.7109375" style="713" customWidth="1"/>
    <col min="6656" max="6656" width="13.85546875" style="713" customWidth="1"/>
    <col min="6657" max="6657" width="13.140625" style="713" customWidth="1"/>
    <col min="6658" max="6658" width="12.28515625" style="713" customWidth="1"/>
    <col min="6659" max="6659" width="3" style="713" customWidth="1"/>
    <col min="6660" max="6660" width="20.28515625" style="713" customWidth="1"/>
    <col min="6661" max="6661" width="12.5703125" style="713" customWidth="1"/>
    <col min="6662" max="6662" width="11.7109375" style="713" customWidth="1"/>
    <col min="6663" max="6663" width="9.140625" style="713"/>
    <col min="6664" max="6664" width="2.85546875" style="713" customWidth="1"/>
    <col min="6665" max="6665" width="18.5703125" style="713" customWidth="1"/>
    <col min="6666" max="6666" width="14.42578125" style="713" customWidth="1"/>
    <col min="6667" max="6667" width="13.7109375" style="713" customWidth="1"/>
    <col min="6668" max="6668" width="10.140625" style="713" customWidth="1"/>
    <col min="6669" max="6669" width="4.42578125" style="713" customWidth="1"/>
    <col min="6670" max="6670" width="24" style="713" customWidth="1"/>
    <col min="6671" max="6671" width="13.140625" style="713" customWidth="1"/>
    <col min="6672" max="6672" width="13" style="713" customWidth="1"/>
    <col min="6673" max="6673" width="10.42578125" style="713" customWidth="1"/>
    <col min="6674" max="6909" width="9.140625" style="713"/>
    <col min="6910" max="6910" width="5" style="713" customWidth="1"/>
    <col min="6911" max="6911" width="17.7109375" style="713" customWidth="1"/>
    <col min="6912" max="6912" width="13.85546875" style="713" customWidth="1"/>
    <col min="6913" max="6913" width="13.140625" style="713" customWidth="1"/>
    <col min="6914" max="6914" width="12.28515625" style="713" customWidth="1"/>
    <col min="6915" max="6915" width="3" style="713" customWidth="1"/>
    <col min="6916" max="6916" width="20.28515625" style="713" customWidth="1"/>
    <col min="6917" max="6917" width="12.5703125" style="713" customWidth="1"/>
    <col min="6918" max="6918" width="11.7109375" style="713" customWidth="1"/>
    <col min="6919" max="6919" width="9.140625" style="713"/>
    <col min="6920" max="6920" width="2.85546875" style="713" customWidth="1"/>
    <col min="6921" max="6921" width="18.5703125" style="713" customWidth="1"/>
    <col min="6922" max="6922" width="14.42578125" style="713" customWidth="1"/>
    <col min="6923" max="6923" width="13.7109375" style="713" customWidth="1"/>
    <col min="6924" max="6924" width="10.140625" style="713" customWidth="1"/>
    <col min="6925" max="6925" width="4.42578125" style="713" customWidth="1"/>
    <col min="6926" max="6926" width="24" style="713" customWidth="1"/>
    <col min="6927" max="6927" width="13.140625" style="713" customWidth="1"/>
    <col min="6928" max="6928" width="13" style="713" customWidth="1"/>
    <col min="6929" max="6929" width="10.42578125" style="713" customWidth="1"/>
    <col min="6930" max="7165" width="9.140625" style="713"/>
    <col min="7166" max="7166" width="5" style="713" customWidth="1"/>
    <col min="7167" max="7167" width="17.7109375" style="713" customWidth="1"/>
    <col min="7168" max="7168" width="13.85546875" style="713" customWidth="1"/>
    <col min="7169" max="7169" width="13.140625" style="713" customWidth="1"/>
    <col min="7170" max="7170" width="12.28515625" style="713" customWidth="1"/>
    <col min="7171" max="7171" width="3" style="713" customWidth="1"/>
    <col min="7172" max="7172" width="20.28515625" style="713" customWidth="1"/>
    <col min="7173" max="7173" width="12.5703125" style="713" customWidth="1"/>
    <col min="7174" max="7174" width="11.7109375" style="713" customWidth="1"/>
    <col min="7175" max="7175" width="9.140625" style="713"/>
    <col min="7176" max="7176" width="2.85546875" style="713" customWidth="1"/>
    <col min="7177" max="7177" width="18.5703125" style="713" customWidth="1"/>
    <col min="7178" max="7178" width="14.42578125" style="713" customWidth="1"/>
    <col min="7179" max="7179" width="13.7109375" style="713" customWidth="1"/>
    <col min="7180" max="7180" width="10.140625" style="713" customWidth="1"/>
    <col min="7181" max="7181" width="4.42578125" style="713" customWidth="1"/>
    <col min="7182" max="7182" width="24" style="713" customWidth="1"/>
    <col min="7183" max="7183" width="13.140625" style="713" customWidth="1"/>
    <col min="7184" max="7184" width="13" style="713" customWidth="1"/>
    <col min="7185" max="7185" width="10.42578125" style="713" customWidth="1"/>
    <col min="7186" max="7421" width="9.140625" style="713"/>
    <col min="7422" max="7422" width="5" style="713" customWidth="1"/>
    <col min="7423" max="7423" width="17.7109375" style="713" customWidth="1"/>
    <col min="7424" max="7424" width="13.85546875" style="713" customWidth="1"/>
    <col min="7425" max="7425" width="13.140625" style="713" customWidth="1"/>
    <col min="7426" max="7426" width="12.28515625" style="713" customWidth="1"/>
    <col min="7427" max="7427" width="3" style="713" customWidth="1"/>
    <col min="7428" max="7428" width="20.28515625" style="713" customWidth="1"/>
    <col min="7429" max="7429" width="12.5703125" style="713" customWidth="1"/>
    <col min="7430" max="7430" width="11.7109375" style="713" customWidth="1"/>
    <col min="7431" max="7431" width="9.140625" style="713"/>
    <col min="7432" max="7432" width="2.85546875" style="713" customWidth="1"/>
    <col min="7433" max="7433" width="18.5703125" style="713" customWidth="1"/>
    <col min="7434" max="7434" width="14.42578125" style="713" customWidth="1"/>
    <col min="7435" max="7435" width="13.7109375" style="713" customWidth="1"/>
    <col min="7436" max="7436" width="10.140625" style="713" customWidth="1"/>
    <col min="7437" max="7437" width="4.42578125" style="713" customWidth="1"/>
    <col min="7438" max="7438" width="24" style="713" customWidth="1"/>
    <col min="7439" max="7439" width="13.140625" style="713" customWidth="1"/>
    <col min="7440" max="7440" width="13" style="713" customWidth="1"/>
    <col min="7441" max="7441" width="10.42578125" style="713" customWidth="1"/>
    <col min="7442" max="7677" width="9.140625" style="713"/>
    <col min="7678" max="7678" width="5" style="713" customWidth="1"/>
    <col min="7679" max="7679" width="17.7109375" style="713" customWidth="1"/>
    <col min="7680" max="7680" width="13.85546875" style="713" customWidth="1"/>
    <col min="7681" max="7681" width="13.140625" style="713" customWidth="1"/>
    <col min="7682" max="7682" width="12.28515625" style="713" customWidth="1"/>
    <col min="7683" max="7683" width="3" style="713" customWidth="1"/>
    <col min="7684" max="7684" width="20.28515625" style="713" customWidth="1"/>
    <col min="7685" max="7685" width="12.5703125" style="713" customWidth="1"/>
    <col min="7686" max="7686" width="11.7109375" style="713" customWidth="1"/>
    <col min="7687" max="7687" width="9.140625" style="713"/>
    <col min="7688" max="7688" width="2.85546875" style="713" customWidth="1"/>
    <col min="7689" max="7689" width="18.5703125" style="713" customWidth="1"/>
    <col min="7690" max="7690" width="14.42578125" style="713" customWidth="1"/>
    <col min="7691" max="7691" width="13.7109375" style="713" customWidth="1"/>
    <col min="7692" max="7692" width="10.140625" style="713" customWidth="1"/>
    <col min="7693" max="7693" width="4.42578125" style="713" customWidth="1"/>
    <col min="7694" max="7694" width="24" style="713" customWidth="1"/>
    <col min="7695" max="7695" width="13.140625" style="713" customWidth="1"/>
    <col min="7696" max="7696" width="13" style="713" customWidth="1"/>
    <col min="7697" max="7697" width="10.42578125" style="713" customWidth="1"/>
    <col min="7698" max="7933" width="9.140625" style="713"/>
    <col min="7934" max="7934" width="5" style="713" customWidth="1"/>
    <col min="7935" max="7935" width="17.7109375" style="713" customWidth="1"/>
    <col min="7936" max="7936" width="13.85546875" style="713" customWidth="1"/>
    <col min="7937" max="7937" width="13.140625" style="713" customWidth="1"/>
    <col min="7938" max="7938" width="12.28515625" style="713" customWidth="1"/>
    <col min="7939" max="7939" width="3" style="713" customWidth="1"/>
    <col min="7940" max="7940" width="20.28515625" style="713" customWidth="1"/>
    <col min="7941" max="7941" width="12.5703125" style="713" customWidth="1"/>
    <col min="7942" max="7942" width="11.7109375" style="713" customWidth="1"/>
    <col min="7943" max="7943" width="9.140625" style="713"/>
    <col min="7944" max="7944" width="2.85546875" style="713" customWidth="1"/>
    <col min="7945" max="7945" width="18.5703125" style="713" customWidth="1"/>
    <col min="7946" max="7946" width="14.42578125" style="713" customWidth="1"/>
    <col min="7947" max="7947" width="13.7109375" style="713" customWidth="1"/>
    <col min="7948" max="7948" width="10.140625" style="713" customWidth="1"/>
    <col min="7949" max="7949" width="4.42578125" style="713" customWidth="1"/>
    <col min="7950" max="7950" width="24" style="713" customWidth="1"/>
    <col min="7951" max="7951" width="13.140625" style="713" customWidth="1"/>
    <col min="7952" max="7952" width="13" style="713" customWidth="1"/>
    <col min="7953" max="7953" width="10.42578125" style="713" customWidth="1"/>
    <col min="7954" max="8189" width="9.140625" style="713"/>
    <col min="8190" max="8190" width="5" style="713" customWidth="1"/>
    <col min="8191" max="8191" width="17.7109375" style="713" customWidth="1"/>
    <col min="8192" max="8192" width="13.85546875" style="713" customWidth="1"/>
    <col min="8193" max="8193" width="13.140625" style="713" customWidth="1"/>
    <col min="8194" max="8194" width="12.28515625" style="713" customWidth="1"/>
    <col min="8195" max="8195" width="3" style="713" customWidth="1"/>
    <col min="8196" max="8196" width="20.28515625" style="713" customWidth="1"/>
    <col min="8197" max="8197" width="12.5703125" style="713" customWidth="1"/>
    <col min="8198" max="8198" width="11.7109375" style="713" customWidth="1"/>
    <col min="8199" max="8199" width="9.140625" style="713"/>
    <col min="8200" max="8200" width="2.85546875" style="713" customWidth="1"/>
    <col min="8201" max="8201" width="18.5703125" style="713" customWidth="1"/>
    <col min="8202" max="8202" width="14.42578125" style="713" customWidth="1"/>
    <col min="8203" max="8203" width="13.7109375" style="713" customWidth="1"/>
    <col min="8204" max="8204" width="10.140625" style="713" customWidth="1"/>
    <col min="8205" max="8205" width="4.42578125" style="713" customWidth="1"/>
    <col min="8206" max="8206" width="24" style="713" customWidth="1"/>
    <col min="8207" max="8207" width="13.140625" style="713" customWidth="1"/>
    <col min="8208" max="8208" width="13" style="713" customWidth="1"/>
    <col min="8209" max="8209" width="10.42578125" style="713" customWidth="1"/>
    <col min="8210" max="8445" width="9.140625" style="713"/>
    <col min="8446" max="8446" width="5" style="713" customWidth="1"/>
    <col min="8447" max="8447" width="17.7109375" style="713" customWidth="1"/>
    <col min="8448" max="8448" width="13.85546875" style="713" customWidth="1"/>
    <col min="8449" max="8449" width="13.140625" style="713" customWidth="1"/>
    <col min="8450" max="8450" width="12.28515625" style="713" customWidth="1"/>
    <col min="8451" max="8451" width="3" style="713" customWidth="1"/>
    <col min="8452" max="8452" width="20.28515625" style="713" customWidth="1"/>
    <col min="8453" max="8453" width="12.5703125" style="713" customWidth="1"/>
    <col min="8454" max="8454" width="11.7109375" style="713" customWidth="1"/>
    <col min="8455" max="8455" width="9.140625" style="713"/>
    <col min="8456" max="8456" width="2.85546875" style="713" customWidth="1"/>
    <col min="8457" max="8457" width="18.5703125" style="713" customWidth="1"/>
    <col min="8458" max="8458" width="14.42578125" style="713" customWidth="1"/>
    <col min="8459" max="8459" width="13.7109375" style="713" customWidth="1"/>
    <col min="8460" max="8460" width="10.140625" style="713" customWidth="1"/>
    <col min="8461" max="8461" width="4.42578125" style="713" customWidth="1"/>
    <col min="8462" max="8462" width="24" style="713" customWidth="1"/>
    <col min="8463" max="8463" width="13.140625" style="713" customWidth="1"/>
    <col min="8464" max="8464" width="13" style="713" customWidth="1"/>
    <col min="8465" max="8465" width="10.42578125" style="713" customWidth="1"/>
    <col min="8466" max="8701" width="9.140625" style="713"/>
    <col min="8702" max="8702" width="5" style="713" customWidth="1"/>
    <col min="8703" max="8703" width="17.7109375" style="713" customWidth="1"/>
    <col min="8704" max="8704" width="13.85546875" style="713" customWidth="1"/>
    <col min="8705" max="8705" width="13.140625" style="713" customWidth="1"/>
    <col min="8706" max="8706" width="12.28515625" style="713" customWidth="1"/>
    <col min="8707" max="8707" width="3" style="713" customWidth="1"/>
    <col min="8708" max="8708" width="20.28515625" style="713" customWidth="1"/>
    <col min="8709" max="8709" width="12.5703125" style="713" customWidth="1"/>
    <col min="8710" max="8710" width="11.7109375" style="713" customWidth="1"/>
    <col min="8711" max="8711" width="9.140625" style="713"/>
    <col min="8712" max="8712" width="2.85546875" style="713" customWidth="1"/>
    <col min="8713" max="8713" width="18.5703125" style="713" customWidth="1"/>
    <col min="8714" max="8714" width="14.42578125" style="713" customWidth="1"/>
    <col min="8715" max="8715" width="13.7109375" style="713" customWidth="1"/>
    <col min="8716" max="8716" width="10.140625" style="713" customWidth="1"/>
    <col min="8717" max="8717" width="4.42578125" style="713" customWidth="1"/>
    <col min="8718" max="8718" width="24" style="713" customWidth="1"/>
    <col min="8719" max="8719" width="13.140625" style="713" customWidth="1"/>
    <col min="8720" max="8720" width="13" style="713" customWidth="1"/>
    <col min="8721" max="8721" width="10.42578125" style="713" customWidth="1"/>
    <col min="8722" max="8957" width="9.140625" style="713"/>
    <col min="8958" max="8958" width="5" style="713" customWidth="1"/>
    <col min="8959" max="8959" width="17.7109375" style="713" customWidth="1"/>
    <col min="8960" max="8960" width="13.85546875" style="713" customWidth="1"/>
    <col min="8961" max="8961" width="13.140625" style="713" customWidth="1"/>
    <col min="8962" max="8962" width="12.28515625" style="713" customWidth="1"/>
    <col min="8963" max="8963" width="3" style="713" customWidth="1"/>
    <col min="8964" max="8964" width="20.28515625" style="713" customWidth="1"/>
    <col min="8965" max="8965" width="12.5703125" style="713" customWidth="1"/>
    <col min="8966" max="8966" width="11.7109375" style="713" customWidth="1"/>
    <col min="8967" max="8967" width="9.140625" style="713"/>
    <col min="8968" max="8968" width="2.85546875" style="713" customWidth="1"/>
    <col min="8969" max="8969" width="18.5703125" style="713" customWidth="1"/>
    <col min="8970" max="8970" width="14.42578125" style="713" customWidth="1"/>
    <col min="8971" max="8971" width="13.7109375" style="713" customWidth="1"/>
    <col min="8972" max="8972" width="10.140625" style="713" customWidth="1"/>
    <col min="8973" max="8973" width="4.42578125" style="713" customWidth="1"/>
    <col min="8974" max="8974" width="24" style="713" customWidth="1"/>
    <col min="8975" max="8975" width="13.140625" style="713" customWidth="1"/>
    <col min="8976" max="8976" width="13" style="713" customWidth="1"/>
    <col min="8977" max="8977" width="10.42578125" style="713" customWidth="1"/>
    <col min="8978" max="9213" width="9.140625" style="713"/>
    <col min="9214" max="9214" width="5" style="713" customWidth="1"/>
    <col min="9215" max="9215" width="17.7109375" style="713" customWidth="1"/>
    <col min="9216" max="9216" width="13.85546875" style="713" customWidth="1"/>
    <col min="9217" max="9217" width="13.140625" style="713" customWidth="1"/>
    <col min="9218" max="9218" width="12.28515625" style="713" customWidth="1"/>
    <col min="9219" max="9219" width="3" style="713" customWidth="1"/>
    <col min="9220" max="9220" width="20.28515625" style="713" customWidth="1"/>
    <col min="9221" max="9221" width="12.5703125" style="713" customWidth="1"/>
    <col min="9222" max="9222" width="11.7109375" style="713" customWidth="1"/>
    <col min="9223" max="9223" width="9.140625" style="713"/>
    <col min="9224" max="9224" width="2.85546875" style="713" customWidth="1"/>
    <col min="9225" max="9225" width="18.5703125" style="713" customWidth="1"/>
    <col min="9226" max="9226" width="14.42578125" style="713" customWidth="1"/>
    <col min="9227" max="9227" width="13.7109375" style="713" customWidth="1"/>
    <col min="9228" max="9228" width="10.140625" style="713" customWidth="1"/>
    <col min="9229" max="9229" width="4.42578125" style="713" customWidth="1"/>
    <col min="9230" max="9230" width="24" style="713" customWidth="1"/>
    <col min="9231" max="9231" width="13.140625" style="713" customWidth="1"/>
    <col min="9232" max="9232" width="13" style="713" customWidth="1"/>
    <col min="9233" max="9233" width="10.42578125" style="713" customWidth="1"/>
    <col min="9234" max="9469" width="9.140625" style="713"/>
    <col min="9470" max="9470" width="5" style="713" customWidth="1"/>
    <col min="9471" max="9471" width="17.7109375" style="713" customWidth="1"/>
    <col min="9472" max="9472" width="13.85546875" style="713" customWidth="1"/>
    <col min="9473" max="9473" width="13.140625" style="713" customWidth="1"/>
    <col min="9474" max="9474" width="12.28515625" style="713" customWidth="1"/>
    <col min="9475" max="9475" width="3" style="713" customWidth="1"/>
    <col min="9476" max="9476" width="20.28515625" style="713" customWidth="1"/>
    <col min="9477" max="9477" width="12.5703125" style="713" customWidth="1"/>
    <col min="9478" max="9478" width="11.7109375" style="713" customWidth="1"/>
    <col min="9479" max="9479" width="9.140625" style="713"/>
    <col min="9480" max="9480" width="2.85546875" style="713" customWidth="1"/>
    <col min="9481" max="9481" width="18.5703125" style="713" customWidth="1"/>
    <col min="9482" max="9482" width="14.42578125" style="713" customWidth="1"/>
    <col min="9483" max="9483" width="13.7109375" style="713" customWidth="1"/>
    <col min="9484" max="9484" width="10.140625" style="713" customWidth="1"/>
    <col min="9485" max="9485" width="4.42578125" style="713" customWidth="1"/>
    <col min="9486" max="9486" width="24" style="713" customWidth="1"/>
    <col min="9487" max="9487" width="13.140625" style="713" customWidth="1"/>
    <col min="9488" max="9488" width="13" style="713" customWidth="1"/>
    <col min="9489" max="9489" width="10.42578125" style="713" customWidth="1"/>
    <col min="9490" max="9725" width="9.140625" style="713"/>
    <col min="9726" max="9726" width="5" style="713" customWidth="1"/>
    <col min="9727" max="9727" width="17.7109375" style="713" customWidth="1"/>
    <col min="9728" max="9728" width="13.85546875" style="713" customWidth="1"/>
    <col min="9729" max="9729" width="13.140625" style="713" customWidth="1"/>
    <col min="9730" max="9730" width="12.28515625" style="713" customWidth="1"/>
    <col min="9731" max="9731" width="3" style="713" customWidth="1"/>
    <col min="9732" max="9732" width="20.28515625" style="713" customWidth="1"/>
    <col min="9733" max="9733" width="12.5703125" style="713" customWidth="1"/>
    <col min="9734" max="9734" width="11.7109375" style="713" customWidth="1"/>
    <col min="9735" max="9735" width="9.140625" style="713"/>
    <col min="9736" max="9736" width="2.85546875" style="713" customWidth="1"/>
    <col min="9737" max="9737" width="18.5703125" style="713" customWidth="1"/>
    <col min="9738" max="9738" width="14.42578125" style="713" customWidth="1"/>
    <col min="9739" max="9739" width="13.7109375" style="713" customWidth="1"/>
    <col min="9740" max="9740" width="10.140625" style="713" customWidth="1"/>
    <col min="9741" max="9741" width="4.42578125" style="713" customWidth="1"/>
    <col min="9742" max="9742" width="24" style="713" customWidth="1"/>
    <col min="9743" max="9743" width="13.140625" style="713" customWidth="1"/>
    <col min="9744" max="9744" width="13" style="713" customWidth="1"/>
    <col min="9745" max="9745" width="10.42578125" style="713" customWidth="1"/>
    <col min="9746" max="9981" width="9.140625" style="713"/>
    <col min="9982" max="9982" width="5" style="713" customWidth="1"/>
    <col min="9983" max="9983" width="17.7109375" style="713" customWidth="1"/>
    <col min="9984" max="9984" width="13.85546875" style="713" customWidth="1"/>
    <col min="9985" max="9985" width="13.140625" style="713" customWidth="1"/>
    <col min="9986" max="9986" width="12.28515625" style="713" customWidth="1"/>
    <col min="9987" max="9987" width="3" style="713" customWidth="1"/>
    <col min="9988" max="9988" width="20.28515625" style="713" customWidth="1"/>
    <col min="9989" max="9989" width="12.5703125" style="713" customWidth="1"/>
    <col min="9990" max="9990" width="11.7109375" style="713" customWidth="1"/>
    <col min="9991" max="9991" width="9.140625" style="713"/>
    <col min="9992" max="9992" width="2.85546875" style="713" customWidth="1"/>
    <col min="9993" max="9993" width="18.5703125" style="713" customWidth="1"/>
    <col min="9994" max="9994" width="14.42578125" style="713" customWidth="1"/>
    <col min="9995" max="9995" width="13.7109375" style="713" customWidth="1"/>
    <col min="9996" max="9996" width="10.140625" style="713" customWidth="1"/>
    <col min="9997" max="9997" width="4.42578125" style="713" customWidth="1"/>
    <col min="9998" max="9998" width="24" style="713" customWidth="1"/>
    <col min="9999" max="9999" width="13.140625" style="713" customWidth="1"/>
    <col min="10000" max="10000" width="13" style="713" customWidth="1"/>
    <col min="10001" max="10001" width="10.42578125" style="713" customWidth="1"/>
    <col min="10002" max="10237" width="9.140625" style="713"/>
    <col min="10238" max="10238" width="5" style="713" customWidth="1"/>
    <col min="10239" max="10239" width="17.7109375" style="713" customWidth="1"/>
    <col min="10240" max="10240" width="13.85546875" style="713" customWidth="1"/>
    <col min="10241" max="10241" width="13.140625" style="713" customWidth="1"/>
    <col min="10242" max="10242" width="12.28515625" style="713" customWidth="1"/>
    <col min="10243" max="10243" width="3" style="713" customWidth="1"/>
    <col min="10244" max="10244" width="20.28515625" style="713" customWidth="1"/>
    <col min="10245" max="10245" width="12.5703125" style="713" customWidth="1"/>
    <col min="10246" max="10246" width="11.7109375" style="713" customWidth="1"/>
    <col min="10247" max="10247" width="9.140625" style="713"/>
    <col min="10248" max="10248" width="2.85546875" style="713" customWidth="1"/>
    <col min="10249" max="10249" width="18.5703125" style="713" customWidth="1"/>
    <col min="10250" max="10250" width="14.42578125" style="713" customWidth="1"/>
    <col min="10251" max="10251" width="13.7109375" style="713" customWidth="1"/>
    <col min="10252" max="10252" width="10.140625" style="713" customWidth="1"/>
    <col min="10253" max="10253" width="4.42578125" style="713" customWidth="1"/>
    <col min="10254" max="10254" width="24" style="713" customWidth="1"/>
    <col min="10255" max="10255" width="13.140625" style="713" customWidth="1"/>
    <col min="10256" max="10256" width="13" style="713" customWidth="1"/>
    <col min="10257" max="10257" width="10.42578125" style="713" customWidth="1"/>
    <col min="10258" max="10493" width="9.140625" style="713"/>
    <col min="10494" max="10494" width="5" style="713" customWidth="1"/>
    <col min="10495" max="10495" width="17.7109375" style="713" customWidth="1"/>
    <col min="10496" max="10496" width="13.85546875" style="713" customWidth="1"/>
    <col min="10497" max="10497" width="13.140625" style="713" customWidth="1"/>
    <col min="10498" max="10498" width="12.28515625" style="713" customWidth="1"/>
    <col min="10499" max="10499" width="3" style="713" customWidth="1"/>
    <col min="10500" max="10500" width="20.28515625" style="713" customWidth="1"/>
    <col min="10501" max="10501" width="12.5703125" style="713" customWidth="1"/>
    <col min="10502" max="10502" width="11.7109375" style="713" customWidth="1"/>
    <col min="10503" max="10503" width="9.140625" style="713"/>
    <col min="10504" max="10504" width="2.85546875" style="713" customWidth="1"/>
    <col min="10505" max="10505" width="18.5703125" style="713" customWidth="1"/>
    <col min="10506" max="10506" width="14.42578125" style="713" customWidth="1"/>
    <col min="10507" max="10507" width="13.7109375" style="713" customWidth="1"/>
    <col min="10508" max="10508" width="10.140625" style="713" customWidth="1"/>
    <col min="10509" max="10509" width="4.42578125" style="713" customWidth="1"/>
    <col min="10510" max="10510" width="24" style="713" customWidth="1"/>
    <col min="10511" max="10511" width="13.140625" style="713" customWidth="1"/>
    <col min="10512" max="10512" width="13" style="713" customWidth="1"/>
    <col min="10513" max="10513" width="10.42578125" style="713" customWidth="1"/>
    <col min="10514" max="10749" width="9.140625" style="713"/>
    <col min="10750" max="10750" width="5" style="713" customWidth="1"/>
    <col min="10751" max="10751" width="17.7109375" style="713" customWidth="1"/>
    <col min="10752" max="10752" width="13.85546875" style="713" customWidth="1"/>
    <col min="10753" max="10753" width="13.140625" style="713" customWidth="1"/>
    <col min="10754" max="10754" width="12.28515625" style="713" customWidth="1"/>
    <col min="10755" max="10755" width="3" style="713" customWidth="1"/>
    <col min="10756" max="10756" width="20.28515625" style="713" customWidth="1"/>
    <col min="10757" max="10757" width="12.5703125" style="713" customWidth="1"/>
    <col min="10758" max="10758" width="11.7109375" style="713" customWidth="1"/>
    <col min="10759" max="10759" width="9.140625" style="713"/>
    <col min="10760" max="10760" width="2.85546875" style="713" customWidth="1"/>
    <col min="10761" max="10761" width="18.5703125" style="713" customWidth="1"/>
    <col min="10762" max="10762" width="14.42578125" style="713" customWidth="1"/>
    <col min="10763" max="10763" width="13.7109375" style="713" customWidth="1"/>
    <col min="10764" max="10764" width="10.140625" style="713" customWidth="1"/>
    <col min="10765" max="10765" width="4.42578125" style="713" customWidth="1"/>
    <col min="10766" max="10766" width="24" style="713" customWidth="1"/>
    <col min="10767" max="10767" width="13.140625" style="713" customWidth="1"/>
    <col min="10768" max="10768" width="13" style="713" customWidth="1"/>
    <col min="10769" max="10769" width="10.42578125" style="713" customWidth="1"/>
    <col min="10770" max="11005" width="9.140625" style="713"/>
    <col min="11006" max="11006" width="5" style="713" customWidth="1"/>
    <col min="11007" max="11007" width="17.7109375" style="713" customWidth="1"/>
    <col min="11008" max="11008" width="13.85546875" style="713" customWidth="1"/>
    <col min="11009" max="11009" width="13.140625" style="713" customWidth="1"/>
    <col min="11010" max="11010" width="12.28515625" style="713" customWidth="1"/>
    <col min="11011" max="11011" width="3" style="713" customWidth="1"/>
    <col min="11012" max="11012" width="20.28515625" style="713" customWidth="1"/>
    <col min="11013" max="11013" width="12.5703125" style="713" customWidth="1"/>
    <col min="11014" max="11014" width="11.7109375" style="713" customWidth="1"/>
    <col min="11015" max="11015" width="9.140625" style="713"/>
    <col min="11016" max="11016" width="2.85546875" style="713" customWidth="1"/>
    <col min="11017" max="11017" width="18.5703125" style="713" customWidth="1"/>
    <col min="11018" max="11018" width="14.42578125" style="713" customWidth="1"/>
    <col min="11019" max="11019" width="13.7109375" style="713" customWidth="1"/>
    <col min="11020" max="11020" width="10.140625" style="713" customWidth="1"/>
    <col min="11021" max="11021" width="4.42578125" style="713" customWidth="1"/>
    <col min="11022" max="11022" width="24" style="713" customWidth="1"/>
    <col min="11023" max="11023" width="13.140625" style="713" customWidth="1"/>
    <col min="11024" max="11024" width="13" style="713" customWidth="1"/>
    <col min="11025" max="11025" width="10.42578125" style="713" customWidth="1"/>
    <col min="11026" max="11261" width="9.140625" style="713"/>
    <col min="11262" max="11262" width="5" style="713" customWidth="1"/>
    <col min="11263" max="11263" width="17.7109375" style="713" customWidth="1"/>
    <col min="11264" max="11264" width="13.85546875" style="713" customWidth="1"/>
    <col min="11265" max="11265" width="13.140625" style="713" customWidth="1"/>
    <col min="11266" max="11266" width="12.28515625" style="713" customWidth="1"/>
    <col min="11267" max="11267" width="3" style="713" customWidth="1"/>
    <col min="11268" max="11268" width="20.28515625" style="713" customWidth="1"/>
    <col min="11269" max="11269" width="12.5703125" style="713" customWidth="1"/>
    <col min="11270" max="11270" width="11.7109375" style="713" customWidth="1"/>
    <col min="11271" max="11271" width="9.140625" style="713"/>
    <col min="11272" max="11272" width="2.85546875" style="713" customWidth="1"/>
    <col min="11273" max="11273" width="18.5703125" style="713" customWidth="1"/>
    <col min="11274" max="11274" width="14.42578125" style="713" customWidth="1"/>
    <col min="11275" max="11275" width="13.7109375" style="713" customWidth="1"/>
    <col min="11276" max="11276" width="10.140625" style="713" customWidth="1"/>
    <col min="11277" max="11277" width="4.42578125" style="713" customWidth="1"/>
    <col min="11278" max="11278" width="24" style="713" customWidth="1"/>
    <col min="11279" max="11279" width="13.140625" style="713" customWidth="1"/>
    <col min="11280" max="11280" width="13" style="713" customWidth="1"/>
    <col min="11281" max="11281" width="10.42578125" style="713" customWidth="1"/>
    <col min="11282" max="11517" width="9.140625" style="713"/>
    <col min="11518" max="11518" width="5" style="713" customWidth="1"/>
    <col min="11519" max="11519" width="17.7109375" style="713" customWidth="1"/>
    <col min="11520" max="11520" width="13.85546875" style="713" customWidth="1"/>
    <col min="11521" max="11521" width="13.140625" style="713" customWidth="1"/>
    <col min="11522" max="11522" width="12.28515625" style="713" customWidth="1"/>
    <col min="11523" max="11523" width="3" style="713" customWidth="1"/>
    <col min="11524" max="11524" width="20.28515625" style="713" customWidth="1"/>
    <col min="11525" max="11525" width="12.5703125" style="713" customWidth="1"/>
    <col min="11526" max="11526" width="11.7109375" style="713" customWidth="1"/>
    <col min="11527" max="11527" width="9.140625" style="713"/>
    <col min="11528" max="11528" width="2.85546875" style="713" customWidth="1"/>
    <col min="11529" max="11529" width="18.5703125" style="713" customWidth="1"/>
    <col min="11530" max="11530" width="14.42578125" style="713" customWidth="1"/>
    <col min="11531" max="11531" width="13.7109375" style="713" customWidth="1"/>
    <col min="11532" max="11532" width="10.140625" style="713" customWidth="1"/>
    <col min="11533" max="11533" width="4.42578125" style="713" customWidth="1"/>
    <col min="11534" max="11534" width="24" style="713" customWidth="1"/>
    <col min="11535" max="11535" width="13.140625" style="713" customWidth="1"/>
    <col min="11536" max="11536" width="13" style="713" customWidth="1"/>
    <col min="11537" max="11537" width="10.42578125" style="713" customWidth="1"/>
    <col min="11538" max="11773" width="9.140625" style="713"/>
    <col min="11774" max="11774" width="5" style="713" customWidth="1"/>
    <col min="11775" max="11775" width="17.7109375" style="713" customWidth="1"/>
    <col min="11776" max="11776" width="13.85546875" style="713" customWidth="1"/>
    <col min="11777" max="11777" width="13.140625" style="713" customWidth="1"/>
    <col min="11778" max="11778" width="12.28515625" style="713" customWidth="1"/>
    <col min="11779" max="11779" width="3" style="713" customWidth="1"/>
    <col min="11780" max="11780" width="20.28515625" style="713" customWidth="1"/>
    <col min="11781" max="11781" width="12.5703125" style="713" customWidth="1"/>
    <col min="11782" max="11782" width="11.7109375" style="713" customWidth="1"/>
    <col min="11783" max="11783" width="9.140625" style="713"/>
    <col min="11784" max="11784" width="2.85546875" style="713" customWidth="1"/>
    <col min="11785" max="11785" width="18.5703125" style="713" customWidth="1"/>
    <col min="11786" max="11786" width="14.42578125" style="713" customWidth="1"/>
    <col min="11787" max="11787" width="13.7109375" style="713" customWidth="1"/>
    <col min="11788" max="11788" width="10.140625" style="713" customWidth="1"/>
    <col min="11789" max="11789" width="4.42578125" style="713" customWidth="1"/>
    <col min="11790" max="11790" width="24" style="713" customWidth="1"/>
    <col min="11791" max="11791" width="13.140625" style="713" customWidth="1"/>
    <col min="11792" max="11792" width="13" style="713" customWidth="1"/>
    <col min="11793" max="11793" width="10.42578125" style="713" customWidth="1"/>
    <col min="11794" max="12029" width="9.140625" style="713"/>
    <col min="12030" max="12030" width="5" style="713" customWidth="1"/>
    <col min="12031" max="12031" width="17.7109375" style="713" customWidth="1"/>
    <col min="12032" max="12032" width="13.85546875" style="713" customWidth="1"/>
    <col min="12033" max="12033" width="13.140625" style="713" customWidth="1"/>
    <col min="12034" max="12034" width="12.28515625" style="713" customWidth="1"/>
    <col min="12035" max="12035" width="3" style="713" customWidth="1"/>
    <col min="12036" max="12036" width="20.28515625" style="713" customWidth="1"/>
    <col min="12037" max="12037" width="12.5703125" style="713" customWidth="1"/>
    <col min="12038" max="12038" width="11.7109375" style="713" customWidth="1"/>
    <col min="12039" max="12039" width="9.140625" style="713"/>
    <col min="12040" max="12040" width="2.85546875" style="713" customWidth="1"/>
    <col min="12041" max="12041" width="18.5703125" style="713" customWidth="1"/>
    <col min="12042" max="12042" width="14.42578125" style="713" customWidth="1"/>
    <col min="12043" max="12043" width="13.7109375" style="713" customWidth="1"/>
    <col min="12044" max="12044" width="10.140625" style="713" customWidth="1"/>
    <col min="12045" max="12045" width="4.42578125" style="713" customWidth="1"/>
    <col min="12046" max="12046" width="24" style="713" customWidth="1"/>
    <col min="12047" max="12047" width="13.140625" style="713" customWidth="1"/>
    <col min="12048" max="12048" width="13" style="713" customWidth="1"/>
    <col min="12049" max="12049" width="10.42578125" style="713" customWidth="1"/>
    <col min="12050" max="12285" width="9.140625" style="713"/>
    <col min="12286" max="12286" width="5" style="713" customWidth="1"/>
    <col min="12287" max="12287" width="17.7109375" style="713" customWidth="1"/>
    <col min="12288" max="12288" width="13.85546875" style="713" customWidth="1"/>
    <col min="12289" max="12289" width="13.140625" style="713" customWidth="1"/>
    <col min="12290" max="12290" width="12.28515625" style="713" customWidth="1"/>
    <col min="12291" max="12291" width="3" style="713" customWidth="1"/>
    <col min="12292" max="12292" width="20.28515625" style="713" customWidth="1"/>
    <col min="12293" max="12293" width="12.5703125" style="713" customWidth="1"/>
    <col min="12294" max="12294" width="11.7109375" style="713" customWidth="1"/>
    <col min="12295" max="12295" width="9.140625" style="713"/>
    <col min="12296" max="12296" width="2.85546875" style="713" customWidth="1"/>
    <col min="12297" max="12297" width="18.5703125" style="713" customWidth="1"/>
    <col min="12298" max="12298" width="14.42578125" style="713" customWidth="1"/>
    <col min="12299" max="12299" width="13.7109375" style="713" customWidth="1"/>
    <col min="12300" max="12300" width="10.140625" style="713" customWidth="1"/>
    <col min="12301" max="12301" width="4.42578125" style="713" customWidth="1"/>
    <col min="12302" max="12302" width="24" style="713" customWidth="1"/>
    <col min="12303" max="12303" width="13.140625" style="713" customWidth="1"/>
    <col min="12304" max="12304" width="13" style="713" customWidth="1"/>
    <col min="12305" max="12305" width="10.42578125" style="713" customWidth="1"/>
    <col min="12306" max="12541" width="9.140625" style="713"/>
    <col min="12542" max="12542" width="5" style="713" customWidth="1"/>
    <col min="12543" max="12543" width="17.7109375" style="713" customWidth="1"/>
    <col min="12544" max="12544" width="13.85546875" style="713" customWidth="1"/>
    <col min="12545" max="12545" width="13.140625" style="713" customWidth="1"/>
    <col min="12546" max="12546" width="12.28515625" style="713" customWidth="1"/>
    <col min="12547" max="12547" width="3" style="713" customWidth="1"/>
    <col min="12548" max="12548" width="20.28515625" style="713" customWidth="1"/>
    <col min="12549" max="12549" width="12.5703125" style="713" customWidth="1"/>
    <col min="12550" max="12550" width="11.7109375" style="713" customWidth="1"/>
    <col min="12551" max="12551" width="9.140625" style="713"/>
    <col min="12552" max="12552" width="2.85546875" style="713" customWidth="1"/>
    <col min="12553" max="12553" width="18.5703125" style="713" customWidth="1"/>
    <col min="12554" max="12554" width="14.42578125" style="713" customWidth="1"/>
    <col min="12555" max="12555" width="13.7109375" style="713" customWidth="1"/>
    <col min="12556" max="12556" width="10.140625" style="713" customWidth="1"/>
    <col min="12557" max="12557" width="4.42578125" style="713" customWidth="1"/>
    <col min="12558" max="12558" width="24" style="713" customWidth="1"/>
    <col min="12559" max="12559" width="13.140625" style="713" customWidth="1"/>
    <col min="12560" max="12560" width="13" style="713" customWidth="1"/>
    <col min="12561" max="12561" width="10.42578125" style="713" customWidth="1"/>
    <col min="12562" max="12797" width="9.140625" style="713"/>
    <col min="12798" max="12798" width="5" style="713" customWidth="1"/>
    <col min="12799" max="12799" width="17.7109375" style="713" customWidth="1"/>
    <col min="12800" max="12800" width="13.85546875" style="713" customWidth="1"/>
    <col min="12801" max="12801" width="13.140625" style="713" customWidth="1"/>
    <col min="12802" max="12802" width="12.28515625" style="713" customWidth="1"/>
    <col min="12803" max="12803" width="3" style="713" customWidth="1"/>
    <col min="12804" max="12804" width="20.28515625" style="713" customWidth="1"/>
    <col min="12805" max="12805" width="12.5703125" style="713" customWidth="1"/>
    <col min="12806" max="12806" width="11.7109375" style="713" customWidth="1"/>
    <col min="12807" max="12807" width="9.140625" style="713"/>
    <col min="12808" max="12808" width="2.85546875" style="713" customWidth="1"/>
    <col min="12809" max="12809" width="18.5703125" style="713" customWidth="1"/>
    <col min="12810" max="12810" width="14.42578125" style="713" customWidth="1"/>
    <col min="12811" max="12811" width="13.7109375" style="713" customWidth="1"/>
    <col min="12812" max="12812" width="10.140625" style="713" customWidth="1"/>
    <col min="12813" max="12813" width="4.42578125" style="713" customWidth="1"/>
    <col min="12814" max="12814" width="24" style="713" customWidth="1"/>
    <col min="12815" max="12815" width="13.140625" style="713" customWidth="1"/>
    <col min="12816" max="12816" width="13" style="713" customWidth="1"/>
    <col min="12817" max="12817" width="10.42578125" style="713" customWidth="1"/>
    <col min="12818" max="13053" width="9.140625" style="713"/>
    <col min="13054" max="13054" width="5" style="713" customWidth="1"/>
    <col min="13055" max="13055" width="17.7109375" style="713" customWidth="1"/>
    <col min="13056" max="13056" width="13.85546875" style="713" customWidth="1"/>
    <col min="13057" max="13057" width="13.140625" style="713" customWidth="1"/>
    <col min="13058" max="13058" width="12.28515625" style="713" customWidth="1"/>
    <col min="13059" max="13059" width="3" style="713" customWidth="1"/>
    <col min="13060" max="13060" width="20.28515625" style="713" customWidth="1"/>
    <col min="13061" max="13061" width="12.5703125" style="713" customWidth="1"/>
    <col min="13062" max="13062" width="11.7109375" style="713" customWidth="1"/>
    <col min="13063" max="13063" width="9.140625" style="713"/>
    <col min="13064" max="13064" width="2.85546875" style="713" customWidth="1"/>
    <col min="13065" max="13065" width="18.5703125" style="713" customWidth="1"/>
    <col min="13066" max="13066" width="14.42578125" style="713" customWidth="1"/>
    <col min="13067" max="13067" width="13.7109375" style="713" customWidth="1"/>
    <col min="13068" max="13068" width="10.140625" style="713" customWidth="1"/>
    <col min="13069" max="13069" width="4.42578125" style="713" customWidth="1"/>
    <col min="13070" max="13070" width="24" style="713" customWidth="1"/>
    <col min="13071" max="13071" width="13.140625" style="713" customWidth="1"/>
    <col min="13072" max="13072" width="13" style="713" customWidth="1"/>
    <col min="13073" max="13073" width="10.42578125" style="713" customWidth="1"/>
    <col min="13074" max="13309" width="9.140625" style="713"/>
    <col min="13310" max="13310" width="5" style="713" customWidth="1"/>
    <col min="13311" max="13311" width="17.7109375" style="713" customWidth="1"/>
    <col min="13312" max="13312" width="13.85546875" style="713" customWidth="1"/>
    <col min="13313" max="13313" width="13.140625" style="713" customWidth="1"/>
    <col min="13314" max="13314" width="12.28515625" style="713" customWidth="1"/>
    <col min="13315" max="13315" width="3" style="713" customWidth="1"/>
    <col min="13316" max="13316" width="20.28515625" style="713" customWidth="1"/>
    <col min="13317" max="13317" width="12.5703125" style="713" customWidth="1"/>
    <col min="13318" max="13318" width="11.7109375" style="713" customWidth="1"/>
    <col min="13319" max="13319" width="9.140625" style="713"/>
    <col min="13320" max="13320" width="2.85546875" style="713" customWidth="1"/>
    <col min="13321" max="13321" width="18.5703125" style="713" customWidth="1"/>
    <col min="13322" max="13322" width="14.42578125" style="713" customWidth="1"/>
    <col min="13323" max="13323" width="13.7109375" style="713" customWidth="1"/>
    <col min="13324" max="13324" width="10.140625" style="713" customWidth="1"/>
    <col min="13325" max="13325" width="4.42578125" style="713" customWidth="1"/>
    <col min="13326" max="13326" width="24" style="713" customWidth="1"/>
    <col min="13327" max="13327" width="13.140625" style="713" customWidth="1"/>
    <col min="13328" max="13328" width="13" style="713" customWidth="1"/>
    <col min="13329" max="13329" width="10.42578125" style="713" customWidth="1"/>
    <col min="13330" max="13565" width="9.140625" style="713"/>
    <col min="13566" max="13566" width="5" style="713" customWidth="1"/>
    <col min="13567" max="13567" width="17.7109375" style="713" customWidth="1"/>
    <col min="13568" max="13568" width="13.85546875" style="713" customWidth="1"/>
    <col min="13569" max="13569" width="13.140625" style="713" customWidth="1"/>
    <col min="13570" max="13570" width="12.28515625" style="713" customWidth="1"/>
    <col min="13571" max="13571" width="3" style="713" customWidth="1"/>
    <col min="13572" max="13572" width="20.28515625" style="713" customWidth="1"/>
    <col min="13573" max="13573" width="12.5703125" style="713" customWidth="1"/>
    <col min="13574" max="13574" width="11.7109375" style="713" customWidth="1"/>
    <col min="13575" max="13575" width="9.140625" style="713"/>
    <col min="13576" max="13576" width="2.85546875" style="713" customWidth="1"/>
    <col min="13577" max="13577" width="18.5703125" style="713" customWidth="1"/>
    <col min="13578" max="13578" width="14.42578125" style="713" customWidth="1"/>
    <col min="13579" max="13579" width="13.7109375" style="713" customWidth="1"/>
    <col min="13580" max="13580" width="10.140625" style="713" customWidth="1"/>
    <col min="13581" max="13581" width="4.42578125" style="713" customWidth="1"/>
    <col min="13582" max="13582" width="24" style="713" customWidth="1"/>
    <col min="13583" max="13583" width="13.140625" style="713" customWidth="1"/>
    <col min="13584" max="13584" width="13" style="713" customWidth="1"/>
    <col min="13585" max="13585" width="10.42578125" style="713" customWidth="1"/>
    <col min="13586" max="13821" width="9.140625" style="713"/>
    <col min="13822" max="13822" width="5" style="713" customWidth="1"/>
    <col min="13823" max="13823" width="17.7109375" style="713" customWidth="1"/>
    <col min="13824" max="13824" width="13.85546875" style="713" customWidth="1"/>
    <col min="13825" max="13825" width="13.140625" style="713" customWidth="1"/>
    <col min="13826" max="13826" width="12.28515625" style="713" customWidth="1"/>
    <col min="13827" max="13827" width="3" style="713" customWidth="1"/>
    <col min="13828" max="13828" width="20.28515625" style="713" customWidth="1"/>
    <col min="13829" max="13829" width="12.5703125" style="713" customWidth="1"/>
    <col min="13830" max="13830" width="11.7109375" style="713" customWidth="1"/>
    <col min="13831" max="13831" width="9.140625" style="713"/>
    <col min="13832" max="13832" width="2.85546875" style="713" customWidth="1"/>
    <col min="13833" max="13833" width="18.5703125" style="713" customWidth="1"/>
    <col min="13834" max="13834" width="14.42578125" style="713" customWidth="1"/>
    <col min="13835" max="13835" width="13.7109375" style="713" customWidth="1"/>
    <col min="13836" max="13836" width="10.140625" style="713" customWidth="1"/>
    <col min="13837" max="13837" width="4.42578125" style="713" customWidth="1"/>
    <col min="13838" max="13838" width="24" style="713" customWidth="1"/>
    <col min="13839" max="13839" width="13.140625" style="713" customWidth="1"/>
    <col min="13840" max="13840" width="13" style="713" customWidth="1"/>
    <col min="13841" max="13841" width="10.42578125" style="713" customWidth="1"/>
    <col min="13842" max="14077" width="9.140625" style="713"/>
    <col min="14078" max="14078" width="5" style="713" customWidth="1"/>
    <col min="14079" max="14079" width="17.7109375" style="713" customWidth="1"/>
    <col min="14080" max="14080" width="13.85546875" style="713" customWidth="1"/>
    <col min="14081" max="14081" width="13.140625" style="713" customWidth="1"/>
    <col min="14082" max="14082" width="12.28515625" style="713" customWidth="1"/>
    <col min="14083" max="14083" width="3" style="713" customWidth="1"/>
    <col min="14084" max="14084" width="20.28515625" style="713" customWidth="1"/>
    <col min="14085" max="14085" width="12.5703125" style="713" customWidth="1"/>
    <col min="14086" max="14086" width="11.7109375" style="713" customWidth="1"/>
    <col min="14087" max="14087" width="9.140625" style="713"/>
    <col min="14088" max="14088" width="2.85546875" style="713" customWidth="1"/>
    <col min="14089" max="14089" width="18.5703125" style="713" customWidth="1"/>
    <col min="14090" max="14090" width="14.42578125" style="713" customWidth="1"/>
    <col min="14091" max="14091" width="13.7109375" style="713" customWidth="1"/>
    <col min="14092" max="14092" width="10.140625" style="713" customWidth="1"/>
    <col min="14093" max="14093" width="4.42578125" style="713" customWidth="1"/>
    <col min="14094" max="14094" width="24" style="713" customWidth="1"/>
    <col min="14095" max="14095" width="13.140625" style="713" customWidth="1"/>
    <col min="14096" max="14096" width="13" style="713" customWidth="1"/>
    <col min="14097" max="14097" width="10.42578125" style="713" customWidth="1"/>
    <col min="14098" max="14333" width="9.140625" style="713"/>
    <col min="14334" max="14334" width="5" style="713" customWidth="1"/>
    <col min="14335" max="14335" width="17.7109375" style="713" customWidth="1"/>
    <col min="14336" max="14336" width="13.85546875" style="713" customWidth="1"/>
    <col min="14337" max="14337" width="13.140625" style="713" customWidth="1"/>
    <col min="14338" max="14338" width="12.28515625" style="713" customWidth="1"/>
    <col min="14339" max="14339" width="3" style="713" customWidth="1"/>
    <col min="14340" max="14340" width="20.28515625" style="713" customWidth="1"/>
    <col min="14341" max="14341" width="12.5703125" style="713" customWidth="1"/>
    <col min="14342" max="14342" width="11.7109375" style="713" customWidth="1"/>
    <col min="14343" max="14343" width="9.140625" style="713"/>
    <col min="14344" max="14344" width="2.85546875" style="713" customWidth="1"/>
    <col min="14345" max="14345" width="18.5703125" style="713" customWidth="1"/>
    <col min="14346" max="14346" width="14.42578125" style="713" customWidth="1"/>
    <col min="14347" max="14347" width="13.7109375" style="713" customWidth="1"/>
    <col min="14348" max="14348" width="10.140625" style="713" customWidth="1"/>
    <col min="14349" max="14349" width="4.42578125" style="713" customWidth="1"/>
    <col min="14350" max="14350" width="24" style="713" customWidth="1"/>
    <col min="14351" max="14351" width="13.140625" style="713" customWidth="1"/>
    <col min="14352" max="14352" width="13" style="713" customWidth="1"/>
    <col min="14353" max="14353" width="10.42578125" style="713" customWidth="1"/>
    <col min="14354" max="14589" width="9.140625" style="713"/>
    <col min="14590" max="14590" width="5" style="713" customWidth="1"/>
    <col min="14591" max="14591" width="17.7109375" style="713" customWidth="1"/>
    <col min="14592" max="14592" width="13.85546875" style="713" customWidth="1"/>
    <col min="14593" max="14593" width="13.140625" style="713" customWidth="1"/>
    <col min="14594" max="14594" width="12.28515625" style="713" customWidth="1"/>
    <col min="14595" max="14595" width="3" style="713" customWidth="1"/>
    <col min="14596" max="14596" width="20.28515625" style="713" customWidth="1"/>
    <col min="14597" max="14597" width="12.5703125" style="713" customWidth="1"/>
    <col min="14598" max="14598" width="11.7109375" style="713" customWidth="1"/>
    <col min="14599" max="14599" width="9.140625" style="713"/>
    <col min="14600" max="14600" width="2.85546875" style="713" customWidth="1"/>
    <col min="14601" max="14601" width="18.5703125" style="713" customWidth="1"/>
    <col min="14602" max="14602" width="14.42578125" style="713" customWidth="1"/>
    <col min="14603" max="14603" width="13.7109375" style="713" customWidth="1"/>
    <col min="14604" max="14604" width="10.140625" style="713" customWidth="1"/>
    <col min="14605" max="14605" width="4.42578125" style="713" customWidth="1"/>
    <col min="14606" max="14606" width="24" style="713" customWidth="1"/>
    <col min="14607" max="14607" width="13.140625" style="713" customWidth="1"/>
    <col min="14608" max="14608" width="13" style="713" customWidth="1"/>
    <col min="14609" max="14609" width="10.42578125" style="713" customWidth="1"/>
    <col min="14610" max="14845" width="9.140625" style="713"/>
    <col min="14846" max="14846" width="5" style="713" customWidth="1"/>
    <col min="14847" max="14847" width="17.7109375" style="713" customWidth="1"/>
    <col min="14848" max="14848" width="13.85546875" style="713" customWidth="1"/>
    <col min="14849" max="14849" width="13.140625" style="713" customWidth="1"/>
    <col min="14850" max="14850" width="12.28515625" style="713" customWidth="1"/>
    <col min="14851" max="14851" width="3" style="713" customWidth="1"/>
    <col min="14852" max="14852" width="20.28515625" style="713" customWidth="1"/>
    <col min="14853" max="14853" width="12.5703125" style="713" customWidth="1"/>
    <col min="14854" max="14854" width="11.7109375" style="713" customWidth="1"/>
    <col min="14855" max="14855" width="9.140625" style="713"/>
    <col min="14856" max="14856" width="2.85546875" style="713" customWidth="1"/>
    <col min="14857" max="14857" width="18.5703125" style="713" customWidth="1"/>
    <col min="14858" max="14858" width="14.42578125" style="713" customWidth="1"/>
    <col min="14859" max="14859" width="13.7109375" style="713" customWidth="1"/>
    <col min="14860" max="14860" width="10.140625" style="713" customWidth="1"/>
    <col min="14861" max="14861" width="4.42578125" style="713" customWidth="1"/>
    <col min="14862" max="14862" width="24" style="713" customWidth="1"/>
    <col min="14863" max="14863" width="13.140625" style="713" customWidth="1"/>
    <col min="14864" max="14864" width="13" style="713" customWidth="1"/>
    <col min="14865" max="14865" width="10.42578125" style="713" customWidth="1"/>
    <col min="14866" max="15101" width="9.140625" style="713"/>
    <col min="15102" max="15102" width="5" style="713" customWidth="1"/>
    <col min="15103" max="15103" width="17.7109375" style="713" customWidth="1"/>
    <col min="15104" max="15104" width="13.85546875" style="713" customWidth="1"/>
    <col min="15105" max="15105" width="13.140625" style="713" customWidth="1"/>
    <col min="15106" max="15106" width="12.28515625" style="713" customWidth="1"/>
    <col min="15107" max="15107" width="3" style="713" customWidth="1"/>
    <col min="15108" max="15108" width="20.28515625" style="713" customWidth="1"/>
    <col min="15109" max="15109" width="12.5703125" style="713" customWidth="1"/>
    <col min="15110" max="15110" width="11.7109375" style="713" customWidth="1"/>
    <col min="15111" max="15111" width="9.140625" style="713"/>
    <col min="15112" max="15112" width="2.85546875" style="713" customWidth="1"/>
    <col min="15113" max="15113" width="18.5703125" style="713" customWidth="1"/>
    <col min="15114" max="15114" width="14.42578125" style="713" customWidth="1"/>
    <col min="15115" max="15115" width="13.7109375" style="713" customWidth="1"/>
    <col min="15116" max="15116" width="10.140625" style="713" customWidth="1"/>
    <col min="15117" max="15117" width="4.42578125" style="713" customWidth="1"/>
    <col min="15118" max="15118" width="24" style="713" customWidth="1"/>
    <col min="15119" max="15119" width="13.140625" style="713" customWidth="1"/>
    <col min="15120" max="15120" width="13" style="713" customWidth="1"/>
    <col min="15121" max="15121" width="10.42578125" style="713" customWidth="1"/>
    <col min="15122" max="15357" width="9.140625" style="713"/>
    <col min="15358" max="15358" width="5" style="713" customWidth="1"/>
    <col min="15359" max="15359" width="17.7109375" style="713" customWidth="1"/>
    <col min="15360" max="15360" width="13.85546875" style="713" customWidth="1"/>
    <col min="15361" max="15361" width="13.140625" style="713" customWidth="1"/>
    <col min="15362" max="15362" width="12.28515625" style="713" customWidth="1"/>
    <col min="15363" max="15363" width="3" style="713" customWidth="1"/>
    <col min="15364" max="15364" width="20.28515625" style="713" customWidth="1"/>
    <col min="15365" max="15365" width="12.5703125" style="713" customWidth="1"/>
    <col min="15366" max="15366" width="11.7109375" style="713" customWidth="1"/>
    <col min="15367" max="15367" width="9.140625" style="713"/>
    <col min="15368" max="15368" width="2.85546875" style="713" customWidth="1"/>
    <col min="15369" max="15369" width="18.5703125" style="713" customWidth="1"/>
    <col min="15370" max="15370" width="14.42578125" style="713" customWidth="1"/>
    <col min="15371" max="15371" width="13.7109375" style="713" customWidth="1"/>
    <col min="15372" max="15372" width="10.140625" style="713" customWidth="1"/>
    <col min="15373" max="15373" width="4.42578125" style="713" customWidth="1"/>
    <col min="15374" max="15374" width="24" style="713" customWidth="1"/>
    <col min="15375" max="15375" width="13.140625" style="713" customWidth="1"/>
    <col min="15376" max="15376" width="13" style="713" customWidth="1"/>
    <col min="15377" max="15377" width="10.42578125" style="713" customWidth="1"/>
    <col min="15378" max="15613" width="9.140625" style="713"/>
    <col min="15614" max="15614" width="5" style="713" customWidth="1"/>
    <col min="15615" max="15615" width="17.7109375" style="713" customWidth="1"/>
    <col min="15616" max="15616" width="13.85546875" style="713" customWidth="1"/>
    <col min="15617" max="15617" width="13.140625" style="713" customWidth="1"/>
    <col min="15618" max="15618" width="12.28515625" style="713" customWidth="1"/>
    <col min="15619" max="15619" width="3" style="713" customWidth="1"/>
    <col min="15620" max="15620" width="20.28515625" style="713" customWidth="1"/>
    <col min="15621" max="15621" width="12.5703125" style="713" customWidth="1"/>
    <col min="15622" max="15622" width="11.7109375" style="713" customWidth="1"/>
    <col min="15623" max="15623" width="9.140625" style="713"/>
    <col min="15624" max="15624" width="2.85546875" style="713" customWidth="1"/>
    <col min="15625" max="15625" width="18.5703125" style="713" customWidth="1"/>
    <col min="15626" max="15626" width="14.42578125" style="713" customWidth="1"/>
    <col min="15627" max="15627" width="13.7109375" style="713" customWidth="1"/>
    <col min="15628" max="15628" width="10.140625" style="713" customWidth="1"/>
    <col min="15629" max="15629" width="4.42578125" style="713" customWidth="1"/>
    <col min="15630" max="15630" width="24" style="713" customWidth="1"/>
    <col min="15631" max="15631" width="13.140625" style="713" customWidth="1"/>
    <col min="15632" max="15632" width="13" style="713" customWidth="1"/>
    <col min="15633" max="15633" width="10.42578125" style="713" customWidth="1"/>
    <col min="15634" max="15869" width="9.140625" style="713"/>
    <col min="15870" max="15870" width="5" style="713" customWidth="1"/>
    <col min="15871" max="15871" width="17.7109375" style="713" customWidth="1"/>
    <col min="15872" max="15872" width="13.85546875" style="713" customWidth="1"/>
    <col min="15873" max="15873" width="13.140625" style="713" customWidth="1"/>
    <col min="15874" max="15874" width="12.28515625" style="713" customWidth="1"/>
    <col min="15875" max="15875" width="3" style="713" customWidth="1"/>
    <col min="15876" max="15876" width="20.28515625" style="713" customWidth="1"/>
    <col min="15877" max="15877" width="12.5703125" style="713" customWidth="1"/>
    <col min="15878" max="15878" width="11.7109375" style="713" customWidth="1"/>
    <col min="15879" max="15879" width="9.140625" style="713"/>
    <col min="15880" max="15880" width="2.85546875" style="713" customWidth="1"/>
    <col min="15881" max="15881" width="18.5703125" style="713" customWidth="1"/>
    <col min="15882" max="15882" width="14.42578125" style="713" customWidth="1"/>
    <col min="15883" max="15883" width="13.7109375" style="713" customWidth="1"/>
    <col min="15884" max="15884" width="10.140625" style="713" customWidth="1"/>
    <col min="15885" max="15885" width="4.42578125" style="713" customWidth="1"/>
    <col min="15886" max="15886" width="24" style="713" customWidth="1"/>
    <col min="15887" max="15887" width="13.140625" style="713" customWidth="1"/>
    <col min="15888" max="15888" width="13" style="713" customWidth="1"/>
    <col min="15889" max="15889" width="10.42578125" style="713" customWidth="1"/>
    <col min="15890" max="16125" width="9.140625" style="713"/>
    <col min="16126" max="16126" width="5" style="713" customWidth="1"/>
    <col min="16127" max="16127" width="17.7109375" style="713" customWidth="1"/>
    <col min="16128" max="16128" width="13.85546875" style="713" customWidth="1"/>
    <col min="16129" max="16129" width="13.140625" style="713" customWidth="1"/>
    <col min="16130" max="16130" width="12.28515625" style="713" customWidth="1"/>
    <col min="16131" max="16131" width="3" style="713" customWidth="1"/>
    <col min="16132" max="16132" width="20.28515625" style="713" customWidth="1"/>
    <col min="16133" max="16133" width="12.5703125" style="713" customWidth="1"/>
    <col min="16134" max="16134" width="11.7109375" style="713" customWidth="1"/>
    <col min="16135" max="16135" width="9.140625" style="713"/>
    <col min="16136" max="16136" width="2.85546875" style="713" customWidth="1"/>
    <col min="16137" max="16137" width="18.5703125" style="713" customWidth="1"/>
    <col min="16138" max="16138" width="14.42578125" style="713" customWidth="1"/>
    <col min="16139" max="16139" width="13.7109375" style="713" customWidth="1"/>
    <col min="16140" max="16140" width="10.140625" style="713" customWidth="1"/>
    <col min="16141" max="16141" width="4.42578125" style="713" customWidth="1"/>
    <col min="16142" max="16142" width="24" style="713" customWidth="1"/>
    <col min="16143" max="16143" width="13.140625" style="713" customWidth="1"/>
    <col min="16144" max="16144" width="13" style="713" customWidth="1"/>
    <col min="16145" max="16145" width="10.42578125" style="713" customWidth="1"/>
    <col min="16146" max="16384" width="9.140625" style="713"/>
  </cols>
  <sheetData>
    <row r="1" spans="2:25" ht="18.75">
      <c r="B1" s="617" t="s">
        <v>307</v>
      </c>
    </row>
    <row r="2" spans="2:25" ht="28.5" customHeight="1">
      <c r="B2" s="1211" t="s">
        <v>369</v>
      </c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</row>
    <row r="3" spans="2:25" ht="15.75" customHeight="1">
      <c r="B3" s="1212" t="s">
        <v>370</v>
      </c>
      <c r="C3" s="1212"/>
      <c r="D3" s="1212"/>
      <c r="E3" s="1212"/>
      <c r="F3" s="1212"/>
      <c r="G3" s="1212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213" t="s">
        <v>182</v>
      </c>
      <c r="D5" s="1213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699" t="s">
        <v>192</v>
      </c>
      <c r="G6" s="626" t="s">
        <v>189</v>
      </c>
      <c r="H6" s="627" t="s">
        <v>190</v>
      </c>
      <c r="I6" s="628" t="s">
        <v>191</v>
      </c>
      <c r="J6" s="670" t="s">
        <v>192</v>
      </c>
      <c r="L6" s="626" t="s">
        <v>189</v>
      </c>
      <c r="M6" s="627" t="s">
        <v>190</v>
      </c>
      <c r="N6" s="628" t="s">
        <v>193</v>
      </c>
      <c r="O6" s="670" t="s">
        <v>192</v>
      </c>
      <c r="Q6" s="630" t="s">
        <v>189</v>
      </c>
      <c r="R6" s="631" t="s">
        <v>190</v>
      </c>
      <c r="S6" s="632" t="s">
        <v>193</v>
      </c>
      <c r="T6" s="699" t="s">
        <v>192</v>
      </c>
    </row>
    <row r="7" spans="2:25" ht="15.75">
      <c r="B7" s="818" t="s">
        <v>194</v>
      </c>
      <c r="C7" s="633">
        <v>6609.7610000000004</v>
      </c>
      <c r="D7" s="633">
        <v>12690</v>
      </c>
      <c r="E7" s="1014">
        <v>2.7114287366869574</v>
      </c>
      <c r="G7" s="636" t="s">
        <v>196</v>
      </c>
      <c r="H7" s="637">
        <v>2644.3020000000001</v>
      </c>
      <c r="I7" s="637">
        <v>12633</v>
      </c>
      <c r="J7" s="967">
        <v>2.9798914109143531</v>
      </c>
      <c r="L7" s="818" t="s">
        <v>194</v>
      </c>
      <c r="M7" s="633">
        <v>240897.92600000001</v>
      </c>
      <c r="N7" s="633">
        <v>63897.434999999998</v>
      </c>
      <c r="O7" s="803">
        <v>3.7700719285523747</v>
      </c>
      <c r="Q7" s="634" t="s">
        <v>195</v>
      </c>
      <c r="R7" s="635">
        <v>55301.286</v>
      </c>
      <c r="S7" s="635">
        <v>15173.808000000001</v>
      </c>
      <c r="T7" s="698">
        <v>3.6445225878698344</v>
      </c>
    </row>
    <row r="8" spans="2:25" ht="15.75">
      <c r="B8" s="636" t="s">
        <v>206</v>
      </c>
      <c r="C8" s="637">
        <v>3894.48</v>
      </c>
      <c r="D8" s="637">
        <v>2568</v>
      </c>
      <c r="E8" s="967">
        <v>2.3595673084496509</v>
      </c>
      <c r="G8" s="636" t="s">
        <v>194</v>
      </c>
      <c r="H8" s="637">
        <v>1912.173</v>
      </c>
      <c r="I8" s="637">
        <v>7561</v>
      </c>
      <c r="J8" s="967">
        <v>3.8237800805480786</v>
      </c>
      <c r="L8" s="636" t="s">
        <v>197</v>
      </c>
      <c r="M8" s="637">
        <v>118013.74</v>
      </c>
      <c r="N8" s="637">
        <v>32475.05</v>
      </c>
      <c r="O8" s="696">
        <v>3.6339817798586918</v>
      </c>
      <c r="Q8" s="636" t="s">
        <v>197</v>
      </c>
      <c r="R8" s="637">
        <v>33897.574999999997</v>
      </c>
      <c r="S8" s="637">
        <v>10387.57</v>
      </c>
      <c r="T8" s="698">
        <v>3.263282461634434</v>
      </c>
    </row>
    <row r="9" spans="2:25" ht="16.5" thickBot="1">
      <c r="B9" s="636" t="s">
        <v>204</v>
      </c>
      <c r="C9" s="637">
        <v>3280.1390000000001</v>
      </c>
      <c r="D9" s="637">
        <v>2638</v>
      </c>
      <c r="E9" s="967">
        <v>2.3851740085222728</v>
      </c>
      <c r="G9" s="636" t="s">
        <v>311</v>
      </c>
      <c r="H9" s="637">
        <v>1196.8879999999999</v>
      </c>
      <c r="I9" s="637">
        <v>4661</v>
      </c>
      <c r="J9" s="967">
        <v>3.665072297789727</v>
      </c>
      <c r="L9" s="636" t="s">
        <v>343</v>
      </c>
      <c r="M9" s="637">
        <v>111586.443</v>
      </c>
      <c r="N9" s="637">
        <v>33569.705000000002</v>
      </c>
      <c r="O9" s="696">
        <v>3.3240221503286964</v>
      </c>
      <c r="Q9" s="636" t="s">
        <v>201</v>
      </c>
      <c r="R9" s="637">
        <v>28614.526999999998</v>
      </c>
      <c r="S9" s="637">
        <v>5083.4269999999997</v>
      </c>
      <c r="T9" s="698">
        <v>5.6289835577455918</v>
      </c>
    </row>
    <row r="10" spans="2:25" ht="16.5" thickBot="1">
      <c r="B10" s="636" t="s">
        <v>202</v>
      </c>
      <c r="C10" s="637">
        <v>3264.3620000000001</v>
      </c>
      <c r="D10" s="637">
        <v>4835</v>
      </c>
      <c r="E10" s="967">
        <v>2.7815798712298605</v>
      </c>
      <c r="G10" s="640" t="s">
        <v>331</v>
      </c>
      <c r="H10" s="641">
        <v>5909.259</v>
      </c>
      <c r="I10" s="641">
        <v>25659</v>
      </c>
      <c r="J10" s="990">
        <v>3.3343992334998487</v>
      </c>
      <c r="L10" s="636" t="s">
        <v>196</v>
      </c>
      <c r="M10" s="637">
        <v>84138.854000000007</v>
      </c>
      <c r="N10" s="637">
        <v>21646.695</v>
      </c>
      <c r="O10" s="696">
        <v>3.8869145613221789</v>
      </c>
      <c r="Q10" s="636" t="s">
        <v>196</v>
      </c>
      <c r="R10" s="637">
        <v>21464.758999999998</v>
      </c>
      <c r="S10" s="637">
        <v>5304.8969999999999</v>
      </c>
      <c r="T10" s="698">
        <v>4.0462159774261401</v>
      </c>
    </row>
    <row r="11" spans="2:25" ht="15.75">
      <c r="B11" s="636" t="s">
        <v>196</v>
      </c>
      <c r="C11" s="637">
        <v>2644.3020000000001</v>
      </c>
      <c r="D11" s="637">
        <v>12633</v>
      </c>
      <c r="E11" s="967">
        <v>2.9798914109143531</v>
      </c>
      <c r="G11" s="127"/>
      <c r="H11" s="127"/>
      <c r="I11" s="127"/>
      <c r="J11" s="127"/>
      <c r="L11" s="636" t="s">
        <v>311</v>
      </c>
      <c r="M11" s="637">
        <v>67154.535000000003</v>
      </c>
      <c r="N11" s="637">
        <v>20019.213</v>
      </c>
      <c r="O11" s="696">
        <v>3.3545042454965639</v>
      </c>
      <c r="Q11" s="636" t="s">
        <v>198</v>
      </c>
      <c r="R11" s="637">
        <v>20564.074000000001</v>
      </c>
      <c r="S11" s="637">
        <v>4434.5889999999999</v>
      </c>
      <c r="T11" s="698">
        <v>4.6371995240145143</v>
      </c>
    </row>
    <row r="12" spans="2:25" ht="15.75">
      <c r="B12" s="636" t="s">
        <v>200</v>
      </c>
      <c r="C12" s="637">
        <v>1929.364</v>
      </c>
      <c r="D12" s="637">
        <v>3788</v>
      </c>
      <c r="E12" s="967">
        <v>2.7848184580299211</v>
      </c>
      <c r="L12" s="636" t="s">
        <v>203</v>
      </c>
      <c r="M12" s="637">
        <v>60472.514999999999</v>
      </c>
      <c r="N12" s="637">
        <v>12425.118</v>
      </c>
      <c r="O12" s="696">
        <v>4.8669569979134204</v>
      </c>
      <c r="Q12" s="636" t="s">
        <v>311</v>
      </c>
      <c r="R12" s="637">
        <v>16615.670999999998</v>
      </c>
      <c r="S12" s="637">
        <v>5813.3770000000004</v>
      </c>
      <c r="T12" s="698">
        <v>2.8581788175788354</v>
      </c>
    </row>
    <row r="13" spans="2:25" ht="15.75">
      <c r="B13" s="636" t="s">
        <v>311</v>
      </c>
      <c r="C13" s="637">
        <v>1585.434</v>
      </c>
      <c r="D13" s="637">
        <v>5436</v>
      </c>
      <c r="E13" s="967">
        <v>3.370553044572663</v>
      </c>
      <c r="L13" s="636" t="s">
        <v>195</v>
      </c>
      <c r="M13" s="637">
        <v>33208.857000000004</v>
      </c>
      <c r="N13" s="637">
        <v>7557.8270000000002</v>
      </c>
      <c r="O13" s="696">
        <v>4.3939689278412963</v>
      </c>
      <c r="Q13" s="636" t="s">
        <v>203</v>
      </c>
      <c r="R13" s="637">
        <v>12345.806</v>
      </c>
      <c r="S13" s="637">
        <v>3318.2959999999998</v>
      </c>
      <c r="T13" s="698">
        <v>3.7205258361520497</v>
      </c>
    </row>
    <row r="14" spans="2:25" ht="16.5" thickBot="1">
      <c r="B14" s="636" t="s">
        <v>362</v>
      </c>
      <c r="C14" s="637">
        <v>880.93700000000001</v>
      </c>
      <c r="D14" s="637">
        <v>452</v>
      </c>
      <c r="E14" s="967">
        <v>3.9185148611741263</v>
      </c>
      <c r="G14" s="714"/>
      <c r="L14" s="636" t="s">
        <v>201</v>
      </c>
      <c r="M14" s="637">
        <v>31782.228999999999</v>
      </c>
      <c r="N14" s="637">
        <v>5047.3280000000004</v>
      </c>
      <c r="O14" s="696">
        <v>6.2968424084981196</v>
      </c>
      <c r="Q14" s="636" t="s">
        <v>205</v>
      </c>
      <c r="R14" s="637">
        <v>8525.59</v>
      </c>
      <c r="S14" s="637">
        <v>2939.0250000000001</v>
      </c>
      <c r="T14" s="698">
        <v>2.900822551696566</v>
      </c>
    </row>
    <row r="15" spans="2:25" ht="16.5" thickBot="1">
      <c r="B15" s="640" t="s">
        <v>331</v>
      </c>
      <c r="C15" s="641">
        <v>24761.339</v>
      </c>
      <c r="D15" s="641">
        <v>46383</v>
      </c>
      <c r="E15" s="990">
        <v>2.7032956151553669</v>
      </c>
      <c r="F15" s="933"/>
      <c r="G15" s="714"/>
      <c r="L15" s="636" t="s">
        <v>199</v>
      </c>
      <c r="M15" s="637">
        <v>30108.214</v>
      </c>
      <c r="N15" s="637">
        <v>8085.61</v>
      </c>
      <c r="O15" s="696">
        <v>3.7236787329589234</v>
      </c>
      <c r="Q15" s="636" t="s">
        <v>204</v>
      </c>
      <c r="R15" s="637">
        <v>8191.2839999999997</v>
      </c>
      <c r="S15" s="637">
        <v>2238.366</v>
      </c>
      <c r="T15" s="698">
        <v>3.6594926835021617</v>
      </c>
    </row>
    <row r="16" spans="2:25" ht="15.75">
      <c r="B16" s="127"/>
      <c r="C16" s="127"/>
      <c r="D16" s="127"/>
      <c r="E16" s="127"/>
      <c r="F16" s="714"/>
      <c r="L16" s="636" t="s">
        <v>204</v>
      </c>
      <c r="M16" s="637">
        <v>27563.261999999999</v>
      </c>
      <c r="N16" s="637">
        <v>7711.4129999999996</v>
      </c>
      <c r="O16" s="696">
        <v>3.5743464913628671</v>
      </c>
      <c r="Q16" s="636" t="s">
        <v>211</v>
      </c>
      <c r="R16" s="637">
        <v>6425.2730000000001</v>
      </c>
      <c r="S16" s="637">
        <v>2126.0479999999998</v>
      </c>
      <c r="T16" s="698">
        <v>3.0221674204909772</v>
      </c>
    </row>
    <row r="17" spans="2:20" ht="15.75">
      <c r="B17" s="127"/>
      <c r="C17" s="127"/>
      <c r="D17" s="127"/>
      <c r="E17" s="127"/>
      <c r="L17" s="636" t="s">
        <v>211</v>
      </c>
      <c r="M17" s="637">
        <v>21974.456999999999</v>
      </c>
      <c r="N17" s="637">
        <v>6456.674</v>
      </c>
      <c r="O17" s="696">
        <v>3.4033709925574684</v>
      </c>
      <c r="Q17" s="636" t="s">
        <v>194</v>
      </c>
      <c r="R17" s="637">
        <v>6198.2430000000004</v>
      </c>
      <c r="S17" s="637">
        <v>1767.0440000000001</v>
      </c>
      <c r="T17" s="698">
        <v>3.5076902442723554</v>
      </c>
    </row>
    <row r="18" spans="2:20" ht="15.75">
      <c r="B18" s="127"/>
      <c r="C18" s="127"/>
      <c r="D18" s="127"/>
      <c r="E18" s="127"/>
      <c r="L18" s="636" t="s">
        <v>210</v>
      </c>
      <c r="M18" s="637">
        <v>20495.401999999998</v>
      </c>
      <c r="N18" s="637">
        <v>3739.3539999999998</v>
      </c>
      <c r="O18" s="696">
        <v>5.4810007290029237</v>
      </c>
      <c r="Q18" s="636" t="s">
        <v>215</v>
      </c>
      <c r="R18" s="637">
        <v>5681.8370000000004</v>
      </c>
      <c r="S18" s="637">
        <v>1491.825</v>
      </c>
      <c r="T18" s="698">
        <v>3.8086484674811056</v>
      </c>
    </row>
    <row r="19" spans="2:20" ht="15.75">
      <c r="B19" s="127"/>
      <c r="C19" s="127"/>
      <c r="D19" s="127"/>
      <c r="E19" s="127"/>
      <c r="L19" s="636" t="s">
        <v>208</v>
      </c>
      <c r="M19" s="637">
        <v>19440.772000000001</v>
      </c>
      <c r="N19" s="637">
        <v>4827.5690000000004</v>
      </c>
      <c r="O19" s="696">
        <v>4.0270314106333851</v>
      </c>
      <c r="Q19" s="636" t="s">
        <v>208</v>
      </c>
      <c r="R19" s="637">
        <v>4832.3029999999999</v>
      </c>
      <c r="S19" s="637">
        <v>1195.81</v>
      </c>
      <c r="T19" s="698">
        <v>4.0410290932506001</v>
      </c>
    </row>
    <row r="20" spans="2:20" ht="15.75">
      <c r="L20" s="636" t="s">
        <v>212</v>
      </c>
      <c r="M20" s="637">
        <v>17960.437999999998</v>
      </c>
      <c r="N20" s="637">
        <v>5991.77</v>
      </c>
      <c r="O20" s="696">
        <v>2.9975179287589473</v>
      </c>
      <c r="Q20" s="636" t="s">
        <v>213</v>
      </c>
      <c r="R20" s="637">
        <v>4198.4179999999997</v>
      </c>
      <c r="S20" s="637">
        <v>1112.4829999999999</v>
      </c>
      <c r="T20" s="698">
        <v>3.7739165452415899</v>
      </c>
    </row>
    <row r="21" spans="2:20" ht="15.75">
      <c r="B21" s="127"/>
      <c r="C21" s="127"/>
      <c r="D21" s="127"/>
      <c r="E21" s="127"/>
      <c r="L21" s="636" t="s">
        <v>209</v>
      </c>
      <c r="M21" s="637">
        <v>16603.003000000001</v>
      </c>
      <c r="N21" s="637">
        <v>4077.0329999999999</v>
      </c>
      <c r="O21" s="696">
        <v>4.0723248990135721</v>
      </c>
      <c r="Q21" s="636" t="s">
        <v>216</v>
      </c>
      <c r="R21" s="637">
        <v>3917.8159999999998</v>
      </c>
      <c r="S21" s="637">
        <v>1384.0170000000001</v>
      </c>
      <c r="T21" s="698">
        <v>2.8307571366536681</v>
      </c>
    </row>
    <row r="22" spans="2:20" ht="15.75">
      <c r="F22" s="127"/>
      <c r="G22" s="127"/>
      <c r="H22" s="127"/>
      <c r="I22" s="127"/>
      <c r="L22" s="636" t="s">
        <v>202</v>
      </c>
      <c r="M22" s="637">
        <v>15812.624</v>
      </c>
      <c r="N22" s="637">
        <v>5507.7240000000002</v>
      </c>
      <c r="O22" s="696">
        <v>2.8709906306125723</v>
      </c>
      <c r="Q22" s="636" t="s">
        <v>199</v>
      </c>
      <c r="R22" s="637">
        <v>3896.5369999999998</v>
      </c>
      <c r="S22" s="637">
        <v>1492.943</v>
      </c>
      <c r="T22" s="698">
        <v>2.6099703739526556</v>
      </c>
    </row>
    <row r="23" spans="2:20" ht="16.5" thickBot="1">
      <c r="B23" s="127"/>
      <c r="C23" s="127"/>
      <c r="D23" s="127"/>
      <c r="E23" s="127"/>
      <c r="F23" s="127"/>
      <c r="G23" s="127"/>
      <c r="H23" s="127"/>
      <c r="I23" s="127"/>
      <c r="L23" s="636" t="s">
        <v>198</v>
      </c>
      <c r="M23" s="637">
        <v>12481.245999999999</v>
      </c>
      <c r="N23" s="637">
        <v>2688.297</v>
      </c>
      <c r="O23" s="696">
        <v>4.6428076957270719</v>
      </c>
      <c r="Q23" s="636" t="s">
        <v>209</v>
      </c>
      <c r="R23" s="637">
        <v>2745.85</v>
      </c>
      <c r="S23" s="637">
        <v>769.15899999999999</v>
      </c>
      <c r="T23" s="698">
        <v>3.5699380752224181</v>
      </c>
    </row>
    <row r="24" spans="2:20" ht="16.5" thickBot="1">
      <c r="B24" s="127"/>
      <c r="C24" s="127"/>
      <c r="D24" s="127"/>
      <c r="E24" s="127"/>
      <c r="F24" s="127"/>
      <c r="G24" s="127"/>
      <c r="H24" s="127"/>
      <c r="I24" s="127"/>
      <c r="L24" s="640" t="s">
        <v>331</v>
      </c>
      <c r="M24" s="641">
        <v>975845.68099999998</v>
      </c>
      <c r="N24" s="641">
        <v>259681.81599999999</v>
      </c>
      <c r="O24" s="990">
        <v>3.7578514199854487</v>
      </c>
      <c r="Q24" s="636" t="s">
        <v>214</v>
      </c>
      <c r="R24" s="637">
        <v>2482.9859999999999</v>
      </c>
      <c r="S24" s="637">
        <v>679.45899999999995</v>
      </c>
      <c r="T24" s="698">
        <v>3.6543573637261408</v>
      </c>
    </row>
    <row r="25" spans="2:20" ht="15.75">
      <c r="B25" s="127"/>
      <c r="C25" s="127"/>
      <c r="D25" s="127"/>
      <c r="E25" s="127"/>
      <c r="F25" s="127"/>
      <c r="G25" s="127"/>
      <c r="H25" s="127"/>
      <c r="I25" s="127"/>
      <c r="J25" s="127"/>
      <c r="L25" s="127"/>
      <c r="M25" s="127"/>
      <c r="N25" s="127"/>
      <c r="O25" s="127"/>
      <c r="Q25" s="636" t="s">
        <v>350</v>
      </c>
      <c r="R25" s="637">
        <v>2470.4769999999999</v>
      </c>
      <c r="S25" s="637">
        <v>567.96900000000005</v>
      </c>
      <c r="T25" s="698">
        <v>4.3496687319202278</v>
      </c>
    </row>
    <row r="26" spans="2:20" ht="15.75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Q26" s="636" t="s">
        <v>354</v>
      </c>
      <c r="R26" s="637">
        <v>2050.8440000000001</v>
      </c>
      <c r="S26" s="637">
        <v>504.25299999999999</v>
      </c>
      <c r="T26" s="698">
        <v>4.0670933043531718</v>
      </c>
    </row>
    <row r="27" spans="2:20" ht="16.5" thickBot="1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Q27" s="636" t="s">
        <v>212</v>
      </c>
      <c r="R27" s="637">
        <v>2048.1370000000002</v>
      </c>
      <c r="S27" s="637">
        <v>639.54399999999998</v>
      </c>
      <c r="T27" s="698">
        <v>3.2024958407865607</v>
      </c>
    </row>
    <row r="28" spans="2:20" ht="16.5" thickBot="1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Q28" s="640" t="s">
        <v>331</v>
      </c>
      <c r="R28" s="641">
        <v>270962.65600000002</v>
      </c>
      <c r="S28" s="641">
        <v>74659.149000000005</v>
      </c>
      <c r="T28" s="990">
        <v>3.629329554774325</v>
      </c>
    </row>
    <row r="29" spans="2:20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Q29" s="127"/>
      <c r="R29" s="127"/>
      <c r="S29" s="127"/>
      <c r="T29" s="127"/>
    </row>
    <row r="30" spans="2:20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Q30" s="127"/>
      <c r="R30" s="127"/>
      <c r="S30" s="127"/>
      <c r="T30" s="127"/>
    </row>
    <row r="31" spans="2:20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Q31" s="127"/>
      <c r="R31" s="127"/>
      <c r="S31" s="127"/>
      <c r="T31" s="127"/>
    </row>
    <row r="32" spans="2:20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Q32" s="127"/>
      <c r="R32" s="127"/>
      <c r="S32" s="127"/>
      <c r="T32" s="127"/>
    </row>
    <row r="33" spans="2:20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Q33" s="127"/>
      <c r="R33" s="127"/>
      <c r="S33" s="127"/>
      <c r="T33" s="127"/>
    </row>
    <row r="34" spans="2:20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Q34" s="127"/>
      <c r="R34" s="127"/>
      <c r="S34" s="127"/>
      <c r="T34" s="127"/>
    </row>
    <row r="35" spans="2:20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2:20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Q36" s="127"/>
      <c r="R36" s="127"/>
      <c r="S36" s="127"/>
      <c r="T36" s="127"/>
    </row>
    <row r="37" spans="2:20" ht="17.2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Q47" s="127"/>
      <c r="R47" s="127"/>
      <c r="S47" s="127"/>
      <c r="T47" s="127"/>
    </row>
    <row r="48" spans="2:20" ht="14.25" customHeight="1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Q62" s="127"/>
      <c r="R62" s="127"/>
      <c r="S62" s="127"/>
      <c r="T62" s="127"/>
    </row>
    <row r="63" spans="2:20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Q63" s="127"/>
      <c r="R63" s="127"/>
      <c r="S63" s="127"/>
      <c r="T63" s="127"/>
    </row>
    <row r="64" spans="2:20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Q64" s="127"/>
      <c r="R64" s="127"/>
      <c r="S64" s="127"/>
      <c r="T64" s="127"/>
    </row>
    <row r="65" spans="2:20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Q65" s="127"/>
      <c r="R65" s="127"/>
      <c r="S65" s="127"/>
      <c r="T65" s="127"/>
    </row>
    <row r="66" spans="2:20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Q66" s="127"/>
      <c r="R66" s="127"/>
      <c r="S66" s="127"/>
      <c r="T66" s="127"/>
    </row>
    <row r="67" spans="2:20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Q67" s="127"/>
      <c r="R67" s="127"/>
      <c r="S67" s="127"/>
      <c r="T67" s="127"/>
    </row>
    <row r="68" spans="2:20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2:20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</row>
    <row r="70" spans="2:20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2:20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20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20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20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20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20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20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20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20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20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2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2:12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2:12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2:12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2:12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5"/>
  <sheetViews>
    <sheetView zoomScaleNormal="100" workbookViewId="0">
      <selection activeCell="Q36" sqref="Q36"/>
    </sheetView>
  </sheetViews>
  <sheetFormatPr defaultRowHeight="12.75"/>
  <cols>
    <col min="1" max="1" width="4" style="713" customWidth="1"/>
    <col min="2" max="2" width="16.85546875" style="713" customWidth="1"/>
    <col min="3" max="3" width="12.28515625" style="713" bestFit="1" customWidth="1"/>
    <col min="4" max="4" width="10.140625" style="713" customWidth="1"/>
    <col min="5" max="5" width="9.140625" style="713"/>
    <col min="6" max="6" width="6" style="713" customWidth="1"/>
    <col min="7" max="7" width="13.28515625" style="713" customWidth="1"/>
    <col min="8" max="8" width="11.28515625" style="713" customWidth="1"/>
    <col min="9" max="9" width="10.42578125" style="713" customWidth="1"/>
    <col min="10" max="10" width="9.140625" style="713"/>
    <col min="11" max="11" width="3.5703125" style="713" customWidth="1"/>
    <col min="12" max="12" width="18" style="713" customWidth="1"/>
    <col min="13" max="13" width="11.7109375" style="713" customWidth="1"/>
    <col min="14" max="14" width="12.28515625" style="713" customWidth="1"/>
    <col min="15" max="15" width="10.42578125" style="713" customWidth="1"/>
    <col min="16" max="16" width="3.85546875" style="713" customWidth="1"/>
    <col min="17" max="17" width="31.85546875" style="713" customWidth="1"/>
    <col min="18" max="18" width="11.28515625" style="713" customWidth="1"/>
    <col min="19" max="19" width="10.28515625" style="713" customWidth="1"/>
    <col min="20" max="20" width="10" style="713" customWidth="1"/>
    <col min="21" max="256" width="9.140625" style="713"/>
    <col min="257" max="257" width="4" style="713" customWidth="1"/>
    <col min="258" max="258" width="15.140625" style="713" customWidth="1"/>
    <col min="259" max="259" width="13.85546875" style="713" customWidth="1"/>
    <col min="260" max="260" width="10.140625" style="713" customWidth="1"/>
    <col min="261" max="261" width="9.140625" style="713"/>
    <col min="262" max="262" width="3.42578125" style="713" customWidth="1"/>
    <col min="263" max="263" width="19.5703125" style="713" customWidth="1"/>
    <col min="264" max="264" width="12.28515625" style="713" customWidth="1"/>
    <col min="265" max="265" width="10.42578125" style="713" customWidth="1"/>
    <col min="266" max="266" width="9.140625" style="713"/>
    <col min="267" max="267" width="3.5703125" style="713" customWidth="1"/>
    <col min="268" max="268" width="16.42578125" style="713" customWidth="1"/>
    <col min="269" max="269" width="11.7109375" style="713" customWidth="1"/>
    <col min="270" max="270" width="10.140625" style="713" customWidth="1"/>
    <col min="271" max="271" width="15.85546875" style="713" customWidth="1"/>
    <col min="272" max="272" width="3.85546875" style="713" customWidth="1"/>
    <col min="273" max="273" width="16.42578125" style="713" customWidth="1"/>
    <col min="274" max="274" width="11.28515625" style="713" customWidth="1"/>
    <col min="275" max="275" width="10.28515625" style="713" customWidth="1"/>
    <col min="276" max="276" width="10" style="713" customWidth="1"/>
    <col min="277" max="512" width="9.140625" style="713"/>
    <col min="513" max="513" width="4" style="713" customWidth="1"/>
    <col min="514" max="514" width="15.140625" style="713" customWidth="1"/>
    <col min="515" max="515" width="13.85546875" style="713" customWidth="1"/>
    <col min="516" max="516" width="10.140625" style="713" customWidth="1"/>
    <col min="517" max="517" width="9.140625" style="713"/>
    <col min="518" max="518" width="3.42578125" style="713" customWidth="1"/>
    <col min="519" max="519" width="19.5703125" style="713" customWidth="1"/>
    <col min="520" max="520" width="12.28515625" style="713" customWidth="1"/>
    <col min="521" max="521" width="10.42578125" style="713" customWidth="1"/>
    <col min="522" max="522" width="9.140625" style="713"/>
    <col min="523" max="523" width="3.5703125" style="713" customWidth="1"/>
    <col min="524" max="524" width="16.42578125" style="713" customWidth="1"/>
    <col min="525" max="525" width="11.7109375" style="713" customWidth="1"/>
    <col min="526" max="526" width="10.140625" style="713" customWidth="1"/>
    <col min="527" max="527" width="15.85546875" style="713" customWidth="1"/>
    <col min="528" max="528" width="3.85546875" style="713" customWidth="1"/>
    <col min="529" max="529" width="16.42578125" style="713" customWidth="1"/>
    <col min="530" max="530" width="11.28515625" style="713" customWidth="1"/>
    <col min="531" max="531" width="10.28515625" style="713" customWidth="1"/>
    <col min="532" max="532" width="10" style="713" customWidth="1"/>
    <col min="533" max="768" width="9.140625" style="713"/>
    <col min="769" max="769" width="4" style="713" customWidth="1"/>
    <col min="770" max="770" width="15.140625" style="713" customWidth="1"/>
    <col min="771" max="771" width="13.85546875" style="713" customWidth="1"/>
    <col min="772" max="772" width="10.140625" style="713" customWidth="1"/>
    <col min="773" max="773" width="9.140625" style="713"/>
    <col min="774" max="774" width="3.42578125" style="713" customWidth="1"/>
    <col min="775" max="775" width="19.5703125" style="713" customWidth="1"/>
    <col min="776" max="776" width="12.28515625" style="713" customWidth="1"/>
    <col min="777" max="777" width="10.42578125" style="713" customWidth="1"/>
    <col min="778" max="778" width="9.140625" style="713"/>
    <col min="779" max="779" width="3.5703125" style="713" customWidth="1"/>
    <col min="780" max="780" width="16.42578125" style="713" customWidth="1"/>
    <col min="781" max="781" width="11.7109375" style="713" customWidth="1"/>
    <col min="782" max="782" width="10.140625" style="713" customWidth="1"/>
    <col min="783" max="783" width="15.85546875" style="713" customWidth="1"/>
    <col min="784" max="784" width="3.85546875" style="713" customWidth="1"/>
    <col min="785" max="785" width="16.42578125" style="713" customWidth="1"/>
    <col min="786" max="786" width="11.28515625" style="713" customWidth="1"/>
    <col min="787" max="787" width="10.28515625" style="713" customWidth="1"/>
    <col min="788" max="788" width="10" style="713" customWidth="1"/>
    <col min="789" max="1024" width="9.140625" style="713"/>
    <col min="1025" max="1025" width="4" style="713" customWidth="1"/>
    <col min="1026" max="1026" width="15.140625" style="713" customWidth="1"/>
    <col min="1027" max="1027" width="13.85546875" style="713" customWidth="1"/>
    <col min="1028" max="1028" width="10.140625" style="713" customWidth="1"/>
    <col min="1029" max="1029" width="9.140625" style="713"/>
    <col min="1030" max="1030" width="3.42578125" style="713" customWidth="1"/>
    <col min="1031" max="1031" width="19.5703125" style="713" customWidth="1"/>
    <col min="1032" max="1032" width="12.28515625" style="713" customWidth="1"/>
    <col min="1033" max="1033" width="10.42578125" style="713" customWidth="1"/>
    <col min="1034" max="1034" width="9.140625" style="713"/>
    <col min="1035" max="1035" width="3.5703125" style="713" customWidth="1"/>
    <col min="1036" max="1036" width="16.42578125" style="713" customWidth="1"/>
    <col min="1037" max="1037" width="11.7109375" style="713" customWidth="1"/>
    <col min="1038" max="1038" width="10.140625" style="713" customWidth="1"/>
    <col min="1039" max="1039" width="15.85546875" style="713" customWidth="1"/>
    <col min="1040" max="1040" width="3.85546875" style="713" customWidth="1"/>
    <col min="1041" max="1041" width="16.42578125" style="713" customWidth="1"/>
    <col min="1042" max="1042" width="11.28515625" style="713" customWidth="1"/>
    <col min="1043" max="1043" width="10.28515625" style="713" customWidth="1"/>
    <col min="1044" max="1044" width="10" style="713" customWidth="1"/>
    <col min="1045" max="1280" width="9.140625" style="713"/>
    <col min="1281" max="1281" width="4" style="713" customWidth="1"/>
    <col min="1282" max="1282" width="15.140625" style="713" customWidth="1"/>
    <col min="1283" max="1283" width="13.85546875" style="713" customWidth="1"/>
    <col min="1284" max="1284" width="10.140625" style="713" customWidth="1"/>
    <col min="1285" max="1285" width="9.140625" style="713"/>
    <col min="1286" max="1286" width="3.42578125" style="713" customWidth="1"/>
    <col min="1287" max="1287" width="19.5703125" style="713" customWidth="1"/>
    <col min="1288" max="1288" width="12.28515625" style="713" customWidth="1"/>
    <col min="1289" max="1289" width="10.42578125" style="713" customWidth="1"/>
    <col min="1290" max="1290" width="9.140625" style="713"/>
    <col min="1291" max="1291" width="3.5703125" style="713" customWidth="1"/>
    <col min="1292" max="1292" width="16.42578125" style="713" customWidth="1"/>
    <col min="1293" max="1293" width="11.7109375" style="713" customWidth="1"/>
    <col min="1294" max="1294" width="10.140625" style="713" customWidth="1"/>
    <col min="1295" max="1295" width="15.85546875" style="713" customWidth="1"/>
    <col min="1296" max="1296" width="3.85546875" style="713" customWidth="1"/>
    <col min="1297" max="1297" width="16.42578125" style="713" customWidth="1"/>
    <col min="1298" max="1298" width="11.28515625" style="713" customWidth="1"/>
    <col min="1299" max="1299" width="10.28515625" style="713" customWidth="1"/>
    <col min="1300" max="1300" width="10" style="713" customWidth="1"/>
    <col min="1301" max="1536" width="9.140625" style="713"/>
    <col min="1537" max="1537" width="4" style="713" customWidth="1"/>
    <col min="1538" max="1538" width="15.140625" style="713" customWidth="1"/>
    <col min="1539" max="1539" width="13.85546875" style="713" customWidth="1"/>
    <col min="1540" max="1540" width="10.140625" style="713" customWidth="1"/>
    <col min="1541" max="1541" width="9.140625" style="713"/>
    <col min="1542" max="1542" width="3.42578125" style="713" customWidth="1"/>
    <col min="1543" max="1543" width="19.5703125" style="713" customWidth="1"/>
    <col min="1544" max="1544" width="12.28515625" style="713" customWidth="1"/>
    <col min="1545" max="1545" width="10.42578125" style="713" customWidth="1"/>
    <col min="1546" max="1546" width="9.140625" style="713"/>
    <col min="1547" max="1547" width="3.5703125" style="713" customWidth="1"/>
    <col min="1548" max="1548" width="16.42578125" style="713" customWidth="1"/>
    <col min="1549" max="1549" width="11.7109375" style="713" customWidth="1"/>
    <col min="1550" max="1550" width="10.140625" style="713" customWidth="1"/>
    <col min="1551" max="1551" width="15.85546875" style="713" customWidth="1"/>
    <col min="1552" max="1552" width="3.85546875" style="713" customWidth="1"/>
    <col min="1553" max="1553" width="16.42578125" style="713" customWidth="1"/>
    <col min="1554" max="1554" width="11.28515625" style="713" customWidth="1"/>
    <col min="1555" max="1555" width="10.28515625" style="713" customWidth="1"/>
    <col min="1556" max="1556" width="10" style="713" customWidth="1"/>
    <col min="1557" max="1792" width="9.140625" style="713"/>
    <col min="1793" max="1793" width="4" style="713" customWidth="1"/>
    <col min="1794" max="1794" width="15.140625" style="713" customWidth="1"/>
    <col min="1795" max="1795" width="13.85546875" style="713" customWidth="1"/>
    <col min="1796" max="1796" width="10.140625" style="713" customWidth="1"/>
    <col min="1797" max="1797" width="9.140625" style="713"/>
    <col min="1798" max="1798" width="3.42578125" style="713" customWidth="1"/>
    <col min="1799" max="1799" width="19.5703125" style="713" customWidth="1"/>
    <col min="1800" max="1800" width="12.28515625" style="713" customWidth="1"/>
    <col min="1801" max="1801" width="10.42578125" style="713" customWidth="1"/>
    <col min="1802" max="1802" width="9.140625" style="713"/>
    <col min="1803" max="1803" width="3.5703125" style="713" customWidth="1"/>
    <col min="1804" max="1804" width="16.42578125" style="713" customWidth="1"/>
    <col min="1805" max="1805" width="11.7109375" style="713" customWidth="1"/>
    <col min="1806" max="1806" width="10.140625" style="713" customWidth="1"/>
    <col min="1807" max="1807" width="15.85546875" style="713" customWidth="1"/>
    <col min="1808" max="1808" width="3.85546875" style="713" customWidth="1"/>
    <col min="1809" max="1809" width="16.42578125" style="713" customWidth="1"/>
    <col min="1810" max="1810" width="11.28515625" style="713" customWidth="1"/>
    <col min="1811" max="1811" width="10.28515625" style="713" customWidth="1"/>
    <col min="1812" max="1812" width="10" style="713" customWidth="1"/>
    <col min="1813" max="2048" width="9.140625" style="713"/>
    <col min="2049" max="2049" width="4" style="713" customWidth="1"/>
    <col min="2050" max="2050" width="15.140625" style="713" customWidth="1"/>
    <col min="2051" max="2051" width="13.85546875" style="713" customWidth="1"/>
    <col min="2052" max="2052" width="10.140625" style="713" customWidth="1"/>
    <col min="2053" max="2053" width="9.140625" style="713"/>
    <col min="2054" max="2054" width="3.42578125" style="713" customWidth="1"/>
    <col min="2055" max="2055" width="19.5703125" style="713" customWidth="1"/>
    <col min="2056" max="2056" width="12.28515625" style="713" customWidth="1"/>
    <col min="2057" max="2057" width="10.42578125" style="713" customWidth="1"/>
    <col min="2058" max="2058" width="9.140625" style="713"/>
    <col min="2059" max="2059" width="3.5703125" style="713" customWidth="1"/>
    <col min="2060" max="2060" width="16.42578125" style="713" customWidth="1"/>
    <col min="2061" max="2061" width="11.7109375" style="713" customWidth="1"/>
    <col min="2062" max="2062" width="10.140625" style="713" customWidth="1"/>
    <col min="2063" max="2063" width="15.85546875" style="713" customWidth="1"/>
    <col min="2064" max="2064" width="3.85546875" style="713" customWidth="1"/>
    <col min="2065" max="2065" width="16.42578125" style="713" customWidth="1"/>
    <col min="2066" max="2066" width="11.28515625" style="713" customWidth="1"/>
    <col min="2067" max="2067" width="10.28515625" style="713" customWidth="1"/>
    <col min="2068" max="2068" width="10" style="713" customWidth="1"/>
    <col min="2069" max="2304" width="9.140625" style="713"/>
    <col min="2305" max="2305" width="4" style="713" customWidth="1"/>
    <col min="2306" max="2306" width="15.140625" style="713" customWidth="1"/>
    <col min="2307" max="2307" width="13.85546875" style="713" customWidth="1"/>
    <col min="2308" max="2308" width="10.140625" style="713" customWidth="1"/>
    <col min="2309" max="2309" width="9.140625" style="713"/>
    <col min="2310" max="2310" width="3.42578125" style="713" customWidth="1"/>
    <col min="2311" max="2311" width="19.5703125" style="713" customWidth="1"/>
    <col min="2312" max="2312" width="12.28515625" style="713" customWidth="1"/>
    <col min="2313" max="2313" width="10.42578125" style="713" customWidth="1"/>
    <col min="2314" max="2314" width="9.140625" style="713"/>
    <col min="2315" max="2315" width="3.5703125" style="713" customWidth="1"/>
    <col min="2316" max="2316" width="16.42578125" style="713" customWidth="1"/>
    <col min="2317" max="2317" width="11.7109375" style="713" customWidth="1"/>
    <col min="2318" max="2318" width="10.140625" style="713" customWidth="1"/>
    <col min="2319" max="2319" width="15.85546875" style="713" customWidth="1"/>
    <col min="2320" max="2320" width="3.85546875" style="713" customWidth="1"/>
    <col min="2321" max="2321" width="16.42578125" style="713" customWidth="1"/>
    <col min="2322" max="2322" width="11.28515625" style="713" customWidth="1"/>
    <col min="2323" max="2323" width="10.28515625" style="713" customWidth="1"/>
    <col min="2324" max="2324" width="10" style="713" customWidth="1"/>
    <col min="2325" max="2560" width="9.140625" style="713"/>
    <col min="2561" max="2561" width="4" style="713" customWidth="1"/>
    <col min="2562" max="2562" width="15.140625" style="713" customWidth="1"/>
    <col min="2563" max="2563" width="13.85546875" style="713" customWidth="1"/>
    <col min="2564" max="2564" width="10.140625" style="713" customWidth="1"/>
    <col min="2565" max="2565" width="9.140625" style="713"/>
    <col min="2566" max="2566" width="3.42578125" style="713" customWidth="1"/>
    <col min="2567" max="2567" width="19.5703125" style="713" customWidth="1"/>
    <col min="2568" max="2568" width="12.28515625" style="713" customWidth="1"/>
    <col min="2569" max="2569" width="10.42578125" style="713" customWidth="1"/>
    <col min="2570" max="2570" width="9.140625" style="713"/>
    <col min="2571" max="2571" width="3.5703125" style="713" customWidth="1"/>
    <col min="2572" max="2572" width="16.42578125" style="713" customWidth="1"/>
    <col min="2573" max="2573" width="11.7109375" style="713" customWidth="1"/>
    <col min="2574" max="2574" width="10.140625" style="713" customWidth="1"/>
    <col min="2575" max="2575" width="15.85546875" style="713" customWidth="1"/>
    <col min="2576" max="2576" width="3.85546875" style="713" customWidth="1"/>
    <col min="2577" max="2577" width="16.42578125" style="713" customWidth="1"/>
    <col min="2578" max="2578" width="11.28515625" style="713" customWidth="1"/>
    <col min="2579" max="2579" width="10.28515625" style="713" customWidth="1"/>
    <col min="2580" max="2580" width="10" style="713" customWidth="1"/>
    <col min="2581" max="2816" width="9.140625" style="713"/>
    <col min="2817" max="2817" width="4" style="713" customWidth="1"/>
    <col min="2818" max="2818" width="15.140625" style="713" customWidth="1"/>
    <col min="2819" max="2819" width="13.85546875" style="713" customWidth="1"/>
    <col min="2820" max="2820" width="10.140625" style="713" customWidth="1"/>
    <col min="2821" max="2821" width="9.140625" style="713"/>
    <col min="2822" max="2822" width="3.42578125" style="713" customWidth="1"/>
    <col min="2823" max="2823" width="19.5703125" style="713" customWidth="1"/>
    <col min="2824" max="2824" width="12.28515625" style="713" customWidth="1"/>
    <col min="2825" max="2825" width="10.42578125" style="713" customWidth="1"/>
    <col min="2826" max="2826" width="9.140625" style="713"/>
    <col min="2827" max="2827" width="3.5703125" style="713" customWidth="1"/>
    <col min="2828" max="2828" width="16.42578125" style="713" customWidth="1"/>
    <col min="2829" max="2829" width="11.7109375" style="713" customWidth="1"/>
    <col min="2830" max="2830" width="10.140625" style="713" customWidth="1"/>
    <col min="2831" max="2831" width="15.85546875" style="713" customWidth="1"/>
    <col min="2832" max="2832" width="3.85546875" style="713" customWidth="1"/>
    <col min="2833" max="2833" width="16.42578125" style="713" customWidth="1"/>
    <col min="2834" max="2834" width="11.28515625" style="713" customWidth="1"/>
    <col min="2835" max="2835" width="10.28515625" style="713" customWidth="1"/>
    <col min="2836" max="2836" width="10" style="713" customWidth="1"/>
    <col min="2837" max="3072" width="9.140625" style="713"/>
    <col min="3073" max="3073" width="4" style="713" customWidth="1"/>
    <col min="3074" max="3074" width="15.140625" style="713" customWidth="1"/>
    <col min="3075" max="3075" width="13.85546875" style="713" customWidth="1"/>
    <col min="3076" max="3076" width="10.140625" style="713" customWidth="1"/>
    <col min="3077" max="3077" width="9.140625" style="713"/>
    <col min="3078" max="3078" width="3.42578125" style="713" customWidth="1"/>
    <col min="3079" max="3079" width="19.5703125" style="713" customWidth="1"/>
    <col min="3080" max="3080" width="12.28515625" style="713" customWidth="1"/>
    <col min="3081" max="3081" width="10.42578125" style="713" customWidth="1"/>
    <col min="3082" max="3082" width="9.140625" style="713"/>
    <col min="3083" max="3083" width="3.5703125" style="713" customWidth="1"/>
    <col min="3084" max="3084" width="16.42578125" style="713" customWidth="1"/>
    <col min="3085" max="3085" width="11.7109375" style="713" customWidth="1"/>
    <col min="3086" max="3086" width="10.140625" style="713" customWidth="1"/>
    <col min="3087" max="3087" width="15.85546875" style="713" customWidth="1"/>
    <col min="3088" max="3088" width="3.85546875" style="713" customWidth="1"/>
    <col min="3089" max="3089" width="16.42578125" style="713" customWidth="1"/>
    <col min="3090" max="3090" width="11.28515625" style="713" customWidth="1"/>
    <col min="3091" max="3091" width="10.28515625" style="713" customWidth="1"/>
    <col min="3092" max="3092" width="10" style="713" customWidth="1"/>
    <col min="3093" max="3328" width="9.140625" style="713"/>
    <col min="3329" max="3329" width="4" style="713" customWidth="1"/>
    <col min="3330" max="3330" width="15.140625" style="713" customWidth="1"/>
    <col min="3331" max="3331" width="13.85546875" style="713" customWidth="1"/>
    <col min="3332" max="3332" width="10.140625" style="713" customWidth="1"/>
    <col min="3333" max="3333" width="9.140625" style="713"/>
    <col min="3334" max="3334" width="3.42578125" style="713" customWidth="1"/>
    <col min="3335" max="3335" width="19.5703125" style="713" customWidth="1"/>
    <col min="3336" max="3336" width="12.28515625" style="713" customWidth="1"/>
    <col min="3337" max="3337" width="10.42578125" style="713" customWidth="1"/>
    <col min="3338" max="3338" width="9.140625" style="713"/>
    <col min="3339" max="3339" width="3.5703125" style="713" customWidth="1"/>
    <col min="3340" max="3340" width="16.42578125" style="713" customWidth="1"/>
    <col min="3341" max="3341" width="11.7109375" style="713" customWidth="1"/>
    <col min="3342" max="3342" width="10.140625" style="713" customWidth="1"/>
    <col min="3343" max="3343" width="15.85546875" style="713" customWidth="1"/>
    <col min="3344" max="3344" width="3.85546875" style="713" customWidth="1"/>
    <col min="3345" max="3345" width="16.42578125" style="713" customWidth="1"/>
    <col min="3346" max="3346" width="11.28515625" style="713" customWidth="1"/>
    <col min="3347" max="3347" width="10.28515625" style="713" customWidth="1"/>
    <col min="3348" max="3348" width="10" style="713" customWidth="1"/>
    <col min="3349" max="3584" width="9.140625" style="713"/>
    <col min="3585" max="3585" width="4" style="713" customWidth="1"/>
    <col min="3586" max="3586" width="15.140625" style="713" customWidth="1"/>
    <col min="3587" max="3587" width="13.85546875" style="713" customWidth="1"/>
    <col min="3588" max="3588" width="10.140625" style="713" customWidth="1"/>
    <col min="3589" max="3589" width="9.140625" style="713"/>
    <col min="3590" max="3590" width="3.42578125" style="713" customWidth="1"/>
    <col min="3591" max="3591" width="19.5703125" style="713" customWidth="1"/>
    <col min="3592" max="3592" width="12.28515625" style="713" customWidth="1"/>
    <col min="3593" max="3593" width="10.42578125" style="713" customWidth="1"/>
    <col min="3594" max="3594" width="9.140625" style="713"/>
    <col min="3595" max="3595" width="3.5703125" style="713" customWidth="1"/>
    <col min="3596" max="3596" width="16.42578125" style="713" customWidth="1"/>
    <col min="3597" max="3597" width="11.7109375" style="713" customWidth="1"/>
    <col min="3598" max="3598" width="10.140625" style="713" customWidth="1"/>
    <col min="3599" max="3599" width="15.85546875" style="713" customWidth="1"/>
    <col min="3600" max="3600" width="3.85546875" style="713" customWidth="1"/>
    <col min="3601" max="3601" width="16.42578125" style="713" customWidth="1"/>
    <col min="3602" max="3602" width="11.28515625" style="713" customWidth="1"/>
    <col min="3603" max="3603" width="10.28515625" style="713" customWidth="1"/>
    <col min="3604" max="3604" width="10" style="713" customWidth="1"/>
    <col min="3605" max="3840" width="9.140625" style="713"/>
    <col min="3841" max="3841" width="4" style="713" customWidth="1"/>
    <col min="3842" max="3842" width="15.140625" style="713" customWidth="1"/>
    <col min="3843" max="3843" width="13.85546875" style="713" customWidth="1"/>
    <col min="3844" max="3844" width="10.140625" style="713" customWidth="1"/>
    <col min="3845" max="3845" width="9.140625" style="713"/>
    <col min="3846" max="3846" width="3.42578125" style="713" customWidth="1"/>
    <col min="3847" max="3847" width="19.5703125" style="713" customWidth="1"/>
    <col min="3848" max="3848" width="12.28515625" style="713" customWidth="1"/>
    <col min="3849" max="3849" width="10.42578125" style="713" customWidth="1"/>
    <col min="3850" max="3850" width="9.140625" style="713"/>
    <col min="3851" max="3851" width="3.5703125" style="713" customWidth="1"/>
    <col min="3852" max="3852" width="16.42578125" style="713" customWidth="1"/>
    <col min="3853" max="3853" width="11.7109375" style="713" customWidth="1"/>
    <col min="3854" max="3854" width="10.140625" style="713" customWidth="1"/>
    <col min="3855" max="3855" width="15.85546875" style="713" customWidth="1"/>
    <col min="3856" max="3856" width="3.85546875" style="713" customWidth="1"/>
    <col min="3857" max="3857" width="16.42578125" style="713" customWidth="1"/>
    <col min="3858" max="3858" width="11.28515625" style="713" customWidth="1"/>
    <col min="3859" max="3859" width="10.28515625" style="713" customWidth="1"/>
    <col min="3860" max="3860" width="10" style="713" customWidth="1"/>
    <col min="3861" max="4096" width="9.140625" style="713"/>
    <col min="4097" max="4097" width="4" style="713" customWidth="1"/>
    <col min="4098" max="4098" width="15.140625" style="713" customWidth="1"/>
    <col min="4099" max="4099" width="13.85546875" style="713" customWidth="1"/>
    <col min="4100" max="4100" width="10.140625" style="713" customWidth="1"/>
    <col min="4101" max="4101" width="9.140625" style="713"/>
    <col min="4102" max="4102" width="3.42578125" style="713" customWidth="1"/>
    <col min="4103" max="4103" width="19.5703125" style="713" customWidth="1"/>
    <col min="4104" max="4104" width="12.28515625" style="713" customWidth="1"/>
    <col min="4105" max="4105" width="10.42578125" style="713" customWidth="1"/>
    <col min="4106" max="4106" width="9.140625" style="713"/>
    <col min="4107" max="4107" width="3.5703125" style="713" customWidth="1"/>
    <col min="4108" max="4108" width="16.42578125" style="713" customWidth="1"/>
    <col min="4109" max="4109" width="11.7109375" style="713" customWidth="1"/>
    <col min="4110" max="4110" width="10.140625" style="713" customWidth="1"/>
    <col min="4111" max="4111" width="15.85546875" style="713" customWidth="1"/>
    <col min="4112" max="4112" width="3.85546875" style="713" customWidth="1"/>
    <col min="4113" max="4113" width="16.42578125" style="713" customWidth="1"/>
    <col min="4114" max="4114" width="11.28515625" style="713" customWidth="1"/>
    <col min="4115" max="4115" width="10.28515625" style="713" customWidth="1"/>
    <col min="4116" max="4116" width="10" style="713" customWidth="1"/>
    <col min="4117" max="4352" width="9.140625" style="713"/>
    <col min="4353" max="4353" width="4" style="713" customWidth="1"/>
    <col min="4354" max="4354" width="15.140625" style="713" customWidth="1"/>
    <col min="4355" max="4355" width="13.85546875" style="713" customWidth="1"/>
    <col min="4356" max="4356" width="10.140625" style="713" customWidth="1"/>
    <col min="4357" max="4357" width="9.140625" style="713"/>
    <col min="4358" max="4358" width="3.42578125" style="713" customWidth="1"/>
    <col min="4359" max="4359" width="19.5703125" style="713" customWidth="1"/>
    <col min="4360" max="4360" width="12.28515625" style="713" customWidth="1"/>
    <col min="4361" max="4361" width="10.42578125" style="713" customWidth="1"/>
    <col min="4362" max="4362" width="9.140625" style="713"/>
    <col min="4363" max="4363" width="3.5703125" style="713" customWidth="1"/>
    <col min="4364" max="4364" width="16.42578125" style="713" customWidth="1"/>
    <col min="4365" max="4365" width="11.7109375" style="713" customWidth="1"/>
    <col min="4366" max="4366" width="10.140625" style="713" customWidth="1"/>
    <col min="4367" max="4367" width="15.85546875" style="713" customWidth="1"/>
    <col min="4368" max="4368" width="3.85546875" style="713" customWidth="1"/>
    <col min="4369" max="4369" width="16.42578125" style="713" customWidth="1"/>
    <col min="4370" max="4370" width="11.28515625" style="713" customWidth="1"/>
    <col min="4371" max="4371" width="10.28515625" style="713" customWidth="1"/>
    <col min="4372" max="4372" width="10" style="713" customWidth="1"/>
    <col min="4373" max="4608" width="9.140625" style="713"/>
    <col min="4609" max="4609" width="4" style="713" customWidth="1"/>
    <col min="4610" max="4610" width="15.140625" style="713" customWidth="1"/>
    <col min="4611" max="4611" width="13.85546875" style="713" customWidth="1"/>
    <col min="4612" max="4612" width="10.140625" style="713" customWidth="1"/>
    <col min="4613" max="4613" width="9.140625" style="713"/>
    <col min="4614" max="4614" width="3.42578125" style="713" customWidth="1"/>
    <col min="4615" max="4615" width="19.5703125" style="713" customWidth="1"/>
    <col min="4616" max="4616" width="12.28515625" style="713" customWidth="1"/>
    <col min="4617" max="4617" width="10.42578125" style="713" customWidth="1"/>
    <col min="4618" max="4618" width="9.140625" style="713"/>
    <col min="4619" max="4619" width="3.5703125" style="713" customWidth="1"/>
    <col min="4620" max="4620" width="16.42578125" style="713" customWidth="1"/>
    <col min="4621" max="4621" width="11.7109375" style="713" customWidth="1"/>
    <col min="4622" max="4622" width="10.140625" style="713" customWidth="1"/>
    <col min="4623" max="4623" width="15.85546875" style="713" customWidth="1"/>
    <col min="4624" max="4624" width="3.85546875" style="713" customWidth="1"/>
    <col min="4625" max="4625" width="16.42578125" style="713" customWidth="1"/>
    <col min="4626" max="4626" width="11.28515625" style="713" customWidth="1"/>
    <col min="4627" max="4627" width="10.28515625" style="713" customWidth="1"/>
    <col min="4628" max="4628" width="10" style="713" customWidth="1"/>
    <col min="4629" max="4864" width="9.140625" style="713"/>
    <col min="4865" max="4865" width="4" style="713" customWidth="1"/>
    <col min="4866" max="4866" width="15.140625" style="713" customWidth="1"/>
    <col min="4867" max="4867" width="13.85546875" style="713" customWidth="1"/>
    <col min="4868" max="4868" width="10.140625" style="713" customWidth="1"/>
    <col min="4869" max="4869" width="9.140625" style="713"/>
    <col min="4870" max="4870" width="3.42578125" style="713" customWidth="1"/>
    <col min="4871" max="4871" width="19.5703125" style="713" customWidth="1"/>
    <col min="4872" max="4872" width="12.28515625" style="713" customWidth="1"/>
    <col min="4873" max="4873" width="10.42578125" style="713" customWidth="1"/>
    <col min="4874" max="4874" width="9.140625" style="713"/>
    <col min="4875" max="4875" width="3.5703125" style="713" customWidth="1"/>
    <col min="4876" max="4876" width="16.42578125" style="713" customWidth="1"/>
    <col min="4877" max="4877" width="11.7109375" style="713" customWidth="1"/>
    <col min="4878" max="4878" width="10.140625" style="713" customWidth="1"/>
    <col min="4879" max="4879" width="15.85546875" style="713" customWidth="1"/>
    <col min="4880" max="4880" width="3.85546875" style="713" customWidth="1"/>
    <col min="4881" max="4881" width="16.42578125" style="713" customWidth="1"/>
    <col min="4882" max="4882" width="11.28515625" style="713" customWidth="1"/>
    <col min="4883" max="4883" width="10.28515625" style="713" customWidth="1"/>
    <col min="4884" max="4884" width="10" style="713" customWidth="1"/>
    <col min="4885" max="5120" width="9.140625" style="713"/>
    <col min="5121" max="5121" width="4" style="713" customWidth="1"/>
    <col min="5122" max="5122" width="15.140625" style="713" customWidth="1"/>
    <col min="5123" max="5123" width="13.85546875" style="713" customWidth="1"/>
    <col min="5124" max="5124" width="10.140625" style="713" customWidth="1"/>
    <col min="5125" max="5125" width="9.140625" style="713"/>
    <col min="5126" max="5126" width="3.42578125" style="713" customWidth="1"/>
    <col min="5127" max="5127" width="19.5703125" style="713" customWidth="1"/>
    <col min="5128" max="5128" width="12.28515625" style="713" customWidth="1"/>
    <col min="5129" max="5129" width="10.42578125" style="713" customWidth="1"/>
    <col min="5130" max="5130" width="9.140625" style="713"/>
    <col min="5131" max="5131" width="3.5703125" style="713" customWidth="1"/>
    <col min="5132" max="5132" width="16.42578125" style="713" customWidth="1"/>
    <col min="5133" max="5133" width="11.7109375" style="713" customWidth="1"/>
    <col min="5134" max="5134" width="10.140625" style="713" customWidth="1"/>
    <col min="5135" max="5135" width="15.85546875" style="713" customWidth="1"/>
    <col min="5136" max="5136" width="3.85546875" style="713" customWidth="1"/>
    <col min="5137" max="5137" width="16.42578125" style="713" customWidth="1"/>
    <col min="5138" max="5138" width="11.28515625" style="713" customWidth="1"/>
    <col min="5139" max="5139" width="10.28515625" style="713" customWidth="1"/>
    <col min="5140" max="5140" width="10" style="713" customWidth="1"/>
    <col min="5141" max="5376" width="9.140625" style="713"/>
    <col min="5377" max="5377" width="4" style="713" customWidth="1"/>
    <col min="5378" max="5378" width="15.140625" style="713" customWidth="1"/>
    <col min="5379" max="5379" width="13.85546875" style="713" customWidth="1"/>
    <col min="5380" max="5380" width="10.140625" style="713" customWidth="1"/>
    <col min="5381" max="5381" width="9.140625" style="713"/>
    <col min="5382" max="5382" width="3.42578125" style="713" customWidth="1"/>
    <col min="5383" max="5383" width="19.5703125" style="713" customWidth="1"/>
    <col min="5384" max="5384" width="12.28515625" style="713" customWidth="1"/>
    <col min="5385" max="5385" width="10.42578125" style="713" customWidth="1"/>
    <col min="5386" max="5386" width="9.140625" style="713"/>
    <col min="5387" max="5387" width="3.5703125" style="713" customWidth="1"/>
    <col min="5388" max="5388" width="16.42578125" style="713" customWidth="1"/>
    <col min="5389" max="5389" width="11.7109375" style="713" customWidth="1"/>
    <col min="5390" max="5390" width="10.140625" style="713" customWidth="1"/>
    <col min="5391" max="5391" width="15.85546875" style="713" customWidth="1"/>
    <col min="5392" max="5392" width="3.85546875" style="713" customWidth="1"/>
    <col min="5393" max="5393" width="16.42578125" style="713" customWidth="1"/>
    <col min="5394" max="5394" width="11.28515625" style="713" customWidth="1"/>
    <col min="5395" max="5395" width="10.28515625" style="713" customWidth="1"/>
    <col min="5396" max="5396" width="10" style="713" customWidth="1"/>
    <col min="5397" max="5632" width="9.140625" style="713"/>
    <col min="5633" max="5633" width="4" style="713" customWidth="1"/>
    <col min="5634" max="5634" width="15.140625" style="713" customWidth="1"/>
    <col min="5635" max="5635" width="13.85546875" style="713" customWidth="1"/>
    <col min="5636" max="5636" width="10.140625" style="713" customWidth="1"/>
    <col min="5637" max="5637" width="9.140625" style="713"/>
    <col min="5638" max="5638" width="3.42578125" style="713" customWidth="1"/>
    <col min="5639" max="5639" width="19.5703125" style="713" customWidth="1"/>
    <col min="5640" max="5640" width="12.28515625" style="713" customWidth="1"/>
    <col min="5641" max="5641" width="10.42578125" style="713" customWidth="1"/>
    <col min="5642" max="5642" width="9.140625" style="713"/>
    <col min="5643" max="5643" width="3.5703125" style="713" customWidth="1"/>
    <col min="5644" max="5644" width="16.42578125" style="713" customWidth="1"/>
    <col min="5645" max="5645" width="11.7109375" style="713" customWidth="1"/>
    <col min="5646" max="5646" width="10.140625" style="713" customWidth="1"/>
    <col min="5647" max="5647" width="15.85546875" style="713" customWidth="1"/>
    <col min="5648" max="5648" width="3.85546875" style="713" customWidth="1"/>
    <col min="5649" max="5649" width="16.42578125" style="713" customWidth="1"/>
    <col min="5650" max="5650" width="11.28515625" style="713" customWidth="1"/>
    <col min="5651" max="5651" width="10.28515625" style="713" customWidth="1"/>
    <col min="5652" max="5652" width="10" style="713" customWidth="1"/>
    <col min="5653" max="5888" width="9.140625" style="713"/>
    <col min="5889" max="5889" width="4" style="713" customWidth="1"/>
    <col min="5890" max="5890" width="15.140625" style="713" customWidth="1"/>
    <col min="5891" max="5891" width="13.85546875" style="713" customWidth="1"/>
    <col min="5892" max="5892" width="10.140625" style="713" customWidth="1"/>
    <col min="5893" max="5893" width="9.140625" style="713"/>
    <col min="5894" max="5894" width="3.42578125" style="713" customWidth="1"/>
    <col min="5895" max="5895" width="19.5703125" style="713" customWidth="1"/>
    <col min="5896" max="5896" width="12.28515625" style="713" customWidth="1"/>
    <col min="5897" max="5897" width="10.42578125" style="713" customWidth="1"/>
    <col min="5898" max="5898" width="9.140625" style="713"/>
    <col min="5899" max="5899" width="3.5703125" style="713" customWidth="1"/>
    <col min="5900" max="5900" width="16.42578125" style="713" customWidth="1"/>
    <col min="5901" max="5901" width="11.7109375" style="713" customWidth="1"/>
    <col min="5902" max="5902" width="10.140625" style="713" customWidth="1"/>
    <col min="5903" max="5903" width="15.85546875" style="713" customWidth="1"/>
    <col min="5904" max="5904" width="3.85546875" style="713" customWidth="1"/>
    <col min="5905" max="5905" width="16.42578125" style="713" customWidth="1"/>
    <col min="5906" max="5906" width="11.28515625" style="713" customWidth="1"/>
    <col min="5907" max="5907" width="10.28515625" style="713" customWidth="1"/>
    <col min="5908" max="5908" width="10" style="713" customWidth="1"/>
    <col min="5909" max="6144" width="9.140625" style="713"/>
    <col min="6145" max="6145" width="4" style="713" customWidth="1"/>
    <col min="6146" max="6146" width="15.140625" style="713" customWidth="1"/>
    <col min="6147" max="6147" width="13.85546875" style="713" customWidth="1"/>
    <col min="6148" max="6148" width="10.140625" style="713" customWidth="1"/>
    <col min="6149" max="6149" width="9.140625" style="713"/>
    <col min="6150" max="6150" width="3.42578125" style="713" customWidth="1"/>
    <col min="6151" max="6151" width="19.5703125" style="713" customWidth="1"/>
    <col min="6152" max="6152" width="12.28515625" style="713" customWidth="1"/>
    <col min="6153" max="6153" width="10.42578125" style="713" customWidth="1"/>
    <col min="6154" max="6154" width="9.140625" style="713"/>
    <col min="6155" max="6155" width="3.5703125" style="713" customWidth="1"/>
    <col min="6156" max="6156" width="16.42578125" style="713" customWidth="1"/>
    <col min="6157" max="6157" width="11.7109375" style="713" customWidth="1"/>
    <col min="6158" max="6158" width="10.140625" style="713" customWidth="1"/>
    <col min="6159" max="6159" width="15.85546875" style="713" customWidth="1"/>
    <col min="6160" max="6160" width="3.85546875" style="713" customWidth="1"/>
    <col min="6161" max="6161" width="16.42578125" style="713" customWidth="1"/>
    <col min="6162" max="6162" width="11.28515625" style="713" customWidth="1"/>
    <col min="6163" max="6163" width="10.28515625" style="713" customWidth="1"/>
    <col min="6164" max="6164" width="10" style="713" customWidth="1"/>
    <col min="6165" max="6400" width="9.140625" style="713"/>
    <col min="6401" max="6401" width="4" style="713" customWidth="1"/>
    <col min="6402" max="6402" width="15.140625" style="713" customWidth="1"/>
    <col min="6403" max="6403" width="13.85546875" style="713" customWidth="1"/>
    <col min="6404" max="6404" width="10.140625" style="713" customWidth="1"/>
    <col min="6405" max="6405" width="9.140625" style="713"/>
    <col min="6406" max="6406" width="3.42578125" style="713" customWidth="1"/>
    <col min="6407" max="6407" width="19.5703125" style="713" customWidth="1"/>
    <col min="6408" max="6408" width="12.28515625" style="713" customWidth="1"/>
    <col min="6409" max="6409" width="10.42578125" style="713" customWidth="1"/>
    <col min="6410" max="6410" width="9.140625" style="713"/>
    <col min="6411" max="6411" width="3.5703125" style="713" customWidth="1"/>
    <col min="6412" max="6412" width="16.42578125" style="713" customWidth="1"/>
    <col min="6413" max="6413" width="11.7109375" style="713" customWidth="1"/>
    <col min="6414" max="6414" width="10.140625" style="713" customWidth="1"/>
    <col min="6415" max="6415" width="15.85546875" style="713" customWidth="1"/>
    <col min="6416" max="6416" width="3.85546875" style="713" customWidth="1"/>
    <col min="6417" max="6417" width="16.42578125" style="713" customWidth="1"/>
    <col min="6418" max="6418" width="11.28515625" style="713" customWidth="1"/>
    <col min="6419" max="6419" width="10.28515625" style="713" customWidth="1"/>
    <col min="6420" max="6420" width="10" style="713" customWidth="1"/>
    <col min="6421" max="6656" width="9.140625" style="713"/>
    <col min="6657" max="6657" width="4" style="713" customWidth="1"/>
    <col min="6658" max="6658" width="15.140625" style="713" customWidth="1"/>
    <col min="6659" max="6659" width="13.85546875" style="713" customWidth="1"/>
    <col min="6660" max="6660" width="10.140625" style="713" customWidth="1"/>
    <col min="6661" max="6661" width="9.140625" style="713"/>
    <col min="6662" max="6662" width="3.42578125" style="713" customWidth="1"/>
    <col min="6663" max="6663" width="19.5703125" style="713" customWidth="1"/>
    <col min="6664" max="6664" width="12.28515625" style="713" customWidth="1"/>
    <col min="6665" max="6665" width="10.42578125" style="713" customWidth="1"/>
    <col min="6666" max="6666" width="9.140625" style="713"/>
    <col min="6667" max="6667" width="3.5703125" style="713" customWidth="1"/>
    <col min="6668" max="6668" width="16.42578125" style="713" customWidth="1"/>
    <col min="6669" max="6669" width="11.7109375" style="713" customWidth="1"/>
    <col min="6670" max="6670" width="10.140625" style="713" customWidth="1"/>
    <col min="6671" max="6671" width="15.85546875" style="713" customWidth="1"/>
    <col min="6672" max="6672" width="3.85546875" style="713" customWidth="1"/>
    <col min="6673" max="6673" width="16.42578125" style="713" customWidth="1"/>
    <col min="6674" max="6674" width="11.28515625" style="713" customWidth="1"/>
    <col min="6675" max="6675" width="10.28515625" style="713" customWidth="1"/>
    <col min="6676" max="6676" width="10" style="713" customWidth="1"/>
    <col min="6677" max="6912" width="9.140625" style="713"/>
    <col min="6913" max="6913" width="4" style="713" customWidth="1"/>
    <col min="6914" max="6914" width="15.140625" style="713" customWidth="1"/>
    <col min="6915" max="6915" width="13.85546875" style="713" customWidth="1"/>
    <col min="6916" max="6916" width="10.140625" style="713" customWidth="1"/>
    <col min="6917" max="6917" width="9.140625" style="713"/>
    <col min="6918" max="6918" width="3.42578125" style="713" customWidth="1"/>
    <col min="6919" max="6919" width="19.5703125" style="713" customWidth="1"/>
    <col min="6920" max="6920" width="12.28515625" style="713" customWidth="1"/>
    <col min="6921" max="6921" width="10.42578125" style="713" customWidth="1"/>
    <col min="6922" max="6922" width="9.140625" style="713"/>
    <col min="6923" max="6923" width="3.5703125" style="713" customWidth="1"/>
    <col min="6924" max="6924" width="16.42578125" style="713" customWidth="1"/>
    <col min="6925" max="6925" width="11.7109375" style="713" customWidth="1"/>
    <col min="6926" max="6926" width="10.140625" style="713" customWidth="1"/>
    <col min="6927" max="6927" width="15.85546875" style="713" customWidth="1"/>
    <col min="6928" max="6928" width="3.85546875" style="713" customWidth="1"/>
    <col min="6929" max="6929" width="16.42578125" style="713" customWidth="1"/>
    <col min="6930" max="6930" width="11.28515625" style="713" customWidth="1"/>
    <col min="6931" max="6931" width="10.28515625" style="713" customWidth="1"/>
    <col min="6932" max="6932" width="10" style="713" customWidth="1"/>
    <col min="6933" max="7168" width="9.140625" style="713"/>
    <col min="7169" max="7169" width="4" style="713" customWidth="1"/>
    <col min="7170" max="7170" width="15.140625" style="713" customWidth="1"/>
    <col min="7171" max="7171" width="13.85546875" style="713" customWidth="1"/>
    <col min="7172" max="7172" width="10.140625" style="713" customWidth="1"/>
    <col min="7173" max="7173" width="9.140625" style="713"/>
    <col min="7174" max="7174" width="3.42578125" style="713" customWidth="1"/>
    <col min="7175" max="7175" width="19.5703125" style="713" customWidth="1"/>
    <col min="7176" max="7176" width="12.28515625" style="713" customWidth="1"/>
    <col min="7177" max="7177" width="10.42578125" style="713" customWidth="1"/>
    <col min="7178" max="7178" width="9.140625" style="713"/>
    <col min="7179" max="7179" width="3.5703125" style="713" customWidth="1"/>
    <col min="7180" max="7180" width="16.42578125" style="713" customWidth="1"/>
    <col min="7181" max="7181" width="11.7109375" style="713" customWidth="1"/>
    <col min="7182" max="7182" width="10.140625" style="713" customWidth="1"/>
    <col min="7183" max="7183" width="15.85546875" style="713" customWidth="1"/>
    <col min="7184" max="7184" width="3.85546875" style="713" customWidth="1"/>
    <col min="7185" max="7185" width="16.42578125" style="713" customWidth="1"/>
    <col min="7186" max="7186" width="11.28515625" style="713" customWidth="1"/>
    <col min="7187" max="7187" width="10.28515625" style="713" customWidth="1"/>
    <col min="7188" max="7188" width="10" style="713" customWidth="1"/>
    <col min="7189" max="7424" width="9.140625" style="713"/>
    <col min="7425" max="7425" width="4" style="713" customWidth="1"/>
    <col min="7426" max="7426" width="15.140625" style="713" customWidth="1"/>
    <col min="7427" max="7427" width="13.85546875" style="713" customWidth="1"/>
    <col min="7428" max="7428" width="10.140625" style="713" customWidth="1"/>
    <col min="7429" max="7429" width="9.140625" style="713"/>
    <col min="7430" max="7430" width="3.42578125" style="713" customWidth="1"/>
    <col min="7431" max="7431" width="19.5703125" style="713" customWidth="1"/>
    <col min="7432" max="7432" width="12.28515625" style="713" customWidth="1"/>
    <col min="7433" max="7433" width="10.42578125" style="713" customWidth="1"/>
    <col min="7434" max="7434" width="9.140625" style="713"/>
    <col min="7435" max="7435" width="3.5703125" style="713" customWidth="1"/>
    <col min="7436" max="7436" width="16.42578125" style="713" customWidth="1"/>
    <col min="7437" max="7437" width="11.7109375" style="713" customWidth="1"/>
    <col min="7438" max="7438" width="10.140625" style="713" customWidth="1"/>
    <col min="7439" max="7439" width="15.85546875" style="713" customWidth="1"/>
    <col min="7440" max="7440" width="3.85546875" style="713" customWidth="1"/>
    <col min="7441" max="7441" width="16.42578125" style="713" customWidth="1"/>
    <col min="7442" max="7442" width="11.28515625" style="713" customWidth="1"/>
    <col min="7443" max="7443" width="10.28515625" style="713" customWidth="1"/>
    <col min="7444" max="7444" width="10" style="713" customWidth="1"/>
    <col min="7445" max="7680" width="9.140625" style="713"/>
    <col min="7681" max="7681" width="4" style="713" customWidth="1"/>
    <col min="7682" max="7682" width="15.140625" style="713" customWidth="1"/>
    <col min="7683" max="7683" width="13.85546875" style="713" customWidth="1"/>
    <col min="7684" max="7684" width="10.140625" style="713" customWidth="1"/>
    <col min="7685" max="7685" width="9.140625" style="713"/>
    <col min="7686" max="7686" width="3.42578125" style="713" customWidth="1"/>
    <col min="7687" max="7687" width="19.5703125" style="713" customWidth="1"/>
    <col min="7688" max="7688" width="12.28515625" style="713" customWidth="1"/>
    <col min="7689" max="7689" width="10.42578125" style="713" customWidth="1"/>
    <col min="7690" max="7690" width="9.140625" style="713"/>
    <col min="7691" max="7691" width="3.5703125" style="713" customWidth="1"/>
    <col min="7692" max="7692" width="16.42578125" style="713" customWidth="1"/>
    <col min="7693" max="7693" width="11.7109375" style="713" customWidth="1"/>
    <col min="7694" max="7694" width="10.140625" style="713" customWidth="1"/>
    <col min="7695" max="7695" width="15.85546875" style="713" customWidth="1"/>
    <col min="7696" max="7696" width="3.85546875" style="713" customWidth="1"/>
    <col min="7697" max="7697" width="16.42578125" style="713" customWidth="1"/>
    <col min="7698" max="7698" width="11.28515625" style="713" customWidth="1"/>
    <col min="7699" max="7699" width="10.28515625" style="713" customWidth="1"/>
    <col min="7700" max="7700" width="10" style="713" customWidth="1"/>
    <col min="7701" max="7936" width="9.140625" style="713"/>
    <col min="7937" max="7937" width="4" style="713" customWidth="1"/>
    <col min="7938" max="7938" width="15.140625" style="713" customWidth="1"/>
    <col min="7939" max="7939" width="13.85546875" style="713" customWidth="1"/>
    <col min="7940" max="7940" width="10.140625" style="713" customWidth="1"/>
    <col min="7941" max="7941" width="9.140625" style="713"/>
    <col min="7942" max="7942" width="3.42578125" style="713" customWidth="1"/>
    <col min="7943" max="7943" width="19.5703125" style="713" customWidth="1"/>
    <col min="7944" max="7944" width="12.28515625" style="713" customWidth="1"/>
    <col min="7945" max="7945" width="10.42578125" style="713" customWidth="1"/>
    <col min="7946" max="7946" width="9.140625" style="713"/>
    <col min="7947" max="7947" width="3.5703125" style="713" customWidth="1"/>
    <col min="7948" max="7948" width="16.42578125" style="713" customWidth="1"/>
    <col min="7949" max="7949" width="11.7109375" style="713" customWidth="1"/>
    <col min="7950" max="7950" width="10.140625" style="713" customWidth="1"/>
    <col min="7951" max="7951" width="15.85546875" style="713" customWidth="1"/>
    <col min="7952" max="7952" width="3.85546875" style="713" customWidth="1"/>
    <col min="7953" max="7953" width="16.42578125" style="713" customWidth="1"/>
    <col min="7954" max="7954" width="11.28515625" style="713" customWidth="1"/>
    <col min="7955" max="7955" width="10.28515625" style="713" customWidth="1"/>
    <col min="7956" max="7956" width="10" style="713" customWidth="1"/>
    <col min="7957" max="8192" width="9.140625" style="713"/>
    <col min="8193" max="8193" width="4" style="713" customWidth="1"/>
    <col min="8194" max="8194" width="15.140625" style="713" customWidth="1"/>
    <col min="8195" max="8195" width="13.85546875" style="713" customWidth="1"/>
    <col min="8196" max="8196" width="10.140625" style="713" customWidth="1"/>
    <col min="8197" max="8197" width="9.140625" style="713"/>
    <col min="8198" max="8198" width="3.42578125" style="713" customWidth="1"/>
    <col min="8199" max="8199" width="19.5703125" style="713" customWidth="1"/>
    <col min="8200" max="8200" width="12.28515625" style="713" customWidth="1"/>
    <col min="8201" max="8201" width="10.42578125" style="713" customWidth="1"/>
    <col min="8202" max="8202" width="9.140625" style="713"/>
    <col min="8203" max="8203" width="3.5703125" style="713" customWidth="1"/>
    <col min="8204" max="8204" width="16.42578125" style="713" customWidth="1"/>
    <col min="8205" max="8205" width="11.7109375" style="713" customWidth="1"/>
    <col min="8206" max="8206" width="10.140625" style="713" customWidth="1"/>
    <col min="8207" max="8207" width="15.85546875" style="713" customWidth="1"/>
    <col min="8208" max="8208" width="3.85546875" style="713" customWidth="1"/>
    <col min="8209" max="8209" width="16.42578125" style="713" customWidth="1"/>
    <col min="8210" max="8210" width="11.28515625" style="713" customWidth="1"/>
    <col min="8211" max="8211" width="10.28515625" style="713" customWidth="1"/>
    <col min="8212" max="8212" width="10" style="713" customWidth="1"/>
    <col min="8213" max="8448" width="9.140625" style="713"/>
    <col min="8449" max="8449" width="4" style="713" customWidth="1"/>
    <col min="8450" max="8450" width="15.140625" style="713" customWidth="1"/>
    <col min="8451" max="8451" width="13.85546875" style="713" customWidth="1"/>
    <col min="8452" max="8452" width="10.140625" style="713" customWidth="1"/>
    <col min="8453" max="8453" width="9.140625" style="713"/>
    <col min="8454" max="8454" width="3.42578125" style="713" customWidth="1"/>
    <col min="8455" max="8455" width="19.5703125" style="713" customWidth="1"/>
    <col min="8456" max="8456" width="12.28515625" style="713" customWidth="1"/>
    <col min="8457" max="8457" width="10.42578125" style="713" customWidth="1"/>
    <col min="8458" max="8458" width="9.140625" style="713"/>
    <col min="8459" max="8459" width="3.5703125" style="713" customWidth="1"/>
    <col min="8460" max="8460" width="16.42578125" style="713" customWidth="1"/>
    <col min="8461" max="8461" width="11.7109375" style="713" customWidth="1"/>
    <col min="8462" max="8462" width="10.140625" style="713" customWidth="1"/>
    <col min="8463" max="8463" width="15.85546875" style="713" customWidth="1"/>
    <col min="8464" max="8464" width="3.85546875" style="713" customWidth="1"/>
    <col min="8465" max="8465" width="16.42578125" style="713" customWidth="1"/>
    <col min="8466" max="8466" width="11.28515625" style="713" customWidth="1"/>
    <col min="8467" max="8467" width="10.28515625" style="713" customWidth="1"/>
    <col min="8468" max="8468" width="10" style="713" customWidth="1"/>
    <col min="8469" max="8704" width="9.140625" style="713"/>
    <col min="8705" max="8705" width="4" style="713" customWidth="1"/>
    <col min="8706" max="8706" width="15.140625" style="713" customWidth="1"/>
    <col min="8707" max="8707" width="13.85546875" style="713" customWidth="1"/>
    <col min="8708" max="8708" width="10.140625" style="713" customWidth="1"/>
    <col min="8709" max="8709" width="9.140625" style="713"/>
    <col min="8710" max="8710" width="3.42578125" style="713" customWidth="1"/>
    <col min="8711" max="8711" width="19.5703125" style="713" customWidth="1"/>
    <col min="8712" max="8712" width="12.28515625" style="713" customWidth="1"/>
    <col min="8713" max="8713" width="10.42578125" style="713" customWidth="1"/>
    <col min="8714" max="8714" width="9.140625" style="713"/>
    <col min="8715" max="8715" width="3.5703125" style="713" customWidth="1"/>
    <col min="8716" max="8716" width="16.42578125" style="713" customWidth="1"/>
    <col min="8717" max="8717" width="11.7109375" style="713" customWidth="1"/>
    <col min="8718" max="8718" width="10.140625" style="713" customWidth="1"/>
    <col min="8719" max="8719" width="15.85546875" style="713" customWidth="1"/>
    <col min="8720" max="8720" width="3.85546875" style="713" customWidth="1"/>
    <col min="8721" max="8721" width="16.42578125" style="713" customWidth="1"/>
    <col min="8722" max="8722" width="11.28515625" style="713" customWidth="1"/>
    <col min="8723" max="8723" width="10.28515625" style="713" customWidth="1"/>
    <col min="8724" max="8724" width="10" style="713" customWidth="1"/>
    <col min="8725" max="8960" width="9.140625" style="713"/>
    <col min="8961" max="8961" width="4" style="713" customWidth="1"/>
    <col min="8962" max="8962" width="15.140625" style="713" customWidth="1"/>
    <col min="8963" max="8963" width="13.85546875" style="713" customWidth="1"/>
    <col min="8964" max="8964" width="10.140625" style="713" customWidth="1"/>
    <col min="8965" max="8965" width="9.140625" style="713"/>
    <col min="8966" max="8966" width="3.42578125" style="713" customWidth="1"/>
    <col min="8967" max="8967" width="19.5703125" style="713" customWidth="1"/>
    <col min="8968" max="8968" width="12.28515625" style="713" customWidth="1"/>
    <col min="8969" max="8969" width="10.42578125" style="713" customWidth="1"/>
    <col min="8970" max="8970" width="9.140625" style="713"/>
    <col min="8971" max="8971" width="3.5703125" style="713" customWidth="1"/>
    <col min="8972" max="8972" width="16.42578125" style="713" customWidth="1"/>
    <col min="8973" max="8973" width="11.7109375" style="713" customWidth="1"/>
    <col min="8974" max="8974" width="10.140625" style="713" customWidth="1"/>
    <col min="8975" max="8975" width="15.85546875" style="713" customWidth="1"/>
    <col min="8976" max="8976" width="3.85546875" style="713" customWidth="1"/>
    <col min="8977" max="8977" width="16.42578125" style="713" customWidth="1"/>
    <col min="8978" max="8978" width="11.28515625" style="713" customWidth="1"/>
    <col min="8979" max="8979" width="10.28515625" style="713" customWidth="1"/>
    <col min="8980" max="8980" width="10" style="713" customWidth="1"/>
    <col min="8981" max="9216" width="9.140625" style="713"/>
    <col min="9217" max="9217" width="4" style="713" customWidth="1"/>
    <col min="9218" max="9218" width="15.140625" style="713" customWidth="1"/>
    <col min="9219" max="9219" width="13.85546875" style="713" customWidth="1"/>
    <col min="9220" max="9220" width="10.140625" style="713" customWidth="1"/>
    <col min="9221" max="9221" width="9.140625" style="713"/>
    <col min="9222" max="9222" width="3.42578125" style="713" customWidth="1"/>
    <col min="9223" max="9223" width="19.5703125" style="713" customWidth="1"/>
    <col min="9224" max="9224" width="12.28515625" style="713" customWidth="1"/>
    <col min="9225" max="9225" width="10.42578125" style="713" customWidth="1"/>
    <col min="9226" max="9226" width="9.140625" style="713"/>
    <col min="9227" max="9227" width="3.5703125" style="713" customWidth="1"/>
    <col min="9228" max="9228" width="16.42578125" style="713" customWidth="1"/>
    <col min="9229" max="9229" width="11.7109375" style="713" customWidth="1"/>
    <col min="9230" max="9230" width="10.140625" style="713" customWidth="1"/>
    <col min="9231" max="9231" width="15.85546875" style="713" customWidth="1"/>
    <col min="9232" max="9232" width="3.85546875" style="713" customWidth="1"/>
    <col min="9233" max="9233" width="16.42578125" style="713" customWidth="1"/>
    <col min="9234" max="9234" width="11.28515625" style="713" customWidth="1"/>
    <col min="9235" max="9235" width="10.28515625" style="713" customWidth="1"/>
    <col min="9236" max="9236" width="10" style="713" customWidth="1"/>
    <col min="9237" max="9472" width="9.140625" style="713"/>
    <col min="9473" max="9473" width="4" style="713" customWidth="1"/>
    <col min="9474" max="9474" width="15.140625" style="713" customWidth="1"/>
    <col min="9475" max="9475" width="13.85546875" style="713" customWidth="1"/>
    <col min="9476" max="9476" width="10.140625" style="713" customWidth="1"/>
    <col min="9477" max="9477" width="9.140625" style="713"/>
    <col min="9478" max="9478" width="3.42578125" style="713" customWidth="1"/>
    <col min="9479" max="9479" width="19.5703125" style="713" customWidth="1"/>
    <col min="9480" max="9480" width="12.28515625" style="713" customWidth="1"/>
    <col min="9481" max="9481" width="10.42578125" style="713" customWidth="1"/>
    <col min="9482" max="9482" width="9.140625" style="713"/>
    <col min="9483" max="9483" width="3.5703125" style="713" customWidth="1"/>
    <col min="9484" max="9484" width="16.42578125" style="713" customWidth="1"/>
    <col min="9485" max="9485" width="11.7109375" style="713" customWidth="1"/>
    <col min="9486" max="9486" width="10.140625" style="713" customWidth="1"/>
    <col min="9487" max="9487" width="15.85546875" style="713" customWidth="1"/>
    <col min="9488" max="9488" width="3.85546875" style="713" customWidth="1"/>
    <col min="9489" max="9489" width="16.42578125" style="713" customWidth="1"/>
    <col min="9490" max="9490" width="11.28515625" style="713" customWidth="1"/>
    <col min="9491" max="9491" width="10.28515625" style="713" customWidth="1"/>
    <col min="9492" max="9492" width="10" style="713" customWidth="1"/>
    <col min="9493" max="9728" width="9.140625" style="713"/>
    <col min="9729" max="9729" width="4" style="713" customWidth="1"/>
    <col min="9730" max="9730" width="15.140625" style="713" customWidth="1"/>
    <col min="9731" max="9731" width="13.85546875" style="713" customWidth="1"/>
    <col min="9732" max="9732" width="10.140625" style="713" customWidth="1"/>
    <col min="9733" max="9733" width="9.140625" style="713"/>
    <col min="9734" max="9734" width="3.42578125" style="713" customWidth="1"/>
    <col min="9735" max="9735" width="19.5703125" style="713" customWidth="1"/>
    <col min="9736" max="9736" width="12.28515625" style="713" customWidth="1"/>
    <col min="9737" max="9737" width="10.42578125" style="713" customWidth="1"/>
    <col min="9738" max="9738" width="9.140625" style="713"/>
    <col min="9739" max="9739" width="3.5703125" style="713" customWidth="1"/>
    <col min="9740" max="9740" width="16.42578125" style="713" customWidth="1"/>
    <col min="9741" max="9741" width="11.7109375" style="713" customWidth="1"/>
    <col min="9742" max="9742" width="10.140625" style="713" customWidth="1"/>
    <col min="9743" max="9743" width="15.85546875" style="713" customWidth="1"/>
    <col min="9744" max="9744" width="3.85546875" style="713" customWidth="1"/>
    <col min="9745" max="9745" width="16.42578125" style="713" customWidth="1"/>
    <col min="9746" max="9746" width="11.28515625" style="713" customWidth="1"/>
    <col min="9747" max="9747" width="10.28515625" style="713" customWidth="1"/>
    <col min="9748" max="9748" width="10" style="713" customWidth="1"/>
    <col min="9749" max="9984" width="9.140625" style="713"/>
    <col min="9985" max="9985" width="4" style="713" customWidth="1"/>
    <col min="9986" max="9986" width="15.140625" style="713" customWidth="1"/>
    <col min="9987" max="9987" width="13.85546875" style="713" customWidth="1"/>
    <col min="9988" max="9988" width="10.140625" style="713" customWidth="1"/>
    <col min="9989" max="9989" width="9.140625" style="713"/>
    <col min="9990" max="9990" width="3.42578125" style="713" customWidth="1"/>
    <col min="9991" max="9991" width="19.5703125" style="713" customWidth="1"/>
    <col min="9992" max="9992" width="12.28515625" style="713" customWidth="1"/>
    <col min="9993" max="9993" width="10.42578125" style="713" customWidth="1"/>
    <col min="9994" max="9994" width="9.140625" style="713"/>
    <col min="9995" max="9995" width="3.5703125" style="713" customWidth="1"/>
    <col min="9996" max="9996" width="16.42578125" style="713" customWidth="1"/>
    <col min="9997" max="9997" width="11.7109375" style="713" customWidth="1"/>
    <col min="9998" max="9998" width="10.140625" style="713" customWidth="1"/>
    <col min="9999" max="9999" width="15.85546875" style="713" customWidth="1"/>
    <col min="10000" max="10000" width="3.85546875" style="713" customWidth="1"/>
    <col min="10001" max="10001" width="16.42578125" style="713" customWidth="1"/>
    <col min="10002" max="10002" width="11.28515625" style="713" customWidth="1"/>
    <col min="10003" max="10003" width="10.28515625" style="713" customWidth="1"/>
    <col min="10004" max="10004" width="10" style="713" customWidth="1"/>
    <col min="10005" max="10240" width="9.140625" style="713"/>
    <col min="10241" max="10241" width="4" style="713" customWidth="1"/>
    <col min="10242" max="10242" width="15.140625" style="713" customWidth="1"/>
    <col min="10243" max="10243" width="13.85546875" style="713" customWidth="1"/>
    <col min="10244" max="10244" width="10.140625" style="713" customWidth="1"/>
    <col min="10245" max="10245" width="9.140625" style="713"/>
    <col min="10246" max="10246" width="3.42578125" style="713" customWidth="1"/>
    <col min="10247" max="10247" width="19.5703125" style="713" customWidth="1"/>
    <col min="10248" max="10248" width="12.28515625" style="713" customWidth="1"/>
    <col min="10249" max="10249" width="10.42578125" style="713" customWidth="1"/>
    <col min="10250" max="10250" width="9.140625" style="713"/>
    <col min="10251" max="10251" width="3.5703125" style="713" customWidth="1"/>
    <col min="10252" max="10252" width="16.42578125" style="713" customWidth="1"/>
    <col min="10253" max="10253" width="11.7109375" style="713" customWidth="1"/>
    <col min="10254" max="10254" width="10.140625" style="713" customWidth="1"/>
    <col min="10255" max="10255" width="15.85546875" style="713" customWidth="1"/>
    <col min="10256" max="10256" width="3.85546875" style="713" customWidth="1"/>
    <col min="10257" max="10257" width="16.42578125" style="713" customWidth="1"/>
    <col min="10258" max="10258" width="11.28515625" style="713" customWidth="1"/>
    <col min="10259" max="10259" width="10.28515625" style="713" customWidth="1"/>
    <col min="10260" max="10260" width="10" style="713" customWidth="1"/>
    <col min="10261" max="10496" width="9.140625" style="713"/>
    <col min="10497" max="10497" width="4" style="713" customWidth="1"/>
    <col min="10498" max="10498" width="15.140625" style="713" customWidth="1"/>
    <col min="10499" max="10499" width="13.85546875" style="713" customWidth="1"/>
    <col min="10500" max="10500" width="10.140625" style="713" customWidth="1"/>
    <col min="10501" max="10501" width="9.140625" style="713"/>
    <col min="10502" max="10502" width="3.42578125" style="713" customWidth="1"/>
    <col min="10503" max="10503" width="19.5703125" style="713" customWidth="1"/>
    <col min="10504" max="10504" width="12.28515625" style="713" customWidth="1"/>
    <col min="10505" max="10505" width="10.42578125" style="713" customWidth="1"/>
    <col min="10506" max="10506" width="9.140625" style="713"/>
    <col min="10507" max="10507" width="3.5703125" style="713" customWidth="1"/>
    <col min="10508" max="10508" width="16.42578125" style="713" customWidth="1"/>
    <col min="10509" max="10509" width="11.7109375" style="713" customWidth="1"/>
    <col min="10510" max="10510" width="10.140625" style="713" customWidth="1"/>
    <col min="10511" max="10511" width="15.85546875" style="713" customWidth="1"/>
    <col min="10512" max="10512" width="3.85546875" style="713" customWidth="1"/>
    <col min="10513" max="10513" width="16.42578125" style="713" customWidth="1"/>
    <col min="10514" max="10514" width="11.28515625" style="713" customWidth="1"/>
    <col min="10515" max="10515" width="10.28515625" style="713" customWidth="1"/>
    <col min="10516" max="10516" width="10" style="713" customWidth="1"/>
    <col min="10517" max="10752" width="9.140625" style="713"/>
    <col min="10753" max="10753" width="4" style="713" customWidth="1"/>
    <col min="10754" max="10754" width="15.140625" style="713" customWidth="1"/>
    <col min="10755" max="10755" width="13.85546875" style="713" customWidth="1"/>
    <col min="10756" max="10756" width="10.140625" style="713" customWidth="1"/>
    <col min="10757" max="10757" width="9.140625" style="713"/>
    <col min="10758" max="10758" width="3.42578125" style="713" customWidth="1"/>
    <col min="10759" max="10759" width="19.5703125" style="713" customWidth="1"/>
    <col min="10760" max="10760" width="12.28515625" style="713" customWidth="1"/>
    <col min="10761" max="10761" width="10.42578125" style="713" customWidth="1"/>
    <col min="10762" max="10762" width="9.140625" style="713"/>
    <col min="10763" max="10763" width="3.5703125" style="713" customWidth="1"/>
    <col min="10764" max="10764" width="16.42578125" style="713" customWidth="1"/>
    <col min="10765" max="10765" width="11.7109375" style="713" customWidth="1"/>
    <col min="10766" max="10766" width="10.140625" style="713" customWidth="1"/>
    <col min="10767" max="10767" width="15.85546875" style="713" customWidth="1"/>
    <col min="10768" max="10768" width="3.85546875" style="713" customWidth="1"/>
    <col min="10769" max="10769" width="16.42578125" style="713" customWidth="1"/>
    <col min="10770" max="10770" width="11.28515625" style="713" customWidth="1"/>
    <col min="10771" max="10771" width="10.28515625" style="713" customWidth="1"/>
    <col min="10772" max="10772" width="10" style="713" customWidth="1"/>
    <col min="10773" max="11008" width="9.140625" style="713"/>
    <col min="11009" max="11009" width="4" style="713" customWidth="1"/>
    <col min="11010" max="11010" width="15.140625" style="713" customWidth="1"/>
    <col min="11011" max="11011" width="13.85546875" style="713" customWidth="1"/>
    <col min="11012" max="11012" width="10.140625" style="713" customWidth="1"/>
    <col min="11013" max="11013" width="9.140625" style="713"/>
    <col min="11014" max="11014" width="3.42578125" style="713" customWidth="1"/>
    <col min="11015" max="11015" width="19.5703125" style="713" customWidth="1"/>
    <col min="11016" max="11016" width="12.28515625" style="713" customWidth="1"/>
    <col min="11017" max="11017" width="10.42578125" style="713" customWidth="1"/>
    <col min="11018" max="11018" width="9.140625" style="713"/>
    <col min="11019" max="11019" width="3.5703125" style="713" customWidth="1"/>
    <col min="11020" max="11020" width="16.42578125" style="713" customWidth="1"/>
    <col min="11021" max="11021" width="11.7109375" style="713" customWidth="1"/>
    <col min="11022" max="11022" width="10.140625" style="713" customWidth="1"/>
    <col min="11023" max="11023" width="15.85546875" style="713" customWidth="1"/>
    <col min="11024" max="11024" width="3.85546875" style="713" customWidth="1"/>
    <col min="11025" max="11025" width="16.42578125" style="713" customWidth="1"/>
    <col min="11026" max="11026" width="11.28515625" style="713" customWidth="1"/>
    <col min="11027" max="11027" width="10.28515625" style="713" customWidth="1"/>
    <col min="11028" max="11028" width="10" style="713" customWidth="1"/>
    <col min="11029" max="11264" width="9.140625" style="713"/>
    <col min="11265" max="11265" width="4" style="713" customWidth="1"/>
    <col min="11266" max="11266" width="15.140625" style="713" customWidth="1"/>
    <col min="11267" max="11267" width="13.85546875" style="713" customWidth="1"/>
    <col min="11268" max="11268" width="10.140625" style="713" customWidth="1"/>
    <col min="11269" max="11269" width="9.140625" style="713"/>
    <col min="11270" max="11270" width="3.42578125" style="713" customWidth="1"/>
    <col min="11271" max="11271" width="19.5703125" style="713" customWidth="1"/>
    <col min="11272" max="11272" width="12.28515625" style="713" customWidth="1"/>
    <col min="11273" max="11273" width="10.42578125" style="713" customWidth="1"/>
    <col min="11274" max="11274" width="9.140625" style="713"/>
    <col min="11275" max="11275" width="3.5703125" style="713" customWidth="1"/>
    <col min="11276" max="11276" width="16.42578125" style="713" customWidth="1"/>
    <col min="11277" max="11277" width="11.7109375" style="713" customWidth="1"/>
    <col min="11278" max="11278" width="10.140625" style="713" customWidth="1"/>
    <col min="11279" max="11279" width="15.85546875" style="713" customWidth="1"/>
    <col min="11280" max="11280" width="3.85546875" style="713" customWidth="1"/>
    <col min="11281" max="11281" width="16.42578125" style="713" customWidth="1"/>
    <col min="11282" max="11282" width="11.28515625" style="713" customWidth="1"/>
    <col min="11283" max="11283" width="10.28515625" style="713" customWidth="1"/>
    <col min="11284" max="11284" width="10" style="713" customWidth="1"/>
    <col min="11285" max="11520" width="9.140625" style="713"/>
    <col min="11521" max="11521" width="4" style="713" customWidth="1"/>
    <col min="11522" max="11522" width="15.140625" style="713" customWidth="1"/>
    <col min="11523" max="11523" width="13.85546875" style="713" customWidth="1"/>
    <col min="11524" max="11524" width="10.140625" style="713" customWidth="1"/>
    <col min="11525" max="11525" width="9.140625" style="713"/>
    <col min="11526" max="11526" width="3.42578125" style="713" customWidth="1"/>
    <col min="11527" max="11527" width="19.5703125" style="713" customWidth="1"/>
    <col min="11528" max="11528" width="12.28515625" style="713" customWidth="1"/>
    <col min="11529" max="11529" width="10.42578125" style="713" customWidth="1"/>
    <col min="11530" max="11530" width="9.140625" style="713"/>
    <col min="11531" max="11531" width="3.5703125" style="713" customWidth="1"/>
    <col min="11532" max="11532" width="16.42578125" style="713" customWidth="1"/>
    <col min="11533" max="11533" width="11.7109375" style="713" customWidth="1"/>
    <col min="11534" max="11534" width="10.140625" style="713" customWidth="1"/>
    <col min="11535" max="11535" width="15.85546875" style="713" customWidth="1"/>
    <col min="11536" max="11536" width="3.85546875" style="713" customWidth="1"/>
    <col min="11537" max="11537" width="16.42578125" style="713" customWidth="1"/>
    <col min="11538" max="11538" width="11.28515625" style="713" customWidth="1"/>
    <col min="11539" max="11539" width="10.28515625" style="713" customWidth="1"/>
    <col min="11540" max="11540" width="10" style="713" customWidth="1"/>
    <col min="11541" max="11776" width="9.140625" style="713"/>
    <col min="11777" max="11777" width="4" style="713" customWidth="1"/>
    <col min="11778" max="11778" width="15.140625" style="713" customWidth="1"/>
    <col min="11779" max="11779" width="13.85546875" style="713" customWidth="1"/>
    <col min="11780" max="11780" width="10.140625" style="713" customWidth="1"/>
    <col min="11781" max="11781" width="9.140625" style="713"/>
    <col min="11782" max="11782" width="3.42578125" style="713" customWidth="1"/>
    <col min="11783" max="11783" width="19.5703125" style="713" customWidth="1"/>
    <col min="11784" max="11784" width="12.28515625" style="713" customWidth="1"/>
    <col min="11785" max="11785" width="10.42578125" style="713" customWidth="1"/>
    <col min="11786" max="11786" width="9.140625" style="713"/>
    <col min="11787" max="11787" width="3.5703125" style="713" customWidth="1"/>
    <col min="11788" max="11788" width="16.42578125" style="713" customWidth="1"/>
    <col min="11789" max="11789" width="11.7109375" style="713" customWidth="1"/>
    <col min="11790" max="11790" width="10.140625" style="713" customWidth="1"/>
    <col min="11791" max="11791" width="15.85546875" style="713" customWidth="1"/>
    <col min="11792" max="11792" width="3.85546875" style="713" customWidth="1"/>
    <col min="11793" max="11793" width="16.42578125" style="713" customWidth="1"/>
    <col min="11794" max="11794" width="11.28515625" style="713" customWidth="1"/>
    <col min="11795" max="11795" width="10.28515625" style="713" customWidth="1"/>
    <col min="11796" max="11796" width="10" style="713" customWidth="1"/>
    <col min="11797" max="12032" width="9.140625" style="713"/>
    <col min="12033" max="12033" width="4" style="713" customWidth="1"/>
    <col min="12034" max="12034" width="15.140625" style="713" customWidth="1"/>
    <col min="12035" max="12035" width="13.85546875" style="713" customWidth="1"/>
    <col min="12036" max="12036" width="10.140625" style="713" customWidth="1"/>
    <col min="12037" max="12037" width="9.140625" style="713"/>
    <col min="12038" max="12038" width="3.42578125" style="713" customWidth="1"/>
    <col min="12039" max="12039" width="19.5703125" style="713" customWidth="1"/>
    <col min="12040" max="12040" width="12.28515625" style="713" customWidth="1"/>
    <col min="12041" max="12041" width="10.42578125" style="713" customWidth="1"/>
    <col min="12042" max="12042" width="9.140625" style="713"/>
    <col min="12043" max="12043" width="3.5703125" style="713" customWidth="1"/>
    <col min="12044" max="12044" width="16.42578125" style="713" customWidth="1"/>
    <col min="12045" max="12045" width="11.7109375" style="713" customWidth="1"/>
    <col min="12046" max="12046" width="10.140625" style="713" customWidth="1"/>
    <col min="12047" max="12047" width="15.85546875" style="713" customWidth="1"/>
    <col min="12048" max="12048" width="3.85546875" style="713" customWidth="1"/>
    <col min="12049" max="12049" width="16.42578125" style="713" customWidth="1"/>
    <col min="12050" max="12050" width="11.28515625" style="713" customWidth="1"/>
    <col min="12051" max="12051" width="10.28515625" style="713" customWidth="1"/>
    <col min="12052" max="12052" width="10" style="713" customWidth="1"/>
    <col min="12053" max="12288" width="9.140625" style="713"/>
    <col min="12289" max="12289" width="4" style="713" customWidth="1"/>
    <col min="12290" max="12290" width="15.140625" style="713" customWidth="1"/>
    <col min="12291" max="12291" width="13.85546875" style="713" customWidth="1"/>
    <col min="12292" max="12292" width="10.140625" style="713" customWidth="1"/>
    <col min="12293" max="12293" width="9.140625" style="713"/>
    <col min="12294" max="12294" width="3.42578125" style="713" customWidth="1"/>
    <col min="12295" max="12295" width="19.5703125" style="713" customWidth="1"/>
    <col min="12296" max="12296" width="12.28515625" style="713" customWidth="1"/>
    <col min="12297" max="12297" width="10.42578125" style="713" customWidth="1"/>
    <col min="12298" max="12298" width="9.140625" style="713"/>
    <col min="12299" max="12299" width="3.5703125" style="713" customWidth="1"/>
    <col min="12300" max="12300" width="16.42578125" style="713" customWidth="1"/>
    <col min="12301" max="12301" width="11.7109375" style="713" customWidth="1"/>
    <col min="12302" max="12302" width="10.140625" style="713" customWidth="1"/>
    <col min="12303" max="12303" width="15.85546875" style="713" customWidth="1"/>
    <col min="12304" max="12304" width="3.85546875" style="713" customWidth="1"/>
    <col min="12305" max="12305" width="16.42578125" style="713" customWidth="1"/>
    <col min="12306" max="12306" width="11.28515625" style="713" customWidth="1"/>
    <col min="12307" max="12307" width="10.28515625" style="713" customWidth="1"/>
    <col min="12308" max="12308" width="10" style="713" customWidth="1"/>
    <col min="12309" max="12544" width="9.140625" style="713"/>
    <col min="12545" max="12545" width="4" style="713" customWidth="1"/>
    <col min="12546" max="12546" width="15.140625" style="713" customWidth="1"/>
    <col min="12547" max="12547" width="13.85546875" style="713" customWidth="1"/>
    <col min="12548" max="12548" width="10.140625" style="713" customWidth="1"/>
    <col min="12549" max="12549" width="9.140625" style="713"/>
    <col min="12550" max="12550" width="3.42578125" style="713" customWidth="1"/>
    <col min="12551" max="12551" width="19.5703125" style="713" customWidth="1"/>
    <col min="12552" max="12552" width="12.28515625" style="713" customWidth="1"/>
    <col min="12553" max="12553" width="10.42578125" style="713" customWidth="1"/>
    <col min="12554" max="12554" width="9.140625" style="713"/>
    <col min="12555" max="12555" width="3.5703125" style="713" customWidth="1"/>
    <col min="12556" max="12556" width="16.42578125" style="713" customWidth="1"/>
    <col min="12557" max="12557" width="11.7109375" style="713" customWidth="1"/>
    <col min="12558" max="12558" width="10.140625" style="713" customWidth="1"/>
    <col min="12559" max="12559" width="15.85546875" style="713" customWidth="1"/>
    <col min="12560" max="12560" width="3.85546875" style="713" customWidth="1"/>
    <col min="12561" max="12561" width="16.42578125" style="713" customWidth="1"/>
    <col min="12562" max="12562" width="11.28515625" style="713" customWidth="1"/>
    <col min="12563" max="12563" width="10.28515625" style="713" customWidth="1"/>
    <col min="12564" max="12564" width="10" style="713" customWidth="1"/>
    <col min="12565" max="12800" width="9.140625" style="713"/>
    <col min="12801" max="12801" width="4" style="713" customWidth="1"/>
    <col min="12802" max="12802" width="15.140625" style="713" customWidth="1"/>
    <col min="12803" max="12803" width="13.85546875" style="713" customWidth="1"/>
    <col min="12804" max="12804" width="10.140625" style="713" customWidth="1"/>
    <col min="12805" max="12805" width="9.140625" style="713"/>
    <col min="12806" max="12806" width="3.42578125" style="713" customWidth="1"/>
    <col min="12807" max="12807" width="19.5703125" style="713" customWidth="1"/>
    <col min="12808" max="12808" width="12.28515625" style="713" customWidth="1"/>
    <col min="12809" max="12809" width="10.42578125" style="713" customWidth="1"/>
    <col min="12810" max="12810" width="9.140625" style="713"/>
    <col min="12811" max="12811" width="3.5703125" style="713" customWidth="1"/>
    <col min="12812" max="12812" width="16.42578125" style="713" customWidth="1"/>
    <col min="12813" max="12813" width="11.7109375" style="713" customWidth="1"/>
    <col min="12814" max="12814" width="10.140625" style="713" customWidth="1"/>
    <col min="12815" max="12815" width="15.85546875" style="713" customWidth="1"/>
    <col min="12816" max="12816" width="3.85546875" style="713" customWidth="1"/>
    <col min="12817" max="12817" width="16.42578125" style="713" customWidth="1"/>
    <col min="12818" max="12818" width="11.28515625" style="713" customWidth="1"/>
    <col min="12819" max="12819" width="10.28515625" style="713" customWidth="1"/>
    <col min="12820" max="12820" width="10" style="713" customWidth="1"/>
    <col min="12821" max="13056" width="9.140625" style="713"/>
    <col min="13057" max="13057" width="4" style="713" customWidth="1"/>
    <col min="13058" max="13058" width="15.140625" style="713" customWidth="1"/>
    <col min="13059" max="13059" width="13.85546875" style="713" customWidth="1"/>
    <col min="13060" max="13060" width="10.140625" style="713" customWidth="1"/>
    <col min="13061" max="13061" width="9.140625" style="713"/>
    <col min="13062" max="13062" width="3.42578125" style="713" customWidth="1"/>
    <col min="13063" max="13063" width="19.5703125" style="713" customWidth="1"/>
    <col min="13064" max="13064" width="12.28515625" style="713" customWidth="1"/>
    <col min="13065" max="13065" width="10.42578125" style="713" customWidth="1"/>
    <col min="13066" max="13066" width="9.140625" style="713"/>
    <col min="13067" max="13067" width="3.5703125" style="713" customWidth="1"/>
    <col min="13068" max="13068" width="16.42578125" style="713" customWidth="1"/>
    <col min="13069" max="13069" width="11.7109375" style="713" customWidth="1"/>
    <col min="13070" max="13070" width="10.140625" style="713" customWidth="1"/>
    <col min="13071" max="13071" width="15.85546875" style="713" customWidth="1"/>
    <col min="13072" max="13072" width="3.85546875" style="713" customWidth="1"/>
    <col min="13073" max="13073" width="16.42578125" style="713" customWidth="1"/>
    <col min="13074" max="13074" width="11.28515625" style="713" customWidth="1"/>
    <col min="13075" max="13075" width="10.28515625" style="713" customWidth="1"/>
    <col min="13076" max="13076" width="10" style="713" customWidth="1"/>
    <col min="13077" max="13312" width="9.140625" style="713"/>
    <col min="13313" max="13313" width="4" style="713" customWidth="1"/>
    <col min="13314" max="13314" width="15.140625" style="713" customWidth="1"/>
    <col min="13315" max="13315" width="13.85546875" style="713" customWidth="1"/>
    <col min="13316" max="13316" width="10.140625" style="713" customWidth="1"/>
    <col min="13317" max="13317" width="9.140625" style="713"/>
    <col min="13318" max="13318" width="3.42578125" style="713" customWidth="1"/>
    <col min="13319" max="13319" width="19.5703125" style="713" customWidth="1"/>
    <col min="13320" max="13320" width="12.28515625" style="713" customWidth="1"/>
    <col min="13321" max="13321" width="10.42578125" style="713" customWidth="1"/>
    <col min="13322" max="13322" width="9.140625" style="713"/>
    <col min="13323" max="13323" width="3.5703125" style="713" customWidth="1"/>
    <col min="13324" max="13324" width="16.42578125" style="713" customWidth="1"/>
    <col min="13325" max="13325" width="11.7109375" style="713" customWidth="1"/>
    <col min="13326" max="13326" width="10.140625" style="713" customWidth="1"/>
    <col min="13327" max="13327" width="15.85546875" style="713" customWidth="1"/>
    <col min="13328" max="13328" width="3.85546875" style="713" customWidth="1"/>
    <col min="13329" max="13329" width="16.42578125" style="713" customWidth="1"/>
    <col min="13330" max="13330" width="11.28515625" style="713" customWidth="1"/>
    <col min="13331" max="13331" width="10.28515625" style="713" customWidth="1"/>
    <col min="13332" max="13332" width="10" style="713" customWidth="1"/>
    <col min="13333" max="13568" width="9.140625" style="713"/>
    <col min="13569" max="13569" width="4" style="713" customWidth="1"/>
    <col min="13570" max="13570" width="15.140625" style="713" customWidth="1"/>
    <col min="13571" max="13571" width="13.85546875" style="713" customWidth="1"/>
    <col min="13572" max="13572" width="10.140625" style="713" customWidth="1"/>
    <col min="13573" max="13573" width="9.140625" style="713"/>
    <col min="13574" max="13574" width="3.42578125" style="713" customWidth="1"/>
    <col min="13575" max="13575" width="19.5703125" style="713" customWidth="1"/>
    <col min="13576" max="13576" width="12.28515625" style="713" customWidth="1"/>
    <col min="13577" max="13577" width="10.42578125" style="713" customWidth="1"/>
    <col min="13578" max="13578" width="9.140625" style="713"/>
    <col min="13579" max="13579" width="3.5703125" style="713" customWidth="1"/>
    <col min="13580" max="13580" width="16.42578125" style="713" customWidth="1"/>
    <col min="13581" max="13581" width="11.7109375" style="713" customWidth="1"/>
    <col min="13582" max="13582" width="10.140625" style="713" customWidth="1"/>
    <col min="13583" max="13583" width="15.85546875" style="713" customWidth="1"/>
    <col min="13584" max="13584" width="3.85546875" style="713" customWidth="1"/>
    <col min="13585" max="13585" width="16.42578125" style="713" customWidth="1"/>
    <col min="13586" max="13586" width="11.28515625" style="713" customWidth="1"/>
    <col min="13587" max="13587" width="10.28515625" style="713" customWidth="1"/>
    <col min="13588" max="13588" width="10" style="713" customWidth="1"/>
    <col min="13589" max="13824" width="9.140625" style="713"/>
    <col min="13825" max="13825" width="4" style="713" customWidth="1"/>
    <col min="13826" max="13826" width="15.140625" style="713" customWidth="1"/>
    <col min="13827" max="13827" width="13.85546875" style="713" customWidth="1"/>
    <col min="13828" max="13828" width="10.140625" style="713" customWidth="1"/>
    <col min="13829" max="13829" width="9.140625" style="713"/>
    <col min="13830" max="13830" width="3.42578125" style="713" customWidth="1"/>
    <col min="13831" max="13831" width="19.5703125" style="713" customWidth="1"/>
    <col min="13832" max="13832" width="12.28515625" style="713" customWidth="1"/>
    <col min="13833" max="13833" width="10.42578125" style="713" customWidth="1"/>
    <col min="13834" max="13834" width="9.140625" style="713"/>
    <col min="13835" max="13835" width="3.5703125" style="713" customWidth="1"/>
    <col min="13836" max="13836" width="16.42578125" style="713" customWidth="1"/>
    <col min="13837" max="13837" width="11.7109375" style="713" customWidth="1"/>
    <col min="13838" max="13838" width="10.140625" style="713" customWidth="1"/>
    <col min="13839" max="13839" width="15.85546875" style="713" customWidth="1"/>
    <col min="13840" max="13840" width="3.85546875" style="713" customWidth="1"/>
    <col min="13841" max="13841" width="16.42578125" style="713" customWidth="1"/>
    <col min="13842" max="13842" width="11.28515625" style="713" customWidth="1"/>
    <col min="13843" max="13843" width="10.28515625" style="713" customWidth="1"/>
    <col min="13844" max="13844" width="10" style="713" customWidth="1"/>
    <col min="13845" max="14080" width="9.140625" style="713"/>
    <col min="14081" max="14081" width="4" style="713" customWidth="1"/>
    <col min="14082" max="14082" width="15.140625" style="713" customWidth="1"/>
    <col min="14083" max="14083" width="13.85546875" style="713" customWidth="1"/>
    <col min="14084" max="14084" width="10.140625" style="713" customWidth="1"/>
    <col min="14085" max="14085" width="9.140625" style="713"/>
    <col min="14086" max="14086" width="3.42578125" style="713" customWidth="1"/>
    <col min="14087" max="14087" width="19.5703125" style="713" customWidth="1"/>
    <col min="14088" max="14088" width="12.28515625" style="713" customWidth="1"/>
    <col min="14089" max="14089" width="10.42578125" style="713" customWidth="1"/>
    <col min="14090" max="14090" width="9.140625" style="713"/>
    <col min="14091" max="14091" width="3.5703125" style="713" customWidth="1"/>
    <col min="14092" max="14092" width="16.42578125" style="713" customWidth="1"/>
    <col min="14093" max="14093" width="11.7109375" style="713" customWidth="1"/>
    <col min="14094" max="14094" width="10.140625" style="713" customWidth="1"/>
    <col min="14095" max="14095" width="15.85546875" style="713" customWidth="1"/>
    <col min="14096" max="14096" width="3.85546875" style="713" customWidth="1"/>
    <col min="14097" max="14097" width="16.42578125" style="713" customWidth="1"/>
    <col min="14098" max="14098" width="11.28515625" style="713" customWidth="1"/>
    <col min="14099" max="14099" width="10.28515625" style="713" customWidth="1"/>
    <col min="14100" max="14100" width="10" style="713" customWidth="1"/>
    <col min="14101" max="14336" width="9.140625" style="713"/>
    <col min="14337" max="14337" width="4" style="713" customWidth="1"/>
    <col min="14338" max="14338" width="15.140625" style="713" customWidth="1"/>
    <col min="14339" max="14339" width="13.85546875" style="713" customWidth="1"/>
    <col min="14340" max="14340" width="10.140625" style="713" customWidth="1"/>
    <col min="14341" max="14341" width="9.140625" style="713"/>
    <col min="14342" max="14342" width="3.42578125" style="713" customWidth="1"/>
    <col min="14343" max="14343" width="19.5703125" style="713" customWidth="1"/>
    <col min="14344" max="14344" width="12.28515625" style="713" customWidth="1"/>
    <col min="14345" max="14345" width="10.42578125" style="713" customWidth="1"/>
    <col min="14346" max="14346" width="9.140625" style="713"/>
    <col min="14347" max="14347" width="3.5703125" style="713" customWidth="1"/>
    <col min="14348" max="14348" width="16.42578125" style="713" customWidth="1"/>
    <col min="14349" max="14349" width="11.7109375" style="713" customWidth="1"/>
    <col min="14350" max="14350" width="10.140625" style="713" customWidth="1"/>
    <col min="14351" max="14351" width="15.85546875" style="713" customWidth="1"/>
    <col min="14352" max="14352" width="3.85546875" style="713" customWidth="1"/>
    <col min="14353" max="14353" width="16.42578125" style="713" customWidth="1"/>
    <col min="14354" max="14354" width="11.28515625" style="713" customWidth="1"/>
    <col min="14355" max="14355" width="10.28515625" style="713" customWidth="1"/>
    <col min="14356" max="14356" width="10" style="713" customWidth="1"/>
    <col min="14357" max="14592" width="9.140625" style="713"/>
    <col min="14593" max="14593" width="4" style="713" customWidth="1"/>
    <col min="14594" max="14594" width="15.140625" style="713" customWidth="1"/>
    <col min="14595" max="14595" width="13.85546875" style="713" customWidth="1"/>
    <col min="14596" max="14596" width="10.140625" style="713" customWidth="1"/>
    <col min="14597" max="14597" width="9.140625" style="713"/>
    <col min="14598" max="14598" width="3.42578125" style="713" customWidth="1"/>
    <col min="14599" max="14599" width="19.5703125" style="713" customWidth="1"/>
    <col min="14600" max="14600" width="12.28515625" style="713" customWidth="1"/>
    <col min="14601" max="14601" width="10.42578125" style="713" customWidth="1"/>
    <col min="14602" max="14602" width="9.140625" style="713"/>
    <col min="14603" max="14603" width="3.5703125" style="713" customWidth="1"/>
    <col min="14604" max="14604" width="16.42578125" style="713" customWidth="1"/>
    <col min="14605" max="14605" width="11.7109375" style="713" customWidth="1"/>
    <col min="14606" max="14606" width="10.140625" style="713" customWidth="1"/>
    <col min="14607" max="14607" width="15.85546875" style="713" customWidth="1"/>
    <col min="14608" max="14608" width="3.85546875" style="713" customWidth="1"/>
    <col min="14609" max="14609" width="16.42578125" style="713" customWidth="1"/>
    <col min="14610" max="14610" width="11.28515625" style="713" customWidth="1"/>
    <col min="14611" max="14611" width="10.28515625" style="713" customWidth="1"/>
    <col min="14612" max="14612" width="10" style="713" customWidth="1"/>
    <col min="14613" max="14848" width="9.140625" style="713"/>
    <col min="14849" max="14849" width="4" style="713" customWidth="1"/>
    <col min="14850" max="14850" width="15.140625" style="713" customWidth="1"/>
    <col min="14851" max="14851" width="13.85546875" style="713" customWidth="1"/>
    <col min="14852" max="14852" width="10.140625" style="713" customWidth="1"/>
    <col min="14853" max="14853" width="9.140625" style="713"/>
    <col min="14854" max="14854" width="3.42578125" style="713" customWidth="1"/>
    <col min="14855" max="14855" width="19.5703125" style="713" customWidth="1"/>
    <col min="14856" max="14856" width="12.28515625" style="713" customWidth="1"/>
    <col min="14857" max="14857" width="10.42578125" style="713" customWidth="1"/>
    <col min="14858" max="14858" width="9.140625" style="713"/>
    <col min="14859" max="14859" width="3.5703125" style="713" customWidth="1"/>
    <col min="14860" max="14860" width="16.42578125" style="713" customWidth="1"/>
    <col min="14861" max="14861" width="11.7109375" style="713" customWidth="1"/>
    <col min="14862" max="14862" width="10.140625" style="713" customWidth="1"/>
    <col min="14863" max="14863" width="15.85546875" style="713" customWidth="1"/>
    <col min="14864" max="14864" width="3.85546875" style="713" customWidth="1"/>
    <col min="14865" max="14865" width="16.42578125" style="713" customWidth="1"/>
    <col min="14866" max="14866" width="11.28515625" style="713" customWidth="1"/>
    <col min="14867" max="14867" width="10.28515625" style="713" customWidth="1"/>
    <col min="14868" max="14868" width="10" style="713" customWidth="1"/>
    <col min="14869" max="15104" width="9.140625" style="713"/>
    <col min="15105" max="15105" width="4" style="713" customWidth="1"/>
    <col min="15106" max="15106" width="15.140625" style="713" customWidth="1"/>
    <col min="15107" max="15107" width="13.85546875" style="713" customWidth="1"/>
    <col min="15108" max="15108" width="10.140625" style="713" customWidth="1"/>
    <col min="15109" max="15109" width="9.140625" style="713"/>
    <col min="15110" max="15110" width="3.42578125" style="713" customWidth="1"/>
    <col min="15111" max="15111" width="19.5703125" style="713" customWidth="1"/>
    <col min="15112" max="15112" width="12.28515625" style="713" customWidth="1"/>
    <col min="15113" max="15113" width="10.42578125" style="713" customWidth="1"/>
    <col min="15114" max="15114" width="9.140625" style="713"/>
    <col min="15115" max="15115" width="3.5703125" style="713" customWidth="1"/>
    <col min="15116" max="15116" width="16.42578125" style="713" customWidth="1"/>
    <col min="15117" max="15117" width="11.7109375" style="713" customWidth="1"/>
    <col min="15118" max="15118" width="10.140625" style="713" customWidth="1"/>
    <col min="15119" max="15119" width="15.85546875" style="713" customWidth="1"/>
    <col min="15120" max="15120" width="3.85546875" style="713" customWidth="1"/>
    <col min="15121" max="15121" width="16.42578125" style="713" customWidth="1"/>
    <col min="15122" max="15122" width="11.28515625" style="713" customWidth="1"/>
    <col min="15123" max="15123" width="10.28515625" style="713" customWidth="1"/>
    <col min="15124" max="15124" width="10" style="713" customWidth="1"/>
    <col min="15125" max="15360" width="9.140625" style="713"/>
    <col min="15361" max="15361" width="4" style="713" customWidth="1"/>
    <col min="15362" max="15362" width="15.140625" style="713" customWidth="1"/>
    <col min="15363" max="15363" width="13.85546875" style="713" customWidth="1"/>
    <col min="15364" max="15364" width="10.140625" style="713" customWidth="1"/>
    <col min="15365" max="15365" width="9.140625" style="713"/>
    <col min="15366" max="15366" width="3.42578125" style="713" customWidth="1"/>
    <col min="15367" max="15367" width="19.5703125" style="713" customWidth="1"/>
    <col min="15368" max="15368" width="12.28515625" style="713" customWidth="1"/>
    <col min="15369" max="15369" width="10.42578125" style="713" customWidth="1"/>
    <col min="15370" max="15370" width="9.140625" style="713"/>
    <col min="15371" max="15371" width="3.5703125" style="713" customWidth="1"/>
    <col min="15372" max="15372" width="16.42578125" style="713" customWidth="1"/>
    <col min="15373" max="15373" width="11.7109375" style="713" customWidth="1"/>
    <col min="15374" max="15374" width="10.140625" style="713" customWidth="1"/>
    <col min="15375" max="15375" width="15.85546875" style="713" customWidth="1"/>
    <col min="15376" max="15376" width="3.85546875" style="713" customWidth="1"/>
    <col min="15377" max="15377" width="16.42578125" style="713" customWidth="1"/>
    <col min="15378" max="15378" width="11.28515625" style="713" customWidth="1"/>
    <col min="15379" max="15379" width="10.28515625" style="713" customWidth="1"/>
    <col min="15380" max="15380" width="10" style="713" customWidth="1"/>
    <col min="15381" max="15616" width="9.140625" style="713"/>
    <col min="15617" max="15617" width="4" style="713" customWidth="1"/>
    <col min="15618" max="15618" width="15.140625" style="713" customWidth="1"/>
    <col min="15619" max="15619" width="13.85546875" style="713" customWidth="1"/>
    <col min="15620" max="15620" width="10.140625" style="713" customWidth="1"/>
    <col min="15621" max="15621" width="9.140625" style="713"/>
    <col min="15622" max="15622" width="3.42578125" style="713" customWidth="1"/>
    <col min="15623" max="15623" width="19.5703125" style="713" customWidth="1"/>
    <col min="15624" max="15624" width="12.28515625" style="713" customWidth="1"/>
    <col min="15625" max="15625" width="10.42578125" style="713" customWidth="1"/>
    <col min="15626" max="15626" width="9.140625" style="713"/>
    <col min="15627" max="15627" width="3.5703125" style="713" customWidth="1"/>
    <col min="15628" max="15628" width="16.42578125" style="713" customWidth="1"/>
    <col min="15629" max="15629" width="11.7109375" style="713" customWidth="1"/>
    <col min="15630" max="15630" width="10.140625" style="713" customWidth="1"/>
    <col min="15631" max="15631" width="15.85546875" style="713" customWidth="1"/>
    <col min="15632" max="15632" width="3.85546875" style="713" customWidth="1"/>
    <col min="15633" max="15633" width="16.42578125" style="713" customWidth="1"/>
    <col min="15634" max="15634" width="11.28515625" style="713" customWidth="1"/>
    <col min="15635" max="15635" width="10.28515625" style="713" customWidth="1"/>
    <col min="15636" max="15636" width="10" style="713" customWidth="1"/>
    <col min="15637" max="15872" width="9.140625" style="713"/>
    <col min="15873" max="15873" width="4" style="713" customWidth="1"/>
    <col min="15874" max="15874" width="15.140625" style="713" customWidth="1"/>
    <col min="15875" max="15875" width="13.85546875" style="713" customWidth="1"/>
    <col min="15876" max="15876" width="10.140625" style="713" customWidth="1"/>
    <col min="15877" max="15877" width="9.140625" style="713"/>
    <col min="15878" max="15878" width="3.42578125" style="713" customWidth="1"/>
    <col min="15879" max="15879" width="19.5703125" style="713" customWidth="1"/>
    <col min="15880" max="15880" width="12.28515625" style="713" customWidth="1"/>
    <col min="15881" max="15881" width="10.42578125" style="713" customWidth="1"/>
    <col min="15882" max="15882" width="9.140625" style="713"/>
    <col min="15883" max="15883" width="3.5703125" style="713" customWidth="1"/>
    <col min="15884" max="15884" width="16.42578125" style="713" customWidth="1"/>
    <col min="15885" max="15885" width="11.7109375" style="713" customWidth="1"/>
    <col min="15886" max="15886" width="10.140625" style="713" customWidth="1"/>
    <col min="15887" max="15887" width="15.85546875" style="713" customWidth="1"/>
    <col min="15888" max="15888" width="3.85546875" style="713" customWidth="1"/>
    <col min="15889" max="15889" width="16.42578125" style="713" customWidth="1"/>
    <col min="15890" max="15890" width="11.28515625" style="713" customWidth="1"/>
    <col min="15891" max="15891" width="10.28515625" style="713" customWidth="1"/>
    <col min="15892" max="15892" width="10" style="713" customWidth="1"/>
    <col min="15893" max="16128" width="9.140625" style="713"/>
    <col min="16129" max="16129" width="4" style="713" customWidth="1"/>
    <col min="16130" max="16130" width="15.140625" style="713" customWidth="1"/>
    <col min="16131" max="16131" width="13.85546875" style="713" customWidth="1"/>
    <col min="16132" max="16132" width="10.140625" style="713" customWidth="1"/>
    <col min="16133" max="16133" width="9.140625" style="713"/>
    <col min="16134" max="16134" width="3.42578125" style="713" customWidth="1"/>
    <col min="16135" max="16135" width="19.5703125" style="713" customWidth="1"/>
    <col min="16136" max="16136" width="12.28515625" style="713" customWidth="1"/>
    <col min="16137" max="16137" width="10.42578125" style="713" customWidth="1"/>
    <col min="16138" max="16138" width="9.140625" style="713"/>
    <col min="16139" max="16139" width="3.5703125" style="713" customWidth="1"/>
    <col min="16140" max="16140" width="16.42578125" style="713" customWidth="1"/>
    <col min="16141" max="16141" width="11.7109375" style="713" customWidth="1"/>
    <col min="16142" max="16142" width="10.140625" style="713" customWidth="1"/>
    <col min="16143" max="16143" width="15.85546875" style="713" customWidth="1"/>
    <col min="16144" max="16144" width="3.85546875" style="713" customWidth="1"/>
    <col min="16145" max="16145" width="16.42578125" style="713" customWidth="1"/>
    <col min="16146" max="16146" width="11.28515625" style="713" customWidth="1"/>
    <col min="16147" max="16147" width="10.28515625" style="713" customWidth="1"/>
    <col min="16148" max="16148" width="10" style="713" customWidth="1"/>
    <col min="16149" max="16384" width="9.140625" style="713"/>
  </cols>
  <sheetData>
    <row r="1" spans="2:28" ht="18.75">
      <c r="B1" s="617" t="s">
        <v>307</v>
      </c>
    </row>
    <row r="2" spans="2:28" ht="18" customHeight="1">
      <c r="B2" s="1211" t="s">
        <v>371</v>
      </c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  <c r="Z2" s="1211"/>
      <c r="AA2" s="1211"/>
      <c r="AB2" s="1211"/>
    </row>
    <row r="3" spans="2:28" ht="18" customHeight="1">
      <c r="B3" s="1214" t="s">
        <v>370</v>
      </c>
      <c r="C3" s="1214"/>
      <c r="D3" s="1214"/>
      <c r="E3" s="1214"/>
      <c r="F3" s="1214"/>
      <c r="G3" s="1214"/>
      <c r="H3" s="1214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37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34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935" t="s">
        <v>213</v>
      </c>
      <c r="C8" s="633">
        <v>17931.04</v>
      </c>
      <c r="D8" s="633">
        <v>45722</v>
      </c>
      <c r="E8" s="803">
        <v>2.1580503909840369</v>
      </c>
      <c r="F8" s="936"/>
      <c r="G8" s="935" t="s">
        <v>213</v>
      </c>
      <c r="H8" s="633">
        <v>6801.2479999999996</v>
      </c>
      <c r="I8" s="1083">
        <v>28611</v>
      </c>
      <c r="J8" s="1084">
        <v>3.1714517267717466</v>
      </c>
      <c r="K8" s="714"/>
      <c r="L8" s="818" t="s">
        <v>194</v>
      </c>
      <c r="M8" s="633">
        <v>7099.4489999999996</v>
      </c>
      <c r="N8" s="633">
        <v>2685.538</v>
      </c>
      <c r="O8" s="803">
        <v>2.6435853821468918</v>
      </c>
      <c r="P8" s="714"/>
      <c r="Q8" s="818" t="s">
        <v>311</v>
      </c>
      <c r="R8" s="633">
        <v>6489.5069999999996</v>
      </c>
      <c r="S8" s="633">
        <v>1267.33</v>
      </c>
      <c r="T8" s="803">
        <v>5.1206134156060381</v>
      </c>
    </row>
    <row r="9" spans="2:28" ht="15.75">
      <c r="B9" s="636" t="s">
        <v>209</v>
      </c>
      <c r="C9" s="637">
        <v>14276.195</v>
      </c>
      <c r="D9" s="637">
        <v>25274</v>
      </c>
      <c r="E9" s="696">
        <v>2.1351083684306791</v>
      </c>
      <c r="F9" s="937"/>
      <c r="G9" s="638" t="s">
        <v>311</v>
      </c>
      <c r="H9" s="637">
        <v>1999.366</v>
      </c>
      <c r="I9" s="637">
        <v>9446</v>
      </c>
      <c r="J9" s="696">
        <v>3.2421397772916629</v>
      </c>
      <c r="K9" s="714"/>
      <c r="L9" s="636" t="s">
        <v>197</v>
      </c>
      <c r="M9" s="637">
        <v>5603.91</v>
      </c>
      <c r="N9" s="637">
        <v>1348.877</v>
      </c>
      <c r="O9" s="696">
        <v>4.1545003732734713</v>
      </c>
      <c r="P9" s="714"/>
      <c r="Q9" s="636" t="s">
        <v>199</v>
      </c>
      <c r="R9" s="637">
        <v>3121.8629999999998</v>
      </c>
      <c r="S9" s="637">
        <v>918.67700000000002</v>
      </c>
      <c r="T9" s="696">
        <v>3.3982161303700864</v>
      </c>
    </row>
    <row r="10" spans="2:28" ht="15.75">
      <c r="B10" s="638" t="s">
        <v>311</v>
      </c>
      <c r="C10" s="637">
        <v>13490.875</v>
      </c>
      <c r="D10" s="637">
        <v>27123</v>
      </c>
      <c r="E10" s="696">
        <v>3.0008904214409391</v>
      </c>
      <c r="F10" s="936"/>
      <c r="G10" s="638" t="s">
        <v>217</v>
      </c>
      <c r="H10" s="637">
        <v>1137.693</v>
      </c>
      <c r="I10" s="639">
        <v>6741</v>
      </c>
      <c r="J10" s="697">
        <v>2.8383075330248109</v>
      </c>
      <c r="K10" s="714"/>
      <c r="L10" s="636" t="s">
        <v>199</v>
      </c>
      <c r="M10" s="637">
        <v>5337.1930000000002</v>
      </c>
      <c r="N10" s="637">
        <v>1529.3879999999999</v>
      </c>
      <c r="O10" s="696">
        <v>3.489757340844835</v>
      </c>
      <c r="P10" s="714"/>
      <c r="Q10" s="636" t="s">
        <v>197</v>
      </c>
      <c r="R10" s="637">
        <v>2468.826</v>
      </c>
      <c r="S10" s="637">
        <v>666.85699999999997</v>
      </c>
      <c r="T10" s="696">
        <v>3.7021820270312826</v>
      </c>
    </row>
    <row r="11" spans="2:28" ht="16.5" thickBot="1">
      <c r="B11" s="638" t="s">
        <v>217</v>
      </c>
      <c r="C11" s="637">
        <v>7775.5860000000002</v>
      </c>
      <c r="D11" s="637">
        <v>17434</v>
      </c>
      <c r="E11" s="696">
        <v>1.9998019637989826</v>
      </c>
      <c r="F11" s="937"/>
      <c r="G11" s="638" t="s">
        <v>194</v>
      </c>
      <c r="H11" s="637">
        <v>187.74799999999999</v>
      </c>
      <c r="I11" s="639">
        <v>1112</v>
      </c>
      <c r="J11" s="697">
        <v>2.7939106236699951</v>
      </c>
      <c r="K11" s="714"/>
      <c r="L11" s="636" t="s">
        <v>203</v>
      </c>
      <c r="M11" s="637">
        <v>4697.6090000000004</v>
      </c>
      <c r="N11" s="637">
        <v>1567.259</v>
      </c>
      <c r="O11" s="696">
        <v>2.9973405799551958</v>
      </c>
      <c r="P11" s="714"/>
      <c r="Q11" s="636" t="s">
        <v>208</v>
      </c>
      <c r="R11" s="637">
        <v>1312.3230000000001</v>
      </c>
      <c r="S11" s="637">
        <v>453.05900000000003</v>
      </c>
      <c r="T11" s="696">
        <v>2.8965830057453887</v>
      </c>
    </row>
    <row r="12" spans="2:28" ht="16.5" thickBot="1">
      <c r="B12" s="638" t="s">
        <v>197</v>
      </c>
      <c r="C12" s="637">
        <v>7201.6220000000003</v>
      </c>
      <c r="D12" s="639">
        <v>9220</v>
      </c>
      <c r="E12" s="697">
        <v>2.5260694793259719</v>
      </c>
      <c r="F12" s="937"/>
      <c r="G12" s="1015" t="s">
        <v>331</v>
      </c>
      <c r="H12" s="641">
        <v>10322.911</v>
      </c>
      <c r="I12" s="641">
        <v>47064</v>
      </c>
      <c r="J12" s="802">
        <v>3.1271731056553156</v>
      </c>
      <c r="K12" s="714"/>
      <c r="L12" s="636" t="s">
        <v>311</v>
      </c>
      <c r="M12" s="637">
        <v>4063.8589999999999</v>
      </c>
      <c r="N12" s="637">
        <v>787.95799999999997</v>
      </c>
      <c r="O12" s="696">
        <v>5.1574563618873084</v>
      </c>
      <c r="P12" s="714"/>
      <c r="Q12" s="636" t="s">
        <v>215</v>
      </c>
      <c r="R12" s="637">
        <v>1308.2829999999999</v>
      </c>
      <c r="S12" s="637">
        <v>267.08100000000002</v>
      </c>
      <c r="T12" s="696">
        <v>4.898450282872985</v>
      </c>
    </row>
    <row r="13" spans="2:28" ht="15.75">
      <c r="B13" s="636" t="s">
        <v>214</v>
      </c>
      <c r="C13" s="637">
        <v>5371.6809999999996</v>
      </c>
      <c r="D13" s="637">
        <v>8520</v>
      </c>
      <c r="E13" s="696">
        <v>2.1198149353224682</v>
      </c>
      <c r="F13" s="937"/>
      <c r="G13" s="127"/>
      <c r="H13" s="127"/>
      <c r="I13" s="127"/>
      <c r="J13" s="127"/>
      <c r="K13" s="714"/>
      <c r="L13" s="636" t="s">
        <v>216</v>
      </c>
      <c r="M13" s="637">
        <v>3658.826</v>
      </c>
      <c r="N13" s="637">
        <v>1397.5909999999999</v>
      </c>
      <c r="O13" s="696">
        <v>2.6179518900737055</v>
      </c>
      <c r="P13" s="714"/>
      <c r="Q13" s="636" t="s">
        <v>194</v>
      </c>
      <c r="R13" s="637">
        <v>1085.713</v>
      </c>
      <c r="S13" s="637">
        <v>329.54199999999997</v>
      </c>
      <c r="T13" s="696">
        <v>3.2946119159318084</v>
      </c>
    </row>
    <row r="14" spans="2:28" ht="15.75">
      <c r="B14" s="638" t="s">
        <v>208</v>
      </c>
      <c r="C14" s="637">
        <v>4552.509</v>
      </c>
      <c r="D14" s="639">
        <v>3145</v>
      </c>
      <c r="E14" s="697">
        <v>2.8127812775716894</v>
      </c>
      <c r="F14" s="937"/>
      <c r="G14" s="127"/>
      <c r="H14" s="127"/>
      <c r="I14" s="127"/>
      <c r="J14" s="127"/>
      <c r="K14" s="714"/>
      <c r="L14" s="636" t="s">
        <v>207</v>
      </c>
      <c r="M14" s="637">
        <v>2720.4720000000002</v>
      </c>
      <c r="N14" s="637">
        <v>1018.184</v>
      </c>
      <c r="O14" s="696">
        <v>2.6718864173862489</v>
      </c>
      <c r="P14" s="714"/>
      <c r="Q14" s="636" t="s">
        <v>202</v>
      </c>
      <c r="R14" s="637">
        <v>256.20999999999998</v>
      </c>
      <c r="S14" s="637">
        <v>93.388000000000005</v>
      </c>
      <c r="T14" s="696">
        <v>2.7435002355763047</v>
      </c>
    </row>
    <row r="15" spans="2:28" ht="15.75">
      <c r="B15" s="638" t="s">
        <v>199</v>
      </c>
      <c r="C15" s="637">
        <v>3540.623</v>
      </c>
      <c r="D15" s="639">
        <v>3332</v>
      </c>
      <c r="E15" s="697">
        <v>1.9343026454309593</v>
      </c>
      <c r="F15" s="937"/>
      <c r="G15" s="127"/>
      <c r="H15" s="127"/>
      <c r="I15" s="127"/>
      <c r="J15" s="127"/>
      <c r="K15" s="714"/>
      <c r="L15" s="636" t="s">
        <v>215</v>
      </c>
      <c r="M15" s="637">
        <v>2635.3809999999999</v>
      </c>
      <c r="N15" s="637">
        <v>609.08600000000001</v>
      </c>
      <c r="O15" s="696">
        <v>4.3267797979267293</v>
      </c>
      <c r="P15" s="714"/>
      <c r="Q15" s="636" t="s">
        <v>196</v>
      </c>
      <c r="R15" s="637">
        <v>231.85</v>
      </c>
      <c r="S15" s="637">
        <v>64.171000000000006</v>
      </c>
      <c r="T15" s="696">
        <v>3.6130027582552864</v>
      </c>
    </row>
    <row r="16" spans="2:28" ht="16.5" thickBot="1">
      <c r="B16" s="636" t="s">
        <v>194</v>
      </c>
      <c r="C16" s="637">
        <v>2305.6889999999999</v>
      </c>
      <c r="D16" s="637">
        <v>9817</v>
      </c>
      <c r="E16" s="696">
        <v>3.0941619004420442</v>
      </c>
      <c r="F16" s="937"/>
      <c r="K16" s="714"/>
      <c r="L16" s="636" t="s">
        <v>217</v>
      </c>
      <c r="M16" s="637">
        <v>2501.7959999999998</v>
      </c>
      <c r="N16" s="637">
        <v>1133.883</v>
      </c>
      <c r="O16" s="696">
        <v>2.2063969562997237</v>
      </c>
      <c r="P16" s="714"/>
      <c r="Q16" s="636" t="s">
        <v>363</v>
      </c>
      <c r="R16" s="637">
        <v>219.89099999999999</v>
      </c>
      <c r="S16" s="637">
        <v>28.373000000000001</v>
      </c>
      <c r="T16" s="696">
        <v>7.75000881119374</v>
      </c>
    </row>
    <row r="17" spans="2:21" ht="16.5" thickBot="1">
      <c r="B17" s="1015" t="s">
        <v>331</v>
      </c>
      <c r="C17" s="641">
        <v>79609.736999999994</v>
      </c>
      <c r="D17" s="641">
        <v>153960</v>
      </c>
      <c r="E17" s="802">
        <v>2.2817094459701108</v>
      </c>
      <c r="F17" s="936"/>
      <c r="K17" s="714"/>
      <c r="L17" s="636" t="s">
        <v>208</v>
      </c>
      <c r="M17" s="637">
        <v>1051.2139999999999</v>
      </c>
      <c r="N17" s="637">
        <v>357.23</v>
      </c>
      <c r="O17" s="696">
        <v>2.9426811857906667</v>
      </c>
      <c r="P17" s="714"/>
      <c r="Q17" s="1015" t="s">
        <v>331</v>
      </c>
      <c r="R17" s="641">
        <v>17295.893</v>
      </c>
      <c r="S17" s="641">
        <v>4355.8230000000003</v>
      </c>
      <c r="T17" s="802">
        <v>3.970752025507005</v>
      </c>
      <c r="U17" s="127"/>
    </row>
    <row r="18" spans="2:21" ht="15.75">
      <c r="B18" s="127"/>
      <c r="C18" s="127"/>
      <c r="D18" s="127"/>
      <c r="E18" s="127"/>
      <c r="F18" s="938"/>
      <c r="K18" s="714"/>
      <c r="L18" s="636" t="s">
        <v>213</v>
      </c>
      <c r="M18" s="637">
        <v>832.01800000000003</v>
      </c>
      <c r="N18" s="637">
        <v>313.84500000000003</v>
      </c>
      <c r="O18" s="696">
        <v>2.6510474915961701</v>
      </c>
      <c r="P18" s="714"/>
      <c r="Q18" s="127"/>
      <c r="R18" s="127"/>
      <c r="S18" s="127"/>
      <c r="T18" s="127"/>
      <c r="U18" s="127"/>
    </row>
    <row r="19" spans="2:21" ht="15.75">
      <c r="B19" s="127"/>
      <c r="C19" s="127"/>
      <c r="D19" s="127"/>
      <c r="E19" s="127"/>
      <c r="F19" s="939"/>
      <c r="K19" s="714"/>
      <c r="L19" s="636" t="s">
        <v>212</v>
      </c>
      <c r="M19" s="637">
        <v>560.05200000000002</v>
      </c>
      <c r="N19" s="637">
        <v>144.43</v>
      </c>
      <c r="O19" s="696">
        <v>3.8776708440074774</v>
      </c>
      <c r="P19" s="714"/>
      <c r="Q19" s="127"/>
      <c r="R19" s="127"/>
      <c r="S19" s="127"/>
      <c r="T19" s="127"/>
      <c r="U19" s="127"/>
    </row>
    <row r="20" spans="2:21" ht="15" customHeight="1">
      <c r="B20" s="127"/>
      <c r="C20" s="127"/>
      <c r="D20" s="127"/>
      <c r="E20" s="127"/>
      <c r="F20" s="939"/>
      <c r="K20" s="714"/>
      <c r="L20" s="636" t="s">
        <v>196</v>
      </c>
      <c r="M20" s="637">
        <v>459.80399999999997</v>
      </c>
      <c r="N20" s="637">
        <v>141.93600000000001</v>
      </c>
      <c r="O20" s="696">
        <v>3.2395164017585385</v>
      </c>
      <c r="P20" s="714"/>
      <c r="Q20" s="127"/>
      <c r="R20" s="127"/>
      <c r="S20" s="127"/>
      <c r="T20" s="127"/>
      <c r="U20" s="127"/>
    </row>
    <row r="21" spans="2:21" ht="15.75">
      <c r="B21" s="127"/>
      <c r="C21" s="127"/>
      <c r="D21" s="127"/>
      <c r="E21" s="127"/>
      <c r="F21" s="940"/>
      <c r="K21" s="714"/>
      <c r="L21" s="636" t="s">
        <v>195</v>
      </c>
      <c r="M21" s="637">
        <v>409.03399999999999</v>
      </c>
      <c r="N21" s="637">
        <v>46.87</v>
      </c>
      <c r="O21" s="696">
        <v>8.7269895455515254</v>
      </c>
      <c r="U21" s="127"/>
    </row>
    <row r="22" spans="2:21" ht="15.75">
      <c r="B22" s="127"/>
      <c r="C22" s="127"/>
      <c r="D22" s="127"/>
      <c r="E22" s="127"/>
      <c r="F22" s="714"/>
      <c r="L22" s="636" t="s">
        <v>211</v>
      </c>
      <c r="M22" s="637">
        <v>149.27500000000001</v>
      </c>
      <c r="N22" s="637">
        <v>50.465000000000003</v>
      </c>
      <c r="O22" s="696">
        <v>2.9579906866144854</v>
      </c>
      <c r="Q22" s="127"/>
      <c r="R22" s="127"/>
      <c r="S22" s="127"/>
      <c r="T22" s="127"/>
      <c r="U22" s="127"/>
    </row>
    <row r="23" spans="2:21" ht="16.5" thickBot="1">
      <c r="L23" s="636" t="s">
        <v>349</v>
      </c>
      <c r="M23" s="637">
        <v>120.744</v>
      </c>
      <c r="N23" s="637">
        <v>32.091999999999999</v>
      </c>
      <c r="O23" s="696">
        <v>3.7624330051103079</v>
      </c>
      <c r="Q23" s="127"/>
      <c r="R23" s="127"/>
      <c r="S23" s="127"/>
      <c r="T23" s="127"/>
      <c r="U23" s="127"/>
    </row>
    <row r="24" spans="2:21" ht="16.5" thickBot="1">
      <c r="B24" s="127"/>
      <c r="C24" s="127"/>
      <c r="D24" s="127"/>
      <c r="E24" s="127"/>
      <c r="F24" s="127"/>
      <c r="G24" s="127"/>
      <c r="H24" s="127"/>
      <c r="I24" s="127"/>
      <c r="J24" s="127"/>
      <c r="L24" s="1015" t="s">
        <v>331</v>
      </c>
      <c r="M24" s="641">
        <v>42000.999000000003</v>
      </c>
      <c r="N24" s="641">
        <v>13201.588</v>
      </c>
      <c r="O24" s="802">
        <v>3.1815111182079008</v>
      </c>
      <c r="Q24" s="127"/>
      <c r="R24" s="127"/>
      <c r="S24" s="127"/>
      <c r="T24" s="127"/>
      <c r="U24" s="127"/>
    </row>
    <row r="25" spans="2:21">
      <c r="B25" s="127"/>
      <c r="C25" s="127"/>
      <c r="D25" s="127"/>
      <c r="E25" s="127"/>
      <c r="F25" s="127"/>
      <c r="G25" s="127"/>
      <c r="H25" s="127"/>
      <c r="I25" s="127"/>
      <c r="J25" s="127"/>
      <c r="L25" s="127"/>
      <c r="M25" s="127"/>
      <c r="N25" s="127"/>
      <c r="O25" s="127"/>
      <c r="Q25" s="127"/>
      <c r="R25" s="127"/>
      <c r="S25" s="127"/>
      <c r="T25" s="127"/>
      <c r="U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  <c r="U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127"/>
      <c r="R27" s="127"/>
      <c r="S27" s="127"/>
      <c r="T27" s="127"/>
      <c r="U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127"/>
      <c r="R28" s="127"/>
      <c r="S28" s="127"/>
      <c r="T28" s="127"/>
      <c r="U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127"/>
      <c r="R29" s="127"/>
      <c r="S29" s="127"/>
      <c r="T29" s="127"/>
      <c r="U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  <c r="Q30" s="127"/>
      <c r="R30" s="127"/>
      <c r="S30" s="127"/>
      <c r="T30" s="127"/>
    </row>
    <row r="31" spans="2:21">
      <c r="B31" s="127"/>
      <c r="C31" s="127"/>
      <c r="D31" s="127"/>
      <c r="E31" s="127"/>
      <c r="F31" s="127"/>
      <c r="G31" s="127"/>
      <c r="H31" s="127"/>
      <c r="I31" s="127"/>
      <c r="J31" s="127"/>
      <c r="Q31" s="127"/>
      <c r="R31" s="127"/>
      <c r="S31" s="127"/>
      <c r="T31" s="127"/>
    </row>
    <row r="32" spans="2:21">
      <c r="B32" s="127"/>
      <c r="C32" s="127"/>
      <c r="D32" s="127"/>
      <c r="E32" s="127"/>
      <c r="F32" s="127"/>
      <c r="G32" s="127"/>
      <c r="H32" s="127"/>
      <c r="I32" s="127"/>
      <c r="J32" s="127"/>
    </row>
    <row r="33" spans="2:10">
      <c r="B33" s="127"/>
      <c r="C33" s="127"/>
      <c r="D33" s="127"/>
      <c r="E33" s="127"/>
      <c r="F33" s="127"/>
      <c r="G33" s="127"/>
      <c r="H33" s="127"/>
      <c r="I33" s="127"/>
      <c r="J33" s="127"/>
    </row>
    <row r="34" spans="2:10">
      <c r="B34" s="127"/>
      <c r="C34" s="127"/>
      <c r="D34" s="127"/>
      <c r="E34" s="127"/>
      <c r="F34" s="127"/>
      <c r="G34" s="127"/>
      <c r="H34" s="127"/>
      <c r="I34" s="127"/>
      <c r="J34" s="127"/>
    </row>
    <row r="35" spans="2:10">
      <c r="B35" s="127"/>
      <c r="C35" s="127"/>
      <c r="D35" s="127"/>
      <c r="E35" s="127"/>
      <c r="F35" s="127"/>
      <c r="G35" s="127"/>
      <c r="H35" s="127"/>
      <c r="I35" s="127"/>
      <c r="J35" s="127"/>
    </row>
    <row r="36" spans="2:10">
      <c r="B36" s="127"/>
      <c r="C36" s="127"/>
      <c r="D36" s="127"/>
      <c r="E36" s="127"/>
      <c r="F36" s="127"/>
      <c r="G36" s="127"/>
      <c r="H36" s="127"/>
      <c r="I36" s="127"/>
      <c r="J36" s="127"/>
    </row>
    <row r="37" spans="2:1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1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1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1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1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1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1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1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1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1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10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10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2:10">
      <c r="B50" s="127"/>
      <c r="C50" s="127"/>
      <c r="D50" s="127"/>
      <c r="E50" s="127"/>
      <c r="F50" s="127"/>
      <c r="G50" s="127"/>
      <c r="H50" s="127"/>
      <c r="I50" s="127"/>
      <c r="J50" s="127"/>
    </row>
    <row r="51" spans="2:10">
      <c r="B51" s="127"/>
      <c r="C51" s="127"/>
      <c r="D51" s="127"/>
      <c r="E51" s="127"/>
      <c r="F51" s="127"/>
      <c r="G51" s="127"/>
      <c r="H51" s="127"/>
      <c r="I51" s="127"/>
      <c r="J51" s="127"/>
    </row>
    <row r="52" spans="2:10">
      <c r="B52" s="127"/>
      <c r="C52" s="127"/>
      <c r="D52" s="127"/>
      <c r="E52" s="127"/>
      <c r="F52" s="127"/>
      <c r="G52" s="127"/>
      <c r="H52" s="127"/>
      <c r="I52" s="127"/>
      <c r="J52" s="127"/>
    </row>
    <row r="53" spans="2:10">
      <c r="B53" s="127"/>
      <c r="C53" s="127"/>
      <c r="D53" s="127"/>
      <c r="E53" s="127"/>
      <c r="F53" s="127"/>
      <c r="G53" s="127"/>
      <c r="H53" s="127"/>
      <c r="I53" s="127"/>
      <c r="J53" s="127"/>
    </row>
    <row r="54" spans="2:10">
      <c r="B54" s="127"/>
      <c r="C54" s="127"/>
      <c r="D54" s="127"/>
      <c r="E54" s="127"/>
      <c r="F54" s="127"/>
      <c r="G54" s="127"/>
      <c r="H54" s="127"/>
      <c r="I54" s="127"/>
      <c r="J54" s="127"/>
    </row>
    <row r="55" spans="2:10">
      <c r="B55" s="127"/>
      <c r="C55" s="127"/>
      <c r="D55" s="127"/>
      <c r="E55" s="127"/>
      <c r="F55" s="127"/>
      <c r="G55" s="127"/>
      <c r="H55" s="127"/>
      <c r="I55" s="127"/>
      <c r="J55" s="127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Q549"/>
  <sheetViews>
    <sheetView topLeftCell="A463" zoomScale="80" zoomScaleNormal="80" workbookViewId="0">
      <selection activeCell="S495" sqref="S495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16" t="s">
        <v>261</v>
      </c>
      <c r="C5" s="1216"/>
      <c r="D5" s="1216"/>
      <c r="E5" s="1216"/>
      <c r="F5" s="1216"/>
      <c r="G5" s="1216"/>
      <c r="H5" s="1216"/>
      <c r="I5" s="1216"/>
      <c r="J5" s="1216"/>
      <c r="K5" s="1216"/>
      <c r="L5" s="1216"/>
    </row>
    <row r="6" spans="2:13" ht="18">
      <c r="B6" s="722"/>
      <c r="C6" s="722"/>
      <c r="D6" s="722"/>
      <c r="E6" s="722"/>
      <c r="F6" s="466" t="s">
        <v>262</v>
      </c>
      <c r="G6" s="722"/>
      <c r="H6" s="722"/>
      <c r="I6" s="722"/>
      <c r="J6" s="722"/>
      <c r="K6" s="722"/>
      <c r="L6" s="722"/>
    </row>
    <row r="7" spans="2:13" s="467" customFormat="1" ht="15">
      <c r="B7" s="1217" t="s">
        <v>263</v>
      </c>
      <c r="C7" s="1219" t="s">
        <v>22</v>
      </c>
      <c r="D7" s="1219" t="s">
        <v>264</v>
      </c>
      <c r="E7" s="1221" t="s">
        <v>265</v>
      </c>
      <c r="F7" s="1222"/>
      <c r="G7" s="1223"/>
      <c r="H7" s="1224" t="s">
        <v>266</v>
      </c>
      <c r="I7" s="1226" t="s">
        <v>267</v>
      </c>
      <c r="J7" s="1227"/>
      <c r="K7" s="1227"/>
      <c r="L7" s="1217"/>
    </row>
    <row r="8" spans="2:13">
      <c r="B8" s="1218"/>
      <c r="C8" s="1220"/>
      <c r="D8" s="1220"/>
      <c r="E8" s="1228" t="s">
        <v>268</v>
      </c>
      <c r="F8" s="1219" t="s">
        <v>269</v>
      </c>
      <c r="G8" s="1219" t="s">
        <v>270</v>
      </c>
      <c r="H8" s="1225"/>
      <c r="I8" s="1228" t="s">
        <v>271</v>
      </c>
      <c r="J8" s="1228" t="s">
        <v>24</v>
      </c>
      <c r="K8" s="1219" t="s">
        <v>272</v>
      </c>
      <c r="L8" s="1228" t="s">
        <v>273</v>
      </c>
    </row>
    <row r="9" spans="2:13">
      <c r="B9" s="1218"/>
      <c r="C9" s="1220"/>
      <c r="D9" s="1220"/>
      <c r="E9" s="1229"/>
      <c r="F9" s="1220"/>
      <c r="G9" s="1220"/>
      <c r="H9" s="1225"/>
      <c r="I9" s="1229"/>
      <c r="J9" s="1229"/>
      <c r="K9" s="1244"/>
      <c r="L9" s="1229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2"/>
      <c r="D29" s="486"/>
      <c r="E29" s="722"/>
      <c r="F29" s="722"/>
      <c r="H29" s="722"/>
      <c r="I29" s="722"/>
      <c r="J29" s="722"/>
      <c r="K29" s="722"/>
      <c r="L29" s="722"/>
    </row>
    <row r="30" spans="2:13" s="467" customFormat="1" ht="18.75" customHeight="1">
      <c r="B30" s="722"/>
      <c r="C30" s="722"/>
      <c r="D30" s="722"/>
      <c r="E30" s="722"/>
      <c r="F30" s="466" t="s">
        <v>262</v>
      </c>
      <c r="G30" s="722"/>
      <c r="H30" s="722"/>
      <c r="I30" s="722"/>
      <c r="J30" s="722"/>
      <c r="K30" s="722"/>
      <c r="L30" s="722"/>
    </row>
    <row r="31" spans="2:13" ht="30">
      <c r="B31" s="723" t="s">
        <v>263</v>
      </c>
      <c r="C31" s="725" t="s">
        <v>22</v>
      </c>
      <c r="D31" s="725" t="s">
        <v>264</v>
      </c>
      <c r="E31" s="727" t="s">
        <v>265</v>
      </c>
      <c r="F31" s="728"/>
      <c r="G31" s="729"/>
      <c r="H31" s="730" t="s">
        <v>266</v>
      </c>
      <c r="I31" s="727" t="s">
        <v>267</v>
      </c>
      <c r="J31" s="728"/>
      <c r="K31" s="728"/>
      <c r="L31" s="728"/>
      <c r="M31" s="472"/>
    </row>
    <row r="32" spans="2:13" ht="15">
      <c r="B32" s="724"/>
      <c r="C32" s="726"/>
      <c r="D32" s="726"/>
      <c r="E32" s="733" t="s">
        <v>268</v>
      </c>
      <c r="F32" s="725" t="s">
        <v>269</v>
      </c>
      <c r="G32" s="725" t="s">
        <v>270</v>
      </c>
      <c r="H32" s="731"/>
      <c r="I32" s="733" t="s">
        <v>271</v>
      </c>
      <c r="J32" s="733" t="s">
        <v>24</v>
      </c>
      <c r="K32" s="725" t="s">
        <v>272</v>
      </c>
      <c r="L32" s="732" t="s">
        <v>273</v>
      </c>
      <c r="M32" s="472"/>
    </row>
    <row r="33" spans="2:13" ht="15">
      <c r="B33" s="724"/>
      <c r="C33" s="726"/>
      <c r="D33" s="726"/>
      <c r="E33" s="734"/>
      <c r="F33" s="726"/>
      <c r="G33" s="726"/>
      <c r="H33" s="731"/>
      <c r="I33" s="734"/>
      <c r="J33" s="734"/>
      <c r="K33" s="735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1"/>
      <c r="E36" s="721"/>
      <c r="G36" s="721" t="s">
        <v>274</v>
      </c>
      <c r="H36" s="721"/>
      <c r="I36" s="721"/>
      <c r="J36" s="721"/>
      <c r="K36" s="721"/>
      <c r="L36" s="721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2"/>
      <c r="D53" s="486"/>
      <c r="E53" s="722"/>
      <c r="F53" s="722"/>
      <c r="H53" s="722"/>
      <c r="I53" s="722"/>
      <c r="J53" s="722"/>
      <c r="K53" s="722"/>
      <c r="L53" s="722"/>
    </row>
    <row r="54" spans="2:13" ht="18">
      <c r="B54" s="722"/>
      <c r="C54" s="722"/>
      <c r="D54" s="722"/>
      <c r="E54" s="722"/>
      <c r="F54" s="466" t="s">
        <v>262</v>
      </c>
      <c r="G54" s="722"/>
      <c r="H54" s="722"/>
      <c r="I54" s="722"/>
      <c r="J54" s="722"/>
      <c r="K54" s="722"/>
      <c r="L54" s="722"/>
    </row>
    <row r="55" spans="2:13" ht="30">
      <c r="B55" s="723" t="s">
        <v>263</v>
      </c>
      <c r="C55" s="725" t="s">
        <v>22</v>
      </c>
      <c r="D55" s="725" t="s">
        <v>264</v>
      </c>
      <c r="E55" s="727" t="s">
        <v>265</v>
      </c>
      <c r="F55" s="728"/>
      <c r="G55" s="729"/>
      <c r="H55" s="730" t="s">
        <v>266</v>
      </c>
      <c r="I55" s="727" t="s">
        <v>267</v>
      </c>
      <c r="J55" s="728"/>
      <c r="K55" s="728"/>
      <c r="L55" s="728"/>
      <c r="M55" s="472"/>
    </row>
    <row r="56" spans="2:13" ht="15" customHeight="1">
      <c r="B56" s="724"/>
      <c r="C56" s="726"/>
      <c r="D56" s="726"/>
      <c r="E56" s="733" t="s">
        <v>268</v>
      </c>
      <c r="F56" s="725" t="s">
        <v>269</v>
      </c>
      <c r="G56" s="725" t="s">
        <v>270</v>
      </c>
      <c r="H56" s="731"/>
      <c r="I56" s="733" t="s">
        <v>271</v>
      </c>
      <c r="J56" s="733" t="s">
        <v>24</v>
      </c>
      <c r="K56" s="725" t="s">
        <v>272</v>
      </c>
      <c r="L56" s="732" t="s">
        <v>273</v>
      </c>
      <c r="M56" s="472"/>
    </row>
    <row r="57" spans="2:13" ht="15">
      <c r="B57" s="724"/>
      <c r="C57" s="726"/>
      <c r="D57" s="726"/>
      <c r="E57" s="734"/>
      <c r="F57" s="726"/>
      <c r="G57" s="726"/>
      <c r="H57" s="731"/>
      <c r="I57" s="734"/>
      <c r="J57" s="734"/>
      <c r="K57" s="735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1"/>
      <c r="E60" s="721"/>
      <c r="G60" s="721" t="s">
        <v>274</v>
      </c>
      <c r="H60" s="721"/>
      <c r="I60" s="721"/>
      <c r="J60" s="721"/>
      <c r="K60" s="721"/>
      <c r="L60" s="721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2"/>
      <c r="D78" s="486"/>
      <c r="E78" s="722"/>
      <c r="F78" s="722"/>
      <c r="H78" s="722"/>
      <c r="I78" s="722"/>
      <c r="J78" s="722"/>
      <c r="K78" s="722"/>
      <c r="L78" s="722"/>
    </row>
    <row r="79" spans="2:13" ht="18">
      <c r="B79" s="722"/>
      <c r="C79" s="722"/>
      <c r="D79" s="722"/>
      <c r="E79" s="722"/>
      <c r="F79" s="466" t="s">
        <v>262</v>
      </c>
      <c r="G79" s="722"/>
      <c r="H79" s="722"/>
      <c r="I79" s="722"/>
      <c r="J79" s="722"/>
      <c r="K79" s="722"/>
      <c r="L79" s="722"/>
    </row>
    <row r="80" spans="2:13" ht="30">
      <c r="B80" s="723" t="s">
        <v>263</v>
      </c>
      <c r="C80" s="725" t="s">
        <v>22</v>
      </c>
      <c r="D80" s="725" t="s">
        <v>264</v>
      </c>
      <c r="E80" s="727" t="s">
        <v>265</v>
      </c>
      <c r="F80" s="728"/>
      <c r="G80" s="729"/>
      <c r="H80" s="730" t="s">
        <v>266</v>
      </c>
      <c r="I80" s="727" t="s">
        <v>267</v>
      </c>
      <c r="J80" s="728"/>
      <c r="K80" s="728"/>
      <c r="L80" s="728"/>
      <c r="M80" s="472"/>
    </row>
    <row r="81" spans="2:13" ht="15">
      <c r="B81" s="724"/>
      <c r="C81" s="726"/>
      <c r="D81" s="726"/>
      <c r="E81" s="733" t="s">
        <v>268</v>
      </c>
      <c r="F81" s="725" t="s">
        <v>269</v>
      </c>
      <c r="G81" s="725" t="s">
        <v>270</v>
      </c>
      <c r="H81" s="731"/>
      <c r="I81" s="733" t="s">
        <v>271</v>
      </c>
      <c r="J81" s="733" t="s">
        <v>24</v>
      </c>
      <c r="K81" s="725" t="s">
        <v>272</v>
      </c>
      <c r="L81" s="732" t="s">
        <v>273</v>
      </c>
      <c r="M81" s="472"/>
    </row>
    <row r="82" spans="2:13" ht="15">
      <c r="B82" s="724"/>
      <c r="C82" s="726"/>
      <c r="D82" s="726"/>
      <c r="E82" s="734"/>
      <c r="F82" s="726"/>
      <c r="G82" s="726"/>
      <c r="H82" s="731"/>
      <c r="I82" s="734"/>
      <c r="J82" s="734"/>
      <c r="K82" s="735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1"/>
      <c r="E85" s="721"/>
      <c r="G85" s="721" t="s">
        <v>274</v>
      </c>
      <c r="H85" s="721"/>
      <c r="I85" s="721"/>
      <c r="J85" s="721"/>
      <c r="K85" s="721"/>
      <c r="L85" s="721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2"/>
      <c r="D103" s="486"/>
      <c r="E103" s="722"/>
      <c r="F103" s="722"/>
      <c r="H103" s="722"/>
      <c r="I103" s="722"/>
      <c r="J103" s="722"/>
      <c r="K103" s="722"/>
      <c r="L103" s="722"/>
    </row>
    <row r="104" spans="2:15" ht="18">
      <c r="B104" s="722"/>
      <c r="C104" s="722"/>
      <c r="D104" s="722"/>
      <c r="E104" s="722"/>
      <c r="F104" s="466" t="s">
        <v>262</v>
      </c>
      <c r="G104" s="722"/>
      <c r="H104" s="722"/>
      <c r="I104" s="722"/>
      <c r="J104" s="722"/>
      <c r="K104" s="722"/>
      <c r="L104" s="722"/>
    </row>
    <row r="105" spans="2:15" ht="30">
      <c r="B105" s="723" t="s">
        <v>263</v>
      </c>
      <c r="C105" s="725" t="s">
        <v>22</v>
      </c>
      <c r="D105" s="725" t="s">
        <v>264</v>
      </c>
      <c r="E105" s="727" t="s">
        <v>265</v>
      </c>
      <c r="F105" s="728"/>
      <c r="G105" s="729"/>
      <c r="H105" s="730" t="s">
        <v>266</v>
      </c>
      <c r="I105" s="727" t="s">
        <v>267</v>
      </c>
      <c r="J105" s="728"/>
      <c r="K105" s="728"/>
      <c r="L105" s="728"/>
      <c r="N105" s="1215"/>
      <c r="O105" s="1215"/>
    </row>
    <row r="106" spans="2:15" ht="15">
      <c r="B106" s="724"/>
      <c r="C106" s="726"/>
      <c r="D106" s="726"/>
      <c r="E106" s="733" t="s">
        <v>268</v>
      </c>
      <c r="F106" s="725" t="s">
        <v>269</v>
      </c>
      <c r="G106" s="725" t="s">
        <v>270</v>
      </c>
      <c r="H106" s="731"/>
      <c r="I106" s="733" t="s">
        <v>271</v>
      </c>
      <c r="J106" s="733" t="s">
        <v>24</v>
      </c>
      <c r="K106" s="725" t="s">
        <v>272</v>
      </c>
      <c r="L106" s="732" t="s">
        <v>273</v>
      </c>
    </row>
    <row r="107" spans="2:15" ht="15">
      <c r="B107" s="724"/>
      <c r="C107" s="726"/>
      <c r="D107" s="726"/>
      <c r="E107" s="734"/>
      <c r="F107" s="726"/>
      <c r="G107" s="726"/>
      <c r="H107" s="731"/>
      <c r="I107" s="734"/>
      <c r="J107" s="734"/>
      <c r="K107" s="735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1"/>
      <c r="E110" s="721"/>
      <c r="G110" s="721" t="s">
        <v>274</v>
      </c>
      <c r="H110" s="721"/>
      <c r="I110" s="721"/>
      <c r="J110" s="721"/>
      <c r="K110" s="721"/>
      <c r="L110" s="721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15"/>
      <c r="O121" s="1215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2"/>
      <c r="D128" s="486"/>
      <c r="E128" s="722"/>
      <c r="F128" s="722"/>
      <c r="H128" s="722"/>
      <c r="I128" s="722"/>
      <c r="J128" s="722"/>
      <c r="K128" s="722"/>
      <c r="L128" s="722"/>
    </row>
    <row r="129" spans="2:12" ht="18">
      <c r="B129" s="722"/>
      <c r="C129" s="722"/>
      <c r="D129" s="722"/>
      <c r="E129" s="722"/>
      <c r="F129" s="466" t="s">
        <v>262</v>
      </c>
      <c r="G129" s="722"/>
      <c r="H129" s="722"/>
      <c r="I129" s="722"/>
      <c r="J129" s="722"/>
      <c r="K129" s="722"/>
      <c r="L129" s="722"/>
    </row>
    <row r="130" spans="2:12" ht="30">
      <c r="B130" s="723" t="s">
        <v>263</v>
      </c>
      <c r="C130" s="725" t="s">
        <v>22</v>
      </c>
      <c r="D130" s="725" t="s">
        <v>264</v>
      </c>
      <c r="E130" s="727" t="s">
        <v>265</v>
      </c>
      <c r="F130" s="728"/>
      <c r="G130" s="729"/>
      <c r="H130" s="730" t="s">
        <v>266</v>
      </c>
      <c r="I130" s="727" t="s">
        <v>267</v>
      </c>
      <c r="J130" s="728"/>
      <c r="K130" s="728"/>
      <c r="L130" s="728"/>
    </row>
    <row r="131" spans="2:12" ht="15">
      <c r="B131" s="724"/>
      <c r="C131" s="726"/>
      <c r="D131" s="726"/>
      <c r="E131" s="733" t="s">
        <v>268</v>
      </c>
      <c r="F131" s="725" t="s">
        <v>269</v>
      </c>
      <c r="G131" s="725" t="s">
        <v>270</v>
      </c>
      <c r="H131" s="731"/>
      <c r="I131" s="733" t="s">
        <v>271</v>
      </c>
      <c r="J131" s="733" t="s">
        <v>24</v>
      </c>
      <c r="K131" s="725" t="s">
        <v>272</v>
      </c>
      <c r="L131" s="732" t="s">
        <v>273</v>
      </c>
    </row>
    <row r="132" spans="2:12" ht="15">
      <c r="B132" s="724"/>
      <c r="C132" s="726"/>
      <c r="D132" s="726"/>
      <c r="E132" s="734"/>
      <c r="F132" s="726"/>
      <c r="G132" s="726"/>
      <c r="H132" s="731"/>
      <c r="I132" s="734"/>
      <c r="J132" s="734"/>
      <c r="K132" s="735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1"/>
      <c r="E135" s="721"/>
      <c r="G135" s="721" t="s">
        <v>274</v>
      </c>
      <c r="H135" s="721"/>
      <c r="I135" s="721"/>
      <c r="J135" s="721"/>
      <c r="K135" s="721"/>
      <c r="L135" s="721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15"/>
      <c r="O145" s="1215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2"/>
      <c r="D154" s="722"/>
      <c r="E154" s="722"/>
      <c r="F154" s="466" t="s">
        <v>262</v>
      </c>
      <c r="G154" s="722"/>
      <c r="H154" s="722"/>
      <c r="I154" s="722"/>
      <c r="J154" s="722"/>
      <c r="K154" s="722"/>
      <c r="L154" s="514"/>
    </row>
    <row r="155" spans="2:15" ht="30">
      <c r="B155" s="515" t="s">
        <v>263</v>
      </c>
      <c r="C155" s="725" t="s">
        <v>22</v>
      </c>
      <c r="D155" s="725" t="s">
        <v>264</v>
      </c>
      <c r="E155" s="727" t="s">
        <v>265</v>
      </c>
      <c r="F155" s="728"/>
      <c r="G155" s="729"/>
      <c r="H155" s="730" t="s">
        <v>266</v>
      </c>
      <c r="I155" s="727" t="s">
        <v>267</v>
      </c>
      <c r="J155" s="728"/>
      <c r="K155" s="728"/>
      <c r="L155" s="516"/>
    </row>
    <row r="156" spans="2:15" ht="15">
      <c r="B156" s="517"/>
      <c r="C156" s="726"/>
      <c r="D156" s="726"/>
      <c r="E156" s="733" t="s">
        <v>268</v>
      </c>
      <c r="F156" s="725" t="s">
        <v>269</v>
      </c>
      <c r="G156" s="725" t="s">
        <v>270</v>
      </c>
      <c r="H156" s="731"/>
      <c r="I156" s="733" t="s">
        <v>271</v>
      </c>
      <c r="J156" s="733" t="s">
        <v>24</v>
      </c>
      <c r="K156" s="725" t="s">
        <v>272</v>
      </c>
      <c r="L156" s="518" t="s">
        <v>273</v>
      </c>
    </row>
    <row r="157" spans="2:15" ht="15">
      <c r="B157" s="517"/>
      <c r="C157" s="726"/>
      <c r="D157" s="726"/>
      <c r="E157" s="734"/>
      <c r="F157" s="726"/>
      <c r="G157" s="726"/>
      <c r="H157" s="731"/>
      <c r="I157" s="734"/>
      <c r="J157" s="734"/>
      <c r="K157" s="735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1"/>
      <c r="E160" s="721"/>
      <c r="F160" s="525"/>
      <c r="G160" s="721" t="s">
        <v>274</v>
      </c>
      <c r="H160" s="721"/>
      <c r="I160" s="721"/>
      <c r="J160" s="721"/>
      <c r="K160" s="721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15"/>
      <c r="O171" s="1215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49" t="s">
        <v>299</v>
      </c>
      <c r="D177" s="1249"/>
      <c r="E177" s="1249"/>
      <c r="F177" s="1249"/>
      <c r="G177" s="1249"/>
      <c r="H177" s="1249"/>
      <c r="I177" s="1249"/>
      <c r="J177" s="1249"/>
      <c r="K177" s="1249"/>
      <c r="L177" s="1250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30" t="s">
        <v>263</v>
      </c>
      <c r="C194" s="1232" t="s">
        <v>22</v>
      </c>
      <c r="D194" s="1232" t="s">
        <v>264</v>
      </c>
      <c r="E194" s="1234" t="s">
        <v>265</v>
      </c>
      <c r="F194" s="1235"/>
      <c r="G194" s="1236"/>
      <c r="H194" s="1237" t="s">
        <v>266</v>
      </c>
      <c r="I194" s="1239" t="s">
        <v>267</v>
      </c>
      <c r="J194" s="1240"/>
      <c r="K194" s="1240"/>
      <c r="L194" s="1241"/>
    </row>
    <row r="195" spans="2:12" ht="12.75" customHeight="1">
      <c r="B195" s="1231"/>
      <c r="C195" s="1233"/>
      <c r="D195" s="1233"/>
      <c r="E195" s="1242" t="s">
        <v>268</v>
      </c>
      <c r="F195" s="1232" t="s">
        <v>269</v>
      </c>
      <c r="G195" s="1232" t="s">
        <v>270</v>
      </c>
      <c r="H195" s="1238"/>
      <c r="I195" s="1242" t="s">
        <v>271</v>
      </c>
      <c r="J195" s="1242" t="s">
        <v>24</v>
      </c>
      <c r="K195" s="1232" t="s">
        <v>272</v>
      </c>
      <c r="L195" s="1247" t="s">
        <v>273</v>
      </c>
    </row>
    <row r="196" spans="2:12" ht="12.75" customHeight="1">
      <c r="B196" s="1231"/>
      <c r="C196" s="1233"/>
      <c r="D196" s="1233"/>
      <c r="E196" s="1243"/>
      <c r="F196" s="1233"/>
      <c r="G196" s="1233"/>
      <c r="H196" s="1238"/>
      <c r="I196" s="1245"/>
      <c r="J196" s="1245"/>
      <c r="K196" s="1246"/>
      <c r="L196" s="1248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49" t="s">
        <v>300</v>
      </c>
      <c r="D199" s="1249"/>
      <c r="E199" s="1249"/>
      <c r="F199" s="1249"/>
      <c r="G199" s="1249"/>
      <c r="H199" s="1249"/>
      <c r="I199" s="1249"/>
      <c r="J199" s="1249"/>
      <c r="K199" s="1249"/>
      <c r="L199" s="1250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2"/>
      <c r="D232" s="486"/>
      <c r="E232" s="722"/>
      <c r="F232" s="722"/>
      <c r="H232" s="722"/>
      <c r="I232" s="722"/>
      <c r="J232" s="722"/>
      <c r="K232" s="722"/>
      <c r="L232" s="722"/>
    </row>
    <row r="233" spans="2:12" ht="18">
      <c r="B233" s="722"/>
      <c r="C233" s="722"/>
      <c r="D233" s="722"/>
      <c r="E233" s="722"/>
      <c r="F233" s="466" t="s">
        <v>262</v>
      </c>
      <c r="G233" s="722"/>
      <c r="H233" s="722"/>
      <c r="I233" s="722"/>
      <c r="J233" s="722"/>
      <c r="K233" s="722"/>
      <c r="L233" s="722"/>
    </row>
    <row r="234" spans="2:12" ht="12.75">
      <c r="B234" s="1253" t="s">
        <v>263</v>
      </c>
      <c r="C234" s="1232" t="s">
        <v>22</v>
      </c>
      <c r="D234" s="1232" t="s">
        <v>264</v>
      </c>
      <c r="E234" s="1234" t="s">
        <v>265</v>
      </c>
      <c r="F234" s="1235"/>
      <c r="G234" s="1236"/>
      <c r="H234" s="1237" t="s">
        <v>266</v>
      </c>
      <c r="I234" s="1234" t="s">
        <v>267</v>
      </c>
      <c r="J234" s="1235"/>
      <c r="K234" s="1235"/>
      <c r="L234" s="1235"/>
    </row>
    <row r="235" spans="2:12">
      <c r="B235" s="1254"/>
      <c r="C235" s="1233"/>
      <c r="D235" s="1233"/>
      <c r="E235" s="1242" t="s">
        <v>268</v>
      </c>
      <c r="F235" s="1232" t="s">
        <v>269</v>
      </c>
      <c r="G235" s="1232" t="s">
        <v>270</v>
      </c>
      <c r="H235" s="1238"/>
      <c r="I235" s="1242" t="s">
        <v>271</v>
      </c>
      <c r="J235" s="1242" t="s">
        <v>24</v>
      </c>
      <c r="K235" s="1232" t="s">
        <v>272</v>
      </c>
      <c r="L235" s="1239" t="s">
        <v>273</v>
      </c>
    </row>
    <row r="236" spans="2:12">
      <c r="B236" s="1254"/>
      <c r="C236" s="1233"/>
      <c r="D236" s="1233"/>
      <c r="E236" s="1243"/>
      <c r="F236" s="1233"/>
      <c r="G236" s="1233"/>
      <c r="H236" s="1238"/>
      <c r="I236" s="1243"/>
      <c r="J236" s="1243"/>
      <c r="K236" s="1233"/>
      <c r="L236" s="1251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52" t="s">
        <v>274</v>
      </c>
      <c r="D239" s="1252"/>
      <c r="E239" s="1252"/>
      <c r="F239" s="1252"/>
      <c r="G239" s="1252"/>
      <c r="H239" s="1252"/>
      <c r="I239" s="1252"/>
      <c r="J239" s="1252"/>
      <c r="K239" s="1252"/>
      <c r="L239" s="1252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49" t="s">
        <v>299</v>
      </c>
      <c r="D256" s="1249"/>
      <c r="E256" s="1249"/>
      <c r="F256" s="1249"/>
      <c r="G256" s="1249"/>
      <c r="H256" s="1249"/>
      <c r="I256" s="1249"/>
      <c r="J256" s="1249"/>
      <c r="K256" s="1249"/>
      <c r="L256" s="1249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55" t="s">
        <v>263</v>
      </c>
      <c r="C273" s="1232" t="s">
        <v>22</v>
      </c>
      <c r="D273" s="1232" t="s">
        <v>264</v>
      </c>
      <c r="E273" s="1234" t="s">
        <v>265</v>
      </c>
      <c r="F273" s="1235"/>
      <c r="G273" s="1236"/>
      <c r="H273" s="1237" t="s">
        <v>266</v>
      </c>
      <c r="I273" s="1239" t="s">
        <v>267</v>
      </c>
      <c r="J273" s="1240"/>
      <c r="K273" s="1240"/>
      <c r="L273" s="1240"/>
    </row>
    <row r="274" spans="2:12" ht="11.25" customHeight="1">
      <c r="B274" s="1256"/>
      <c r="C274" s="1233"/>
      <c r="D274" s="1233"/>
      <c r="E274" s="1242" t="s">
        <v>268</v>
      </c>
      <c r="F274" s="1232" t="s">
        <v>269</v>
      </c>
      <c r="G274" s="1232" t="s">
        <v>270</v>
      </c>
      <c r="H274" s="1238"/>
      <c r="I274" s="1242" t="s">
        <v>271</v>
      </c>
      <c r="J274" s="1242" t="s">
        <v>24</v>
      </c>
      <c r="K274" s="1232" t="s">
        <v>272</v>
      </c>
      <c r="L274" s="1239" t="s">
        <v>273</v>
      </c>
    </row>
    <row r="275" spans="2:12" ht="11.25" customHeight="1">
      <c r="B275" s="1256"/>
      <c r="C275" s="1233"/>
      <c r="D275" s="1233"/>
      <c r="E275" s="1243"/>
      <c r="F275" s="1233"/>
      <c r="G275" s="1233"/>
      <c r="H275" s="1238"/>
      <c r="I275" s="1245"/>
      <c r="J275" s="1245"/>
      <c r="K275" s="1246"/>
      <c r="L275" s="1251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49" t="s">
        <v>300</v>
      </c>
      <c r="D278" s="1249"/>
      <c r="E278" s="1249"/>
      <c r="F278" s="1249"/>
      <c r="G278" s="1249"/>
      <c r="H278" s="1249"/>
      <c r="I278" s="1249"/>
      <c r="J278" s="1249"/>
      <c r="K278" s="1249"/>
      <c r="L278" s="1249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2"/>
      <c r="D311" s="486"/>
      <c r="E311" s="722"/>
      <c r="F311" s="722"/>
      <c r="H311" s="722"/>
      <c r="I311" s="722"/>
      <c r="J311" s="722"/>
      <c r="K311" s="722"/>
      <c r="L311" s="722"/>
    </row>
    <row r="312" spans="2:12" ht="18">
      <c r="B312" s="722"/>
      <c r="C312" s="722"/>
      <c r="D312" s="722"/>
      <c r="E312" s="722"/>
      <c r="F312" s="466" t="s">
        <v>262</v>
      </c>
      <c r="G312" s="722"/>
      <c r="H312" s="722"/>
      <c r="I312" s="722"/>
      <c r="J312" s="722"/>
      <c r="K312" s="722"/>
      <c r="L312" s="722"/>
    </row>
    <row r="313" spans="2:12" ht="12.75" customHeight="1">
      <c r="B313" s="1242" t="s">
        <v>263</v>
      </c>
      <c r="C313" s="1232" t="s">
        <v>22</v>
      </c>
      <c r="D313" s="1232" t="s">
        <v>264</v>
      </c>
      <c r="E313" s="1234" t="s">
        <v>265</v>
      </c>
      <c r="F313" s="1235"/>
      <c r="G313" s="1236"/>
      <c r="H313" s="1232" t="s">
        <v>266</v>
      </c>
      <c r="I313" s="1234" t="s">
        <v>267</v>
      </c>
      <c r="J313" s="1235"/>
      <c r="K313" s="1235"/>
      <c r="L313" s="1236"/>
    </row>
    <row r="314" spans="2:12" ht="11.25" customHeight="1">
      <c r="B314" s="1243"/>
      <c r="C314" s="1233"/>
      <c r="D314" s="1233"/>
      <c r="E314" s="1259" t="s">
        <v>304</v>
      </c>
      <c r="F314" s="1262" t="s">
        <v>305</v>
      </c>
      <c r="G314" s="1262" t="s">
        <v>306</v>
      </c>
      <c r="H314" s="1233"/>
      <c r="I314" s="1242" t="s">
        <v>271</v>
      </c>
      <c r="J314" s="1242" t="s">
        <v>24</v>
      </c>
      <c r="K314" s="1232" t="s">
        <v>272</v>
      </c>
      <c r="L314" s="1242" t="s">
        <v>273</v>
      </c>
    </row>
    <row r="315" spans="2:12" ht="11.25" customHeight="1">
      <c r="B315" s="1245"/>
      <c r="C315" s="1246"/>
      <c r="D315" s="1246"/>
      <c r="E315" s="1261"/>
      <c r="F315" s="1263"/>
      <c r="G315" s="1263"/>
      <c r="H315" s="1246"/>
      <c r="I315" s="1245"/>
      <c r="J315" s="1245"/>
      <c r="K315" s="1246"/>
      <c r="L315" s="1245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3"/>
      <c r="C317" s="473"/>
      <c r="D317" s="473"/>
      <c r="E317" s="473"/>
      <c r="F317" s="473"/>
      <c r="G317" s="473"/>
      <c r="H317" s="473"/>
      <c r="I317" s="473"/>
      <c r="J317" s="473"/>
      <c r="K317" s="473"/>
      <c r="L317" s="778"/>
    </row>
    <row r="318" spans="2:12" ht="14.25">
      <c r="B318" s="784"/>
      <c r="C318" s="1252" t="s">
        <v>274</v>
      </c>
      <c r="D318" s="1252"/>
      <c r="E318" s="1252"/>
      <c r="F318" s="1252"/>
      <c r="G318" s="1252"/>
      <c r="H318" s="1252"/>
      <c r="I318" s="1252"/>
      <c r="J318" s="1252"/>
      <c r="K318" s="1252"/>
      <c r="L318" s="1265"/>
    </row>
    <row r="319" spans="2:12" ht="12.75">
      <c r="B319" s="783"/>
      <c r="C319" s="473"/>
      <c r="D319" s="473"/>
      <c r="E319" s="473"/>
      <c r="F319" s="473"/>
      <c r="G319" s="473"/>
      <c r="H319" s="473"/>
      <c r="I319" s="473"/>
      <c r="J319" s="473"/>
      <c r="K319" s="473"/>
      <c r="L319" s="778"/>
    </row>
    <row r="320" spans="2:12" ht="15">
      <c r="B320" s="785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5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5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5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5" t="s">
        <v>279</v>
      </c>
      <c r="C324" s="528">
        <v>139590</v>
      </c>
      <c r="D324" s="779">
        <v>4908</v>
      </c>
      <c r="E324" s="587">
        <v>2031</v>
      </c>
      <c r="F324" s="588">
        <v>2587</v>
      </c>
      <c r="G324" s="588">
        <v>290</v>
      </c>
      <c r="H324" s="779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5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5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5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5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6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6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6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87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88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4"/>
      <c r="C334" s="541"/>
      <c r="D334" s="541"/>
      <c r="E334" s="541"/>
      <c r="F334" s="541"/>
      <c r="G334" s="541"/>
      <c r="H334" s="541"/>
      <c r="I334" s="541"/>
      <c r="J334" s="541"/>
      <c r="K334" s="541"/>
      <c r="L334" s="780"/>
    </row>
    <row r="335" spans="2:12" ht="12.75">
      <c r="B335" s="784"/>
      <c r="C335" s="1249" t="s">
        <v>299</v>
      </c>
      <c r="D335" s="1249"/>
      <c r="E335" s="1249"/>
      <c r="F335" s="1249"/>
      <c r="G335" s="1249"/>
      <c r="H335" s="1249"/>
      <c r="I335" s="1249"/>
      <c r="J335" s="1249"/>
      <c r="K335" s="1249"/>
      <c r="L335" s="1266"/>
    </row>
    <row r="336" spans="2:12" ht="12.75">
      <c r="B336" s="783"/>
      <c r="C336" s="541"/>
      <c r="D336" s="541"/>
      <c r="E336" s="541"/>
      <c r="F336" s="541"/>
      <c r="G336" s="541"/>
      <c r="H336" s="541"/>
      <c r="I336" s="541"/>
      <c r="J336" s="541"/>
      <c r="K336" s="541"/>
      <c r="L336" s="780"/>
    </row>
    <row r="337" spans="2:12" ht="12.75">
      <c r="B337" s="789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89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89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89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89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89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89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89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89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89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89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89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4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88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90"/>
      <c r="C351" s="546"/>
      <c r="D351" s="546"/>
      <c r="E351" s="546"/>
      <c r="F351" s="546"/>
      <c r="G351" s="546"/>
      <c r="H351" s="546"/>
      <c r="I351" s="546"/>
      <c r="J351" s="546"/>
      <c r="K351" s="546"/>
      <c r="L351" s="781"/>
    </row>
    <row r="352" spans="2:12" ht="12.75" customHeight="1">
      <c r="B352" s="1257" t="s">
        <v>263</v>
      </c>
      <c r="C352" s="1232" t="s">
        <v>22</v>
      </c>
      <c r="D352" s="1232" t="s">
        <v>264</v>
      </c>
      <c r="E352" s="1234" t="s">
        <v>265</v>
      </c>
      <c r="F352" s="1235"/>
      <c r="G352" s="1236"/>
      <c r="H352" s="1237" t="s">
        <v>266</v>
      </c>
      <c r="I352" s="1239" t="s">
        <v>267</v>
      </c>
      <c r="J352" s="1240"/>
      <c r="K352" s="1240"/>
      <c r="L352" s="1253"/>
    </row>
    <row r="353" spans="2:12" ht="11.25" customHeight="1">
      <c r="B353" s="1258"/>
      <c r="C353" s="1233"/>
      <c r="D353" s="1233"/>
      <c r="E353" s="1259" t="s">
        <v>304</v>
      </c>
      <c r="F353" s="1262" t="s">
        <v>305</v>
      </c>
      <c r="G353" s="1262" t="s">
        <v>306</v>
      </c>
      <c r="H353" s="1238"/>
      <c r="I353" s="1242" t="s">
        <v>271</v>
      </c>
      <c r="J353" s="1242" t="s">
        <v>24</v>
      </c>
      <c r="K353" s="1232" t="s">
        <v>272</v>
      </c>
      <c r="L353" s="1242" t="s">
        <v>273</v>
      </c>
    </row>
    <row r="354" spans="2:12" ht="11.25" customHeight="1">
      <c r="B354" s="1258"/>
      <c r="C354" s="1233"/>
      <c r="D354" s="1233"/>
      <c r="E354" s="1260"/>
      <c r="F354" s="1264"/>
      <c r="G354" s="1264"/>
      <c r="H354" s="1238"/>
      <c r="I354" s="1245"/>
      <c r="J354" s="1245"/>
      <c r="K354" s="1246"/>
      <c r="L354" s="1245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3"/>
      <c r="C356" s="541"/>
      <c r="D356" s="541"/>
      <c r="E356" s="541"/>
      <c r="F356" s="541"/>
      <c r="G356" s="541"/>
      <c r="H356" s="541"/>
      <c r="I356" s="541"/>
      <c r="J356" s="541"/>
      <c r="K356" s="541"/>
      <c r="L356" s="780"/>
    </row>
    <row r="357" spans="2:12" ht="12.75">
      <c r="B357" s="784"/>
      <c r="C357" s="1249" t="s">
        <v>300</v>
      </c>
      <c r="D357" s="1249"/>
      <c r="E357" s="1249"/>
      <c r="F357" s="1249"/>
      <c r="G357" s="1249"/>
      <c r="H357" s="1249"/>
      <c r="I357" s="1249"/>
      <c r="J357" s="1249"/>
      <c r="K357" s="1249"/>
      <c r="L357" s="1266"/>
    </row>
    <row r="358" spans="2:12" ht="12.75">
      <c r="B358" s="784"/>
      <c r="C358" s="551"/>
      <c r="D358" s="551"/>
      <c r="E358" s="551"/>
      <c r="F358" s="551"/>
      <c r="G358" s="551"/>
      <c r="H358" s="551"/>
      <c r="I358" s="551"/>
      <c r="J358" s="551"/>
      <c r="K358" s="551"/>
      <c r="L358" s="782"/>
    </row>
    <row r="359" spans="2:12" ht="12.75">
      <c r="B359" s="789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89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89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89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89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89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89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89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89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89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89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89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4"/>
    </row>
    <row r="371" spans="2:16" ht="12.75">
      <c r="B371" s="789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88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328</v>
      </c>
    </row>
    <row r="393" spans="2:12" ht="12.75" customHeight="1">
      <c r="B393" s="1267" t="s">
        <v>263</v>
      </c>
      <c r="C393" s="1269" t="s">
        <v>22</v>
      </c>
      <c r="D393" s="1269" t="s">
        <v>264</v>
      </c>
      <c r="E393" s="1274" t="s">
        <v>265</v>
      </c>
      <c r="F393" s="1275"/>
      <c r="G393" s="1276"/>
      <c r="H393" s="1277" t="s">
        <v>266</v>
      </c>
      <c r="I393" s="1274" t="s">
        <v>267</v>
      </c>
      <c r="J393" s="1275"/>
      <c r="K393" s="1275"/>
      <c r="L393" s="1276"/>
    </row>
    <row r="394" spans="2:12" ht="11.25" customHeight="1">
      <c r="B394" s="1268"/>
      <c r="C394" s="1270"/>
      <c r="D394" s="1270"/>
      <c r="E394" s="1279" t="s">
        <v>304</v>
      </c>
      <c r="F394" s="1281" t="s">
        <v>305</v>
      </c>
      <c r="G394" s="1281" t="s">
        <v>306</v>
      </c>
      <c r="H394" s="1278"/>
      <c r="I394" s="1267" t="s">
        <v>271</v>
      </c>
      <c r="J394" s="1267" t="s">
        <v>24</v>
      </c>
      <c r="K394" s="1269" t="s">
        <v>272</v>
      </c>
      <c r="L394" s="1267" t="s">
        <v>273</v>
      </c>
    </row>
    <row r="395" spans="2:12" ht="11.25" customHeight="1">
      <c r="B395" s="1268"/>
      <c r="C395" s="1270"/>
      <c r="D395" s="1270"/>
      <c r="E395" s="1280"/>
      <c r="F395" s="1282"/>
      <c r="G395" s="1282"/>
      <c r="H395" s="1278"/>
      <c r="I395" s="1268"/>
      <c r="J395" s="1268"/>
      <c r="K395" s="1270"/>
      <c r="L395" s="1271"/>
    </row>
    <row r="396" spans="2:12" ht="12.75">
      <c r="B396" s="748">
        <v>0</v>
      </c>
      <c r="C396" s="747">
        <v>1</v>
      </c>
      <c r="D396" s="747">
        <v>2</v>
      </c>
      <c r="E396" s="748">
        <v>3</v>
      </c>
      <c r="F396" s="748">
        <v>4</v>
      </c>
      <c r="G396" s="747">
        <v>5</v>
      </c>
      <c r="H396" s="747">
        <v>6</v>
      </c>
      <c r="I396" s="747">
        <v>7</v>
      </c>
      <c r="J396" s="747">
        <v>8</v>
      </c>
      <c r="K396" s="749">
        <v>9</v>
      </c>
      <c r="L396" s="747">
        <v>10</v>
      </c>
    </row>
    <row r="397" spans="2:12" ht="12.75">
      <c r="B397" s="770"/>
      <c r="C397" s="750"/>
      <c r="D397" s="750"/>
      <c r="E397" s="750"/>
      <c r="F397" s="750"/>
      <c r="G397" s="750"/>
      <c r="H397" s="750"/>
      <c r="I397" s="750"/>
      <c r="J397" s="750"/>
      <c r="K397" s="750"/>
      <c r="L397" s="775"/>
    </row>
    <row r="398" spans="2:12" ht="14.25">
      <c r="B398" s="771"/>
      <c r="C398" s="1272" t="s">
        <v>274</v>
      </c>
      <c r="D398" s="1272"/>
      <c r="E398" s="1272"/>
      <c r="F398" s="1272"/>
      <c r="G398" s="1272"/>
      <c r="H398" s="1272"/>
      <c r="I398" s="1272"/>
      <c r="J398" s="1272"/>
      <c r="K398" s="1272"/>
      <c r="L398" s="1273"/>
    </row>
    <row r="399" spans="2:12" ht="12.75">
      <c r="B399" s="770"/>
      <c r="C399" s="750"/>
      <c r="D399" s="750"/>
      <c r="E399" s="750"/>
      <c r="F399" s="750"/>
      <c r="G399" s="750"/>
      <c r="H399" s="750"/>
      <c r="I399" s="750"/>
      <c r="J399" s="750"/>
      <c r="K399" s="750"/>
      <c r="L399" s="775"/>
    </row>
    <row r="400" spans="2:12" ht="12.75">
      <c r="B400" s="772" t="s">
        <v>275</v>
      </c>
      <c r="C400" s="751">
        <f>SUM(D400+H400)</f>
        <v>142019</v>
      </c>
      <c r="D400" s="751">
        <v>5112</v>
      </c>
      <c r="E400" s="751">
        <v>2410</v>
      </c>
      <c r="F400" s="751">
        <v>2274</v>
      </c>
      <c r="G400" s="751">
        <v>428</v>
      </c>
      <c r="H400" s="751">
        <v>136907</v>
      </c>
      <c r="I400" s="751">
        <v>21885</v>
      </c>
      <c r="J400" s="751">
        <v>43909</v>
      </c>
      <c r="K400" s="751">
        <v>71113</v>
      </c>
      <c r="L400" s="754">
        <v>0</v>
      </c>
    </row>
    <row r="401" spans="2:15" ht="12.75">
      <c r="B401" s="772" t="s">
        <v>276</v>
      </c>
      <c r="C401" s="751">
        <f t="shared" ref="C401:C405" si="10">SUM(D401+H401)</f>
        <v>137800</v>
      </c>
      <c r="D401" s="751">
        <v>4709</v>
      </c>
      <c r="E401" s="751">
        <v>2035</v>
      </c>
      <c r="F401" s="751">
        <v>2318</v>
      </c>
      <c r="G401" s="751">
        <v>356</v>
      </c>
      <c r="H401" s="751">
        <v>133091</v>
      </c>
      <c r="I401" s="751">
        <v>22712</v>
      </c>
      <c r="J401" s="751">
        <v>41741</v>
      </c>
      <c r="K401" s="751">
        <v>68638</v>
      </c>
      <c r="L401" s="754">
        <v>0</v>
      </c>
    </row>
    <row r="402" spans="2:15" ht="12.75">
      <c r="B402" s="772" t="s">
        <v>277</v>
      </c>
      <c r="C402" s="751">
        <f t="shared" si="10"/>
        <v>169805</v>
      </c>
      <c r="D402" s="752">
        <v>5406</v>
      </c>
      <c r="E402" s="752">
        <v>2609</v>
      </c>
      <c r="F402" s="752">
        <v>2592</v>
      </c>
      <c r="G402" s="753">
        <v>205</v>
      </c>
      <c r="H402" s="751">
        <v>164399</v>
      </c>
      <c r="I402" s="752">
        <v>28402</v>
      </c>
      <c r="J402" s="752">
        <v>50847</v>
      </c>
      <c r="K402" s="752">
        <v>85150</v>
      </c>
      <c r="L402" s="753">
        <v>0</v>
      </c>
      <c r="N402" s="751"/>
      <c r="O402" s="751"/>
    </row>
    <row r="403" spans="2:15" ht="12.75">
      <c r="B403" s="772" t="s">
        <v>278</v>
      </c>
      <c r="C403" s="751">
        <f>SUM(D403+H403)</f>
        <v>143826</v>
      </c>
      <c r="D403" s="751">
        <v>5957</v>
      </c>
      <c r="E403" s="754">
        <v>3079</v>
      </c>
      <c r="F403" s="754">
        <v>2627</v>
      </c>
      <c r="G403" s="751">
        <v>251</v>
      </c>
      <c r="H403" s="751">
        <v>137869</v>
      </c>
      <c r="I403" s="751">
        <v>21774</v>
      </c>
      <c r="J403" s="751">
        <v>43335</v>
      </c>
      <c r="K403" s="751">
        <v>72760</v>
      </c>
      <c r="L403" s="754">
        <v>0</v>
      </c>
      <c r="N403" s="751"/>
      <c r="O403" s="751"/>
    </row>
    <row r="404" spans="2:15" ht="12.75">
      <c r="B404" s="772" t="s">
        <v>279</v>
      </c>
      <c r="C404" s="751">
        <f>SUM(D404+H404)</f>
        <v>157519</v>
      </c>
      <c r="D404" s="776">
        <v>4757</v>
      </c>
      <c r="E404" s="715">
        <v>2322</v>
      </c>
      <c r="F404" s="717">
        <v>2142</v>
      </c>
      <c r="G404" s="717">
        <v>293</v>
      </c>
      <c r="H404" s="776">
        <v>152762</v>
      </c>
      <c r="I404" s="715">
        <v>24428</v>
      </c>
      <c r="J404" s="715">
        <v>42846</v>
      </c>
      <c r="K404" s="717">
        <v>85488</v>
      </c>
      <c r="L404" s="754">
        <v>0</v>
      </c>
      <c r="N404" s="804"/>
      <c r="O404" s="804"/>
    </row>
    <row r="405" spans="2:15" ht="12.75">
      <c r="B405" s="772" t="s">
        <v>280</v>
      </c>
      <c r="C405" s="751">
        <f t="shared" si="10"/>
        <v>167380</v>
      </c>
      <c r="D405" s="751">
        <v>5640</v>
      </c>
      <c r="E405" s="754">
        <v>2230</v>
      </c>
      <c r="F405" s="754">
        <v>3183</v>
      </c>
      <c r="G405" s="751">
        <v>227</v>
      </c>
      <c r="H405" s="751">
        <v>161740</v>
      </c>
      <c r="I405" s="751">
        <v>29820</v>
      </c>
      <c r="J405" s="751">
        <v>51196</v>
      </c>
      <c r="K405" s="751">
        <v>80724</v>
      </c>
      <c r="L405" s="754">
        <v>0</v>
      </c>
    </row>
    <row r="406" spans="2:15" ht="12.75">
      <c r="B406" s="772" t="s">
        <v>281</v>
      </c>
      <c r="C406" s="751">
        <f>SUM(D406+H406)</f>
        <v>171735</v>
      </c>
      <c r="D406" s="777">
        <v>5424</v>
      </c>
      <c r="E406" s="752">
        <v>2254</v>
      </c>
      <c r="F406" s="753">
        <v>2901</v>
      </c>
      <c r="G406" s="753">
        <v>269</v>
      </c>
      <c r="H406" s="751">
        <v>166311</v>
      </c>
      <c r="I406" s="752">
        <v>29103</v>
      </c>
      <c r="J406" s="752">
        <v>53333</v>
      </c>
      <c r="K406" s="752">
        <v>83875</v>
      </c>
      <c r="L406" s="753">
        <v>0</v>
      </c>
    </row>
    <row r="407" spans="2:15" ht="12.75">
      <c r="B407" s="772" t="s">
        <v>282</v>
      </c>
      <c r="C407" s="751">
        <v>169404</v>
      </c>
      <c r="D407" s="777">
        <v>5064</v>
      </c>
      <c r="E407" s="752">
        <v>2316</v>
      </c>
      <c r="F407" s="752">
        <v>2611</v>
      </c>
      <c r="G407" s="753">
        <v>137</v>
      </c>
      <c r="H407" s="751">
        <v>164340</v>
      </c>
      <c r="I407" s="752">
        <v>25228</v>
      </c>
      <c r="J407" s="752">
        <v>52498</v>
      </c>
      <c r="K407" s="752">
        <v>86614</v>
      </c>
      <c r="L407" s="753">
        <v>0</v>
      </c>
    </row>
    <row r="408" spans="2:15" ht="12.75">
      <c r="B408" s="772" t="s">
        <v>283</v>
      </c>
      <c r="C408" s="751">
        <v>172982</v>
      </c>
      <c r="D408" s="751">
        <v>6274</v>
      </c>
      <c r="E408" s="754">
        <v>2518</v>
      </c>
      <c r="F408" s="754">
        <v>3121</v>
      </c>
      <c r="G408" s="751">
        <v>635</v>
      </c>
      <c r="H408" s="751">
        <v>166708</v>
      </c>
      <c r="I408" s="751">
        <v>26444</v>
      </c>
      <c r="J408" s="751">
        <v>56017</v>
      </c>
      <c r="K408" s="751">
        <v>84247</v>
      </c>
      <c r="L408" s="754">
        <v>0</v>
      </c>
    </row>
    <row r="409" spans="2:15" ht="12.75">
      <c r="B409" s="772" t="s">
        <v>284</v>
      </c>
      <c r="C409" s="751">
        <v>178724</v>
      </c>
      <c r="D409" s="777">
        <v>5649</v>
      </c>
      <c r="E409" s="752">
        <v>2339</v>
      </c>
      <c r="F409" s="752">
        <v>2939</v>
      </c>
      <c r="G409" s="752">
        <v>371</v>
      </c>
      <c r="H409" s="754">
        <v>173075</v>
      </c>
      <c r="I409" s="752">
        <v>27983</v>
      </c>
      <c r="J409" s="752">
        <v>60272</v>
      </c>
      <c r="K409" s="752">
        <v>84820</v>
      </c>
      <c r="L409" s="753">
        <v>0</v>
      </c>
    </row>
    <row r="410" spans="2:15" ht="12.75">
      <c r="B410" s="772" t="s">
        <v>285</v>
      </c>
      <c r="C410" s="751">
        <f>SUM(D410+H410)</f>
        <v>169376</v>
      </c>
      <c r="D410" s="752">
        <v>4663</v>
      </c>
      <c r="E410" s="752">
        <v>2074</v>
      </c>
      <c r="F410" s="752">
        <v>2336</v>
      </c>
      <c r="G410" s="752">
        <v>253</v>
      </c>
      <c r="H410" s="752">
        <v>164713</v>
      </c>
      <c r="I410" s="752">
        <v>26084</v>
      </c>
      <c r="J410" s="752">
        <v>57837</v>
      </c>
      <c r="K410" s="752">
        <v>80792</v>
      </c>
      <c r="L410" s="752">
        <v>0</v>
      </c>
    </row>
    <row r="411" spans="2:15" ht="12.75">
      <c r="B411" s="772" t="s">
        <v>286</v>
      </c>
      <c r="C411" s="751">
        <f t="shared" ref="C411" si="11">SUM(D411+H411)</f>
        <v>152498</v>
      </c>
      <c r="D411" s="752">
        <v>5089</v>
      </c>
      <c r="E411" s="752">
        <v>2321</v>
      </c>
      <c r="F411" s="752">
        <v>2452</v>
      </c>
      <c r="G411" s="752">
        <v>316</v>
      </c>
      <c r="H411" s="752">
        <v>147409</v>
      </c>
      <c r="I411" s="752">
        <v>22785</v>
      </c>
      <c r="J411" s="752">
        <v>48292</v>
      </c>
      <c r="K411" s="752">
        <v>76332</v>
      </c>
      <c r="L411" s="752">
        <v>0</v>
      </c>
    </row>
    <row r="412" spans="2:15" ht="15">
      <c r="B412" s="774"/>
      <c r="C412" s="754"/>
      <c r="D412" s="754"/>
      <c r="E412" s="754"/>
      <c r="F412" s="754"/>
      <c r="G412" s="754"/>
      <c r="H412" s="754"/>
      <c r="I412" s="754"/>
      <c r="J412" s="754"/>
      <c r="K412" s="754"/>
      <c r="L412" s="767"/>
    </row>
    <row r="413" spans="2:15" ht="12.75">
      <c r="B413" s="773">
        <v>2017</v>
      </c>
      <c r="C413" s="755">
        <f t="shared" ref="C413:K413" si="12">SUM(C400:C411)</f>
        <v>1933068</v>
      </c>
      <c r="D413" s="755">
        <f>SUM(D400:D411)</f>
        <v>63744</v>
      </c>
      <c r="E413" s="755">
        <f t="shared" si="12"/>
        <v>28507</v>
      </c>
      <c r="F413" s="755">
        <f t="shared" si="12"/>
        <v>31496</v>
      </c>
      <c r="G413" s="755">
        <f>SUM(G400:G411)</f>
        <v>3741</v>
      </c>
      <c r="H413" s="755">
        <f t="shared" si="12"/>
        <v>1869324</v>
      </c>
      <c r="I413" s="755">
        <f t="shared" si="12"/>
        <v>306648</v>
      </c>
      <c r="J413" s="755">
        <f t="shared" si="12"/>
        <v>602123</v>
      </c>
      <c r="K413" s="755">
        <f t="shared" si="12"/>
        <v>960553</v>
      </c>
      <c r="L413" s="755">
        <f>SUM(L400:L411)</f>
        <v>0</v>
      </c>
    </row>
    <row r="414" spans="2:15" ht="12.75">
      <c r="B414" s="771"/>
      <c r="C414" s="756"/>
      <c r="D414" s="756"/>
      <c r="E414" s="756"/>
      <c r="F414" s="756"/>
      <c r="G414" s="756"/>
      <c r="H414" s="756"/>
      <c r="I414" s="756"/>
      <c r="J414" s="756"/>
      <c r="K414" s="756"/>
      <c r="L414" s="768"/>
    </row>
    <row r="415" spans="2:15" ht="12.75">
      <c r="B415" s="771"/>
      <c r="C415" s="1283" t="s">
        <v>299</v>
      </c>
      <c r="D415" s="1283"/>
      <c r="E415" s="1283"/>
      <c r="F415" s="1283"/>
      <c r="G415" s="1283"/>
      <c r="H415" s="1283"/>
      <c r="I415" s="1283"/>
      <c r="J415" s="1283"/>
      <c r="K415" s="1283"/>
      <c r="L415" s="1284"/>
    </row>
    <row r="416" spans="2:15" ht="12.75">
      <c r="B416" s="770"/>
      <c r="C416" s="756"/>
      <c r="D416" s="756"/>
      <c r="E416" s="756"/>
      <c r="F416" s="756"/>
      <c r="G416" s="756"/>
      <c r="H416" s="756"/>
      <c r="I416" s="756"/>
      <c r="J416" s="756"/>
      <c r="K416" s="756"/>
      <c r="L416" s="768"/>
    </row>
    <row r="417" spans="2:12" ht="12.75">
      <c r="B417" s="772" t="s">
        <v>275</v>
      </c>
      <c r="C417" s="751">
        <f t="shared" ref="C417:C423" si="13">SUM(D417+H417)</f>
        <v>41284749</v>
      </c>
      <c r="D417" s="751">
        <v>258614</v>
      </c>
      <c r="E417" s="751">
        <v>82064</v>
      </c>
      <c r="F417" s="751">
        <v>124018</v>
      </c>
      <c r="G417" s="751">
        <v>52532</v>
      </c>
      <c r="H417" s="751">
        <v>41026135</v>
      </c>
      <c r="I417" s="751">
        <v>5754367</v>
      </c>
      <c r="J417" s="751">
        <v>11777688</v>
      </c>
      <c r="K417" s="751">
        <v>23494080</v>
      </c>
      <c r="L417" s="751">
        <v>0</v>
      </c>
    </row>
    <row r="418" spans="2:12" ht="12.75">
      <c r="B418" s="772" t="s">
        <v>276</v>
      </c>
      <c r="C418" s="751">
        <f t="shared" si="13"/>
        <v>39885929</v>
      </c>
      <c r="D418" s="751">
        <v>248053</v>
      </c>
      <c r="E418" s="751">
        <v>69467</v>
      </c>
      <c r="F418" s="751">
        <v>130095</v>
      </c>
      <c r="G418" s="751">
        <v>48491</v>
      </c>
      <c r="H418" s="751">
        <v>39637876</v>
      </c>
      <c r="I418" s="751">
        <v>5869144</v>
      </c>
      <c r="J418" s="751">
        <v>11348293</v>
      </c>
      <c r="K418" s="751">
        <v>22420439</v>
      </c>
      <c r="L418" s="751">
        <v>0</v>
      </c>
    </row>
    <row r="419" spans="2:12" ht="12.75">
      <c r="B419" s="772" t="s">
        <v>277</v>
      </c>
      <c r="C419" s="751">
        <f t="shared" si="13"/>
        <v>49565417</v>
      </c>
      <c r="D419" s="752">
        <v>279950</v>
      </c>
      <c r="E419" s="752">
        <v>90328</v>
      </c>
      <c r="F419" s="752">
        <v>159641</v>
      </c>
      <c r="G419" s="753">
        <v>29981</v>
      </c>
      <c r="H419" s="751">
        <v>49285467</v>
      </c>
      <c r="I419" s="752">
        <v>7544830</v>
      </c>
      <c r="J419" s="752">
        <v>13676720</v>
      </c>
      <c r="K419" s="752">
        <v>28063917</v>
      </c>
      <c r="L419" s="753">
        <v>0</v>
      </c>
    </row>
    <row r="420" spans="2:12" ht="12.75">
      <c r="B420" s="772" t="s">
        <v>278</v>
      </c>
      <c r="C420" s="751">
        <f t="shared" si="13"/>
        <v>41822512</v>
      </c>
      <c r="D420" s="751">
        <v>297950</v>
      </c>
      <c r="E420" s="754">
        <v>106177</v>
      </c>
      <c r="F420" s="754">
        <v>154822</v>
      </c>
      <c r="G420" s="751">
        <v>36951</v>
      </c>
      <c r="H420" s="751">
        <v>41524562</v>
      </c>
      <c r="I420" s="751">
        <v>5781070</v>
      </c>
      <c r="J420" s="751">
        <v>11588848</v>
      </c>
      <c r="K420" s="751">
        <v>24154644</v>
      </c>
      <c r="L420" s="751">
        <v>0</v>
      </c>
    </row>
    <row r="421" spans="2:12" ht="12.75">
      <c r="B421" s="772" t="s">
        <v>279</v>
      </c>
      <c r="C421" s="751">
        <f t="shared" si="13"/>
        <v>47073682</v>
      </c>
      <c r="D421" s="715">
        <v>258829</v>
      </c>
      <c r="E421" s="715">
        <v>84615</v>
      </c>
      <c r="F421" s="715">
        <v>129240</v>
      </c>
      <c r="G421" s="715">
        <v>44974</v>
      </c>
      <c r="H421" s="715">
        <v>46814853</v>
      </c>
      <c r="I421" s="715">
        <v>6502594</v>
      </c>
      <c r="J421" s="715">
        <v>11727296</v>
      </c>
      <c r="K421" s="715">
        <v>28584963</v>
      </c>
      <c r="L421" s="751">
        <v>0</v>
      </c>
    </row>
    <row r="422" spans="2:12" ht="12.75">
      <c r="B422" s="772" t="s">
        <v>280</v>
      </c>
      <c r="C422" s="751">
        <f t="shared" si="13"/>
        <v>48420690</v>
      </c>
      <c r="D422" s="751">
        <v>290566</v>
      </c>
      <c r="E422" s="754">
        <v>79673</v>
      </c>
      <c r="F422" s="754">
        <v>178876</v>
      </c>
      <c r="G422" s="751">
        <v>32017</v>
      </c>
      <c r="H422" s="751">
        <v>48130124</v>
      </c>
      <c r="I422" s="751">
        <v>7982252</v>
      </c>
      <c r="J422" s="751">
        <v>13825867</v>
      </c>
      <c r="K422" s="751">
        <v>26322005</v>
      </c>
      <c r="L422" s="751">
        <v>0</v>
      </c>
    </row>
    <row r="423" spans="2:12" ht="12.75">
      <c r="B423" s="772" t="s">
        <v>281</v>
      </c>
      <c r="C423" s="751">
        <f t="shared" si="13"/>
        <v>49583982</v>
      </c>
      <c r="D423" s="752">
        <v>288103</v>
      </c>
      <c r="E423" s="752">
        <v>81207</v>
      </c>
      <c r="F423" s="752">
        <v>167580</v>
      </c>
      <c r="G423" s="753">
        <v>39316</v>
      </c>
      <c r="H423" s="751">
        <v>49295879</v>
      </c>
      <c r="I423" s="752">
        <v>7692900</v>
      </c>
      <c r="J423" s="752">
        <v>14162171</v>
      </c>
      <c r="K423" s="752">
        <v>27440808</v>
      </c>
      <c r="L423" s="753">
        <v>0</v>
      </c>
    </row>
    <row r="424" spans="2:12" ht="12.75">
      <c r="B424" s="772" t="s">
        <v>282</v>
      </c>
      <c r="C424" s="751">
        <v>49308554</v>
      </c>
      <c r="D424" s="752">
        <v>248689</v>
      </c>
      <c r="E424" s="752">
        <v>84427</v>
      </c>
      <c r="F424" s="752">
        <v>146773</v>
      </c>
      <c r="G424" s="753">
        <v>17489</v>
      </c>
      <c r="H424" s="751">
        <v>49059865</v>
      </c>
      <c r="I424" s="752">
        <v>6595512</v>
      </c>
      <c r="J424" s="752">
        <v>13787237</v>
      </c>
      <c r="K424" s="752">
        <v>28677116</v>
      </c>
      <c r="L424" s="753">
        <v>0</v>
      </c>
    </row>
    <row r="425" spans="2:12" ht="12.75">
      <c r="B425" s="772" t="s">
        <v>283</v>
      </c>
      <c r="C425" s="751">
        <v>49438456</v>
      </c>
      <c r="D425" s="752">
        <v>345800</v>
      </c>
      <c r="E425" s="752">
        <v>89061</v>
      </c>
      <c r="F425" s="752">
        <v>167893</v>
      </c>
      <c r="G425" s="753">
        <v>88846</v>
      </c>
      <c r="H425" s="751">
        <v>49092656</v>
      </c>
      <c r="I425" s="752">
        <v>6815830</v>
      </c>
      <c r="J425" s="752">
        <v>14849864</v>
      </c>
      <c r="K425" s="752">
        <v>27426962</v>
      </c>
      <c r="L425" s="753">
        <v>0</v>
      </c>
    </row>
    <row r="426" spans="2:12" ht="12.75">
      <c r="B426" s="772" t="s">
        <v>284</v>
      </c>
      <c r="C426" s="751">
        <v>50346027</v>
      </c>
      <c r="D426" s="752">
        <v>295352</v>
      </c>
      <c r="E426" s="752">
        <v>84726</v>
      </c>
      <c r="F426" s="752">
        <v>167445</v>
      </c>
      <c r="G426" s="752">
        <v>43181</v>
      </c>
      <c r="H426" s="754">
        <v>50050675</v>
      </c>
      <c r="I426" s="752">
        <v>7132124</v>
      </c>
      <c r="J426" s="752">
        <v>15718038</v>
      </c>
      <c r="K426" s="752">
        <v>27200513</v>
      </c>
      <c r="L426" s="753">
        <v>0</v>
      </c>
    </row>
    <row r="427" spans="2:12" ht="12.75">
      <c r="B427" s="772" t="s">
        <v>285</v>
      </c>
      <c r="C427" s="751">
        <f t="shared" ref="C427:C428" si="14">SUM(D427+H427)</f>
        <v>48798626</v>
      </c>
      <c r="D427" s="752">
        <v>261198</v>
      </c>
      <c r="E427" s="752">
        <v>70669</v>
      </c>
      <c r="F427" s="752">
        <v>148982</v>
      </c>
      <c r="G427" s="752">
        <v>41547</v>
      </c>
      <c r="H427" s="752">
        <v>48537428</v>
      </c>
      <c r="I427" s="752">
        <v>6751971</v>
      </c>
      <c r="J427" s="752">
        <v>15640889</v>
      </c>
      <c r="K427" s="752">
        <v>26144568</v>
      </c>
      <c r="L427" s="752">
        <v>0</v>
      </c>
    </row>
    <row r="428" spans="2:12" ht="12.75">
      <c r="B428" s="772" t="s">
        <v>286</v>
      </c>
      <c r="C428" s="751">
        <f t="shared" si="14"/>
        <v>43494618</v>
      </c>
      <c r="D428" s="752">
        <v>256297</v>
      </c>
      <c r="E428" s="752">
        <v>77163</v>
      </c>
      <c r="F428" s="752">
        <v>143113</v>
      </c>
      <c r="G428" s="752">
        <v>36021</v>
      </c>
      <c r="H428" s="752">
        <v>43238321</v>
      </c>
      <c r="I428" s="752">
        <v>5912817</v>
      </c>
      <c r="J428" s="752">
        <v>12978598</v>
      </c>
      <c r="K428" s="752">
        <v>24346906</v>
      </c>
      <c r="L428" s="752">
        <v>0</v>
      </c>
    </row>
    <row r="429" spans="2:12" ht="12.75">
      <c r="B429" s="771"/>
      <c r="C429" s="754"/>
      <c r="D429" s="754"/>
      <c r="E429" s="754"/>
      <c r="F429" s="754"/>
      <c r="G429" s="754"/>
      <c r="H429" s="754"/>
      <c r="I429" s="754"/>
      <c r="J429" s="754"/>
      <c r="K429" s="754"/>
      <c r="L429" s="751"/>
    </row>
    <row r="430" spans="2:12" ht="12.75">
      <c r="B430" s="773">
        <v>2017</v>
      </c>
      <c r="C430" s="755">
        <f t="shared" ref="C430:L430" si="15">SUM(C417:C428)</f>
        <v>559023242</v>
      </c>
      <c r="D430" s="755">
        <f t="shared" si="15"/>
        <v>3329401</v>
      </c>
      <c r="E430" s="755">
        <f t="shared" si="15"/>
        <v>999577</v>
      </c>
      <c r="F430" s="755">
        <f t="shared" si="15"/>
        <v>1818478</v>
      </c>
      <c r="G430" s="755">
        <f t="shared" si="15"/>
        <v>511346</v>
      </c>
      <c r="H430" s="755">
        <f t="shared" si="15"/>
        <v>555693841</v>
      </c>
      <c r="I430" s="755">
        <f t="shared" si="15"/>
        <v>80335411</v>
      </c>
      <c r="J430" s="755">
        <f t="shared" si="15"/>
        <v>161081509</v>
      </c>
      <c r="K430" s="755">
        <f t="shared" si="15"/>
        <v>314276921</v>
      </c>
      <c r="L430" s="755">
        <f t="shared" si="15"/>
        <v>0</v>
      </c>
    </row>
    <row r="431" spans="2:12" ht="12.75">
      <c r="B431" s="757"/>
      <c r="C431" s="758"/>
      <c r="D431" s="758"/>
      <c r="E431" s="758"/>
      <c r="F431" s="758"/>
      <c r="G431" s="758"/>
      <c r="H431" s="758"/>
      <c r="I431" s="758"/>
      <c r="J431" s="758"/>
      <c r="K431" s="758"/>
      <c r="L431" s="758"/>
    </row>
    <row r="432" spans="2:12" ht="12.75" customHeight="1">
      <c r="B432" s="1285" t="s">
        <v>263</v>
      </c>
      <c r="C432" s="1269" t="s">
        <v>22</v>
      </c>
      <c r="D432" s="1269" t="s">
        <v>264</v>
      </c>
      <c r="E432" s="1274" t="s">
        <v>265</v>
      </c>
      <c r="F432" s="1275"/>
      <c r="G432" s="1276"/>
      <c r="H432" s="1277" t="s">
        <v>266</v>
      </c>
      <c r="I432" s="1287" t="s">
        <v>267</v>
      </c>
      <c r="J432" s="1288"/>
      <c r="K432" s="1288"/>
      <c r="L432" s="1289"/>
    </row>
    <row r="433" spans="2:12" ht="11.25" customHeight="1">
      <c r="B433" s="1286"/>
      <c r="C433" s="1270"/>
      <c r="D433" s="1270"/>
      <c r="E433" s="1279" t="s">
        <v>304</v>
      </c>
      <c r="F433" s="1281" t="s">
        <v>305</v>
      </c>
      <c r="G433" s="1281" t="s">
        <v>306</v>
      </c>
      <c r="H433" s="1278"/>
      <c r="I433" s="1267" t="s">
        <v>271</v>
      </c>
      <c r="J433" s="1267" t="s">
        <v>24</v>
      </c>
      <c r="K433" s="1269" t="s">
        <v>272</v>
      </c>
      <c r="L433" s="1267" t="s">
        <v>273</v>
      </c>
    </row>
    <row r="434" spans="2:12" ht="11.25" customHeight="1">
      <c r="B434" s="1286"/>
      <c r="C434" s="1270"/>
      <c r="D434" s="1270"/>
      <c r="E434" s="1280"/>
      <c r="F434" s="1282"/>
      <c r="G434" s="1282"/>
      <c r="H434" s="1278"/>
      <c r="I434" s="1271"/>
      <c r="J434" s="1271"/>
      <c r="K434" s="1290"/>
      <c r="L434" s="1271"/>
    </row>
    <row r="435" spans="2:12" ht="12.75">
      <c r="B435" s="748">
        <v>0</v>
      </c>
      <c r="C435" s="759">
        <v>1</v>
      </c>
      <c r="D435" s="759">
        <v>2</v>
      </c>
      <c r="E435" s="760">
        <v>3</v>
      </c>
      <c r="F435" s="760">
        <v>4</v>
      </c>
      <c r="G435" s="759">
        <v>5</v>
      </c>
      <c r="H435" s="759">
        <v>6</v>
      </c>
      <c r="I435" s="759">
        <v>7</v>
      </c>
      <c r="J435" s="759">
        <v>8</v>
      </c>
      <c r="K435" s="759">
        <v>9</v>
      </c>
      <c r="L435" s="759">
        <v>10</v>
      </c>
    </row>
    <row r="436" spans="2:12" ht="12.75">
      <c r="B436" s="770"/>
      <c r="C436" s="756"/>
      <c r="D436" s="756"/>
      <c r="E436" s="756"/>
      <c r="F436" s="756"/>
      <c r="G436" s="756"/>
      <c r="H436" s="756"/>
      <c r="I436" s="756"/>
      <c r="J436" s="756"/>
      <c r="K436" s="756"/>
      <c r="L436" s="768"/>
    </row>
    <row r="437" spans="2:12" ht="12.75">
      <c r="B437" s="771"/>
      <c r="C437" s="1283" t="s">
        <v>300</v>
      </c>
      <c r="D437" s="1283"/>
      <c r="E437" s="1283"/>
      <c r="F437" s="1283"/>
      <c r="G437" s="1283"/>
      <c r="H437" s="1283"/>
      <c r="I437" s="1283"/>
      <c r="J437" s="1283"/>
      <c r="K437" s="1283"/>
      <c r="L437" s="1284"/>
    </row>
    <row r="438" spans="2:12" ht="12.75">
      <c r="B438" s="771"/>
      <c r="C438" s="761"/>
      <c r="D438" s="761"/>
      <c r="E438" s="761"/>
      <c r="F438" s="761"/>
      <c r="G438" s="761"/>
      <c r="H438" s="761"/>
      <c r="I438" s="761"/>
      <c r="J438" s="761"/>
      <c r="K438" s="761"/>
      <c r="L438" s="769"/>
    </row>
    <row r="439" spans="2:12" ht="12.75">
      <c r="B439" s="772" t="s">
        <v>275</v>
      </c>
      <c r="C439" s="751">
        <f>SUM(D439+H439)</f>
        <v>82047763</v>
      </c>
      <c r="D439" s="751">
        <v>445114</v>
      </c>
      <c r="E439" s="751">
        <v>144107</v>
      </c>
      <c r="F439" s="751">
        <v>212420</v>
      </c>
      <c r="G439" s="751">
        <v>88587</v>
      </c>
      <c r="H439" s="751">
        <v>81602649</v>
      </c>
      <c r="I439" s="751">
        <v>11433324</v>
      </c>
      <c r="J439" s="751">
        <v>24279425</v>
      </c>
      <c r="K439" s="751">
        <v>45889900</v>
      </c>
      <c r="L439" s="751">
        <v>0</v>
      </c>
    </row>
    <row r="440" spans="2:12" ht="12.75">
      <c r="B440" s="772" t="s">
        <v>276</v>
      </c>
      <c r="C440" s="751">
        <f t="shared" ref="C440:C444" si="16">SUM(D440+H440)</f>
        <v>79287813</v>
      </c>
      <c r="D440" s="751">
        <v>431200</v>
      </c>
      <c r="E440" s="751">
        <v>121487</v>
      </c>
      <c r="F440" s="751">
        <v>225727</v>
      </c>
      <c r="G440" s="751">
        <v>83986</v>
      </c>
      <c r="H440" s="751">
        <v>78856613</v>
      </c>
      <c r="I440" s="751">
        <v>11712359</v>
      </c>
      <c r="J440" s="751">
        <v>23159515</v>
      </c>
      <c r="K440" s="751">
        <v>43984739</v>
      </c>
      <c r="L440" s="751">
        <v>0</v>
      </c>
    </row>
    <row r="441" spans="2:12" ht="12.75">
      <c r="B441" s="772" t="s">
        <v>277</v>
      </c>
      <c r="C441" s="751">
        <f t="shared" si="16"/>
        <v>98808454</v>
      </c>
      <c r="D441" s="752">
        <v>475895</v>
      </c>
      <c r="E441" s="752">
        <v>153902</v>
      </c>
      <c r="F441" s="752">
        <v>271849</v>
      </c>
      <c r="G441" s="753">
        <v>50144</v>
      </c>
      <c r="H441" s="751">
        <v>98332559</v>
      </c>
      <c r="I441" s="752">
        <v>15012576</v>
      </c>
      <c r="J441" s="752">
        <v>28202934</v>
      </c>
      <c r="K441" s="752">
        <v>55117049</v>
      </c>
      <c r="L441" s="753">
        <v>0</v>
      </c>
    </row>
    <row r="442" spans="2:12" ht="12.75">
      <c r="B442" s="772" t="s">
        <v>278</v>
      </c>
      <c r="C442" s="751">
        <f t="shared" si="16"/>
        <v>83378440</v>
      </c>
      <c r="D442" s="751">
        <v>506953</v>
      </c>
      <c r="E442" s="754">
        <v>180973</v>
      </c>
      <c r="F442" s="754">
        <v>263009</v>
      </c>
      <c r="G442" s="754">
        <v>62971</v>
      </c>
      <c r="H442" s="751">
        <v>82871487</v>
      </c>
      <c r="I442" s="754">
        <v>11495417</v>
      </c>
      <c r="J442" s="754">
        <v>23956645</v>
      </c>
      <c r="K442" s="754">
        <v>47419425</v>
      </c>
      <c r="L442" s="754">
        <v>0</v>
      </c>
    </row>
    <row r="443" spans="2:12" ht="12.75">
      <c r="B443" s="772" t="s">
        <v>279</v>
      </c>
      <c r="C443" s="751">
        <f t="shared" si="16"/>
        <v>93901078</v>
      </c>
      <c r="D443" s="715">
        <v>444824</v>
      </c>
      <c r="E443" s="715">
        <v>145798</v>
      </c>
      <c r="F443" s="715">
        <v>221921</v>
      </c>
      <c r="G443" s="715">
        <v>77105</v>
      </c>
      <c r="H443" s="715">
        <v>93456254</v>
      </c>
      <c r="I443" s="716">
        <v>12989301</v>
      </c>
      <c r="J443" s="715">
        <v>24252314</v>
      </c>
      <c r="K443" s="715">
        <v>56214639</v>
      </c>
      <c r="L443" s="717">
        <v>0</v>
      </c>
    </row>
    <row r="444" spans="2:12" ht="12.75">
      <c r="B444" s="772" t="s">
        <v>280</v>
      </c>
      <c r="C444" s="751">
        <f t="shared" si="16"/>
        <v>97715871</v>
      </c>
      <c r="D444" s="751">
        <v>501090</v>
      </c>
      <c r="E444" s="754">
        <v>136122</v>
      </c>
      <c r="F444" s="754">
        <v>308716</v>
      </c>
      <c r="G444" s="754">
        <v>56252</v>
      </c>
      <c r="H444" s="751">
        <v>97214781</v>
      </c>
      <c r="I444" s="754">
        <v>15895397</v>
      </c>
      <c r="J444" s="754">
        <v>28478797</v>
      </c>
      <c r="K444" s="754">
        <v>52840587</v>
      </c>
      <c r="L444" s="754">
        <v>0</v>
      </c>
    </row>
    <row r="445" spans="2:12" ht="12.75">
      <c r="B445" s="772" t="s">
        <v>281</v>
      </c>
      <c r="C445" s="751">
        <f>SUM(D445+H445)</f>
        <v>99467079</v>
      </c>
      <c r="D445" s="752">
        <v>496753</v>
      </c>
      <c r="E445" s="752">
        <v>139368</v>
      </c>
      <c r="F445" s="752">
        <v>288296</v>
      </c>
      <c r="G445" s="753">
        <v>69089</v>
      </c>
      <c r="H445" s="751">
        <v>98970326</v>
      </c>
      <c r="I445" s="752">
        <v>15406513</v>
      </c>
      <c r="J445" s="752">
        <v>29584265</v>
      </c>
      <c r="K445" s="752">
        <v>53979548</v>
      </c>
      <c r="L445" s="753">
        <v>0</v>
      </c>
    </row>
    <row r="446" spans="2:12" ht="12.75">
      <c r="B446" s="772" t="s">
        <v>282</v>
      </c>
      <c r="C446" s="751">
        <v>98783442</v>
      </c>
      <c r="D446" s="752">
        <v>431889</v>
      </c>
      <c r="E446" s="752">
        <v>146917</v>
      </c>
      <c r="F446" s="752">
        <v>253926</v>
      </c>
      <c r="G446" s="753">
        <v>31046</v>
      </c>
      <c r="H446" s="751">
        <v>98351553</v>
      </c>
      <c r="I446" s="752">
        <v>13211629</v>
      </c>
      <c r="J446" s="752">
        <v>28906546</v>
      </c>
      <c r="K446" s="752">
        <v>56233378</v>
      </c>
      <c r="L446" s="753">
        <v>0</v>
      </c>
    </row>
    <row r="447" spans="2:12" ht="12.75">
      <c r="B447" s="772" t="s">
        <v>283</v>
      </c>
      <c r="C447" s="751">
        <v>99441068</v>
      </c>
      <c r="D447" s="751">
        <v>604779</v>
      </c>
      <c r="E447" s="754">
        <v>156559</v>
      </c>
      <c r="F447" s="754">
        <v>296235</v>
      </c>
      <c r="G447" s="754">
        <v>151985</v>
      </c>
      <c r="H447" s="751">
        <v>98836289</v>
      </c>
      <c r="I447" s="754">
        <v>13738070</v>
      </c>
      <c r="J447" s="754">
        <v>31047650</v>
      </c>
      <c r="K447" s="754">
        <v>54050569</v>
      </c>
      <c r="L447" s="754">
        <v>0</v>
      </c>
    </row>
    <row r="448" spans="2:12" ht="12.75">
      <c r="B448" s="772" t="s">
        <v>284</v>
      </c>
      <c r="C448" s="751">
        <v>100815036</v>
      </c>
      <c r="D448" s="752">
        <v>512334</v>
      </c>
      <c r="E448" s="752">
        <v>145829</v>
      </c>
      <c r="F448" s="752">
        <v>290888</v>
      </c>
      <c r="G448" s="752">
        <v>75617</v>
      </c>
      <c r="H448" s="754">
        <v>100302702</v>
      </c>
      <c r="I448" s="752">
        <v>14244388</v>
      </c>
      <c r="J448" s="752">
        <v>32756234</v>
      </c>
      <c r="K448" s="752">
        <v>53302080</v>
      </c>
      <c r="L448" s="753">
        <v>0</v>
      </c>
    </row>
    <row r="449" spans="2:12" ht="12.75">
      <c r="B449" s="772" t="s">
        <v>285</v>
      </c>
      <c r="C449" s="751">
        <f t="shared" ref="C449:C450" si="17">SUM(D449+H449)</f>
        <v>97522278</v>
      </c>
      <c r="D449" s="752">
        <v>455737</v>
      </c>
      <c r="E449" s="752">
        <v>125370</v>
      </c>
      <c r="F449" s="752">
        <v>259194</v>
      </c>
      <c r="G449" s="753">
        <v>71173</v>
      </c>
      <c r="H449" s="762">
        <v>97066541</v>
      </c>
      <c r="I449" s="752">
        <v>13496180</v>
      </c>
      <c r="J449" s="752">
        <v>32357917</v>
      </c>
      <c r="K449" s="752">
        <v>51212444</v>
      </c>
      <c r="L449" s="752">
        <v>0</v>
      </c>
    </row>
    <row r="450" spans="2:12" ht="12.75">
      <c r="B450" s="772" t="s">
        <v>286</v>
      </c>
      <c r="C450" s="751">
        <f t="shared" si="17"/>
        <v>87972319</v>
      </c>
      <c r="D450" s="752">
        <v>449241</v>
      </c>
      <c r="E450" s="752">
        <v>137836</v>
      </c>
      <c r="F450" s="752">
        <v>249036</v>
      </c>
      <c r="G450" s="753">
        <v>62369</v>
      </c>
      <c r="H450" s="762">
        <v>87523078</v>
      </c>
      <c r="I450" s="752">
        <v>11823830</v>
      </c>
      <c r="J450" s="752">
        <v>26806394</v>
      </c>
      <c r="K450" s="752">
        <v>48892854</v>
      </c>
      <c r="L450" s="752">
        <v>0</v>
      </c>
    </row>
    <row r="451" spans="2:12" ht="12.75">
      <c r="B451" s="772"/>
      <c r="C451" s="763"/>
      <c r="D451" s="764"/>
      <c r="E451" s="765"/>
      <c r="F451" s="765"/>
      <c r="G451" s="765"/>
      <c r="H451" s="764"/>
      <c r="I451" s="765"/>
      <c r="J451" s="765"/>
      <c r="K451" s="765"/>
      <c r="L451" s="765"/>
    </row>
    <row r="452" spans="2:12" ht="12.75">
      <c r="B452" s="773">
        <v>2017</v>
      </c>
      <c r="C452" s="766">
        <f t="shared" ref="C452:K452" si="18">SUM(C439:C450)</f>
        <v>1119140641</v>
      </c>
      <c r="D452" s="766">
        <f t="shared" si="18"/>
        <v>5755809</v>
      </c>
      <c r="E452" s="766">
        <f t="shared" si="18"/>
        <v>1734268</v>
      </c>
      <c r="F452" s="766">
        <f t="shared" si="18"/>
        <v>3141217</v>
      </c>
      <c r="G452" s="766">
        <f t="shared" si="18"/>
        <v>880324</v>
      </c>
      <c r="H452" s="766">
        <f t="shared" si="18"/>
        <v>1113384832</v>
      </c>
      <c r="I452" s="766">
        <f t="shared" si="18"/>
        <v>160458984</v>
      </c>
      <c r="J452" s="766">
        <f t="shared" si="18"/>
        <v>333788636</v>
      </c>
      <c r="K452" s="766">
        <f t="shared" si="18"/>
        <v>619137212</v>
      </c>
      <c r="L452" s="766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7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7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7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7" ht="18">
      <c r="B472" s="573" t="s">
        <v>353</v>
      </c>
    </row>
    <row r="474" spans="2:17" ht="18">
      <c r="B474" s="916"/>
      <c r="C474" s="916"/>
      <c r="D474" s="916"/>
      <c r="E474" s="916"/>
      <c r="F474" s="917" t="s">
        <v>262</v>
      </c>
      <c r="G474" s="916"/>
      <c r="H474" s="916"/>
      <c r="I474" s="916"/>
      <c r="J474" s="916"/>
      <c r="K474" s="916"/>
      <c r="L474" s="916"/>
    </row>
    <row r="475" spans="2:17" ht="12.75" customHeight="1">
      <c r="B475" s="1267" t="s">
        <v>263</v>
      </c>
      <c r="C475" s="1269" t="s">
        <v>22</v>
      </c>
      <c r="D475" s="1269" t="s">
        <v>264</v>
      </c>
      <c r="E475" s="1274" t="s">
        <v>265</v>
      </c>
      <c r="F475" s="1275"/>
      <c r="G475" s="1276"/>
      <c r="H475" s="1277" t="s">
        <v>266</v>
      </c>
      <c r="I475" s="1274" t="s">
        <v>267</v>
      </c>
      <c r="J475" s="1275"/>
      <c r="K475" s="1275"/>
      <c r="L475" s="1276"/>
    </row>
    <row r="476" spans="2:17" ht="11.25" customHeight="1">
      <c r="B476" s="1268"/>
      <c r="C476" s="1270"/>
      <c r="D476" s="1270"/>
      <c r="E476" s="1279" t="s">
        <v>304</v>
      </c>
      <c r="F476" s="1281" t="s">
        <v>305</v>
      </c>
      <c r="G476" s="1281" t="s">
        <v>306</v>
      </c>
      <c r="H476" s="1278"/>
      <c r="I476" s="1267" t="s">
        <v>271</v>
      </c>
      <c r="J476" s="1267" t="s">
        <v>24</v>
      </c>
      <c r="K476" s="1269" t="s">
        <v>272</v>
      </c>
      <c r="L476" s="1267" t="s">
        <v>273</v>
      </c>
    </row>
    <row r="477" spans="2:17" ht="11.25" customHeight="1">
      <c r="B477" s="1268"/>
      <c r="C477" s="1270"/>
      <c r="D477" s="1270"/>
      <c r="E477" s="1280"/>
      <c r="F477" s="1282"/>
      <c r="G477" s="1282"/>
      <c r="H477" s="1278"/>
      <c r="I477" s="1268"/>
      <c r="J477" s="1268"/>
      <c r="K477" s="1270"/>
      <c r="L477" s="1271"/>
    </row>
    <row r="478" spans="2:17" ht="12.75">
      <c r="B478" s="748">
        <v>0</v>
      </c>
      <c r="C478" s="747">
        <v>1</v>
      </c>
      <c r="D478" s="747">
        <v>2</v>
      </c>
      <c r="E478" s="748">
        <v>3</v>
      </c>
      <c r="F478" s="748">
        <v>4</v>
      </c>
      <c r="G478" s="747">
        <v>5</v>
      </c>
      <c r="H478" s="747">
        <v>6</v>
      </c>
      <c r="I478" s="747">
        <v>7</v>
      </c>
      <c r="J478" s="747">
        <v>8</v>
      </c>
      <c r="K478" s="749">
        <v>9</v>
      </c>
      <c r="L478" s="747">
        <v>10</v>
      </c>
      <c r="Q478" s="751"/>
    </row>
    <row r="479" spans="2:17" ht="12.75">
      <c r="B479" s="770"/>
      <c r="C479" s="750"/>
      <c r="D479" s="750"/>
      <c r="E479" s="750"/>
      <c r="F479" s="750"/>
      <c r="G479" s="750"/>
      <c r="H479" s="750"/>
      <c r="I479" s="750"/>
      <c r="J479" s="750"/>
      <c r="K479" s="750"/>
      <c r="L479" s="775"/>
      <c r="Q479" s="751"/>
    </row>
    <row r="480" spans="2:17" ht="14.25">
      <c r="B480" s="771"/>
      <c r="C480" s="1272" t="s">
        <v>274</v>
      </c>
      <c r="D480" s="1272"/>
      <c r="E480" s="1272"/>
      <c r="F480" s="1272"/>
      <c r="G480" s="1272"/>
      <c r="H480" s="1272"/>
      <c r="I480" s="1272"/>
      <c r="J480" s="1272"/>
      <c r="K480" s="1272"/>
      <c r="L480" s="1273"/>
      <c r="Q480" s="751"/>
    </row>
    <row r="481" spans="2:17" ht="12.75">
      <c r="B481" s="770"/>
      <c r="C481" s="750"/>
      <c r="D481" s="750"/>
      <c r="E481" s="750"/>
      <c r="F481" s="750"/>
      <c r="G481" s="750"/>
      <c r="H481" s="750"/>
      <c r="I481" s="750"/>
      <c r="J481" s="750"/>
      <c r="K481" s="750"/>
      <c r="L481" s="775"/>
      <c r="Q481" s="751"/>
    </row>
    <row r="482" spans="2:17" ht="15">
      <c r="B482" s="918" t="s">
        <v>275</v>
      </c>
      <c r="C482" s="751">
        <f>SUM(D482+H482)</f>
        <v>153311</v>
      </c>
      <c r="D482" s="751">
        <v>4907</v>
      </c>
      <c r="E482" s="751">
        <v>2376</v>
      </c>
      <c r="F482" s="751">
        <v>2183</v>
      </c>
      <c r="G482" s="751">
        <v>348</v>
      </c>
      <c r="H482" s="751">
        <v>148404</v>
      </c>
      <c r="I482" s="751">
        <v>23209</v>
      </c>
      <c r="J482" s="751">
        <v>48538</v>
      </c>
      <c r="K482" s="751">
        <v>76657</v>
      </c>
      <c r="L482" s="751">
        <v>0</v>
      </c>
      <c r="Q482" s="776"/>
    </row>
    <row r="483" spans="2:17" ht="15">
      <c r="B483" s="918" t="s">
        <v>276</v>
      </c>
      <c r="C483" s="751">
        <f t="shared" ref="C483:C493" si="21">SUM(D483+H483)</f>
        <v>149700</v>
      </c>
      <c r="D483" s="751">
        <v>4276</v>
      </c>
      <c r="E483" s="751">
        <v>1971</v>
      </c>
      <c r="F483" s="751">
        <v>2099</v>
      </c>
      <c r="G483" s="751">
        <v>206</v>
      </c>
      <c r="H483" s="751">
        <v>145424</v>
      </c>
      <c r="I483" s="751">
        <v>23853</v>
      </c>
      <c r="J483" s="751">
        <v>43685</v>
      </c>
      <c r="K483" s="751">
        <v>77886</v>
      </c>
      <c r="L483" s="751">
        <v>0</v>
      </c>
      <c r="Q483" s="751"/>
    </row>
    <row r="484" spans="2:17" ht="15">
      <c r="B484" s="918" t="s">
        <v>277</v>
      </c>
      <c r="C484" s="751">
        <f t="shared" si="21"/>
        <v>176360</v>
      </c>
      <c r="D484" s="752">
        <v>5618</v>
      </c>
      <c r="E484" s="752">
        <v>2663</v>
      </c>
      <c r="F484" s="752">
        <v>2694</v>
      </c>
      <c r="G484" s="753">
        <v>261</v>
      </c>
      <c r="H484" s="751">
        <v>170742</v>
      </c>
      <c r="I484" s="752">
        <v>27174</v>
      </c>
      <c r="J484" s="752">
        <v>52139</v>
      </c>
      <c r="K484" s="752">
        <v>91429</v>
      </c>
      <c r="L484" s="753">
        <v>0</v>
      </c>
      <c r="Q484" s="751"/>
    </row>
    <row r="485" spans="2:17" ht="15">
      <c r="B485" s="918" t="s">
        <v>278</v>
      </c>
      <c r="C485" s="751">
        <f>SUM(D485+H485)</f>
        <v>152257</v>
      </c>
      <c r="D485" s="751">
        <v>4644</v>
      </c>
      <c r="E485" s="754">
        <v>2428</v>
      </c>
      <c r="F485" s="754">
        <v>2008</v>
      </c>
      <c r="G485" s="751">
        <v>208</v>
      </c>
      <c r="H485" s="751">
        <v>147613</v>
      </c>
      <c r="I485" s="751">
        <v>23760</v>
      </c>
      <c r="J485" s="751">
        <v>44089</v>
      </c>
      <c r="K485" s="751">
        <v>79764</v>
      </c>
      <c r="L485" s="751">
        <v>0</v>
      </c>
      <c r="Q485" s="751"/>
    </row>
    <row r="486" spans="2:17" ht="15">
      <c r="B486" s="918" t="s">
        <v>279</v>
      </c>
      <c r="C486" s="751">
        <f>SUM(D486+H486)</f>
        <v>162957</v>
      </c>
      <c r="D486" s="776">
        <v>4436</v>
      </c>
      <c r="E486" s="715">
        <v>1879</v>
      </c>
      <c r="F486" s="717">
        <v>2351</v>
      </c>
      <c r="G486" s="717">
        <v>206</v>
      </c>
      <c r="H486" s="776">
        <v>158521</v>
      </c>
      <c r="I486" s="715">
        <v>25665</v>
      </c>
      <c r="J486" s="715">
        <v>43148</v>
      </c>
      <c r="K486" s="717">
        <v>89708</v>
      </c>
      <c r="L486" s="751">
        <v>0</v>
      </c>
      <c r="Q486" s="751"/>
    </row>
    <row r="487" spans="2:17" ht="15">
      <c r="B487" s="918" t="s">
        <v>280</v>
      </c>
      <c r="C487" s="751">
        <f t="shared" si="21"/>
        <v>181713</v>
      </c>
      <c r="D487" s="751">
        <v>5439</v>
      </c>
      <c r="E487" s="754">
        <v>2129</v>
      </c>
      <c r="F487" s="754">
        <v>3088</v>
      </c>
      <c r="G487" s="751">
        <v>222</v>
      </c>
      <c r="H487" s="751">
        <v>176274</v>
      </c>
      <c r="I487" s="751">
        <v>31296</v>
      </c>
      <c r="J487" s="751">
        <v>51302</v>
      </c>
      <c r="K487" s="751">
        <v>93676</v>
      </c>
      <c r="L487" s="751">
        <v>0</v>
      </c>
      <c r="Q487" s="804"/>
    </row>
    <row r="488" spans="2:17" ht="15">
      <c r="B488" s="918" t="s">
        <v>281</v>
      </c>
      <c r="C488" s="751">
        <f>SUM(D488+H488)</f>
        <v>167840</v>
      </c>
      <c r="D488" s="777">
        <v>5002</v>
      </c>
      <c r="E488" s="752">
        <v>2060</v>
      </c>
      <c r="F488" s="753">
        <v>2632</v>
      </c>
      <c r="G488" s="753">
        <v>310</v>
      </c>
      <c r="H488" s="751">
        <v>162838</v>
      </c>
      <c r="I488" s="752">
        <v>28780</v>
      </c>
      <c r="J488" s="752">
        <v>54814</v>
      </c>
      <c r="K488" s="752">
        <v>79244</v>
      </c>
      <c r="L488" s="753">
        <v>0</v>
      </c>
    </row>
    <row r="489" spans="2:17" ht="15">
      <c r="B489" s="918" t="s">
        <v>282</v>
      </c>
      <c r="C489" s="751">
        <v>172228</v>
      </c>
      <c r="D489" s="777">
        <v>4825</v>
      </c>
      <c r="E489" s="752">
        <v>1907</v>
      </c>
      <c r="F489" s="752">
        <v>2589</v>
      </c>
      <c r="G489" s="753">
        <v>329</v>
      </c>
      <c r="H489" s="751">
        <v>167403</v>
      </c>
      <c r="I489" s="752">
        <v>26432</v>
      </c>
      <c r="J489" s="752">
        <v>56705</v>
      </c>
      <c r="K489" s="752">
        <v>84266</v>
      </c>
      <c r="L489" s="753">
        <v>0</v>
      </c>
    </row>
    <row r="490" spans="2:17" ht="15">
      <c r="B490" s="918" t="s">
        <v>283</v>
      </c>
      <c r="C490" s="751">
        <v>160101</v>
      </c>
      <c r="D490" s="751">
        <v>5229</v>
      </c>
      <c r="E490" s="754">
        <v>1936</v>
      </c>
      <c r="F490" s="754">
        <v>2930</v>
      </c>
      <c r="G490" s="751">
        <v>363</v>
      </c>
      <c r="H490" s="751">
        <v>154872</v>
      </c>
      <c r="I490" s="751">
        <v>25855</v>
      </c>
      <c r="J490" s="751">
        <v>53933</v>
      </c>
      <c r="K490" s="751">
        <v>75084</v>
      </c>
      <c r="L490" s="751">
        <v>0</v>
      </c>
    </row>
    <row r="491" spans="2:17" ht="15">
      <c r="B491" s="919" t="s">
        <v>284</v>
      </c>
      <c r="C491" s="751">
        <f>SUM(D491+H491)</f>
        <v>0</v>
      </c>
      <c r="D491" s="777"/>
      <c r="E491" s="752"/>
      <c r="F491" s="752"/>
      <c r="G491" s="752"/>
      <c r="H491" s="754"/>
      <c r="I491" s="752"/>
      <c r="J491" s="752"/>
      <c r="K491" s="752"/>
      <c r="L491" s="753"/>
    </row>
    <row r="492" spans="2:17" ht="15">
      <c r="B492" s="920" t="s">
        <v>285</v>
      </c>
      <c r="C492" s="751">
        <f>SUM(D492+H492)</f>
        <v>0</v>
      </c>
      <c r="D492" s="752"/>
      <c r="E492" s="752"/>
      <c r="F492" s="752"/>
      <c r="G492" s="752"/>
      <c r="H492" s="752"/>
      <c r="I492" s="752"/>
      <c r="J492" s="752"/>
      <c r="K492" s="752"/>
      <c r="L492" s="753"/>
    </row>
    <row r="493" spans="2:17" ht="15">
      <c r="B493" s="920" t="s">
        <v>286</v>
      </c>
      <c r="C493" s="751">
        <f t="shared" si="21"/>
        <v>0</v>
      </c>
      <c r="D493" s="752"/>
      <c r="E493" s="752"/>
      <c r="F493" s="752"/>
      <c r="G493" s="752"/>
      <c r="H493" s="752"/>
      <c r="I493" s="752"/>
      <c r="J493" s="752"/>
      <c r="K493" s="752"/>
      <c r="L493" s="753"/>
    </row>
    <row r="494" spans="2:17" ht="15">
      <c r="B494" s="774"/>
      <c r="C494" s="754"/>
      <c r="D494" s="754"/>
      <c r="E494" s="754"/>
      <c r="F494" s="754"/>
      <c r="G494" s="754"/>
      <c r="H494" s="754"/>
      <c r="I494" s="754"/>
      <c r="J494" s="754"/>
      <c r="K494" s="754"/>
      <c r="L494" s="751"/>
    </row>
    <row r="495" spans="2:17" ht="12.75">
      <c r="B495" s="773">
        <v>2018</v>
      </c>
      <c r="C495" s="755">
        <f t="shared" ref="C495:K495" si="22">SUM(C482:C493)</f>
        <v>1476467</v>
      </c>
      <c r="D495" s="755">
        <f>SUM(D482:D493)</f>
        <v>44376</v>
      </c>
      <c r="E495" s="755">
        <f t="shared" si="22"/>
        <v>19349</v>
      </c>
      <c r="F495" s="755">
        <f t="shared" si="22"/>
        <v>22574</v>
      </c>
      <c r="G495" s="755">
        <f>SUM(G482:G493)</f>
        <v>2453</v>
      </c>
      <c r="H495" s="755">
        <f t="shared" si="22"/>
        <v>1432091</v>
      </c>
      <c r="I495" s="755">
        <f t="shared" si="22"/>
        <v>236024</v>
      </c>
      <c r="J495" s="755">
        <f t="shared" si="22"/>
        <v>448353</v>
      </c>
      <c r="K495" s="755">
        <f t="shared" si="22"/>
        <v>747714</v>
      </c>
      <c r="L495" s="755">
        <f>SUM(L482:L493)</f>
        <v>0</v>
      </c>
    </row>
    <row r="496" spans="2:17" ht="12.75">
      <c r="B496" s="771"/>
      <c r="C496" s="756"/>
      <c r="D496" s="756"/>
      <c r="E496" s="756"/>
      <c r="F496" s="756"/>
      <c r="G496" s="756"/>
      <c r="H496" s="756"/>
      <c r="I496" s="756"/>
      <c r="J496" s="756"/>
      <c r="K496" s="756"/>
      <c r="L496" s="768"/>
    </row>
    <row r="497" spans="2:12" ht="12.75">
      <c r="B497" s="771"/>
      <c r="C497" s="1283" t="s">
        <v>299</v>
      </c>
      <c r="D497" s="1283"/>
      <c r="E497" s="1283"/>
      <c r="F497" s="1283"/>
      <c r="G497" s="1283"/>
      <c r="H497" s="1283"/>
      <c r="I497" s="1283"/>
      <c r="J497" s="1283"/>
      <c r="K497" s="1283"/>
      <c r="L497" s="1284"/>
    </row>
    <row r="498" spans="2:12" ht="12.75">
      <c r="B498" s="770"/>
      <c r="C498" s="756"/>
      <c r="D498" s="756"/>
      <c r="E498" s="756"/>
      <c r="F498" s="756"/>
      <c r="G498" s="756"/>
      <c r="H498" s="756"/>
      <c r="I498" s="756"/>
      <c r="J498" s="756"/>
      <c r="K498" s="756"/>
      <c r="L498" s="768"/>
    </row>
    <row r="499" spans="2:12" ht="12.75">
      <c r="B499" s="772" t="s">
        <v>275</v>
      </c>
      <c r="C499" s="751">
        <f t="shared" ref="C499:C510" si="23">SUM(D499+H499)</f>
        <v>45099890</v>
      </c>
      <c r="D499" s="751">
        <v>252878</v>
      </c>
      <c r="E499" s="751">
        <v>84059</v>
      </c>
      <c r="F499" s="751">
        <v>124324</v>
      </c>
      <c r="G499" s="751">
        <v>44495</v>
      </c>
      <c r="H499" s="751">
        <v>44847012</v>
      </c>
      <c r="I499" s="751">
        <v>6130268</v>
      </c>
      <c r="J499" s="751">
        <v>13150822</v>
      </c>
      <c r="K499" s="751">
        <v>25565922</v>
      </c>
      <c r="L499" s="751">
        <v>0</v>
      </c>
    </row>
    <row r="500" spans="2:12" ht="12.75">
      <c r="B500" s="772" t="s">
        <v>276</v>
      </c>
      <c r="C500" s="751">
        <f t="shared" si="23"/>
        <v>44003287</v>
      </c>
      <c r="D500" s="751">
        <v>212882</v>
      </c>
      <c r="E500" s="751">
        <v>66858</v>
      </c>
      <c r="F500" s="751">
        <v>119964</v>
      </c>
      <c r="G500" s="751">
        <v>26060</v>
      </c>
      <c r="H500" s="751">
        <v>43790405</v>
      </c>
      <c r="I500" s="751">
        <v>6249605</v>
      </c>
      <c r="J500" s="751">
        <v>11767910</v>
      </c>
      <c r="K500" s="751">
        <v>25772890</v>
      </c>
      <c r="L500" s="751">
        <v>0</v>
      </c>
    </row>
    <row r="501" spans="2:12" ht="12.75">
      <c r="B501" s="772" t="s">
        <v>277</v>
      </c>
      <c r="C501" s="751">
        <f t="shared" si="23"/>
        <v>51532662</v>
      </c>
      <c r="D501" s="752">
        <v>276186</v>
      </c>
      <c r="E501" s="752">
        <v>92377</v>
      </c>
      <c r="F501" s="752">
        <v>149908</v>
      </c>
      <c r="G501" s="753">
        <v>33901</v>
      </c>
      <c r="H501" s="751">
        <v>51256476</v>
      </c>
      <c r="I501" s="752">
        <v>7135756</v>
      </c>
      <c r="J501" s="752">
        <v>13997142</v>
      </c>
      <c r="K501" s="752">
        <v>30123578</v>
      </c>
      <c r="L501" s="753">
        <v>0</v>
      </c>
    </row>
    <row r="502" spans="2:12" ht="12.75">
      <c r="B502" s="772" t="s">
        <v>278</v>
      </c>
      <c r="C502" s="751">
        <f t="shared" si="23"/>
        <v>45189937</v>
      </c>
      <c r="D502" s="751">
        <v>208679</v>
      </c>
      <c r="E502" s="754">
        <v>67024</v>
      </c>
      <c r="F502" s="754">
        <v>110501</v>
      </c>
      <c r="G502" s="751">
        <v>31154</v>
      </c>
      <c r="H502" s="751">
        <v>44981258</v>
      </c>
      <c r="I502" s="751">
        <v>6355996</v>
      </c>
      <c r="J502" s="751">
        <v>11909326</v>
      </c>
      <c r="K502" s="751">
        <v>26715936</v>
      </c>
      <c r="L502" s="751">
        <v>0</v>
      </c>
    </row>
    <row r="503" spans="2:12" ht="12.75">
      <c r="B503" s="772" t="s">
        <v>279</v>
      </c>
      <c r="C503" s="751">
        <f t="shared" si="23"/>
        <v>48304474</v>
      </c>
      <c r="D503" s="715">
        <v>222782</v>
      </c>
      <c r="E503" s="715">
        <v>65617</v>
      </c>
      <c r="F503" s="715">
        <v>131166</v>
      </c>
      <c r="G503" s="715">
        <v>25999</v>
      </c>
      <c r="H503" s="715">
        <v>48081692</v>
      </c>
      <c r="I503" s="715">
        <v>6862169</v>
      </c>
      <c r="J503" s="715">
        <v>11707521</v>
      </c>
      <c r="K503" s="717">
        <v>29512002</v>
      </c>
      <c r="L503" s="751">
        <v>0</v>
      </c>
    </row>
    <row r="504" spans="2:12" ht="12.75">
      <c r="B504" s="772" t="s">
        <v>280</v>
      </c>
      <c r="C504" s="751">
        <f t="shared" si="23"/>
        <v>51811853</v>
      </c>
      <c r="D504" s="751">
        <v>282004</v>
      </c>
      <c r="E504" s="754">
        <v>76688</v>
      </c>
      <c r="F504" s="754">
        <v>177674</v>
      </c>
      <c r="G504" s="751">
        <v>27642</v>
      </c>
      <c r="H504" s="751">
        <v>51529849</v>
      </c>
      <c r="I504" s="751">
        <v>8016005</v>
      </c>
      <c r="J504" s="751">
        <v>13339077</v>
      </c>
      <c r="K504" s="751">
        <v>30174767</v>
      </c>
      <c r="L504" s="751">
        <v>0</v>
      </c>
    </row>
    <row r="505" spans="2:12" ht="12.75">
      <c r="B505" s="772" t="s">
        <v>281</v>
      </c>
      <c r="C505" s="751">
        <f t="shared" si="23"/>
        <v>48842758</v>
      </c>
      <c r="D505" s="752">
        <v>265436</v>
      </c>
      <c r="E505" s="752">
        <v>71941</v>
      </c>
      <c r="F505" s="752">
        <v>155048</v>
      </c>
      <c r="G505" s="753">
        <v>38447</v>
      </c>
      <c r="H505" s="751">
        <v>48577322</v>
      </c>
      <c r="I505" s="752">
        <v>7658442</v>
      </c>
      <c r="J505" s="752">
        <v>14565252</v>
      </c>
      <c r="K505" s="752">
        <v>26353628</v>
      </c>
      <c r="L505" s="753">
        <v>0</v>
      </c>
    </row>
    <row r="506" spans="2:12" ht="12.75">
      <c r="B506" s="772" t="s">
        <v>282</v>
      </c>
      <c r="C506" s="751">
        <v>48263436</v>
      </c>
      <c r="D506" s="752">
        <v>256924</v>
      </c>
      <c r="E506" s="752">
        <v>69078</v>
      </c>
      <c r="F506" s="752">
        <v>147163</v>
      </c>
      <c r="G506" s="753">
        <v>40683</v>
      </c>
      <c r="H506" s="751">
        <v>48006512</v>
      </c>
      <c r="I506" s="752">
        <v>6609994</v>
      </c>
      <c r="J506" s="752">
        <v>14348975</v>
      </c>
      <c r="K506" s="752">
        <v>27047543</v>
      </c>
      <c r="L506" s="753">
        <v>0</v>
      </c>
    </row>
    <row r="507" spans="2:12" ht="12.75">
      <c r="B507" s="772" t="s">
        <v>283</v>
      </c>
      <c r="C507" s="751">
        <v>45286151</v>
      </c>
      <c r="D507" s="752">
        <v>278053</v>
      </c>
      <c r="E507" s="752">
        <v>69043</v>
      </c>
      <c r="F507" s="752">
        <v>162479</v>
      </c>
      <c r="G507" s="753">
        <v>46531</v>
      </c>
      <c r="H507" s="751">
        <v>45008098</v>
      </c>
      <c r="I507" s="752">
        <v>6477502</v>
      </c>
      <c r="J507" s="752">
        <v>13766890</v>
      </c>
      <c r="K507" s="752">
        <v>24763706</v>
      </c>
      <c r="L507" s="753">
        <v>0</v>
      </c>
    </row>
    <row r="508" spans="2:12" ht="12.75">
      <c r="B508" s="772" t="s">
        <v>284</v>
      </c>
      <c r="C508" s="751">
        <f>SUM(D508+H508)</f>
        <v>0</v>
      </c>
      <c r="D508" s="752"/>
      <c r="E508" s="752"/>
      <c r="F508" s="752"/>
      <c r="G508" s="752"/>
      <c r="H508" s="754"/>
      <c r="I508" s="752"/>
      <c r="J508" s="752"/>
      <c r="K508" s="752"/>
      <c r="L508" s="753"/>
    </row>
    <row r="509" spans="2:12" ht="12.75">
      <c r="B509" s="772" t="s">
        <v>285</v>
      </c>
      <c r="C509" s="751">
        <f t="shared" si="23"/>
        <v>0</v>
      </c>
      <c r="D509" s="752"/>
      <c r="E509" s="752"/>
      <c r="F509" s="752"/>
      <c r="G509" s="752"/>
      <c r="H509" s="752"/>
      <c r="I509" s="752"/>
      <c r="J509" s="752"/>
      <c r="K509" s="752"/>
      <c r="L509" s="753"/>
    </row>
    <row r="510" spans="2:12" ht="12.75">
      <c r="B510" s="772" t="s">
        <v>286</v>
      </c>
      <c r="C510" s="751">
        <f t="shared" si="23"/>
        <v>0</v>
      </c>
      <c r="D510" s="752"/>
      <c r="E510" s="752"/>
      <c r="F510" s="752"/>
      <c r="G510" s="752"/>
      <c r="H510" s="752"/>
      <c r="I510" s="752"/>
      <c r="J510" s="752"/>
      <c r="K510" s="752"/>
      <c r="L510" s="753"/>
    </row>
    <row r="511" spans="2:12" ht="12.75">
      <c r="B511" s="771"/>
      <c r="C511" s="754"/>
      <c r="D511" s="754"/>
      <c r="E511" s="754"/>
      <c r="F511" s="754"/>
      <c r="G511" s="754"/>
      <c r="H511" s="754"/>
      <c r="I511" s="754"/>
      <c r="J511" s="754"/>
      <c r="K511" s="754"/>
      <c r="L511" s="751"/>
    </row>
    <row r="512" spans="2:12" ht="12.75">
      <c r="B512" s="773">
        <v>2018</v>
      </c>
      <c r="C512" s="755">
        <f t="shared" ref="C512:L512" si="24">SUM(C499:C510)</f>
        <v>428334448</v>
      </c>
      <c r="D512" s="755">
        <f t="shared" si="24"/>
        <v>2255824</v>
      </c>
      <c r="E512" s="755">
        <f t="shared" si="24"/>
        <v>662685</v>
      </c>
      <c r="F512" s="755">
        <f t="shared" si="24"/>
        <v>1278227</v>
      </c>
      <c r="G512" s="755">
        <f t="shared" si="24"/>
        <v>314912</v>
      </c>
      <c r="H512" s="755">
        <f t="shared" si="24"/>
        <v>426078624</v>
      </c>
      <c r="I512" s="755">
        <f t="shared" si="24"/>
        <v>61495737</v>
      </c>
      <c r="J512" s="755">
        <f t="shared" si="24"/>
        <v>118552915</v>
      </c>
      <c r="K512" s="755">
        <f t="shared" si="24"/>
        <v>246029972</v>
      </c>
      <c r="L512" s="755">
        <f t="shared" si="24"/>
        <v>0</v>
      </c>
    </row>
    <row r="513" spans="2:12" ht="12.75">
      <c r="B513" s="1023"/>
      <c r="C513" s="758"/>
      <c r="D513" s="758"/>
      <c r="E513" s="758"/>
      <c r="F513" s="758"/>
      <c r="G513" s="758"/>
      <c r="H513" s="758"/>
      <c r="I513" s="758"/>
      <c r="J513" s="758"/>
      <c r="K513" s="758"/>
      <c r="L513" s="1024"/>
    </row>
    <row r="514" spans="2:12" ht="12.75" customHeight="1">
      <c r="B514" s="1285" t="s">
        <v>263</v>
      </c>
      <c r="C514" s="1269" t="s">
        <v>22</v>
      </c>
      <c r="D514" s="1269" t="s">
        <v>264</v>
      </c>
      <c r="E514" s="1274" t="s">
        <v>265</v>
      </c>
      <c r="F514" s="1275"/>
      <c r="G514" s="1276"/>
      <c r="H514" s="1277" t="s">
        <v>266</v>
      </c>
      <c r="I514" s="1287" t="s">
        <v>267</v>
      </c>
      <c r="J514" s="1288"/>
      <c r="K514" s="1288"/>
      <c r="L514" s="1289"/>
    </row>
    <row r="515" spans="2:12" ht="11.25" customHeight="1">
      <c r="B515" s="1286"/>
      <c r="C515" s="1270"/>
      <c r="D515" s="1270"/>
      <c r="E515" s="1279" t="s">
        <v>304</v>
      </c>
      <c r="F515" s="1281" t="s">
        <v>305</v>
      </c>
      <c r="G515" s="1281" t="s">
        <v>306</v>
      </c>
      <c r="H515" s="1278"/>
      <c r="I515" s="1267" t="s">
        <v>271</v>
      </c>
      <c r="J515" s="1267" t="s">
        <v>24</v>
      </c>
      <c r="K515" s="1269" t="s">
        <v>272</v>
      </c>
      <c r="L515" s="1267" t="s">
        <v>273</v>
      </c>
    </row>
    <row r="516" spans="2:12" ht="11.25" customHeight="1">
      <c r="B516" s="1286"/>
      <c r="C516" s="1270"/>
      <c r="D516" s="1270"/>
      <c r="E516" s="1280"/>
      <c r="F516" s="1282"/>
      <c r="G516" s="1282"/>
      <c r="H516" s="1278"/>
      <c r="I516" s="1271"/>
      <c r="J516" s="1271"/>
      <c r="K516" s="1290"/>
      <c r="L516" s="1271"/>
    </row>
    <row r="517" spans="2:12" ht="12.75">
      <c r="B517" s="748">
        <v>0</v>
      </c>
      <c r="C517" s="759">
        <v>1</v>
      </c>
      <c r="D517" s="759">
        <v>2</v>
      </c>
      <c r="E517" s="760">
        <v>3</v>
      </c>
      <c r="F517" s="760">
        <v>4</v>
      </c>
      <c r="G517" s="759">
        <v>5</v>
      </c>
      <c r="H517" s="759">
        <v>6</v>
      </c>
      <c r="I517" s="759">
        <v>7</v>
      </c>
      <c r="J517" s="759">
        <v>8</v>
      </c>
      <c r="K517" s="759">
        <v>9</v>
      </c>
      <c r="L517" s="759">
        <v>10</v>
      </c>
    </row>
    <row r="518" spans="2:12" ht="12.75">
      <c r="B518" s="770"/>
      <c r="C518" s="756"/>
      <c r="D518" s="756"/>
      <c r="E518" s="756"/>
      <c r="F518" s="756"/>
      <c r="G518" s="756"/>
      <c r="H518" s="756"/>
      <c r="I518" s="756"/>
      <c r="J518" s="756"/>
      <c r="K518" s="756"/>
      <c r="L518" s="768"/>
    </row>
    <row r="519" spans="2:12" ht="12.75">
      <c r="B519" s="771"/>
      <c r="C519" s="1283" t="s">
        <v>300</v>
      </c>
      <c r="D519" s="1283"/>
      <c r="E519" s="1283"/>
      <c r="F519" s="1283"/>
      <c r="G519" s="1283"/>
      <c r="H519" s="1283"/>
      <c r="I519" s="1283"/>
      <c r="J519" s="1283"/>
      <c r="K519" s="1283"/>
      <c r="L519" s="1284"/>
    </row>
    <row r="520" spans="2:12" ht="12.75">
      <c r="B520" s="771"/>
      <c r="C520" s="761"/>
      <c r="D520" s="761"/>
      <c r="E520" s="761"/>
      <c r="F520" s="761"/>
      <c r="G520" s="761"/>
      <c r="H520" s="761"/>
      <c r="I520" s="761"/>
      <c r="J520" s="761"/>
      <c r="K520" s="761"/>
      <c r="L520" s="769"/>
    </row>
    <row r="521" spans="2:12" ht="12.75">
      <c r="B521" s="772" t="s">
        <v>275</v>
      </c>
      <c r="C521" s="751">
        <f>SUM(D521+H521)</f>
        <v>90057014</v>
      </c>
      <c r="D521" s="751">
        <v>438151</v>
      </c>
      <c r="E521" s="751">
        <v>144810</v>
      </c>
      <c r="F521" s="751">
        <v>215494</v>
      </c>
      <c r="G521" s="751">
        <v>77847</v>
      </c>
      <c r="H521" s="751">
        <v>89618863</v>
      </c>
      <c r="I521" s="751">
        <v>12292165</v>
      </c>
      <c r="J521" s="751">
        <v>27496766</v>
      </c>
      <c r="K521" s="751">
        <v>49829932</v>
      </c>
      <c r="L521" s="751">
        <v>0</v>
      </c>
    </row>
    <row r="522" spans="2:12" ht="12.75">
      <c r="B522" s="772" t="s">
        <v>276</v>
      </c>
      <c r="C522" s="751">
        <f t="shared" ref="C522:C532" si="25">SUM(D522+H522)</f>
        <v>87625873</v>
      </c>
      <c r="D522" s="751">
        <v>376411</v>
      </c>
      <c r="E522" s="751">
        <v>117606</v>
      </c>
      <c r="F522" s="751">
        <v>212849</v>
      </c>
      <c r="G522" s="751">
        <v>45956</v>
      </c>
      <c r="H522" s="751">
        <v>87249462</v>
      </c>
      <c r="I522" s="751">
        <v>12525302</v>
      </c>
      <c r="J522" s="751">
        <v>24475372</v>
      </c>
      <c r="K522" s="751">
        <v>50248788</v>
      </c>
      <c r="L522" s="751">
        <v>0</v>
      </c>
    </row>
    <row r="523" spans="2:12" ht="12.75">
      <c r="B523" s="772" t="s">
        <v>277</v>
      </c>
      <c r="C523" s="751">
        <f t="shared" si="25"/>
        <v>102956905</v>
      </c>
      <c r="D523" s="752">
        <v>484939</v>
      </c>
      <c r="E523" s="752">
        <v>160312</v>
      </c>
      <c r="F523" s="752">
        <v>263733</v>
      </c>
      <c r="G523" s="753">
        <v>60894</v>
      </c>
      <c r="H523" s="751">
        <v>102471966</v>
      </c>
      <c r="I523" s="752">
        <v>14376293</v>
      </c>
      <c r="J523" s="752">
        <v>29217947</v>
      </c>
      <c r="K523" s="752">
        <v>58877726</v>
      </c>
      <c r="L523" s="753">
        <v>0</v>
      </c>
    </row>
    <row r="524" spans="2:12" ht="12.75">
      <c r="B524" s="772" t="s">
        <v>278</v>
      </c>
      <c r="C524" s="751">
        <f t="shared" si="25"/>
        <v>89833124</v>
      </c>
      <c r="D524" s="751">
        <v>369992</v>
      </c>
      <c r="E524" s="754">
        <v>117042</v>
      </c>
      <c r="F524" s="754">
        <v>198243</v>
      </c>
      <c r="G524" s="754">
        <v>54707</v>
      </c>
      <c r="H524" s="751">
        <v>89463132</v>
      </c>
      <c r="I524" s="754">
        <v>12659311</v>
      </c>
      <c r="J524" s="754">
        <v>24713683</v>
      </c>
      <c r="K524" s="754">
        <v>52090138</v>
      </c>
      <c r="L524" s="754">
        <v>0</v>
      </c>
    </row>
    <row r="525" spans="2:12" ht="12.75">
      <c r="B525" s="772" t="s">
        <v>279</v>
      </c>
      <c r="C525" s="751">
        <f t="shared" si="25"/>
        <v>96131249</v>
      </c>
      <c r="D525" s="715">
        <v>388194</v>
      </c>
      <c r="E525" s="715">
        <v>117359</v>
      </c>
      <c r="F525" s="715">
        <v>226856</v>
      </c>
      <c r="G525" s="715">
        <v>43979</v>
      </c>
      <c r="H525" s="715">
        <v>95743055</v>
      </c>
      <c r="I525" s="715">
        <v>13695188</v>
      </c>
      <c r="J525" s="715">
        <v>24193988</v>
      </c>
      <c r="K525" s="715">
        <v>57853879</v>
      </c>
      <c r="L525" s="717">
        <v>0</v>
      </c>
    </row>
    <row r="526" spans="2:12" ht="12.75">
      <c r="B526" s="772" t="s">
        <v>280</v>
      </c>
      <c r="C526" s="751">
        <f t="shared" si="25"/>
        <v>106478761</v>
      </c>
      <c r="D526" s="751">
        <v>490758</v>
      </c>
      <c r="E526" s="754">
        <v>133555</v>
      </c>
      <c r="F526" s="754">
        <v>309712</v>
      </c>
      <c r="G526" s="754">
        <v>47491</v>
      </c>
      <c r="H526" s="751">
        <v>105988003</v>
      </c>
      <c r="I526" s="754">
        <v>16711067</v>
      </c>
      <c r="J526" s="754">
        <v>28416605</v>
      </c>
      <c r="K526" s="754">
        <v>60860331</v>
      </c>
      <c r="L526" s="754">
        <v>0</v>
      </c>
    </row>
    <row r="527" spans="2:12" ht="12.75">
      <c r="B527" s="772" t="s">
        <v>281</v>
      </c>
      <c r="C527" s="751">
        <f>SUM(D527+H527)</f>
        <v>97513011</v>
      </c>
      <c r="D527" s="752">
        <v>466110</v>
      </c>
      <c r="E527" s="752">
        <v>126040</v>
      </c>
      <c r="F527" s="752">
        <v>272293</v>
      </c>
      <c r="G527" s="753">
        <v>67777</v>
      </c>
      <c r="H527" s="751">
        <v>97046901</v>
      </c>
      <c r="I527" s="752">
        <v>15281444</v>
      </c>
      <c r="J527" s="752">
        <v>30459496</v>
      </c>
      <c r="K527" s="752">
        <v>51305961</v>
      </c>
      <c r="L527" s="753">
        <v>0</v>
      </c>
    </row>
    <row r="528" spans="2:12" ht="12.75">
      <c r="B528" s="772" t="s">
        <v>282</v>
      </c>
      <c r="C528" s="751">
        <v>99779863</v>
      </c>
      <c r="D528" s="752">
        <v>453846</v>
      </c>
      <c r="E528" s="752">
        <v>121139</v>
      </c>
      <c r="F528" s="752">
        <v>255727</v>
      </c>
      <c r="G528" s="753">
        <v>76980</v>
      </c>
      <c r="H528" s="751">
        <v>99326017</v>
      </c>
      <c r="I528" s="752">
        <v>13903750</v>
      </c>
      <c r="J528" s="752">
        <v>30830195</v>
      </c>
      <c r="K528" s="752">
        <v>54592072</v>
      </c>
      <c r="L528" s="753">
        <v>0</v>
      </c>
    </row>
    <row r="529" spans="2:12" ht="12.75">
      <c r="B529" s="772" t="s">
        <v>283</v>
      </c>
      <c r="C529" s="751">
        <v>91969686</v>
      </c>
      <c r="D529" s="751">
        <v>483179</v>
      </c>
      <c r="E529" s="754">
        <v>120441</v>
      </c>
      <c r="F529" s="754">
        <v>282316</v>
      </c>
      <c r="G529" s="754">
        <v>80422</v>
      </c>
      <c r="H529" s="751">
        <v>91486507</v>
      </c>
      <c r="I529" s="754">
        <v>13573553</v>
      </c>
      <c r="J529" s="754">
        <v>29620194</v>
      </c>
      <c r="K529" s="754">
        <v>48292760</v>
      </c>
      <c r="L529" s="754">
        <v>0</v>
      </c>
    </row>
    <row r="530" spans="2:12" ht="12.75">
      <c r="B530" s="772" t="s">
        <v>284</v>
      </c>
      <c r="C530" s="751">
        <f t="shared" si="25"/>
        <v>0</v>
      </c>
      <c r="D530" s="752"/>
      <c r="E530" s="752"/>
      <c r="F530" s="752"/>
      <c r="G530" s="752"/>
      <c r="H530" s="754"/>
      <c r="I530" s="752"/>
      <c r="J530" s="752"/>
      <c r="K530" s="752"/>
      <c r="L530" s="753"/>
    </row>
    <row r="531" spans="2:12" ht="12.75">
      <c r="B531" s="772" t="s">
        <v>285</v>
      </c>
      <c r="C531" s="751">
        <f t="shared" si="25"/>
        <v>0</v>
      </c>
      <c r="D531" s="752"/>
      <c r="E531" s="752"/>
      <c r="F531" s="752"/>
      <c r="G531" s="753"/>
      <c r="H531" s="762"/>
      <c r="I531" s="752"/>
      <c r="J531" s="752"/>
      <c r="K531" s="752"/>
      <c r="L531" s="753"/>
    </row>
    <row r="532" spans="2:12" ht="12.75">
      <c r="B532" s="772" t="s">
        <v>286</v>
      </c>
      <c r="C532" s="751">
        <f t="shared" si="25"/>
        <v>0</v>
      </c>
      <c r="D532" s="752"/>
      <c r="E532" s="752"/>
      <c r="F532" s="752"/>
      <c r="G532" s="753"/>
      <c r="H532" s="762"/>
      <c r="I532" s="752"/>
      <c r="J532" s="752"/>
      <c r="K532" s="752"/>
      <c r="L532" s="753"/>
    </row>
    <row r="533" spans="2:12" ht="12.75">
      <c r="B533" s="772"/>
      <c r="C533" s="763"/>
      <c r="D533" s="764"/>
      <c r="E533" s="765"/>
      <c r="F533" s="765"/>
      <c r="G533" s="765"/>
      <c r="H533" s="764"/>
      <c r="I533" s="765"/>
      <c r="J533" s="765"/>
      <c r="K533" s="765"/>
      <c r="L533" s="765"/>
    </row>
    <row r="534" spans="2:12" ht="12.75">
      <c r="B534" s="773">
        <v>2018</v>
      </c>
      <c r="C534" s="766">
        <f t="shared" ref="C534:K534" si="26">SUM(C521:C532)</f>
        <v>862345486</v>
      </c>
      <c r="D534" s="766">
        <f t="shared" si="26"/>
        <v>3951580</v>
      </c>
      <c r="E534" s="766">
        <f t="shared" si="26"/>
        <v>1158304</v>
      </c>
      <c r="F534" s="766">
        <f t="shared" si="26"/>
        <v>2237223</v>
      </c>
      <c r="G534" s="766">
        <f t="shared" si="26"/>
        <v>556053</v>
      </c>
      <c r="H534" s="766">
        <f t="shared" si="26"/>
        <v>858393906</v>
      </c>
      <c r="I534" s="766">
        <f t="shared" si="26"/>
        <v>125018073</v>
      </c>
      <c r="J534" s="766">
        <f t="shared" si="26"/>
        <v>249424246</v>
      </c>
      <c r="K534" s="766">
        <f t="shared" si="26"/>
        <v>483951587</v>
      </c>
      <c r="L534" s="766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>
        <f t="shared" ref="C545:K545" si="35">C528/C489</f>
        <v>579.34751027707455</v>
      </c>
      <c r="D545" s="591">
        <f t="shared" si="35"/>
        <v>94.061347150259067</v>
      </c>
      <c r="E545" s="591">
        <f t="shared" si="35"/>
        <v>63.523335081279498</v>
      </c>
      <c r="F545" s="591">
        <f t="shared" si="35"/>
        <v>98.774430281962154</v>
      </c>
      <c r="G545" s="591">
        <f t="shared" si="35"/>
        <v>233.98176291793314</v>
      </c>
      <c r="H545" s="591">
        <f t="shared" si="35"/>
        <v>593.33474907857089</v>
      </c>
      <c r="I545" s="591">
        <f t="shared" si="35"/>
        <v>526.01959745762713</v>
      </c>
      <c r="J545" s="591">
        <f t="shared" si="35"/>
        <v>543.69447138700286</v>
      </c>
      <c r="K545" s="591">
        <f t="shared" si="35"/>
        <v>647.85408112405958</v>
      </c>
      <c r="L545" s="569"/>
    </row>
    <row r="546" spans="2:12" ht="15.75">
      <c r="B546" s="561" t="s">
        <v>283</v>
      </c>
      <c r="C546" s="591">
        <f t="shared" ref="C546:K546" si="36">C529/C490</f>
        <v>574.44791725223456</v>
      </c>
      <c r="D546" s="591">
        <f t="shared" si="36"/>
        <v>92.403710078408878</v>
      </c>
      <c r="E546" s="591">
        <f t="shared" si="36"/>
        <v>62.211260330578511</v>
      </c>
      <c r="F546" s="591">
        <f t="shared" si="36"/>
        <v>96.353583617747447</v>
      </c>
      <c r="G546" s="591">
        <f t="shared" si="36"/>
        <v>221.54820936639118</v>
      </c>
      <c r="H546" s="591">
        <f t="shared" si="36"/>
        <v>590.72335218761305</v>
      </c>
      <c r="I546" s="591">
        <f t="shared" si="36"/>
        <v>524.98754592922069</v>
      </c>
      <c r="J546" s="591">
        <f t="shared" si="36"/>
        <v>549.20353030612057</v>
      </c>
      <c r="K546" s="591">
        <f t="shared" si="36"/>
        <v>643.18310159288262</v>
      </c>
      <c r="L546" s="569"/>
    </row>
    <row r="547" spans="2:12" ht="15.75">
      <c r="B547" s="561" t="s">
        <v>284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285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317" zoomScale="75" workbookViewId="0">
      <selection activeCell="AE281" sqref="AE281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92" t="s">
        <v>359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</row>
    <row r="3" spans="1:29" ht="12.75" hidden="1" customHeight="1">
      <c r="A3" s="1292"/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</row>
    <row r="4" spans="1:29" ht="12.75" hidden="1" customHeight="1">
      <c r="A4" s="1292"/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291" t="s">
        <v>220</v>
      </c>
      <c r="R7" s="1291"/>
      <c r="S7" s="1291"/>
      <c r="T7" s="165"/>
      <c r="U7" s="162">
        <v>2003</v>
      </c>
      <c r="V7" s="1291" t="s">
        <v>221</v>
      </c>
      <c r="W7" s="1293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291" t="s">
        <v>220</v>
      </c>
      <c r="Q16" s="1291"/>
      <c r="R16" s="1291"/>
      <c r="S16" s="1291"/>
      <c r="T16" s="163"/>
      <c r="U16" s="162">
        <v>2004</v>
      </c>
      <c r="V16" s="1291" t="s">
        <v>221</v>
      </c>
      <c r="W16" s="1291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291" t="s">
        <v>220</v>
      </c>
      <c r="Q25" s="1291"/>
      <c r="R25" s="1291"/>
      <c r="S25" s="1291"/>
      <c r="T25" s="163"/>
      <c r="U25" s="162">
        <v>2005</v>
      </c>
      <c r="V25" s="1291" t="s">
        <v>221</v>
      </c>
      <c r="W25" s="1291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291" t="s">
        <v>220</v>
      </c>
      <c r="Q34" s="1291"/>
      <c r="R34" s="1291"/>
      <c r="S34" s="1291"/>
      <c r="T34" s="163"/>
      <c r="U34" s="162">
        <v>2006</v>
      </c>
      <c r="V34" s="1291" t="s">
        <v>221</v>
      </c>
      <c r="W34" s="1291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291" t="s">
        <v>220</v>
      </c>
      <c r="Q43" s="1291"/>
      <c r="R43" s="1291"/>
      <c r="S43" s="1291"/>
      <c r="T43" s="163"/>
      <c r="U43" s="162">
        <v>2007</v>
      </c>
      <c r="V43" s="1291" t="s">
        <v>221</v>
      </c>
      <c r="W43" s="1291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291" t="s">
        <v>220</v>
      </c>
      <c r="Q52" s="1291"/>
      <c r="R52" s="1291"/>
      <c r="S52" s="1291"/>
      <c r="T52" s="163"/>
      <c r="U52" s="162">
        <v>2008</v>
      </c>
      <c r="V52" s="1291" t="s">
        <v>221</v>
      </c>
      <c r="W52" s="1291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291" t="s">
        <v>220</v>
      </c>
      <c r="Q61" s="1291"/>
      <c r="R61" s="1291"/>
      <c r="S61" s="1291"/>
      <c r="T61" s="163"/>
      <c r="U61" s="162">
        <v>2009</v>
      </c>
      <c r="V61" s="1291" t="s">
        <v>221</v>
      </c>
      <c r="W61" s="1291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291" t="s">
        <v>220</v>
      </c>
      <c r="Q70" s="1291"/>
      <c r="R70" s="1291"/>
      <c r="S70" s="1291"/>
      <c r="T70" s="163"/>
      <c r="U70" s="162">
        <v>2010</v>
      </c>
      <c r="V70" s="1291" t="s">
        <v>221</v>
      </c>
      <c r="W70" s="1291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291" t="s">
        <v>220</v>
      </c>
      <c r="Q79" s="1291"/>
      <c r="R79" s="1291"/>
      <c r="S79" s="1291"/>
      <c r="T79" s="163"/>
      <c r="U79" s="162">
        <v>2011</v>
      </c>
      <c r="V79" s="1291" t="s">
        <v>221</v>
      </c>
      <c r="W79" s="1291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291" t="s">
        <v>220</v>
      </c>
      <c r="Q88" s="1291"/>
      <c r="R88" s="1291"/>
      <c r="S88" s="1291"/>
      <c r="T88" s="163"/>
      <c r="U88" s="162">
        <v>2012</v>
      </c>
      <c r="V88" s="1291" t="s">
        <v>221</v>
      </c>
      <c r="W88" s="1291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291" t="s">
        <v>220</v>
      </c>
      <c r="Q97" s="1291"/>
      <c r="R97" s="1291"/>
      <c r="S97" s="1291"/>
      <c r="T97" s="163"/>
      <c r="U97" s="162">
        <v>2013</v>
      </c>
      <c r="V97" s="1291" t="s">
        <v>221</v>
      </c>
      <c r="W97" s="1291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291" t="s">
        <v>220</v>
      </c>
      <c r="Q106" s="1291"/>
      <c r="R106" s="1291"/>
      <c r="S106" s="1291"/>
      <c r="T106" s="163"/>
      <c r="U106" s="162">
        <v>2014</v>
      </c>
      <c r="V106" s="1291" t="s">
        <v>221</v>
      </c>
      <c r="W106" s="1291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291" t="s">
        <v>220</v>
      </c>
      <c r="Q116" s="1291"/>
      <c r="R116" s="1291"/>
      <c r="S116" s="1291"/>
      <c r="T116" s="163"/>
      <c r="U116" s="162">
        <v>2015</v>
      </c>
      <c r="V116" s="1291" t="s">
        <v>221</v>
      </c>
      <c r="W116" s="1291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291" t="s">
        <v>220</v>
      </c>
      <c r="Q126" s="1291"/>
      <c r="R126" s="1291"/>
      <c r="S126" s="1291"/>
      <c r="T126" s="163"/>
      <c r="U126" s="162">
        <v>2016</v>
      </c>
      <c r="V126" s="1291" t="s">
        <v>221</v>
      </c>
      <c r="W126" s="1291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291" t="s">
        <v>220</v>
      </c>
      <c r="Q136" s="1291"/>
      <c r="R136" s="1291"/>
      <c r="S136" s="1291"/>
      <c r="T136" s="163"/>
      <c r="U136" s="162">
        <v>2017</v>
      </c>
      <c r="V136" s="1291" t="s">
        <v>221</v>
      </c>
      <c r="W136" s="1291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1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291" t="s">
        <v>220</v>
      </c>
      <c r="Q146" s="1291"/>
      <c r="R146" s="1291"/>
      <c r="S146" s="1291"/>
      <c r="T146" s="163"/>
      <c r="U146" s="162">
        <v>2018</v>
      </c>
      <c r="V146" s="1291" t="s">
        <v>221</v>
      </c>
      <c r="W146" s="1291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>
        <v>13307.980245717892</v>
      </c>
      <c r="J148" s="229">
        <v>13219.444606899671</v>
      </c>
      <c r="K148" s="209">
        <v>13285.103686325991</v>
      </c>
      <c r="L148" s="209">
        <v>13087.842669150848</v>
      </c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09">
        <v>13242.381779647045</v>
      </c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>
        <v>13702.941210385643</v>
      </c>
      <c r="J149" s="281">
        <v>13436.68855806938</v>
      </c>
      <c r="K149" s="232">
        <v>13808.465699337286</v>
      </c>
      <c r="L149" s="232">
        <v>13121.938945165341</v>
      </c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>
        <v>13387.682697752958</v>
      </c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>
        <v>14285.698235895057</v>
      </c>
      <c r="J150" s="220">
        <v>14177.113891343355</v>
      </c>
      <c r="K150" s="220">
        <v>14280.892080601858</v>
      </c>
      <c r="L150" s="220">
        <v>14142.372719899284</v>
      </c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>
        <v>14162.296339843502</v>
      </c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>
        <v>14233.663190647711</v>
      </c>
      <c r="J151" s="220">
        <v>14040.137834929252</v>
      </c>
      <c r="K151" s="220">
        <v>14162.077525575558</v>
      </c>
      <c r="L151" s="220">
        <v>13983.309874282926</v>
      </c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>
        <v>14072.65117395687</v>
      </c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1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>
        <v>10407.782857142856</v>
      </c>
      <c r="J152" s="220"/>
      <c r="K152" s="220"/>
      <c r="L152" s="220">
        <v>11869</v>
      </c>
      <c r="M152" s="189"/>
      <c r="N152" s="197"/>
      <c r="O152" s="176" t="s">
        <v>245</v>
      </c>
      <c r="P152" s="266">
        <v>11669.37</v>
      </c>
      <c r="Q152" s="220">
        <v>13911.63</v>
      </c>
      <c r="R152" s="220">
        <v>10365.881302325581</v>
      </c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>
        <v>11447.457124712249</v>
      </c>
      <c r="J153" s="220">
        <v>11554.941048503721</v>
      </c>
      <c r="K153" s="220">
        <v>11591.643828927959</v>
      </c>
      <c r="L153" s="220">
        <v>11196.846706361319</v>
      </c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>
        <v>11555.336527988868</v>
      </c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>
        <v>13452.741292369474</v>
      </c>
      <c r="J154" s="220">
        <v>13434.04731125043</v>
      </c>
      <c r="K154" s="220">
        <v>13575.767881792666</v>
      </c>
      <c r="L154" s="223">
        <v>13493.86945838867</v>
      </c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>
        <v>13420.917935467203</v>
      </c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13.04703945658617</v>
      </c>
      <c r="J302" s="346">
        <f t="shared" si="143"/>
        <v>12.960239810685952</v>
      </c>
      <c r="K302" s="346">
        <f t="shared" si="143"/>
        <v>13.024611457182344</v>
      </c>
      <c r="L302" s="346">
        <f t="shared" si="143"/>
        <v>12.831218303089067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12.982727234948083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13.434256088613374</v>
      </c>
      <c r="J303" s="346">
        <f t="shared" si="145"/>
        <v>13.173224076538608</v>
      </c>
      <c r="K303" s="346">
        <f t="shared" si="145"/>
        <v>13.537711469938516</v>
      </c>
      <c r="L303" s="346">
        <f t="shared" si="145"/>
        <v>12.864646024671902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13.125179115444075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14.005586505779467</v>
      </c>
      <c r="J304" s="346">
        <f t="shared" si="145"/>
        <v>13.899131266022897</v>
      </c>
      <c r="K304" s="346">
        <f t="shared" si="145"/>
        <v>14.000874588825351</v>
      </c>
      <c r="L304" s="346">
        <f t="shared" si="145"/>
        <v>13.865071294018906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13.884604254748531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13.954571755536971</v>
      </c>
      <c r="J305" s="346">
        <f t="shared" si="145"/>
        <v>13.764841014636522</v>
      </c>
      <c r="K305" s="346">
        <f t="shared" si="145"/>
        <v>13.88438973095643</v>
      </c>
      <c r="L305" s="346">
        <f t="shared" si="145"/>
        <v>13.709127327728359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13.796716837212617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10.203708683473387</v>
      </c>
      <c r="J306" s="346">
        <f t="shared" ref="J306:K308" si="151">J152/1000/1.02</f>
        <v>0</v>
      </c>
      <c r="K306" s="346">
        <f t="shared" si="151"/>
        <v>0</v>
      </c>
      <c r="L306" s="346">
        <f t="shared" si="145"/>
        <v>11.636274509803922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10.162628727770178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11.22299718109044</v>
      </c>
      <c r="J307" s="346">
        <f t="shared" si="151"/>
        <v>11.328373576964433</v>
      </c>
      <c r="K307" s="346">
        <f t="shared" si="151"/>
        <v>11.364356695027411</v>
      </c>
      <c r="L307" s="346">
        <f t="shared" si="145"/>
        <v>10.977300692511097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11.32876130194987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13.188962051342621</v>
      </c>
      <c r="J308" s="346">
        <f t="shared" si="151"/>
        <v>13.17063461887297</v>
      </c>
      <c r="K308" s="346">
        <f t="shared" si="151"/>
        <v>13.309576354698692</v>
      </c>
      <c r="L308" s="346">
        <f t="shared" si="145"/>
        <v>13.22928378273399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13.157762681830592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2">B198*0.521</f>
        <v>4.239554752941177</v>
      </c>
      <c r="C341" s="416">
        <f t="shared" si="152"/>
        <v>4.3182063431372546</v>
      </c>
      <c r="D341" s="416">
        <f t="shared" si="152"/>
        <v>4.2855059313725485</v>
      </c>
      <c r="E341" s="416">
        <f t="shared" si="152"/>
        <v>4.2212676529411768</v>
      </c>
      <c r="F341" s="416">
        <f t="shared" si="152"/>
        <v>4.0758238627450982</v>
      </c>
      <c r="G341" s="416">
        <f t="shared" si="152"/>
        <v>4.0245870882352941</v>
      </c>
      <c r="H341" s="416">
        <f t="shared" si="152"/>
        <v>4.0007998627450982</v>
      </c>
      <c r="I341" s="416">
        <f t="shared" si="152"/>
        <v>4.1291037745098036</v>
      </c>
      <c r="J341" s="416">
        <f t="shared" si="152"/>
        <v>4.2058695490196083</v>
      </c>
      <c r="K341" s="416">
        <f t="shared" si="152"/>
        <v>4.0356200294117643</v>
      </c>
      <c r="L341" s="416">
        <f t="shared" si="152"/>
        <v>3.9060595882352946</v>
      </c>
      <c r="M341" s="417">
        <f t="shared" si="152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3">B199*0.55</f>
        <v>5.0294372549019615</v>
      </c>
      <c r="C342" s="420">
        <f t="shared" si="153"/>
        <v>5.0321991176470577</v>
      </c>
      <c r="D342" s="420">
        <f t="shared" si="153"/>
        <v>4.9662924019607848</v>
      </c>
      <c r="E342" s="420">
        <f t="shared" si="153"/>
        <v>4.9240065686274512</v>
      </c>
      <c r="F342" s="420">
        <f t="shared" si="153"/>
        <v>4.7653989705882349</v>
      </c>
      <c r="G342" s="420">
        <f t="shared" si="153"/>
        <v>4.6678915196078421</v>
      </c>
      <c r="H342" s="420">
        <f t="shared" si="153"/>
        <v>4.6059205392156866</v>
      </c>
      <c r="I342" s="420">
        <f t="shared" si="153"/>
        <v>4.7843416176470601</v>
      </c>
      <c r="J342" s="420">
        <f t="shared" si="153"/>
        <v>4.803961519607844</v>
      </c>
      <c r="K342" s="420">
        <f t="shared" si="153"/>
        <v>4.67049</v>
      </c>
      <c r="L342" s="420">
        <f t="shared" si="153"/>
        <v>4.5795065196078433</v>
      </c>
      <c r="M342" s="421">
        <f t="shared" si="153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4">B200*0.52</f>
        <v>4.7609405490196073</v>
      </c>
      <c r="C343" s="394">
        <f t="shared" si="154"/>
        <v>4.7835605490196089</v>
      </c>
      <c r="D343" s="394">
        <f t="shared" si="154"/>
        <v>4.637351843137254</v>
      </c>
      <c r="E343" s="394">
        <f t="shared" si="154"/>
        <v>4.6410387450980384</v>
      </c>
      <c r="F343" s="394">
        <f t="shared" si="154"/>
        <v>4.449082274509804</v>
      </c>
      <c r="G343" s="394">
        <f t="shared" si="154"/>
        <v>4.429929960784313</v>
      </c>
      <c r="H343" s="394">
        <f t="shared" si="154"/>
        <v>4.4411553333333327</v>
      </c>
      <c r="I343" s="394">
        <f t="shared" si="154"/>
        <v>4.5292983921568624</v>
      </c>
      <c r="J343" s="394">
        <f t="shared" si="154"/>
        <v>4.586243490196078</v>
      </c>
      <c r="K343" s="394">
        <f t="shared" si="154"/>
        <v>4.4115632549019601</v>
      </c>
      <c r="L343" s="394">
        <f t="shared" si="154"/>
        <v>4.2340673725490205</v>
      </c>
      <c r="M343" s="395">
        <f t="shared" si="154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5">B201*0.54</f>
        <v>0</v>
      </c>
      <c r="C344" s="394">
        <f t="shared" si="155"/>
        <v>0</v>
      </c>
      <c r="D344" s="394">
        <f t="shared" si="155"/>
        <v>4.1955363529411764</v>
      </c>
      <c r="E344" s="394">
        <f t="shared" si="155"/>
        <v>4.7118176470588233</v>
      </c>
      <c r="F344" s="394">
        <f t="shared" si="155"/>
        <v>4.0948867058823533</v>
      </c>
      <c r="G344" s="394">
        <f t="shared" si="155"/>
        <v>3.5837364705882355</v>
      </c>
      <c r="H344" s="394">
        <f t="shared" si="155"/>
        <v>0</v>
      </c>
      <c r="I344" s="394">
        <f t="shared" si="155"/>
        <v>3.8726470588235298</v>
      </c>
      <c r="J344" s="394">
        <f t="shared" si="155"/>
        <v>4.2677047058823536</v>
      </c>
      <c r="K344" s="394">
        <f t="shared" si="155"/>
        <v>4.0208823529411761</v>
      </c>
      <c r="L344" s="394">
        <f t="shared" si="155"/>
        <v>4.4109047647058821</v>
      </c>
      <c r="M344" s="395">
        <f t="shared" si="155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6">B202*0.478</f>
        <v>3.2855231588235285</v>
      </c>
      <c r="C345" s="394">
        <f t="shared" si="156"/>
        <v>3.4129668627450975</v>
      </c>
      <c r="D345" s="394">
        <f t="shared" si="156"/>
        <v>3.4445692235294114</v>
      </c>
      <c r="E345" s="394">
        <f t="shared" si="156"/>
        <v>3.4135334333333329</v>
      </c>
      <c r="F345" s="394">
        <f t="shared" si="156"/>
        <v>3.3232650078431369</v>
      </c>
      <c r="G345" s="394">
        <f t="shared" si="156"/>
        <v>3.3069000686274506</v>
      </c>
      <c r="H345" s="394">
        <f t="shared" si="156"/>
        <v>3.3027747411764703</v>
      </c>
      <c r="I345" s="394">
        <f t="shared" si="156"/>
        <v>3.3844560372549015</v>
      </c>
      <c r="J345" s="394">
        <f t="shared" si="156"/>
        <v>3.5024887647058822</v>
      </c>
      <c r="K345" s="394">
        <f t="shared" si="156"/>
        <v>3.3617454137254903</v>
      </c>
      <c r="L345" s="394">
        <f t="shared" si="156"/>
        <v>3.1397500294117644</v>
      </c>
      <c r="M345" s="395">
        <f t="shared" si="156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7">B203*0.53</f>
        <v>4.0926532450980391</v>
      </c>
      <c r="C346" s="402">
        <f t="shared" si="157"/>
        <v>4.1347627843137253</v>
      </c>
      <c r="D346" s="402">
        <f t="shared" si="157"/>
        <v>4.119478</v>
      </c>
      <c r="E346" s="402">
        <f t="shared" si="157"/>
        <v>4.0572575588235296</v>
      </c>
      <c r="F346" s="402">
        <f t="shared" si="157"/>
        <v>3.9884884999999999</v>
      </c>
      <c r="G346" s="402">
        <f t="shared" si="157"/>
        <v>3.9692609313725491</v>
      </c>
      <c r="H346" s="402">
        <f t="shared" si="157"/>
        <v>3.9708415784313731</v>
      </c>
      <c r="I346" s="402">
        <f t="shared" si="157"/>
        <v>4.0573230294117648</v>
      </c>
      <c r="J346" s="402">
        <f t="shared" si="157"/>
        <v>4.1166918627450979</v>
      </c>
      <c r="K346" s="402">
        <f t="shared" si="157"/>
        <v>4.0068810588235291</v>
      </c>
      <c r="L346" s="402">
        <f t="shared" si="157"/>
        <v>3.9505394607843138</v>
      </c>
      <c r="M346" s="403">
        <f t="shared" si="157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8">B207*0.521</f>
        <v>4.152870568627451</v>
      </c>
      <c r="C350" s="416">
        <f t="shared" si="158"/>
        <v>4.2083928235294117</v>
      </c>
      <c r="D350" s="416">
        <f t="shared" si="158"/>
        <v>4.1999035882352942</v>
      </c>
      <c r="E350" s="416">
        <f t="shared" si="158"/>
        <v>4.2024677254901963</v>
      </c>
      <c r="F350" s="416">
        <f t="shared" si="158"/>
        <v>4.2093888529411769</v>
      </c>
      <c r="G350" s="416">
        <f t="shared" si="158"/>
        <v>4.3122761372549014</v>
      </c>
      <c r="H350" s="416">
        <f t="shared" si="158"/>
        <v>4.1137981225490199</v>
      </c>
      <c r="I350" s="416">
        <f t="shared" si="158"/>
        <v>4.1385946578431367</v>
      </c>
      <c r="J350" s="416">
        <f t="shared" si="158"/>
        <v>4.2312350980392157</v>
      </c>
      <c r="K350" s="416">
        <f t="shared" si="158"/>
        <v>4.2179547058823532</v>
      </c>
      <c r="L350" s="416">
        <f t="shared" si="158"/>
        <v>4.169532352941177</v>
      </c>
      <c r="M350" s="416">
        <f t="shared" si="158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9">B208*0.55</f>
        <v>4.8520967647058821</v>
      </c>
      <c r="C351" s="420">
        <f t="shared" si="159"/>
        <v>4.8123775980392161</v>
      </c>
      <c r="D351" s="420">
        <f t="shared" si="159"/>
        <v>4.7612426960784324</v>
      </c>
      <c r="E351" s="420">
        <f t="shared" si="159"/>
        <v>4.7906908823529415</v>
      </c>
      <c r="F351" s="420">
        <f t="shared" si="159"/>
        <v>4.7790076960784322</v>
      </c>
      <c r="G351" s="420">
        <f t="shared" si="159"/>
        <v>4.8675835784313737</v>
      </c>
      <c r="H351" s="420">
        <f t="shared" si="159"/>
        <v>4.7231325490196081</v>
      </c>
      <c r="I351" s="420">
        <f t="shared" si="159"/>
        <v>4.7839695588235296</v>
      </c>
      <c r="J351" s="420">
        <f t="shared" si="159"/>
        <v>4.8680359803921576</v>
      </c>
      <c r="K351" s="420">
        <f t="shared" si="159"/>
        <v>4.9016199509803924</v>
      </c>
      <c r="L351" s="420">
        <f t="shared" si="159"/>
        <v>4.9018820098039226</v>
      </c>
      <c r="M351" s="420">
        <f t="shared" si="159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60">B209*0.52</f>
        <v>4.5551862352941175</v>
      </c>
      <c r="C352" s="394">
        <f t="shared" si="160"/>
        <v>4.481780588235293</v>
      </c>
      <c r="D352" s="394">
        <f t="shared" si="160"/>
        <v>4.4206158431372549</v>
      </c>
      <c r="E352" s="394">
        <f t="shared" si="160"/>
        <v>4.4943008627450984</v>
      </c>
      <c r="F352" s="394">
        <f t="shared" si="160"/>
        <v>4.5509370196078427</v>
      </c>
      <c r="G352" s="394">
        <f t="shared" si="160"/>
        <v>4.6713476078431375</v>
      </c>
      <c r="H352" s="394">
        <f t="shared" si="160"/>
        <v>4.5304408627450981</v>
      </c>
      <c r="I352" s="394">
        <f t="shared" si="160"/>
        <v>4.600308470588236</v>
      </c>
      <c r="J352" s="394">
        <f t="shared" si="160"/>
        <v>4.6832255294117635</v>
      </c>
      <c r="K352" s="394">
        <f t="shared" si="160"/>
        <v>4.6764058823529409</v>
      </c>
      <c r="L352" s="394">
        <f t="shared" si="160"/>
        <v>4.6680761960784318</v>
      </c>
      <c r="M352" s="394">
        <f t="shared" si="160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1">B210*0.54</f>
        <v>3.9906825882352943</v>
      </c>
      <c r="C353" s="394">
        <f t="shared" si="161"/>
        <v>4.2217681764705883</v>
      </c>
      <c r="D353" s="394">
        <f t="shared" si="161"/>
        <v>4.5317647058823534</v>
      </c>
      <c r="E353" s="394">
        <f t="shared" si="161"/>
        <v>3.3792289411764709</v>
      </c>
      <c r="F353" s="394">
        <f t="shared" si="161"/>
        <v>4.545272117647059</v>
      </c>
      <c r="G353" s="394">
        <f t="shared" si="161"/>
        <v>5.0246470588235299</v>
      </c>
      <c r="H353" s="394">
        <f t="shared" si="161"/>
        <v>4.3036522941176472</v>
      </c>
      <c r="I353" s="394">
        <f t="shared" si="161"/>
        <v>4.2485294117647063</v>
      </c>
      <c r="J353" s="394">
        <f t="shared" si="161"/>
        <v>3.994547294117647</v>
      </c>
      <c r="K353" s="394">
        <f t="shared" si="161"/>
        <v>0</v>
      </c>
      <c r="L353" s="394">
        <f t="shared" si="161"/>
        <v>4.1199114705882351</v>
      </c>
      <c r="M353" s="394">
        <f t="shared" si="161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2">B211*0.478</f>
        <v>3.2654776196078434</v>
      </c>
      <c r="C354" s="394">
        <f t="shared" si="162"/>
        <v>3.352321784313725</v>
      </c>
      <c r="D354" s="394">
        <f t="shared" si="162"/>
        <v>3.4245860117647058</v>
      </c>
      <c r="E354" s="394">
        <f t="shared" si="162"/>
        <v>3.4448972627450978</v>
      </c>
      <c r="F354" s="394">
        <f t="shared" si="162"/>
        <v>3.4676106980392154</v>
      </c>
      <c r="G354" s="394">
        <f t="shared" si="162"/>
        <v>3.5857587078431368</v>
      </c>
      <c r="H354" s="394">
        <f t="shared" si="162"/>
        <v>3.3936355117647063</v>
      </c>
      <c r="I354" s="394">
        <f t="shared" si="162"/>
        <v>3.3838908725490193</v>
      </c>
      <c r="J354" s="394">
        <f t="shared" si="162"/>
        <v>3.4532374254901956</v>
      </c>
      <c r="K354" s="394">
        <f t="shared" si="162"/>
        <v>3.4278776509803919</v>
      </c>
      <c r="L354" s="394">
        <f t="shared" si="162"/>
        <v>3.2937100803921564</v>
      </c>
      <c r="M354" s="394">
        <f t="shared" si="162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3">B212*0.53</f>
        <v>4.067751039215687</v>
      </c>
      <c r="C355" s="402">
        <f t="shared" si="163"/>
        <v>4.1146492843137255</v>
      </c>
      <c r="D355" s="402">
        <f t="shared" si="163"/>
        <v>4.1506877254901964</v>
      </c>
      <c r="E355" s="402">
        <f t="shared" si="163"/>
        <v>4.1380861960784312</v>
      </c>
      <c r="F355" s="402">
        <f t="shared" si="163"/>
        <v>4.1518474901960785</v>
      </c>
      <c r="G355" s="402">
        <f t="shared" si="163"/>
        <v>4.2015485000000004</v>
      </c>
      <c r="H355" s="402">
        <f t="shared" si="163"/>
        <v>4.0835341274509807</v>
      </c>
      <c r="I355" s="402">
        <f t="shared" si="163"/>
        <v>4.066513333333333</v>
      </c>
      <c r="J355" s="402">
        <f t="shared" si="163"/>
        <v>4.1418060686274512</v>
      </c>
      <c r="K355" s="402">
        <f t="shared" si="163"/>
        <v>4.1334518137254896</v>
      </c>
      <c r="L355" s="402">
        <f t="shared" si="163"/>
        <v>4.1090645392156864</v>
      </c>
      <c r="M355" s="402">
        <f t="shared" si="163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4">B216*0.521</f>
        <v>4.5135353725490202</v>
      </c>
      <c r="C359" s="416">
        <f t="shared" si="164"/>
        <v>4.7563060490196083</v>
      </c>
      <c r="D359" s="416">
        <f t="shared" si="164"/>
        <v>4.9364254539215686</v>
      </c>
      <c r="E359" s="416">
        <f t="shared" si="164"/>
        <v>4.8365119558823535</v>
      </c>
      <c r="F359" s="416">
        <f t="shared" si="164"/>
        <v>4.911448100980393</v>
      </c>
      <c r="G359" s="416">
        <f t="shared" si="164"/>
        <v>5.055837632352941</v>
      </c>
      <c r="H359" s="416">
        <f t="shared" si="164"/>
        <v>4.929867494117647</v>
      </c>
      <c r="I359" s="416">
        <f t="shared" si="164"/>
        <v>4.830303372549019</v>
      </c>
      <c r="J359" s="416">
        <f t="shared" si="164"/>
        <v>4.7876171274509804</v>
      </c>
      <c r="K359" s="416">
        <f t="shared" si="164"/>
        <v>4.5930246490196085</v>
      </c>
      <c r="L359" s="416">
        <f t="shared" si="164"/>
        <v>4.6452084176470585</v>
      </c>
      <c r="M359" s="416">
        <f t="shared" si="164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5">B217*0.55</f>
        <v>5.2326158823529418</v>
      </c>
      <c r="C360" s="420">
        <f t="shared" si="165"/>
        <v>5.4548563235294116</v>
      </c>
      <c r="D360" s="420">
        <f t="shared" si="165"/>
        <v>5.6384781372549018</v>
      </c>
      <c r="E360" s="420">
        <f t="shared" si="165"/>
        <v>5.5708820588235302</v>
      </c>
      <c r="F360" s="420">
        <f t="shared" si="165"/>
        <v>5.6677645588235297</v>
      </c>
      <c r="G360" s="420">
        <f t="shared" si="165"/>
        <v>5.8274640686274521</v>
      </c>
      <c r="H360" s="420">
        <f t="shared" si="165"/>
        <v>5.7441541666666671</v>
      </c>
      <c r="I360" s="420">
        <f t="shared" si="165"/>
        <v>5.7371174019607851</v>
      </c>
      <c r="J360" s="420">
        <f t="shared" si="165"/>
        <v>5.6741569607843152</v>
      </c>
      <c r="K360" s="420">
        <f t="shared" si="165"/>
        <v>5.5205441176470602</v>
      </c>
      <c r="L360" s="420">
        <f t="shared" si="165"/>
        <v>5.6170502450980395</v>
      </c>
      <c r="M360" s="420">
        <f t="shared" si="165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6">B218*0.52</f>
        <v>4.964140235294118</v>
      </c>
      <c r="C361" s="394">
        <f t="shared" si="166"/>
        <v>5.1959577647058826</v>
      </c>
      <c r="D361" s="394">
        <f t="shared" si="166"/>
        <v>5.4454726274509806</v>
      </c>
      <c r="E361" s="394">
        <f t="shared" si="166"/>
        <v>5.4134829411764693</v>
      </c>
      <c r="F361" s="394">
        <f t="shared" si="166"/>
        <v>5.4944408235294118</v>
      </c>
      <c r="G361" s="394">
        <f t="shared" si="166"/>
        <v>5.6385695294117655</v>
      </c>
      <c r="H361" s="394">
        <f t="shared" si="166"/>
        <v>5.5495037254901955</v>
      </c>
      <c r="I361" s="394">
        <f t="shared" si="166"/>
        <v>5.5690735686274504</v>
      </c>
      <c r="J361" s="394">
        <f t="shared" si="166"/>
        <v>5.5485289803921578</v>
      </c>
      <c r="K361" s="394">
        <f t="shared" si="166"/>
        <v>5.4422210980392167</v>
      </c>
      <c r="L361" s="394">
        <f t="shared" si="166"/>
        <v>5.4373330980392156</v>
      </c>
      <c r="M361" s="394">
        <f t="shared" si="166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7">B219*0.54</f>
        <v>3.8101764705882353</v>
      </c>
      <c r="C362" s="394">
        <f t="shared" si="167"/>
        <v>4.5054661764705886</v>
      </c>
      <c r="D362" s="394">
        <f t="shared" si="167"/>
        <v>0</v>
      </c>
      <c r="E362" s="394">
        <f t="shared" si="167"/>
        <v>0</v>
      </c>
      <c r="F362" s="394">
        <f t="shared" si="167"/>
        <v>4.32</v>
      </c>
      <c r="G362" s="394">
        <f t="shared" si="167"/>
        <v>0</v>
      </c>
      <c r="H362" s="394">
        <f t="shared" si="167"/>
        <v>0</v>
      </c>
      <c r="I362" s="394">
        <f t="shared" si="167"/>
        <v>0</v>
      </c>
      <c r="J362" s="394">
        <f t="shared" si="167"/>
        <v>4.0240588235294119</v>
      </c>
      <c r="K362" s="394">
        <f t="shared" si="167"/>
        <v>4.5690633529411766</v>
      </c>
      <c r="L362" s="394">
        <f t="shared" si="167"/>
        <v>4.5091800000000006</v>
      </c>
      <c r="M362" s="394">
        <f t="shared" si="167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8">B220*0.478</f>
        <v>3.5871725568627446</v>
      </c>
      <c r="C363" s="394">
        <f t="shared" si="168"/>
        <v>3.7541398313725485</v>
      </c>
      <c r="D363" s="394">
        <f t="shared" si="168"/>
        <v>3.977840082352941</v>
      </c>
      <c r="E363" s="394">
        <f t="shared" si="168"/>
        <v>3.9315935823529418</v>
      </c>
      <c r="F363" s="394">
        <f t="shared" si="168"/>
        <v>3.9637512666666663</v>
      </c>
      <c r="G363" s="394">
        <f t="shared" si="168"/>
        <v>4.090658392156862</v>
      </c>
      <c r="H363" s="394">
        <f t="shared" si="168"/>
        <v>3.918549805882352</v>
      </c>
      <c r="I363" s="394">
        <f t="shared" si="168"/>
        <v>3.790322556862745</v>
      </c>
      <c r="J363" s="394">
        <f t="shared" si="168"/>
        <v>3.7137122784313723</v>
      </c>
      <c r="K363" s="394">
        <f t="shared" si="168"/>
        <v>3.5185294137254899</v>
      </c>
      <c r="L363" s="394">
        <f t="shared" si="168"/>
        <v>3.5062523117647055</v>
      </c>
      <c r="M363" s="394">
        <f t="shared" si="168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9">B221*0.53</f>
        <v>4.3545844411764705</v>
      </c>
      <c r="C364" s="402">
        <f t="shared" si="169"/>
        <v>4.5082719705882353</v>
      </c>
      <c r="D364" s="402">
        <f t="shared" si="169"/>
        <v>4.7163624411764706</v>
      </c>
      <c r="E364" s="402">
        <f t="shared" si="169"/>
        <v>4.7088120196078425</v>
      </c>
      <c r="F364" s="402">
        <f t="shared" si="169"/>
        <v>4.7191813137254908</v>
      </c>
      <c r="G364" s="402">
        <f t="shared" si="169"/>
        <v>4.8328886568627452</v>
      </c>
      <c r="H364" s="402">
        <f t="shared" si="169"/>
        <v>4.7853211568627447</v>
      </c>
      <c r="I364" s="402">
        <f t="shared" si="169"/>
        <v>4.7701049607843142</v>
      </c>
      <c r="J364" s="402">
        <f t="shared" si="169"/>
        <v>4.7611256176470595</v>
      </c>
      <c r="K364" s="402">
        <f t="shared" si="169"/>
        <v>4.6369549313725491</v>
      </c>
      <c r="L364" s="402">
        <f t="shared" si="169"/>
        <v>4.677624637254902</v>
      </c>
      <c r="M364" s="402">
        <f t="shared" si="169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70">B225*0.521</f>
        <v>4.9139494117647056</v>
      </c>
      <c r="C368" s="416">
        <f t="shared" si="170"/>
        <v>4.920982911764705</v>
      </c>
      <c r="D368" s="416">
        <f t="shared" si="170"/>
        <v>4.5725641617647055</v>
      </c>
      <c r="E368" s="416">
        <f t="shared" si="170"/>
        <v>4.5739254019607829</v>
      </c>
      <c r="F368" s="416">
        <f t="shared" si="170"/>
        <v>4.3954318235294121</v>
      </c>
      <c r="G368" s="416">
        <f t="shared" si="170"/>
        <v>4.4029761078431369</v>
      </c>
      <c r="H368" s="416">
        <f t="shared" si="170"/>
        <v>4.3209135000000014</v>
      </c>
      <c r="I368" s="416">
        <f t="shared" si="170"/>
        <v>4.4328008039215687</v>
      </c>
      <c r="J368" s="416">
        <f t="shared" si="170"/>
        <v>4.5098985882352949</v>
      </c>
      <c r="K368" s="416">
        <f t="shared" si="170"/>
        <v>4.5821745686274511</v>
      </c>
      <c r="L368" s="416">
        <f t="shared" si="170"/>
        <v>4.8983194117647058</v>
      </c>
      <c r="M368" s="416">
        <f t="shared" si="170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1">B226*0.55</f>
        <v>5.8651094117647053</v>
      </c>
      <c r="C369" s="420">
        <f t="shared" si="171"/>
        <v>5.8214388725490203</v>
      </c>
      <c r="D369" s="420">
        <f t="shared" si="171"/>
        <v>5.3412829411764706</v>
      </c>
      <c r="E369" s="420">
        <f t="shared" si="171"/>
        <v>5.2510818627450995</v>
      </c>
      <c r="F369" s="420">
        <f t="shared" si="171"/>
        <v>4.9639608333333332</v>
      </c>
      <c r="G369" s="420">
        <f t="shared" si="171"/>
        <v>4.9370566666666669</v>
      </c>
      <c r="H369" s="420">
        <f t="shared" si="171"/>
        <v>4.8558890686274525</v>
      </c>
      <c r="I369" s="420">
        <f t="shared" si="171"/>
        <v>5.0192148039215683</v>
      </c>
      <c r="J369" s="420">
        <f t="shared" si="171"/>
        <v>5.1188543137254907</v>
      </c>
      <c r="K369" s="420">
        <f t="shared" si="171"/>
        <v>5.2989329411764707</v>
      </c>
      <c r="L369" s="420">
        <f t="shared" si="171"/>
        <v>5.8200352941176474</v>
      </c>
      <c r="M369" s="420">
        <f t="shared" si="171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2">B227*0.52</f>
        <v>5.6978887843137267</v>
      </c>
      <c r="C370" s="394">
        <f t="shared" si="172"/>
        <v>5.5825996862745111</v>
      </c>
      <c r="D370" s="394">
        <f t="shared" si="172"/>
        <v>5.0988594901960784</v>
      </c>
      <c r="E370" s="394">
        <f t="shared" si="172"/>
        <v>5.0606440784313724</v>
      </c>
      <c r="F370" s="394">
        <f t="shared" si="172"/>
        <v>4.7536569803921571</v>
      </c>
      <c r="G370" s="394">
        <f t="shared" si="172"/>
        <v>4.7371525882352934</v>
      </c>
      <c r="H370" s="394">
        <f t="shared" si="172"/>
        <v>4.6263043921568636</v>
      </c>
      <c r="I370" s="394">
        <f t="shared" si="172"/>
        <v>4.8531324705882346</v>
      </c>
      <c r="J370" s="394">
        <f t="shared" si="172"/>
        <v>4.967954588235294</v>
      </c>
      <c r="K370" s="394">
        <f t="shared" si="172"/>
        <v>5.1231536862745113</v>
      </c>
      <c r="L370" s="394">
        <f t="shared" si="172"/>
        <v>5.6454692156862745</v>
      </c>
      <c r="M370" s="394">
        <f t="shared" si="172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3">B228*0.54</f>
        <v>0</v>
      </c>
      <c r="C371" s="394">
        <f t="shared" si="173"/>
        <v>5.6901176470588242</v>
      </c>
      <c r="D371" s="394">
        <f t="shared" si="173"/>
        <v>4.9891150588235291</v>
      </c>
      <c r="E371" s="394">
        <f t="shared" si="173"/>
        <v>3.2352352941176474</v>
      </c>
      <c r="F371" s="394">
        <f t="shared" si="173"/>
        <v>4.5564564705882349</v>
      </c>
      <c r="G371" s="394">
        <f t="shared" si="173"/>
        <v>4.3507058823529414</v>
      </c>
      <c r="H371" s="394">
        <f t="shared" si="173"/>
        <v>4.362146470588236</v>
      </c>
      <c r="I371" s="394">
        <f t="shared" si="173"/>
        <v>4.6588870588235309</v>
      </c>
      <c r="J371" s="394">
        <f t="shared" si="173"/>
        <v>4.1306765294117653</v>
      </c>
      <c r="K371" s="394">
        <f t="shared" si="173"/>
        <v>0</v>
      </c>
      <c r="L371" s="394">
        <f t="shared" si="173"/>
        <v>0</v>
      </c>
      <c r="M371" s="394">
        <f t="shared" si="173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4">B229*0.478</f>
        <v>3.680002031372549</v>
      </c>
      <c r="C372" s="394">
        <f t="shared" si="174"/>
        <v>3.7112768215686271</v>
      </c>
      <c r="D372" s="394">
        <f t="shared" si="174"/>
        <v>3.6658935333333331</v>
      </c>
      <c r="E372" s="394">
        <f t="shared" si="174"/>
        <v>3.6718324490196075</v>
      </c>
      <c r="F372" s="394">
        <f t="shared" si="174"/>
        <v>3.6145432117647061</v>
      </c>
      <c r="G372" s="394">
        <f t="shared" si="174"/>
        <v>3.6615160843137251</v>
      </c>
      <c r="H372" s="394">
        <f t="shared" si="174"/>
        <v>3.5867414196078431</v>
      </c>
      <c r="I372" s="394">
        <f t="shared" si="174"/>
        <v>3.5677891882352943</v>
      </c>
      <c r="J372" s="394">
        <f t="shared" si="174"/>
        <v>3.6340399882352941</v>
      </c>
      <c r="K372" s="394">
        <f t="shared" si="174"/>
        <v>3.6145347764705886</v>
      </c>
      <c r="L372" s="394">
        <f t="shared" si="174"/>
        <v>3.646393007843137</v>
      </c>
      <c r="M372" s="394">
        <f t="shared" si="174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5">B230*0.53</f>
        <v>4.8585484509803925</v>
      </c>
      <c r="C373" s="402">
        <f t="shared" si="175"/>
        <v>4.8892499999999997</v>
      </c>
      <c r="D373" s="402">
        <f t="shared" si="175"/>
        <v>4.5658715392156859</v>
      </c>
      <c r="E373" s="402">
        <f t="shared" si="175"/>
        <v>4.481313676470589</v>
      </c>
      <c r="F373" s="402">
        <f t="shared" si="175"/>
        <v>4.3422068627450985</v>
      </c>
      <c r="G373" s="402">
        <f t="shared" si="175"/>
        <v>4.3678287254901962</v>
      </c>
      <c r="H373" s="402">
        <f t="shared" si="175"/>
        <v>4.3062479215686267</v>
      </c>
      <c r="I373" s="402">
        <f t="shared" si="175"/>
        <v>4.3844764411764716</v>
      </c>
      <c r="J373" s="402">
        <f t="shared" si="175"/>
        <v>4.4617099117647054</v>
      </c>
      <c r="K373" s="402">
        <f t="shared" si="175"/>
        <v>4.4830834607843135</v>
      </c>
      <c r="L373" s="402">
        <f t="shared" si="175"/>
        <v>4.6027018627450991</v>
      </c>
      <c r="M373" s="402">
        <f t="shared" si="175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6">B234*0.507</f>
        <v>5.1352190882352931</v>
      </c>
      <c r="C377" s="391">
        <f t="shared" si="176"/>
        <v>5.1020523411764698</v>
      </c>
      <c r="D377" s="391">
        <f t="shared" si="176"/>
        <v>5.3706773441176479</v>
      </c>
      <c r="E377" s="391">
        <f t="shared" si="176"/>
        <v>5.4425107941176467</v>
      </c>
      <c r="F377" s="391">
        <f t="shared" si="176"/>
        <v>5.5150117941176475</v>
      </c>
      <c r="G377" s="391">
        <f t="shared" si="176"/>
        <v>5.3647707941176472</v>
      </c>
      <c r="H377" s="391">
        <f t="shared" si="176"/>
        <v>5.501740323529412</v>
      </c>
      <c r="I377" s="391">
        <f t="shared" si="176"/>
        <v>5.734955352941177</v>
      </c>
      <c r="J377" s="391">
        <f t="shared" si="176"/>
        <v>5.9451814117647057</v>
      </c>
      <c r="K377" s="391">
        <f t="shared" si="176"/>
        <v>5.9998280588235291</v>
      </c>
      <c r="L377" s="391">
        <f t="shared" si="176"/>
        <v>6.0711361176470593</v>
      </c>
      <c r="M377" s="391">
        <f t="shared" si="176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7">B235*0.539</f>
        <v>6.1833234509803932</v>
      </c>
      <c r="C378" s="397">
        <f t="shared" si="177"/>
        <v>6.0110210039215684</v>
      </c>
      <c r="D378" s="397">
        <f t="shared" si="177"/>
        <v>6.3549648303921575</v>
      </c>
      <c r="E378" s="397">
        <f t="shared" si="177"/>
        <v>6.4113547990196089</v>
      </c>
      <c r="F378" s="397">
        <f t="shared" si="177"/>
        <v>6.4004014735294117</v>
      </c>
      <c r="G378" s="397">
        <f t="shared" si="177"/>
        <v>6.1861357627450984</v>
      </c>
      <c r="H378" s="397">
        <f t="shared" si="177"/>
        <v>6.3821536813725492</v>
      </c>
      <c r="I378" s="397">
        <f t="shared" si="177"/>
        <v>6.7674076303921566</v>
      </c>
      <c r="J378" s="397">
        <f t="shared" si="177"/>
        <v>7.0574789352941174</v>
      </c>
      <c r="K378" s="397">
        <f t="shared" si="177"/>
        <v>7.1723789392156867</v>
      </c>
      <c r="L378" s="397">
        <f t="shared" si="177"/>
        <v>7.2262002029411772</v>
      </c>
      <c r="M378" s="397">
        <f t="shared" si="177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8">B236*0.535</f>
        <v>6.2439797549019609</v>
      </c>
      <c r="C379" s="394">
        <f t="shared" si="178"/>
        <v>6.0201472941176473</v>
      </c>
      <c r="D379" s="394">
        <f t="shared" si="178"/>
        <v>6.3166642254901966</v>
      </c>
      <c r="E379" s="394">
        <f t="shared" si="178"/>
        <v>6.3839441470588243</v>
      </c>
      <c r="F379" s="394">
        <f t="shared" si="178"/>
        <v>6.3634751519607846</v>
      </c>
      <c r="G379" s="394">
        <f t="shared" si="178"/>
        <v>6.1253880882352938</v>
      </c>
      <c r="H379" s="394">
        <f t="shared" si="178"/>
        <v>6.3125683284313725</v>
      </c>
      <c r="I379" s="394">
        <f t="shared" si="178"/>
        <v>6.7315352205882357</v>
      </c>
      <c r="J379" s="394">
        <f t="shared" si="178"/>
        <v>7.0205390735294113</v>
      </c>
      <c r="K379" s="394">
        <f t="shared" si="178"/>
        <v>7.1808444803921576</v>
      </c>
      <c r="L379" s="394">
        <f t="shared" si="178"/>
        <v>7.2133074411764708</v>
      </c>
      <c r="M379" s="394">
        <f t="shared" si="178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9">B237*0.54</f>
        <v>0</v>
      </c>
      <c r="C380" s="394">
        <f t="shared" si="179"/>
        <v>4.4393024117647064</v>
      </c>
      <c r="D380" s="394">
        <f t="shared" si="179"/>
        <v>0</v>
      </c>
      <c r="E380" s="394">
        <f t="shared" si="179"/>
        <v>5.4275294117647057</v>
      </c>
      <c r="F380" s="394">
        <f t="shared" si="179"/>
        <v>5.0721098823529411</v>
      </c>
      <c r="G380" s="394">
        <f t="shared" si="179"/>
        <v>4.6960327058823532</v>
      </c>
      <c r="H380" s="394">
        <f t="shared" si="179"/>
        <v>6.874941176470589</v>
      </c>
      <c r="I380" s="394">
        <f t="shared" si="179"/>
        <v>0</v>
      </c>
      <c r="J380" s="394">
        <f t="shared" si="179"/>
        <v>5.269098705882354</v>
      </c>
      <c r="K380" s="394">
        <f t="shared" si="179"/>
        <v>5.8277895882352952</v>
      </c>
      <c r="L380" s="394">
        <f t="shared" si="179"/>
        <v>5.1163814117647064</v>
      </c>
      <c r="M380" s="394">
        <f t="shared" si="179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80">B238*0.465</f>
        <v>3.7317025000000004</v>
      </c>
      <c r="C381" s="394">
        <f t="shared" si="180"/>
        <v>3.842612294117647</v>
      </c>
      <c r="D381" s="394">
        <f t="shared" si="180"/>
        <v>4.1510062205882363</v>
      </c>
      <c r="E381" s="394">
        <f t="shared" si="180"/>
        <v>4.2863558676470594</v>
      </c>
      <c r="F381" s="394">
        <f t="shared" si="180"/>
        <v>4.3482382500000005</v>
      </c>
      <c r="G381" s="394">
        <f t="shared" si="180"/>
        <v>4.3829277058823539</v>
      </c>
      <c r="H381" s="394">
        <f t="shared" si="180"/>
        <v>4.4514755441176472</v>
      </c>
      <c r="I381" s="394">
        <f t="shared" si="180"/>
        <v>4.561661397058824</v>
      </c>
      <c r="J381" s="394">
        <f t="shared" si="180"/>
        <v>4.7065175588235295</v>
      </c>
      <c r="K381" s="394">
        <f t="shared" si="180"/>
        <v>4.7662085147058821</v>
      </c>
      <c r="L381" s="394">
        <f t="shared" si="180"/>
        <v>4.8257417352941179</v>
      </c>
      <c r="M381" s="394">
        <f t="shared" si="180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1">B239*0.516</f>
        <v>4.7593872117647056</v>
      </c>
      <c r="C382" s="402">
        <f t="shared" si="181"/>
        <v>4.7989037058823536</v>
      </c>
      <c r="D382" s="402">
        <f t="shared" si="181"/>
        <v>5.0184662588235298</v>
      </c>
      <c r="E382" s="402">
        <f t="shared" si="181"/>
        <v>5.0800503529411767</v>
      </c>
      <c r="F382" s="402">
        <f t="shared" si="181"/>
        <v>5.141860070588236</v>
      </c>
      <c r="G382" s="402">
        <f t="shared" si="181"/>
        <v>5.2056695411764702</v>
      </c>
      <c r="H382" s="402">
        <f t="shared" si="181"/>
        <v>5.3190666117647059</v>
      </c>
      <c r="I382" s="402">
        <f t="shared" si="181"/>
        <v>5.5185936941176479</v>
      </c>
      <c r="J382" s="402">
        <f t="shared" si="181"/>
        <v>5.7601029411764708</v>
      </c>
      <c r="K382" s="402">
        <f t="shared" si="181"/>
        <v>5.8479362588235304</v>
      </c>
      <c r="L382" s="402">
        <f t="shared" si="181"/>
        <v>5.9254940941176475</v>
      </c>
      <c r="M382" s="402">
        <f t="shared" si="181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2">B243*0.507</f>
        <v>6.5620115294117651</v>
      </c>
      <c r="C386" s="391">
        <f t="shared" si="182"/>
        <v>6.5824008823529416</v>
      </c>
      <c r="D386" s="391">
        <f t="shared" si="182"/>
        <v>6.3442500588235289</v>
      </c>
      <c r="E386" s="391">
        <f t="shared" si="182"/>
        <v>6.3080641764705883</v>
      </c>
      <c r="F386" s="391">
        <f t="shared" si="182"/>
        <v>6.2025236764705882</v>
      </c>
      <c r="G386" s="391">
        <f t="shared" si="182"/>
        <v>6.3292935588235295</v>
      </c>
      <c r="H386" s="391">
        <f t="shared" si="182"/>
        <v>6.3474411764705883</v>
      </c>
      <c r="I386" s="391">
        <f t="shared" si="182"/>
        <v>6.4731722058823538</v>
      </c>
      <c r="J386" s="391">
        <f t="shared" si="182"/>
        <v>6.5462696764705885</v>
      </c>
      <c r="K386" s="391">
        <f t="shared" si="182"/>
        <v>6.4039517941176465</v>
      </c>
      <c r="L386" s="391">
        <f t="shared" si="182"/>
        <v>6.3177617941176472</v>
      </c>
      <c r="M386" s="391">
        <f t="shared" si="182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3">B244*0.539</f>
        <v>7.6711346627450983</v>
      </c>
      <c r="C387" s="397">
        <f t="shared" si="183"/>
        <v>7.5416045078431377</v>
      </c>
      <c r="D387" s="397">
        <f t="shared" si="183"/>
        <v>7.1775168774509801</v>
      </c>
      <c r="E387" s="397">
        <f t="shared" si="183"/>
        <v>7.1742141813725491</v>
      </c>
      <c r="F387" s="397">
        <f t="shared" si="183"/>
        <v>6.9068152245098045</v>
      </c>
      <c r="G387" s="397">
        <f t="shared" si="183"/>
        <v>7.0501569901960792</v>
      </c>
      <c r="H387" s="397">
        <f t="shared" si="183"/>
        <v>7.1358981509803918</v>
      </c>
      <c r="I387" s="397">
        <f t="shared" si="183"/>
        <v>7.3953648245098051</v>
      </c>
      <c r="J387" s="397">
        <f t="shared" si="183"/>
        <v>7.4949905196078435</v>
      </c>
      <c r="K387" s="397">
        <f t="shared" si="183"/>
        <v>7.3695726176470586</v>
      </c>
      <c r="L387" s="397">
        <f t="shared" si="183"/>
        <v>7.2594369509803922</v>
      </c>
      <c r="M387" s="397">
        <f t="shared" si="183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4">B245*0.535</f>
        <v>7.6330610980392164</v>
      </c>
      <c r="C388" s="394">
        <f t="shared" si="184"/>
        <v>7.4960990000000001</v>
      </c>
      <c r="D388" s="394">
        <f t="shared" si="184"/>
        <v>7.1115719460784321</v>
      </c>
      <c r="E388" s="394">
        <f t="shared" si="184"/>
        <v>7.1190063480392158</v>
      </c>
      <c r="F388" s="394">
        <f t="shared" si="184"/>
        <v>6.8322626078431377</v>
      </c>
      <c r="G388" s="394">
        <f t="shared" si="184"/>
        <v>6.9983612254901963</v>
      </c>
      <c r="H388" s="394">
        <f t="shared" si="184"/>
        <v>7.0658797990196094</v>
      </c>
      <c r="I388" s="394">
        <f t="shared" si="184"/>
        <v>7.3357379950980395</v>
      </c>
      <c r="J388" s="394">
        <f t="shared" si="184"/>
        <v>7.4476143627450986</v>
      </c>
      <c r="K388" s="394">
        <f t="shared" si="184"/>
        <v>7.3263356323529418</v>
      </c>
      <c r="L388" s="394">
        <f t="shared" si="184"/>
        <v>7.2307085784313729</v>
      </c>
      <c r="M388" s="394">
        <f t="shared" si="184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5">B246*0.54</f>
        <v>6.6547376470588242</v>
      </c>
      <c r="C389" s="394">
        <f t="shared" si="185"/>
        <v>0</v>
      </c>
      <c r="D389" s="394">
        <f t="shared" si="185"/>
        <v>6.3739164705882363</v>
      </c>
      <c r="E389" s="394">
        <f t="shared" si="185"/>
        <v>5.568490588235294</v>
      </c>
      <c r="F389" s="394">
        <f t="shared" si="185"/>
        <v>0</v>
      </c>
      <c r="G389" s="394">
        <f t="shared" si="185"/>
        <v>0</v>
      </c>
      <c r="H389" s="394">
        <f t="shared" si="185"/>
        <v>0</v>
      </c>
      <c r="I389" s="394">
        <f t="shared" si="185"/>
        <v>0</v>
      </c>
      <c r="J389" s="394">
        <f t="shared" si="185"/>
        <v>0</v>
      </c>
      <c r="K389" s="394">
        <f t="shared" si="185"/>
        <v>6.5927170588235295</v>
      </c>
      <c r="L389" s="394">
        <f t="shared" si="185"/>
        <v>0</v>
      </c>
      <c r="M389" s="394">
        <f t="shared" si="185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6">B247*0.465</f>
        <v>5.1291524117647063</v>
      </c>
      <c r="C390" s="394">
        <f t="shared" si="186"/>
        <v>5.2422919264705889</v>
      </c>
      <c r="D390" s="394">
        <f t="shared" si="186"/>
        <v>5.2305556911764715</v>
      </c>
      <c r="E390" s="394">
        <f t="shared" si="186"/>
        <v>5.1842138823529416</v>
      </c>
      <c r="F390" s="394">
        <f t="shared" si="186"/>
        <v>5.1899461470588237</v>
      </c>
      <c r="G390" s="394">
        <f t="shared" si="186"/>
        <v>5.323771323529412</v>
      </c>
      <c r="H390" s="394">
        <f t="shared" si="186"/>
        <v>5.3045125735294123</v>
      </c>
      <c r="I390" s="394">
        <f t="shared" si="186"/>
        <v>5.3603180441176477</v>
      </c>
      <c r="J390" s="394">
        <f t="shared" si="186"/>
        <v>5.3846316176470594</v>
      </c>
      <c r="K390" s="394">
        <f t="shared" si="186"/>
        <v>5.2730799411764711</v>
      </c>
      <c r="L390" s="394">
        <f t="shared" si="186"/>
        <v>5.112533676470588</v>
      </c>
      <c r="M390" s="394">
        <f t="shared" si="186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7">B248*0.516</f>
        <v>6.2606016941176472</v>
      </c>
      <c r="C391" s="402">
        <f t="shared" si="187"/>
        <v>6.3656208470588229</v>
      </c>
      <c r="D391" s="402">
        <f t="shared" si="187"/>
        <v>6.2509762705882359</v>
      </c>
      <c r="E391" s="402">
        <f t="shared" si="187"/>
        <v>6.2392504235294117</v>
      </c>
      <c r="F391" s="402">
        <f t="shared" si="187"/>
        <v>6.2878621764705889</v>
      </c>
      <c r="G391" s="402">
        <f t="shared" si="187"/>
        <v>6.3366707176470589</v>
      </c>
      <c r="H391" s="402">
        <f t="shared" si="187"/>
        <v>6.3718912588235295</v>
      </c>
      <c r="I391" s="402">
        <f t="shared" si="187"/>
        <v>6.464001305882352</v>
      </c>
      <c r="J391" s="402">
        <f t="shared" si="187"/>
        <v>6.5202569411764699</v>
      </c>
      <c r="K391" s="402">
        <f t="shared" si="187"/>
        <v>6.4611127176470591</v>
      </c>
      <c r="L391" s="402">
        <f t="shared" si="187"/>
        <v>6.4381775294117638</v>
      </c>
      <c r="M391" s="402">
        <f t="shared" si="187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8">B252*0.507</f>
        <v>6.4666458235294115</v>
      </c>
      <c r="C395" s="391">
        <f t="shared" si="188"/>
        <v>6.4796240294117649</v>
      </c>
      <c r="D395" s="391">
        <f t="shared" si="188"/>
        <v>6.1812247058823537</v>
      </c>
      <c r="E395" s="391">
        <f t="shared" si="188"/>
        <v>6.2794137058823525</v>
      </c>
      <c r="F395" s="391">
        <f t="shared" si="188"/>
        <v>6.0117177058823525</v>
      </c>
      <c r="G395" s="391">
        <f t="shared" si="188"/>
        <v>5.9960205882352939</v>
      </c>
      <c r="H395" s="391">
        <f t="shared" si="188"/>
        <v>5.9068233823529415</v>
      </c>
      <c r="I395" s="391">
        <f t="shared" si="188"/>
        <v>5.9094279705882347</v>
      </c>
      <c r="J395" s="391">
        <f t="shared" si="188"/>
        <v>5.9798363529411773</v>
      </c>
      <c r="K395" s="391">
        <f t="shared" si="188"/>
        <v>5.9031252647058823</v>
      </c>
      <c r="L395" s="391">
        <f t="shared" si="188"/>
        <v>5.862475794117648</v>
      </c>
      <c r="M395" s="391">
        <f t="shared" si="188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9">B253*0.539</f>
        <v>7.3596576598039221</v>
      </c>
      <c r="C396" s="397">
        <f t="shared" si="189"/>
        <v>7.2714725039215695</v>
      </c>
      <c r="D396" s="397">
        <f t="shared" si="189"/>
        <v>6.8854306637254901</v>
      </c>
      <c r="E396" s="397">
        <f t="shared" si="189"/>
        <v>6.9361780421568637</v>
      </c>
      <c r="F396" s="397">
        <f t="shared" si="189"/>
        <v>6.6510042392156858</v>
      </c>
      <c r="G396" s="397">
        <f t="shared" si="189"/>
        <v>6.6268765911764707</v>
      </c>
      <c r="H396" s="397">
        <f t="shared" si="189"/>
        <v>6.52254468627451</v>
      </c>
      <c r="I396" s="397">
        <f t="shared" si="189"/>
        <v>6.6218448676470594</v>
      </c>
      <c r="J396" s="397">
        <f t="shared" si="189"/>
        <v>6.718727475490196</v>
      </c>
      <c r="K396" s="397">
        <f t="shared" si="189"/>
        <v>6.7322495058823542</v>
      </c>
      <c r="L396" s="397">
        <f t="shared" si="189"/>
        <v>6.7342353509803932</v>
      </c>
      <c r="M396" s="397">
        <f t="shared" si="189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90">B254*0.535</f>
        <v>7.3192620931372545</v>
      </c>
      <c r="C397" s="394">
        <f t="shared" si="190"/>
        <v>7.1667057941176475</v>
      </c>
      <c r="D397" s="394">
        <f t="shared" si="190"/>
        <v>6.8081634803921567</v>
      </c>
      <c r="E397" s="394">
        <f t="shared" si="190"/>
        <v>6.8384612647058827</v>
      </c>
      <c r="F397" s="394">
        <f t="shared" si="190"/>
        <v>6.5327376127450982</v>
      </c>
      <c r="G397" s="394">
        <f t="shared" si="190"/>
        <v>6.5096654754901957</v>
      </c>
      <c r="H397" s="394">
        <f t="shared" si="190"/>
        <v>6.4126012647058834</v>
      </c>
      <c r="I397" s="394">
        <f t="shared" si="190"/>
        <v>6.519843588235295</v>
      </c>
      <c r="J397" s="394">
        <f t="shared" si="190"/>
        <v>6.6427949803921571</v>
      </c>
      <c r="K397" s="394">
        <f t="shared" si="190"/>
        <v>6.6700380196078441</v>
      </c>
      <c r="L397" s="394">
        <f t="shared" si="190"/>
        <v>6.6574392941176477</v>
      </c>
      <c r="M397" s="394">
        <f t="shared" si="190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1">B255*0.54</f>
        <v>5.9437799999999994</v>
      </c>
      <c r="C398" s="394">
        <f t="shared" si="191"/>
        <v>6.6609884117647074</v>
      </c>
      <c r="D398" s="394">
        <f t="shared" si="191"/>
        <v>5.9778052941176476</v>
      </c>
      <c r="E398" s="394">
        <f t="shared" si="191"/>
        <v>6.3745517647058829</v>
      </c>
      <c r="F398" s="394">
        <f t="shared" si="191"/>
        <v>0</v>
      </c>
      <c r="G398" s="394">
        <f t="shared" si="191"/>
        <v>6.0527911764705884</v>
      </c>
      <c r="H398" s="394">
        <f t="shared" si="191"/>
        <v>0</v>
      </c>
      <c r="I398" s="394">
        <f t="shared" si="191"/>
        <v>0</v>
      </c>
      <c r="J398" s="394">
        <f t="shared" si="191"/>
        <v>7.1305517647058823</v>
      </c>
      <c r="K398" s="394">
        <f t="shared" si="191"/>
        <v>0</v>
      </c>
      <c r="L398" s="394">
        <f t="shared" si="191"/>
        <v>5.4938170588235291</v>
      </c>
      <c r="M398" s="394">
        <f t="shared" si="191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2">B256*0.465</f>
        <v>5.1975994999999999</v>
      </c>
      <c r="C399" s="394">
        <f t="shared" si="192"/>
        <v>5.2810615294117644</v>
      </c>
      <c r="D399" s="394">
        <f t="shared" si="192"/>
        <v>5.1480920441176474</v>
      </c>
      <c r="E399" s="394">
        <f t="shared" si="192"/>
        <v>5.2818980735294119</v>
      </c>
      <c r="F399" s="394">
        <f t="shared" si="192"/>
        <v>5.0193987352941178</v>
      </c>
      <c r="G399" s="394">
        <f t="shared" si="192"/>
        <v>4.9728782205882354</v>
      </c>
      <c r="H399" s="394">
        <f t="shared" si="192"/>
        <v>4.9320316176470582</v>
      </c>
      <c r="I399" s="394">
        <f t="shared" si="192"/>
        <v>4.8614906617647069</v>
      </c>
      <c r="J399" s="394">
        <f t="shared" si="192"/>
        <v>4.894601852941177</v>
      </c>
      <c r="K399" s="394">
        <f t="shared" si="192"/>
        <v>4.6872278088235291</v>
      </c>
      <c r="L399" s="394">
        <f t="shared" si="192"/>
        <v>4.5528441764705878</v>
      </c>
      <c r="M399" s="394">
        <f t="shared" si="192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3">B257*0.516</f>
        <v>6.522990223529411</v>
      </c>
      <c r="C400" s="402">
        <f t="shared" si="193"/>
        <v>6.5899366705882354</v>
      </c>
      <c r="D400" s="402">
        <f t="shared" si="193"/>
        <v>6.4147789529411767</v>
      </c>
      <c r="E400" s="402">
        <f t="shared" si="193"/>
        <v>6.4667705058823532</v>
      </c>
      <c r="F400" s="402">
        <f t="shared" si="193"/>
        <v>6.2544016000000004</v>
      </c>
      <c r="G400" s="402">
        <f t="shared" si="193"/>
        <v>6.2586990705882348</v>
      </c>
      <c r="H400" s="402">
        <f t="shared" si="193"/>
        <v>6.2095470352941167</v>
      </c>
      <c r="I400" s="402">
        <f t="shared" si="193"/>
        <v>6.2138313529411766</v>
      </c>
      <c r="J400" s="402">
        <f t="shared" si="193"/>
        <v>6.259592458823529</v>
      </c>
      <c r="K400" s="402">
        <f t="shared" si="193"/>
        <v>6.2746252588235292</v>
      </c>
      <c r="L400" s="402">
        <f t="shared" si="193"/>
        <v>6.2517098000000004</v>
      </c>
      <c r="M400" s="402">
        <f t="shared" si="193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4">B261*0.507</f>
        <v>5.965232764705882</v>
      </c>
      <c r="C404" s="420">
        <f t="shared" si="194"/>
        <v>5.9576824411764706</v>
      </c>
      <c r="D404" s="420">
        <f t="shared" si="194"/>
        <v>5.8484637058823532</v>
      </c>
      <c r="E404" s="420">
        <f t="shared" si="194"/>
        <v>5.9247075588235294</v>
      </c>
      <c r="F404" s="420">
        <f t="shared" si="194"/>
        <v>5.884289717647059</v>
      </c>
      <c r="G404" s="420">
        <f t="shared" si="194"/>
        <v>5.8366535882352935</v>
      </c>
      <c r="H404" s="420">
        <f t="shared" si="194"/>
        <v>5.7361830882352942</v>
      </c>
      <c r="I404" s="420">
        <f t="shared" si="194"/>
        <v>5.7371374411764711</v>
      </c>
      <c r="J404" s="420">
        <f t="shared" si="194"/>
        <v>5.7260778823529419</v>
      </c>
      <c r="K404" s="420">
        <f t="shared" si="194"/>
        <v>5.4541419705882355</v>
      </c>
      <c r="L404" s="420">
        <f t="shared" si="194"/>
        <v>5.5137343529411762</v>
      </c>
      <c r="M404" s="421">
        <f t="shared" si="194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5">E262*0.539</f>
        <v>6.3946960000000006</v>
      </c>
      <c r="F405" s="394">
        <f t="shared" si="195"/>
        <v>6.3185849725490204</v>
      </c>
      <c r="G405" s="394">
        <f t="shared" si="195"/>
        <v>6.3731523813725488</v>
      </c>
      <c r="H405" s="394">
        <f t="shared" si="195"/>
        <v>6.4347283754901969</v>
      </c>
      <c r="I405" s="394">
        <f t="shared" si="195"/>
        <v>6.2597515372549024</v>
      </c>
      <c r="J405" s="394">
        <f t="shared" si="195"/>
        <v>6.4490694745098045</v>
      </c>
      <c r="K405" s="394">
        <f t="shared" si="195"/>
        <v>6.1859449990196085</v>
      </c>
      <c r="L405" s="394">
        <f t="shared" si="195"/>
        <v>6.4772993352941182</v>
      </c>
      <c r="M405" s="395">
        <f t="shared" si="195"/>
        <v>7.0357181313725485</v>
      </c>
      <c r="N405" s="376"/>
      <c r="O405" s="422" t="s">
        <v>247</v>
      </c>
      <c r="P405" s="397" t="s">
        <v>248</v>
      </c>
      <c r="Q405" s="397">
        <f t="shared" ref="Q405:S406" si="196">Q262*0.539</f>
        <v>6.3498686382352938</v>
      </c>
      <c r="R405" s="397">
        <f t="shared" si="196"/>
        <v>6.3984621303921569</v>
      </c>
      <c r="S405" s="398">
        <f t="shared" si="196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7">E263*0.539</f>
        <v>6.6009316676470586</v>
      </c>
      <c r="F406" s="394">
        <f t="shared" si="197"/>
        <v>6.5268455892156867</v>
      </c>
      <c r="G406" s="394">
        <f t="shared" si="197"/>
        <v>6.5248592156862752</v>
      </c>
      <c r="H406" s="394">
        <f t="shared" si="197"/>
        <v>6.4823167911764719</v>
      </c>
      <c r="I406" s="394">
        <f t="shared" si="197"/>
        <v>6.5650707294117652</v>
      </c>
      <c r="J406" s="394">
        <f t="shared" si="197"/>
        <v>6.6005596519607845</v>
      </c>
      <c r="K406" s="394">
        <f t="shared" si="197"/>
        <v>6.4460896500000011</v>
      </c>
      <c r="L406" s="394">
        <f t="shared" si="197"/>
        <v>6.5378950892156871</v>
      </c>
      <c r="M406" s="395">
        <f t="shared" si="197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6"/>
        <v>6.5537448598039232</v>
      </c>
      <c r="R406" s="394">
        <f t="shared" si="196"/>
        <v>6.5460995147058831</v>
      </c>
      <c r="S406" s="395">
        <f t="shared" si="196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8">B264*0.535</f>
        <v>6.7835188627450984</v>
      </c>
      <c r="C407" s="394">
        <f t="shared" si="198"/>
        <v>6.6651574558823539</v>
      </c>
      <c r="D407" s="394">
        <f t="shared" si="198"/>
        <v>6.4492130980392153</v>
      </c>
      <c r="E407" s="394">
        <f t="shared" si="198"/>
        <v>6.500109955882353</v>
      </c>
      <c r="F407" s="394">
        <f t="shared" si="198"/>
        <v>6.4532019950980386</v>
      </c>
      <c r="G407" s="394">
        <f t="shared" si="198"/>
        <v>6.4587130196078437</v>
      </c>
      <c r="H407" s="394">
        <f t="shared" si="198"/>
        <v>6.3852218529411759</v>
      </c>
      <c r="I407" s="394">
        <f t="shared" si="198"/>
        <v>6.4914125343137252</v>
      </c>
      <c r="J407" s="394">
        <f t="shared" si="198"/>
        <v>6.5098616421568645</v>
      </c>
      <c r="K407" s="394">
        <f t="shared" si="198"/>
        <v>6.3534161029411775</v>
      </c>
      <c r="L407" s="394">
        <f t="shared" si="198"/>
        <v>6.4783050343137258</v>
      </c>
      <c r="M407" s="395">
        <f t="shared" si="198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9">B265*0.54</f>
        <v>0</v>
      </c>
      <c r="C408" s="394">
        <f t="shared" si="199"/>
        <v>5.7172801764705889</v>
      </c>
      <c r="D408" s="394">
        <f t="shared" si="199"/>
        <v>6.7403075294117647</v>
      </c>
      <c r="E408" s="394">
        <f t="shared" si="199"/>
        <v>5.7492582352941177</v>
      </c>
      <c r="F408" s="394">
        <f t="shared" si="199"/>
        <v>0</v>
      </c>
      <c r="G408" s="394">
        <f t="shared" si="199"/>
        <v>0</v>
      </c>
      <c r="H408" s="394">
        <f t="shared" si="199"/>
        <v>0</v>
      </c>
      <c r="I408" s="394">
        <f t="shared" si="199"/>
        <v>6.9177335294117652</v>
      </c>
      <c r="J408" s="394">
        <f t="shared" si="199"/>
        <v>7.129080000000001</v>
      </c>
      <c r="K408" s="394">
        <f t="shared" si="199"/>
        <v>0</v>
      </c>
      <c r="L408" s="394">
        <f t="shared" si="199"/>
        <v>0</v>
      </c>
      <c r="M408" s="395">
        <f t="shared" si="199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200">B266*0.465</f>
        <v>4.5414904264705882</v>
      </c>
      <c r="C409" s="394">
        <f t="shared" si="200"/>
        <v>4.6277433676470592</v>
      </c>
      <c r="D409" s="394">
        <f t="shared" si="200"/>
        <v>4.5926103382352945</v>
      </c>
      <c r="E409" s="394">
        <f t="shared" si="200"/>
        <v>4.7492168676470596</v>
      </c>
      <c r="F409" s="394">
        <f t="shared" si="200"/>
        <v>4.7476103382352939</v>
      </c>
      <c r="G409" s="394">
        <f t="shared" si="200"/>
        <v>4.7204283529411768</v>
      </c>
      <c r="H409" s="394">
        <f t="shared" si="200"/>
        <v>4.6023849117647062</v>
      </c>
      <c r="I409" s="394">
        <f t="shared" si="200"/>
        <v>4.5338138235294112</v>
      </c>
      <c r="J409" s="394">
        <f t="shared" si="200"/>
        <v>4.5146198088235296</v>
      </c>
      <c r="K409" s="394">
        <f t="shared" si="200"/>
        <v>4.2117151617647064</v>
      </c>
      <c r="L409" s="394">
        <f t="shared" si="200"/>
        <v>4.1475292058823534</v>
      </c>
      <c r="M409" s="395">
        <f t="shared" si="200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1">B267*0.516</f>
        <v>6.3277393647058817</v>
      </c>
      <c r="C410" s="402">
        <f t="shared" si="201"/>
        <v>6.3782259176470584</v>
      </c>
      <c r="D410" s="402">
        <f t="shared" si="201"/>
        <v>6.3116088000000001</v>
      </c>
      <c r="E410" s="402">
        <f t="shared" si="201"/>
        <v>6.3316316235294119</v>
      </c>
      <c r="F410" s="402">
        <f t="shared" si="201"/>
        <v>6.2818866941176479</v>
      </c>
      <c r="G410" s="402">
        <f t="shared" si="201"/>
        <v>6.2495704235294118</v>
      </c>
      <c r="H410" s="402">
        <f t="shared" si="201"/>
        <v>6.144729341176471</v>
      </c>
      <c r="I410" s="402">
        <f t="shared" si="201"/>
        <v>6.1475111882352955</v>
      </c>
      <c r="J410" s="402">
        <f t="shared" si="201"/>
        <v>6.1473275529411762</v>
      </c>
      <c r="K410" s="402">
        <f t="shared" si="201"/>
        <v>6.0394916470588242</v>
      </c>
      <c r="L410" s="402">
        <f t="shared" si="201"/>
        <v>6.0709474117647062</v>
      </c>
      <c r="M410" s="403">
        <f t="shared" si="201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2">B271*0.507</f>
        <v>5.848791764705882</v>
      </c>
      <c r="C414" s="437">
        <f t="shared" si="202"/>
        <v>6.1309273235294119</v>
      </c>
      <c r="D414" s="438">
        <f t="shared" si="202"/>
        <v>6.1089523529411762</v>
      </c>
      <c r="E414" s="437">
        <f t="shared" si="202"/>
        <v>6.0019753529411766</v>
      </c>
      <c r="F414" s="437">
        <f t="shared" si="202"/>
        <v>6.0736015294117651</v>
      </c>
      <c r="G414" s="437">
        <f t="shared" si="202"/>
        <v>6.209944764705881</v>
      </c>
      <c r="H414" s="437">
        <f t="shared" si="202"/>
        <v>5.7993542941176468</v>
      </c>
      <c r="I414" s="437">
        <f t="shared" si="202"/>
        <v>5.8016904705882357</v>
      </c>
      <c r="J414" s="437">
        <f t="shared" si="202"/>
        <v>5.7801230882352943</v>
      </c>
      <c r="K414" s="437">
        <f t="shared" si="202"/>
        <v>5.8904552352941186</v>
      </c>
      <c r="L414" s="437">
        <f t="shared" si="202"/>
        <v>5.9891412941176476</v>
      </c>
      <c r="M414" s="439">
        <f t="shared" si="202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3">B272*0.539</f>
        <v>6.6767689676470594</v>
      </c>
      <c r="C415" s="441">
        <f t="shared" si="203"/>
        <v>7.0741926911764708</v>
      </c>
      <c r="D415" s="442">
        <f t="shared" si="203"/>
        <v>6.787930848039216</v>
      </c>
      <c r="E415" s="441">
        <f t="shared" si="203"/>
        <v>6.5606815784313728</v>
      </c>
      <c r="F415" s="441">
        <f t="shared" si="203"/>
        <v>6.6757739313725493</v>
      </c>
      <c r="G415" s="441">
        <f t="shared" si="203"/>
        <v>6.7629651078431383</v>
      </c>
      <c r="H415" s="441">
        <f t="shared" si="203"/>
        <v>6.5382285294117644</v>
      </c>
      <c r="I415" s="441">
        <f t="shared" si="203"/>
        <v>6.5415840686274516</v>
      </c>
      <c r="J415" s="441">
        <f t="shared" si="203"/>
        <v>6.5722436568627458</v>
      </c>
      <c r="K415" s="441">
        <f t="shared" si="203"/>
        <v>6.6930377843137254</v>
      </c>
      <c r="L415" s="441">
        <f t="shared" si="203"/>
        <v>6.7232376372549023</v>
      </c>
      <c r="M415" s="441">
        <f t="shared" si="203"/>
        <v>6.7261598627450985</v>
      </c>
      <c r="N415" s="376"/>
      <c r="O415" s="422" t="s">
        <v>247</v>
      </c>
      <c r="P415" s="397">
        <f t="shared" ref="P415:S416" si="204">P272*0.539</f>
        <v>6.8303226696078427</v>
      </c>
      <c r="Q415" s="397">
        <f t="shared" si="204"/>
        <v>6.9287288994000003</v>
      </c>
      <c r="R415" s="397">
        <f t="shared" si="204"/>
        <v>6.8196470496000003</v>
      </c>
      <c r="S415" s="397">
        <f t="shared" si="204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5">B273*0.539</f>
        <v>6.8802187450980394</v>
      </c>
      <c r="C416" s="432">
        <f t="shared" si="205"/>
        <v>7.0391735441176477</v>
      </c>
      <c r="D416" s="443">
        <f t="shared" si="205"/>
        <v>6.9162556509803927</v>
      </c>
      <c r="E416" s="432">
        <f t="shared" si="205"/>
        <v>6.7547744215686283</v>
      </c>
      <c r="F416" s="432">
        <f t="shared" si="205"/>
        <v>6.8433078137254899</v>
      </c>
      <c r="G416" s="432">
        <f t="shared" si="205"/>
        <v>6.9557263039215691</v>
      </c>
      <c r="H416" s="432">
        <f t="shared" si="205"/>
        <v>6.6709229313725489</v>
      </c>
      <c r="I416" s="432">
        <f t="shared" si="205"/>
        <v>6.7822475686274517</v>
      </c>
      <c r="J416" s="432">
        <f t="shared" si="205"/>
        <v>6.8062277843137267</v>
      </c>
      <c r="K416" s="432">
        <f t="shared" si="205"/>
        <v>6.9640332450980402</v>
      </c>
      <c r="L416" s="432">
        <f t="shared" si="205"/>
        <v>7.1130667450980392</v>
      </c>
      <c r="M416" s="432">
        <f t="shared" si="205"/>
        <v>7.1393667745098037</v>
      </c>
      <c r="N416" s="376"/>
      <c r="O416" s="393" t="s">
        <v>243</v>
      </c>
      <c r="P416" s="394">
        <f t="shared" si="204"/>
        <v>6.9457289107843136</v>
      </c>
      <c r="Q416" s="394">
        <f t="shared" si="204"/>
        <v>7.1303552165999999</v>
      </c>
      <c r="R416" s="394">
        <f t="shared" si="204"/>
        <v>7.0237858613999995</v>
      </c>
      <c r="S416" s="394">
        <f t="shared" si="204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6">B274*0.535</f>
        <v>6.7828752892156867</v>
      </c>
      <c r="C417" s="432">
        <f t="shared" si="206"/>
        <v>6.9735130980392164</v>
      </c>
      <c r="D417" s="443">
        <f t="shared" si="206"/>
        <v>6.8236333725490201</v>
      </c>
      <c r="E417" s="432">
        <f t="shared" si="206"/>
        <v>6.6640491666666675</v>
      </c>
      <c r="F417" s="432">
        <f t="shared" si="206"/>
        <v>6.7435648529411765</v>
      </c>
      <c r="G417" s="432">
        <f t="shared" si="206"/>
        <v>6.8799531372549021</v>
      </c>
      <c r="H417" s="432">
        <f t="shared" si="206"/>
        <v>6.560222450980393</v>
      </c>
      <c r="I417" s="432">
        <f t="shared" si="206"/>
        <v>6.7047353921568629</v>
      </c>
      <c r="J417" s="432">
        <f t="shared" si="206"/>
        <v>6.7429564215686275</v>
      </c>
      <c r="K417" s="432">
        <f t="shared" si="206"/>
        <v>6.8730873039215696</v>
      </c>
      <c r="L417" s="432">
        <f t="shared" si="206"/>
        <v>6.9917733823529415</v>
      </c>
      <c r="M417" s="432">
        <f t="shared" si="206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7">B275*0.54</f>
        <v>6.0760588235294124</v>
      </c>
      <c r="C418" s="432">
        <f t="shared" si="207"/>
        <v>0</v>
      </c>
      <c r="D418" s="443">
        <f t="shared" si="207"/>
        <v>0</v>
      </c>
      <c r="E418" s="432">
        <f t="shared" si="207"/>
        <v>5.8235294117647056</v>
      </c>
      <c r="F418" s="432">
        <f t="shared" si="207"/>
        <v>6.6597882352941182</v>
      </c>
      <c r="G418" s="432">
        <f t="shared" si="207"/>
        <v>6.3342317647058826</v>
      </c>
      <c r="H418" s="432">
        <f t="shared" si="207"/>
        <v>0</v>
      </c>
      <c r="I418" s="432">
        <f t="shared" si="207"/>
        <v>0</v>
      </c>
      <c r="J418" s="432">
        <f t="shared" si="207"/>
        <v>4.8297758823529406</v>
      </c>
      <c r="K418" s="432">
        <f t="shared" si="207"/>
        <v>0</v>
      </c>
      <c r="L418" s="432">
        <f t="shared" si="207"/>
        <v>0</v>
      </c>
      <c r="M418" s="432">
        <f t="shared" si="207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8">B276*0.465</f>
        <v>4.413131735294118</v>
      </c>
      <c r="C419" s="432">
        <f t="shared" si="208"/>
        <v>4.7413027500000009</v>
      </c>
      <c r="D419" s="443">
        <f t="shared" si="208"/>
        <v>4.8700042647058819</v>
      </c>
      <c r="E419" s="432">
        <f t="shared" si="208"/>
        <v>4.8365379411764708</v>
      </c>
      <c r="F419" s="432">
        <f t="shared" si="208"/>
        <v>4.8296951470588239</v>
      </c>
      <c r="G419" s="432">
        <f t="shared" si="208"/>
        <v>4.9144300000000003</v>
      </c>
      <c r="H419" s="432">
        <f t="shared" si="208"/>
        <v>4.6048722058823532</v>
      </c>
      <c r="I419" s="432">
        <f t="shared" si="208"/>
        <v>4.4468387647058822</v>
      </c>
      <c r="J419" s="432">
        <f t="shared" si="208"/>
        <v>4.4034232647058822</v>
      </c>
      <c r="K419" s="432">
        <f t="shared" si="208"/>
        <v>4.51538569117647</v>
      </c>
      <c r="L419" s="432">
        <f t="shared" si="208"/>
        <v>4.5566024705882358</v>
      </c>
      <c r="M419" s="432">
        <f t="shared" si="208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9">B277*0.516</f>
        <v>6.2967313058823535</v>
      </c>
      <c r="C420" s="444">
        <f t="shared" si="209"/>
        <v>6.4350648352941189</v>
      </c>
      <c r="D420" s="445">
        <f t="shared" si="209"/>
        <v>6.3706680352941181</v>
      </c>
      <c r="E420" s="444">
        <f t="shared" si="209"/>
        <v>6.2968795294117639</v>
      </c>
      <c r="F420" s="444">
        <f t="shared" si="209"/>
        <v>6.2700323529411763</v>
      </c>
      <c r="G420" s="444">
        <f t="shared" si="209"/>
        <v>6.3949094117647061</v>
      </c>
      <c r="H420" s="444">
        <f t="shared" si="209"/>
        <v>6.1337729411764705</v>
      </c>
      <c r="I420" s="444">
        <f t="shared" si="209"/>
        <v>6.1266045882352937</v>
      </c>
      <c r="J420" s="444">
        <f t="shared" si="209"/>
        <v>6.1032024705882355</v>
      </c>
      <c r="K420" s="444">
        <f t="shared" si="209"/>
        <v>6.2105152941176467</v>
      </c>
      <c r="L420" s="444">
        <f t="shared" si="209"/>
        <v>6.2702650588235294</v>
      </c>
      <c r="M420" s="444">
        <f t="shared" si="209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10">B281*0.507</f>
        <v>6.0956361470588236</v>
      </c>
      <c r="C424" s="437">
        <f t="shared" si="210"/>
        <v>6.0006531764705882</v>
      </c>
      <c r="D424" s="438">
        <f t="shared" si="210"/>
        <v>6.0301088823529403</v>
      </c>
      <c r="E424" s="437">
        <f t="shared" si="210"/>
        <v>5.943899</v>
      </c>
      <c r="F424" s="437">
        <f t="shared" si="210"/>
        <v>6.0871563235294115</v>
      </c>
      <c r="G424" s="437">
        <f t="shared" si="210"/>
        <v>6.1690268823529406</v>
      </c>
      <c r="H424" s="437">
        <f t="shared" si="210"/>
        <v>5.9334458529411771</v>
      </c>
      <c r="I424" s="437">
        <f t="shared" si="210"/>
        <v>6.017907579411764</v>
      </c>
      <c r="J424" s="437">
        <f t="shared" si="210"/>
        <v>6.0621438264705887</v>
      </c>
      <c r="K424" s="437">
        <f t="shared" si="210"/>
        <v>5.9548636205882355</v>
      </c>
      <c r="L424" s="437">
        <f t="shared" si="210"/>
        <v>6.1433811323529417</v>
      </c>
      <c r="M424" s="439">
        <f t="shared" si="210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1">B282*0.539</f>
        <v>6.8206243686274517</v>
      </c>
      <c r="C425" s="441">
        <f t="shared" si="211"/>
        <v>6.5757630098039215</v>
      </c>
      <c r="D425" s="442">
        <f t="shared" si="211"/>
        <v>6.6891273921568626</v>
      </c>
      <c r="E425" s="441">
        <f t="shared" si="211"/>
        <v>6.5355440980392165</v>
      </c>
      <c r="F425" s="441">
        <f t="shared" si="211"/>
        <v>6.8415745588235302</v>
      </c>
      <c r="G425" s="441">
        <f t="shared" si="211"/>
        <v>6.8440317647058837</v>
      </c>
      <c r="H425" s="441">
        <f t="shared" si="211"/>
        <v>7.0067040784313726</v>
      </c>
      <c r="I425" s="441">
        <f t="shared" si="211"/>
        <v>7.1009910313725495</v>
      </c>
      <c r="J425" s="441">
        <f t="shared" si="211"/>
        <v>7.2362562519607856</v>
      </c>
      <c r="K425" s="441">
        <f t="shared" si="211"/>
        <v>6.7560627372549025</v>
      </c>
      <c r="L425" s="441">
        <f t="shared" si="211"/>
        <v>7.2984621362745097</v>
      </c>
      <c r="M425" s="441">
        <f t="shared" si="211"/>
        <v>7.0729673571436962</v>
      </c>
      <c r="N425" s="376"/>
      <c r="O425" s="422" t="s">
        <v>247</v>
      </c>
      <c r="P425" s="397">
        <f t="shared" ref="P425:S426" si="212">P282*0.539</f>
        <v>6.703299921568628</v>
      </c>
      <c r="Q425" s="397">
        <f t="shared" si="212"/>
        <v>6.7880550294117654</v>
      </c>
      <c r="R425" s="397">
        <f t="shared" si="212"/>
        <v>7.0961022436199066</v>
      </c>
      <c r="S425" s="397">
        <f t="shared" si="212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3">B283*0.539</f>
        <v>7.1357216549019613</v>
      </c>
      <c r="C426" s="432">
        <f t="shared" si="213"/>
        <v>6.9390965686274519</v>
      </c>
      <c r="D426" s="443">
        <f t="shared" si="213"/>
        <v>6.9291620588235299</v>
      </c>
      <c r="E426" s="432">
        <f t="shared" si="213"/>
        <v>6.8283215000000004</v>
      </c>
      <c r="F426" s="432">
        <f t="shared" si="213"/>
        <v>6.9467165490196088</v>
      </c>
      <c r="G426" s="432">
        <f t="shared" si="213"/>
        <v>7.0190535196078425</v>
      </c>
      <c r="H426" s="432">
        <f t="shared" si="213"/>
        <v>6.9007007450980398</v>
      </c>
      <c r="I426" s="432">
        <f t="shared" si="213"/>
        <v>7.0841705323529407</v>
      </c>
      <c r="J426" s="432">
        <f t="shared" si="213"/>
        <v>7.097192138235294</v>
      </c>
      <c r="K426" s="432">
        <f t="shared" si="213"/>
        <v>6.9970929686274514</v>
      </c>
      <c r="L426" s="432">
        <f t="shared" si="213"/>
        <v>7.183639283333334</v>
      </c>
      <c r="M426" s="432">
        <f t="shared" si="213"/>
        <v>7.3310325806691816</v>
      </c>
      <c r="N426" s="376"/>
      <c r="O426" s="393" t="s">
        <v>243</v>
      </c>
      <c r="P426" s="394">
        <f t="shared" si="212"/>
        <v>6.995268823529412</v>
      </c>
      <c r="Q426" s="394">
        <f t="shared" si="212"/>
        <v>6.9424521078431383</v>
      </c>
      <c r="R426" s="394">
        <f t="shared" si="212"/>
        <v>7.030156096262723</v>
      </c>
      <c r="S426" s="394">
        <f t="shared" si="212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4">B284*0.535</f>
        <v>7.0653164754901967</v>
      </c>
      <c r="C427" s="432">
        <f t="shared" si="214"/>
        <v>6.8124697058823536</v>
      </c>
      <c r="D427" s="443">
        <f t="shared" si="214"/>
        <v>6.8257712745098056</v>
      </c>
      <c r="E427" s="432">
        <f t="shared" si="214"/>
        <v>6.7373494117647068</v>
      </c>
      <c r="F427" s="432">
        <f t="shared" si="214"/>
        <v>6.9062363235294129</v>
      </c>
      <c r="G427" s="432">
        <f t="shared" si="214"/>
        <v>6.9757233823529416</v>
      </c>
      <c r="H427" s="432">
        <f t="shared" si="214"/>
        <v>6.8664207843137257</v>
      </c>
      <c r="I427" s="432">
        <f t="shared" si="214"/>
        <v>7.0779267401960784</v>
      </c>
      <c r="J427" s="432">
        <f t="shared" si="214"/>
        <v>7.0828230392156861</v>
      </c>
      <c r="K427" s="432">
        <f t="shared" si="214"/>
        <v>7.0211359656862751</v>
      </c>
      <c r="L427" s="432">
        <f t="shared" si="214"/>
        <v>7.1883517892156865</v>
      </c>
      <c r="M427" s="432">
        <f t="shared" si="214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5">B285*0.54</f>
        <v>0</v>
      </c>
      <c r="C428" s="432">
        <f t="shared" si="215"/>
        <v>0</v>
      </c>
      <c r="D428" s="443">
        <f t="shared" si="215"/>
        <v>6.5985882352941188</v>
      </c>
      <c r="E428" s="432">
        <f t="shared" si="215"/>
        <v>6.2081841176470585</v>
      </c>
      <c r="F428" s="432">
        <f t="shared" si="215"/>
        <v>0</v>
      </c>
      <c r="G428" s="432">
        <f t="shared" si="215"/>
        <v>5.4227647058823534</v>
      </c>
      <c r="H428" s="432">
        <f t="shared" si="215"/>
        <v>5.8945500000000006</v>
      </c>
      <c r="I428" s="432">
        <f t="shared" si="215"/>
        <v>6.443829</v>
      </c>
      <c r="J428" s="432">
        <f t="shared" si="215"/>
        <v>5.7598305882352951</v>
      </c>
      <c r="K428" s="432">
        <f t="shared" si="215"/>
        <v>4.1558823529411768</v>
      </c>
      <c r="L428" s="432">
        <f t="shared" si="215"/>
        <v>0</v>
      </c>
      <c r="M428" s="432">
        <f t="shared" si="215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6">B286*0.465</f>
        <v>4.5821574117647055</v>
      </c>
      <c r="C429" s="432">
        <f t="shared" si="216"/>
        <v>4.6392138235294116</v>
      </c>
      <c r="D429" s="443">
        <f t="shared" si="216"/>
        <v>4.6718230882352945</v>
      </c>
      <c r="E429" s="432">
        <f t="shared" si="216"/>
        <v>4.6376501470588236</v>
      </c>
      <c r="F429" s="432">
        <f t="shared" si="216"/>
        <v>4.651723235294118</v>
      </c>
      <c r="G429" s="432">
        <f t="shared" si="216"/>
        <v>4.7864045588235289</v>
      </c>
      <c r="H429" s="432">
        <f t="shared" si="216"/>
        <v>4.5551509411764703</v>
      </c>
      <c r="I429" s="432">
        <f t="shared" si="216"/>
        <v>4.4960134264705882</v>
      </c>
      <c r="J429" s="432">
        <f t="shared" si="216"/>
        <v>4.5590204705882353</v>
      </c>
      <c r="K429" s="432">
        <f t="shared" si="216"/>
        <v>4.5080719705882366</v>
      </c>
      <c r="L429" s="432">
        <f t="shared" si="216"/>
        <v>4.6098645735294115</v>
      </c>
      <c r="M429" s="432">
        <f t="shared" si="216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7">B287*0.516</f>
        <v>6.2910345647058818</v>
      </c>
      <c r="C430" s="444">
        <f t="shared" si="217"/>
        <v>6.2487549411764709</v>
      </c>
      <c r="D430" s="445">
        <f t="shared" si="217"/>
        <v>6.242067176470588</v>
      </c>
      <c r="E430" s="444">
        <f t="shared" si="217"/>
        <v>6.1866680000000001</v>
      </c>
      <c r="F430" s="444">
        <f t="shared" si="217"/>
        <v>6.2521089411764708</v>
      </c>
      <c r="G430" s="444">
        <f t="shared" si="217"/>
        <v>6.3373298823529423</v>
      </c>
      <c r="H430" s="444">
        <f t="shared" si="217"/>
        <v>6.2028359999999996</v>
      </c>
      <c r="I430" s="444">
        <f t="shared" si="217"/>
        <v>6.2791412705882346</v>
      </c>
      <c r="J430" s="444">
        <f t="shared" si="217"/>
        <v>6.2947209294117643</v>
      </c>
      <c r="K430" s="444">
        <f t="shared" si="217"/>
        <v>6.2529011529411767</v>
      </c>
      <c r="L430" s="444">
        <f t="shared" si="217"/>
        <v>6.3565867999999996</v>
      </c>
      <c r="M430" s="444">
        <f t="shared" si="217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8">B291*0.507</f>
        <v>6.3757343467059062</v>
      </c>
      <c r="C434" s="437">
        <f t="shared" si="218"/>
        <v>6.3392273468395119</v>
      </c>
      <c r="D434" s="438">
        <f t="shared" si="218"/>
        <v>6.2723321784795028</v>
      </c>
      <c r="E434" s="437">
        <f t="shared" si="218"/>
        <v>6.1314847971813577</v>
      </c>
      <c r="F434" s="437">
        <f t="shared" si="218"/>
        <v>6.3007473439470747</v>
      </c>
      <c r="G434" s="437">
        <f t="shared" si="218"/>
        <v>6.2963271885737031</v>
      </c>
      <c r="H434" s="437">
        <f t="shared" si="218"/>
        <v>6.2056090091467491</v>
      </c>
      <c r="I434" s="437">
        <f t="shared" si="218"/>
        <v>6.3769514932866009</v>
      </c>
      <c r="J434" s="437">
        <f t="shared" si="218"/>
        <v>6.4801798565347033</v>
      </c>
      <c r="K434" s="437">
        <f t="shared" si="218"/>
        <v>6.5777367493489489</v>
      </c>
      <c r="L434" s="437">
        <f t="shared" si="218"/>
        <v>6.6936790917504041</v>
      </c>
      <c r="M434" s="439">
        <f t="shared" si="218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9">B292*0.539</f>
        <v>6.7957457316612278</v>
      </c>
      <c r="C435" s="441">
        <f t="shared" si="219"/>
        <v>6.8539480097445251</v>
      </c>
      <c r="D435" s="442">
        <f t="shared" si="219"/>
        <v>6.6704057547728155</v>
      </c>
      <c r="E435" s="441">
        <f t="shared" si="219"/>
        <v>6.4915063453984798</v>
      </c>
      <c r="F435" s="441">
        <f t="shared" si="219"/>
        <v>6.6550829379602572</v>
      </c>
      <c r="G435" s="441">
        <f t="shared" si="219"/>
        <v>6.5138897607760402</v>
      </c>
      <c r="H435" s="441">
        <f t="shared" si="219"/>
        <v>6.8701608631322753</v>
      </c>
      <c r="I435" s="441">
        <f t="shared" si="219"/>
        <v>7.0794587658490657</v>
      </c>
      <c r="J435" s="441">
        <f t="shared" si="219"/>
        <v>6.7656061783264132</v>
      </c>
      <c r="K435" s="441">
        <f t="shared" si="219"/>
        <v>7.0534951683483795</v>
      </c>
      <c r="L435" s="441">
        <f t="shared" si="219"/>
        <v>7.2588913372950152</v>
      </c>
      <c r="M435" s="441">
        <f t="shared" si="219"/>
        <v>7.3796305800162969</v>
      </c>
      <c r="N435" s="376"/>
      <c r="O435" s="422" t="s">
        <v>247</v>
      </c>
      <c r="P435" s="397">
        <f t="shared" ref="P435:S436" si="220">P292*0.539</f>
        <v>6.775939891230867</v>
      </c>
      <c r="Q435" s="397">
        <f t="shared" si="220"/>
        <v>6.5965527015325645</v>
      </c>
      <c r="R435" s="397">
        <f t="shared" si="220"/>
        <v>6.9233973184362698</v>
      </c>
      <c r="S435" s="397">
        <f t="shared" si="220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1">B293*0.539</f>
        <v>7.3201340834890942</v>
      </c>
      <c r="C436" s="432">
        <f t="shared" si="221"/>
        <v>7.2241010975875675</v>
      </c>
      <c r="D436" s="443">
        <f t="shared" si="221"/>
        <v>7.0821994797961763</v>
      </c>
      <c r="E436" s="432">
        <f t="shared" si="221"/>
        <v>6.9260655906473243</v>
      </c>
      <c r="F436" s="432">
        <f t="shared" si="221"/>
        <v>7.06439608177533</v>
      </c>
      <c r="G436" s="432">
        <f t="shared" si="221"/>
        <v>7.0164933193182186</v>
      </c>
      <c r="H436" s="432">
        <f t="shared" si="221"/>
        <v>7.0068248130795956</v>
      </c>
      <c r="I436" s="432">
        <f t="shared" si="221"/>
        <v>7.2679714181448078</v>
      </c>
      <c r="J436" s="432">
        <f t="shared" si="221"/>
        <v>7.370328437438884</v>
      </c>
      <c r="K436" s="432">
        <f t="shared" si="221"/>
        <v>7.5316019742958185</v>
      </c>
      <c r="L436" s="432">
        <f t="shared" si="221"/>
        <v>7.6792531572540241</v>
      </c>
      <c r="M436" s="432">
        <f t="shared" si="221"/>
        <v>7.6318801408568415</v>
      </c>
      <c r="N436" s="376"/>
      <c r="O436" s="393" t="s">
        <v>243</v>
      </c>
      <c r="P436" s="394">
        <f t="shared" si="220"/>
        <v>7.1945413578334279</v>
      </c>
      <c r="Q436" s="394">
        <f t="shared" si="220"/>
        <v>7.0476395716859148</v>
      </c>
      <c r="R436" s="394">
        <f t="shared" si="220"/>
        <v>7.215826808263694</v>
      </c>
      <c r="S436" s="394">
        <f t="shared" si="220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2">B294*0.535</f>
        <v>7.2602228956775408</v>
      </c>
      <c r="C437" s="432">
        <f t="shared" si="222"/>
        <v>7.139612189575864</v>
      </c>
      <c r="D437" s="443">
        <f t="shared" si="222"/>
        <v>6.9836800457803427</v>
      </c>
      <c r="E437" s="432">
        <f t="shared" si="222"/>
        <v>6.8328853052791869</v>
      </c>
      <c r="F437" s="432">
        <f t="shared" si="222"/>
        <v>6.9441120536442504</v>
      </c>
      <c r="G437" s="432">
        <f t="shared" si="222"/>
        <v>6.8863884263083044</v>
      </c>
      <c r="H437" s="432">
        <f t="shared" si="222"/>
        <v>6.8863366734697022</v>
      </c>
      <c r="I437" s="432">
        <f t="shared" si="222"/>
        <v>7.1420598405818305</v>
      </c>
      <c r="J437" s="432">
        <f t="shared" si="222"/>
        <v>7.2451899701938007</v>
      </c>
      <c r="K437" s="432">
        <f t="shared" si="222"/>
        <v>7.4089761627556276</v>
      </c>
      <c r="L437" s="432">
        <f t="shared" si="222"/>
        <v>7.5315482938243044</v>
      </c>
      <c r="M437" s="432">
        <f t="shared" si="222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3">B295*0.54</f>
        <v>7.8331764705882359</v>
      </c>
      <c r="C438" s="432">
        <f t="shared" si="223"/>
        <v>0</v>
      </c>
      <c r="D438" s="443">
        <f t="shared" si="223"/>
        <v>6.6578267973856198</v>
      </c>
      <c r="E438" s="432">
        <f t="shared" si="223"/>
        <v>0</v>
      </c>
      <c r="F438" s="432">
        <f t="shared" si="223"/>
        <v>6.999882352941178</v>
      </c>
      <c r="G438" s="432">
        <f t="shared" si="223"/>
        <v>7.4513414634146358</v>
      </c>
      <c r="H438" s="432">
        <f t="shared" si="223"/>
        <v>0</v>
      </c>
      <c r="I438" s="432">
        <f t="shared" si="223"/>
        <v>0</v>
      </c>
      <c r="J438" s="432">
        <f t="shared" si="223"/>
        <v>0</v>
      </c>
      <c r="K438" s="432">
        <f t="shared" si="223"/>
        <v>6.5486911764705882</v>
      </c>
      <c r="L438" s="432">
        <f t="shared" si="223"/>
        <v>0</v>
      </c>
      <c r="M438" s="432">
        <f t="shared" si="223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4">B296*0.465</f>
        <v>4.8059290643822017</v>
      </c>
      <c r="C439" s="432">
        <f t="shared" si="224"/>
        <v>4.8750839484785944</v>
      </c>
      <c r="D439" s="443">
        <f t="shared" si="224"/>
        <v>4.9389772649635288</v>
      </c>
      <c r="E439" s="432">
        <f t="shared" si="224"/>
        <v>4.8843628631874791</v>
      </c>
      <c r="F439" s="432">
        <f t="shared" si="224"/>
        <v>5.0224709916228365</v>
      </c>
      <c r="G439" s="432">
        <f t="shared" si="224"/>
        <v>5.1095977225464519</v>
      </c>
      <c r="H439" s="432">
        <f t="shared" si="224"/>
        <v>4.990275926428664</v>
      </c>
      <c r="I439" s="432">
        <f t="shared" si="224"/>
        <v>5.0309127381216845</v>
      </c>
      <c r="J439" s="432">
        <f t="shared" si="224"/>
        <v>5.1982716925900414</v>
      </c>
      <c r="K439" s="432">
        <f t="shared" si="224"/>
        <v>5.3061627023498579</v>
      </c>
      <c r="L439" s="432">
        <f t="shared" si="224"/>
        <v>5.3768916561279125</v>
      </c>
      <c r="M439" s="432">
        <f t="shared" si="224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5">B297*0.516</f>
        <v>6.5195491255421496</v>
      </c>
      <c r="C440" s="444">
        <f t="shared" si="225"/>
        <v>6.5268942578256235</v>
      </c>
      <c r="D440" s="445">
        <f t="shared" si="225"/>
        <v>6.4942316067159771</v>
      </c>
      <c r="E440" s="444">
        <f t="shared" si="225"/>
        <v>6.3250191512222891</v>
      </c>
      <c r="F440" s="444">
        <f t="shared" si="225"/>
        <v>6.495390157051192</v>
      </c>
      <c r="G440" s="444">
        <f t="shared" si="225"/>
        <v>6.5309354230328038</v>
      </c>
      <c r="H440" s="444">
        <f t="shared" si="225"/>
        <v>6.4558257601049505</v>
      </c>
      <c r="I440" s="444">
        <f t="shared" si="225"/>
        <v>6.5553685198349303</v>
      </c>
      <c r="J440" s="444">
        <f t="shared" si="225"/>
        <v>6.6053586678251586</v>
      </c>
      <c r="K440" s="444">
        <f t="shared" si="225"/>
        <v>6.7086718150743181</v>
      </c>
      <c r="L440" s="444">
        <f t="shared" si="225"/>
        <v>6.7802737076557351</v>
      </c>
      <c r="M440" s="444">
        <f t="shared" si="225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6">C302*0.518</f>
        <v>6.8727735934073451</v>
      </c>
      <c r="D445" s="438">
        <f t="shared" si="226"/>
        <v>6.8463987427915418</v>
      </c>
      <c r="E445" s="437">
        <f t="shared" si="226"/>
        <v>6.863979760543887</v>
      </c>
      <c r="F445" s="437">
        <f t="shared" si="226"/>
        <v>6.8792493818730485</v>
      </c>
      <c r="G445" s="437">
        <f t="shared" si="226"/>
        <v>6.8491745558618478</v>
      </c>
      <c r="H445" s="437">
        <f t="shared" si="226"/>
        <v>6.6998408493917854</v>
      </c>
      <c r="I445" s="437">
        <f t="shared" si="226"/>
        <v>6.7583664385116364</v>
      </c>
      <c r="J445" s="437">
        <f t="shared" si="226"/>
        <v>6.7134042219353232</v>
      </c>
      <c r="K445" s="437">
        <f t="shared" si="226"/>
        <v>6.7467487348204545</v>
      </c>
      <c r="L445" s="437">
        <f t="shared" si="226"/>
        <v>6.646571081000137</v>
      </c>
      <c r="M445" s="439">
        <f t="shared" si="226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7">Q302*0.518</f>
        <v>6.8635923848100955</v>
      </c>
      <c r="R445" s="391">
        <f t="shared" si="227"/>
        <v>6.7250527077031075</v>
      </c>
      <c r="S445" s="391">
        <f t="shared" si="227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8">C303*0.539</f>
        <v>7.1266026720967215</v>
      </c>
      <c r="D446" s="442">
        <f t="shared" si="228"/>
        <v>7.0925249307626146</v>
      </c>
      <c r="E446" s="441">
        <f t="shared" si="228"/>
        <v>7.3169613222711547</v>
      </c>
      <c r="F446" s="441">
        <f t="shared" si="228"/>
        <v>7.1750694836458573</v>
      </c>
      <c r="G446" s="441">
        <f t="shared" si="228"/>
        <v>7.0787165146129363</v>
      </c>
      <c r="H446" s="441">
        <f t="shared" si="228"/>
        <v>6.7786348614730922</v>
      </c>
      <c r="I446" s="441">
        <f t="shared" si="228"/>
        <v>7.2410640317626092</v>
      </c>
      <c r="J446" s="441">
        <f t="shared" si="228"/>
        <v>7.1003677772543101</v>
      </c>
      <c r="K446" s="441">
        <f t="shared" si="228"/>
        <v>7.2968264822968605</v>
      </c>
      <c r="L446" s="441">
        <f t="shared" si="228"/>
        <v>6.9340442072981556</v>
      </c>
      <c r="M446" s="441">
        <f t="shared" si="228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9">Q303*0.539</f>
        <v>7.2109807006816258</v>
      </c>
      <c r="R446" s="397">
        <f t="shared" si="229"/>
        <v>7.074471543224357</v>
      </c>
      <c r="S446" s="397">
        <f t="shared" si="229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30">C304*0.533</f>
        <v>7.4723608245158122</v>
      </c>
      <c r="D447" s="443">
        <f t="shared" si="230"/>
        <v>7.4113664477804253</v>
      </c>
      <c r="E447" s="432">
        <f t="shared" si="230"/>
        <v>7.4289848899835347</v>
      </c>
      <c r="F447" s="432">
        <f t="shared" si="230"/>
        <v>7.4180227241459775</v>
      </c>
      <c r="G447" s="432">
        <f t="shared" si="230"/>
        <v>7.3906700612614609</v>
      </c>
      <c r="H447" s="432">
        <f t="shared" si="230"/>
        <v>7.3205952103034919</v>
      </c>
      <c r="I447" s="432">
        <f t="shared" si="230"/>
        <v>7.4649776075804564</v>
      </c>
      <c r="J447" s="432">
        <f t="shared" si="230"/>
        <v>7.4082369647902047</v>
      </c>
      <c r="K447" s="432">
        <f t="shared" si="230"/>
        <v>7.462466155843912</v>
      </c>
      <c r="L447" s="432">
        <f t="shared" si="230"/>
        <v>7.3900829997120772</v>
      </c>
      <c r="M447" s="432">
        <f t="shared" si="230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1">Q304*0.533</f>
        <v>7.4119634653662834</v>
      </c>
      <c r="R447" s="394">
        <f t="shared" si="231"/>
        <v>7.4004940677809676</v>
      </c>
      <c r="S447" s="394">
        <f t="shared" si="231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2">C305*0.533</f>
        <v>7.4110290540404922</v>
      </c>
      <c r="D448" s="443">
        <f t="shared" si="232"/>
        <v>7.3556207581652826</v>
      </c>
      <c r="E448" s="432">
        <f t="shared" si="232"/>
        <v>7.3866609115305861</v>
      </c>
      <c r="F448" s="432">
        <f t="shared" si="232"/>
        <v>7.3673829590192046</v>
      </c>
      <c r="G448" s="432">
        <f t="shared" si="232"/>
        <v>7.3392854188679566</v>
      </c>
      <c r="H448" s="432">
        <f t="shared" si="232"/>
        <v>7.2708168673237914</v>
      </c>
      <c r="I448" s="432">
        <f t="shared" si="232"/>
        <v>7.4377867457012057</v>
      </c>
      <c r="J448" s="432">
        <f t="shared" si="232"/>
        <v>7.336660260801267</v>
      </c>
      <c r="K448" s="432">
        <f t="shared" si="232"/>
        <v>7.4003797265997777</v>
      </c>
      <c r="L448" s="432">
        <f t="shared" si="232"/>
        <v>7.3069648656792152</v>
      </c>
      <c r="M448" s="432">
        <f t="shared" si="232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3">Q305*0.533</f>
        <v>7.3649664475373742</v>
      </c>
      <c r="R448" s="394">
        <f t="shared" si="233"/>
        <v>7.3536500742343254</v>
      </c>
      <c r="S448" s="394">
        <f t="shared" si="233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4">C306*0.521</f>
        <v>5.9605311470588243</v>
      </c>
      <c r="D449" s="443">
        <f t="shared" si="234"/>
        <v>0</v>
      </c>
      <c r="E449" s="432">
        <f t="shared" si="234"/>
        <v>7.1058423823529413</v>
      </c>
      <c r="F449" s="432">
        <f t="shared" si="234"/>
        <v>0</v>
      </c>
      <c r="G449" s="432">
        <f t="shared" si="234"/>
        <v>0</v>
      </c>
      <c r="H449" s="432">
        <f t="shared" si="234"/>
        <v>5.2484620588235291</v>
      </c>
      <c r="I449" s="432">
        <f t="shared" si="234"/>
        <v>5.3161322240896345</v>
      </c>
      <c r="J449" s="432">
        <f t="shared" si="234"/>
        <v>0</v>
      </c>
      <c r="K449" s="432">
        <f t="shared" si="234"/>
        <v>0</v>
      </c>
      <c r="L449" s="432">
        <f t="shared" si="234"/>
        <v>6.0624990196078432</v>
      </c>
      <c r="M449" s="432">
        <f t="shared" si="234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5">Q306*0.521</f>
        <v>7.1058423823529413</v>
      </c>
      <c r="R449" s="394">
        <f t="shared" si="235"/>
        <v>5.2947295671682628</v>
      </c>
      <c r="S449" s="394">
        <f t="shared" si="235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6">C307*0.487</f>
        <v>5.6570146927839842</v>
      </c>
      <c r="D450" s="443">
        <f t="shared" si="236"/>
        <v>5.7270930609124679</v>
      </c>
      <c r="E450" s="432">
        <f t="shared" si="236"/>
        <v>5.7360344011283004</v>
      </c>
      <c r="F450" s="432">
        <f t="shared" si="236"/>
        <v>5.7301981209404103</v>
      </c>
      <c r="G450" s="432">
        <f t="shared" si="236"/>
        <v>5.7248761237753572</v>
      </c>
      <c r="H450" s="432">
        <f t="shared" si="236"/>
        <v>5.5729577003327462</v>
      </c>
      <c r="I450" s="432">
        <f t="shared" si="236"/>
        <v>5.4655996271910441</v>
      </c>
      <c r="J450" s="432">
        <f t="shared" si="236"/>
        <v>5.5169179319816788</v>
      </c>
      <c r="K450" s="432">
        <f t="shared" si="236"/>
        <v>5.5344417104783492</v>
      </c>
      <c r="L450" s="432">
        <f t="shared" si="236"/>
        <v>5.3459454372529045</v>
      </c>
      <c r="M450" s="432">
        <f t="shared" si="236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7">Q307*0.487</f>
        <v>5.7303638639409451</v>
      </c>
      <c r="R450" s="394">
        <f t="shared" si="237"/>
        <v>5.5171067540495864</v>
      </c>
      <c r="S450" s="394">
        <f t="shared" si="237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8">C308*0.518</f>
        <v>6.8668396764752355</v>
      </c>
      <c r="D451" s="445">
        <f t="shared" si="238"/>
        <v>6.8672994048314582</v>
      </c>
      <c r="E451" s="444">
        <f t="shared" si="238"/>
        <v>6.8856473797276614</v>
      </c>
      <c r="F451" s="444">
        <f t="shared" si="238"/>
        <v>6.8961550947248309</v>
      </c>
      <c r="G451" s="444">
        <f t="shared" si="238"/>
        <v>6.8898222581055846</v>
      </c>
      <c r="H451" s="444">
        <f t="shared" si="238"/>
        <v>6.7949048424751295</v>
      </c>
      <c r="I451" s="444">
        <f t="shared" si="238"/>
        <v>6.8318823425954776</v>
      </c>
      <c r="J451" s="444">
        <f t="shared" si="238"/>
        <v>6.8223887325761989</v>
      </c>
      <c r="K451" s="444">
        <f t="shared" si="238"/>
        <v>6.8943605517339224</v>
      </c>
      <c r="L451" s="444">
        <f t="shared" si="238"/>
        <v>6.8527689994562069</v>
      </c>
      <c r="M451" s="444">
        <f t="shared" si="238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9">Q308*0.518</f>
        <v>6.8905082274033882</v>
      </c>
      <c r="R451" s="402">
        <f t="shared" si="239"/>
        <v>6.815721069188247</v>
      </c>
      <c r="S451" s="402">
        <f t="shared" si="239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355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33" t="s">
        <v>88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2"/>
      <c r="B3" s="1139" t="s">
        <v>99</v>
      </c>
      <c r="C3" s="1140"/>
      <c r="D3" s="1140"/>
      <c r="E3" s="1140"/>
      <c r="F3" s="1141"/>
      <c r="G3" s="1135" t="s">
        <v>71</v>
      </c>
      <c r="H3" s="1136"/>
      <c r="I3" s="1142" t="s">
        <v>319</v>
      </c>
      <c r="J3" s="1137" t="s">
        <v>72</v>
      </c>
      <c r="K3" s="1138"/>
      <c r="L3" s="5"/>
    </row>
    <row r="4" spans="1:12" s="127" customFormat="1" ht="31.5">
      <c r="A4" s="853" t="s">
        <v>73</v>
      </c>
      <c r="B4" s="851" t="s">
        <v>74</v>
      </c>
      <c r="C4" s="154" t="s">
        <v>75</v>
      </c>
      <c r="D4" s="154" t="s">
        <v>76</v>
      </c>
      <c r="E4" s="671" t="s">
        <v>69</v>
      </c>
      <c r="F4" s="672" t="s">
        <v>77</v>
      </c>
      <c r="G4" s="153" t="s">
        <v>78</v>
      </c>
      <c r="H4" s="674" t="s">
        <v>91</v>
      </c>
      <c r="I4" s="1143"/>
      <c r="J4" s="129" t="s">
        <v>70</v>
      </c>
      <c r="K4" s="673" t="s">
        <v>81</v>
      </c>
      <c r="L4" s="5"/>
    </row>
    <row r="5" spans="1:12" s="127" customFormat="1" ht="21" customHeight="1" thickBot="1">
      <c r="A5" s="854"/>
      <c r="B5" s="1063" t="s">
        <v>375</v>
      </c>
      <c r="C5" s="1063" t="s">
        <v>375</v>
      </c>
      <c r="D5" s="1063" t="s">
        <v>375</v>
      </c>
      <c r="E5" s="848" t="s">
        <v>127</v>
      </c>
      <c r="F5" s="849" t="s">
        <v>79</v>
      </c>
      <c r="G5" s="1063" t="s">
        <v>375</v>
      </c>
      <c r="H5" s="850" t="s">
        <v>90</v>
      </c>
      <c r="I5" s="961"/>
      <c r="J5" s="1063" t="s">
        <v>375</v>
      </c>
      <c r="K5" s="931" t="s">
        <v>80</v>
      </c>
      <c r="L5" s="5"/>
    </row>
    <row r="6" spans="1:12" s="127" customFormat="1" ht="28.5" customHeight="1" thickBot="1">
      <c r="A6" s="83" t="s">
        <v>22</v>
      </c>
      <c r="B6" s="819">
        <v>6.6840540753473645</v>
      </c>
      <c r="C6" s="820">
        <v>12903.579296037382</v>
      </c>
      <c r="D6" s="820">
        <v>13161.65088195813</v>
      </c>
      <c r="E6" s="821">
        <v>9.8568278714492599E-2</v>
      </c>
      <c r="F6" s="822">
        <v>-0.9967438815743489</v>
      </c>
      <c r="G6" s="823">
        <v>322.47041545677911</v>
      </c>
      <c r="H6" s="821">
        <v>1.7822700186832585</v>
      </c>
      <c r="I6" s="823">
        <v>-50.233437083148068</v>
      </c>
      <c r="J6" s="824">
        <v>100</v>
      </c>
      <c r="K6" s="825" t="s">
        <v>23</v>
      </c>
    </row>
    <row r="7" spans="1:12" s="127" customFormat="1" ht="25.5" customHeight="1">
      <c r="A7" s="948" t="s">
        <v>103</v>
      </c>
      <c r="B7" s="944">
        <v>6.1953436313725501</v>
      </c>
      <c r="C7" s="826">
        <v>11494.144028520499</v>
      </c>
      <c r="D7" s="826">
        <v>11724.02690909091</v>
      </c>
      <c r="E7" s="827">
        <v>-8.5445475470873671</v>
      </c>
      <c r="F7" s="828">
        <v>-8.485748328455637</v>
      </c>
      <c r="G7" s="829">
        <v>219.97500000000002</v>
      </c>
      <c r="H7" s="830">
        <v>-12.009999999999991</v>
      </c>
      <c r="I7" s="830">
        <v>-77.777777777777786</v>
      </c>
      <c r="J7" s="830">
        <v>4.4672771945499221E-2</v>
      </c>
      <c r="K7" s="831">
        <v>-5.5371692260814703E-2</v>
      </c>
    </row>
    <row r="8" spans="1:12" s="127" customFormat="1" ht="24" customHeight="1">
      <c r="A8" s="949" t="s">
        <v>104</v>
      </c>
      <c r="B8" s="945">
        <v>7.4243715212049057</v>
      </c>
      <c r="C8" s="832">
        <v>13929.402478808452</v>
      </c>
      <c r="D8" s="832">
        <v>14207.99052838462</v>
      </c>
      <c r="E8" s="833">
        <v>2.8393413749490691E-2</v>
      </c>
      <c r="F8" s="834">
        <v>-0.54386403216500834</v>
      </c>
      <c r="G8" s="835">
        <v>359.95758340342024</v>
      </c>
      <c r="H8" s="836">
        <v>2.1826515596051039</v>
      </c>
      <c r="I8" s="836">
        <v>-45.682960255824575</v>
      </c>
      <c r="J8" s="836">
        <v>39.836944382398926</v>
      </c>
      <c r="K8" s="837">
        <v>3.3373890244620696</v>
      </c>
    </row>
    <row r="9" spans="1:12" s="127" customFormat="1" ht="24" customHeight="1">
      <c r="A9" s="949" t="s">
        <v>105</v>
      </c>
      <c r="B9" s="945">
        <v>7.3125310912282764</v>
      </c>
      <c r="C9" s="832">
        <v>13719.570527632788</v>
      </c>
      <c r="D9" s="832">
        <v>13993.961938185445</v>
      </c>
      <c r="E9" s="833">
        <v>0.23275565240842044</v>
      </c>
      <c r="F9" s="834">
        <v>-1.252015874582598</v>
      </c>
      <c r="G9" s="838">
        <v>392.84297235023035</v>
      </c>
      <c r="H9" s="839">
        <v>1.781161382119006</v>
      </c>
      <c r="I9" s="839">
        <v>-51.911357340720222</v>
      </c>
      <c r="J9" s="839">
        <v>9.69399151217333</v>
      </c>
      <c r="K9" s="840">
        <v>-0.33824503740425982</v>
      </c>
    </row>
    <row r="10" spans="1:12" s="127" customFormat="1" ht="24" customHeight="1">
      <c r="A10" s="949" t="s">
        <v>106</v>
      </c>
      <c r="B10" s="946" t="s">
        <v>100</v>
      </c>
      <c r="C10" s="930" t="s">
        <v>100</v>
      </c>
      <c r="D10" s="930" t="s">
        <v>100</v>
      </c>
      <c r="E10" s="841" t="s">
        <v>100</v>
      </c>
      <c r="F10" s="929" t="s">
        <v>100</v>
      </c>
      <c r="G10" s="841" t="s">
        <v>100</v>
      </c>
      <c r="H10" s="841" t="s">
        <v>100</v>
      </c>
      <c r="I10" s="841" t="s">
        <v>100</v>
      </c>
      <c r="J10" s="921" t="s">
        <v>100</v>
      </c>
      <c r="K10" s="922" t="s">
        <v>100</v>
      </c>
    </row>
    <row r="11" spans="1:12" s="127" customFormat="1" ht="24" customHeight="1">
      <c r="A11" s="949" t="s">
        <v>98</v>
      </c>
      <c r="B11" s="945">
        <v>5.198030205771822</v>
      </c>
      <c r="C11" s="832">
        <v>10673.573317806617</v>
      </c>
      <c r="D11" s="832">
        <v>10887.044784162748</v>
      </c>
      <c r="E11" s="833">
        <v>-2.347358941367772</v>
      </c>
      <c r="F11" s="834">
        <v>-5.9587875118054221</v>
      </c>
      <c r="G11" s="838">
        <v>273.01370383154989</v>
      </c>
      <c r="H11" s="839">
        <v>-1.6644031529954404</v>
      </c>
      <c r="I11" s="839">
        <v>-54.291574629220577</v>
      </c>
      <c r="J11" s="839">
        <v>32.35425508152781</v>
      </c>
      <c r="K11" s="840">
        <v>-2.8725123706731708</v>
      </c>
    </row>
    <row r="12" spans="1:12" s="127" customFormat="1" ht="24" customHeight="1" thickBot="1">
      <c r="A12" s="950" t="s">
        <v>107</v>
      </c>
      <c r="B12" s="947">
        <v>6.8707140310483918</v>
      </c>
      <c r="C12" s="842">
        <v>13263.926700865621</v>
      </c>
      <c r="D12" s="842">
        <v>13529.205234882933</v>
      </c>
      <c r="E12" s="843">
        <v>-1.2670618553604596</v>
      </c>
      <c r="F12" s="844">
        <v>0.6644690422798345</v>
      </c>
      <c r="G12" s="845">
        <v>290.87954264524103</v>
      </c>
      <c r="H12" s="846">
        <v>2.5167318193728301</v>
      </c>
      <c r="I12" s="846">
        <v>-50.428921568627452</v>
      </c>
      <c r="J12" s="846">
        <v>18.070136251954434</v>
      </c>
      <c r="K12" s="847">
        <v>-7.1259924123822316E-2</v>
      </c>
    </row>
    <row r="13" spans="1:12" s="127" customFormat="1" ht="15">
      <c r="A13" s="1070"/>
    </row>
    <row r="14" spans="1:12" s="127" customFormat="1" ht="46.5" customHeight="1">
      <c r="A14" s="1134" t="s">
        <v>126</v>
      </c>
      <c r="B14" s="1134"/>
      <c r="C14" s="1134"/>
      <c r="D14" s="1134"/>
      <c r="E14" s="1134"/>
      <c r="F14" s="1134"/>
      <c r="G14" s="1134"/>
      <c r="H14" s="1134"/>
      <c r="I14" s="1134"/>
      <c r="J14" s="1134"/>
      <c r="K14" s="1134"/>
    </row>
    <row r="15" spans="1:12" s="127" customFormat="1" ht="33.75" customHeight="1">
      <c r="A15" s="1134" t="s">
        <v>351</v>
      </c>
      <c r="B15" s="1134"/>
      <c r="C15" s="1134"/>
      <c r="D15" s="1134"/>
      <c r="E15" s="1134"/>
      <c r="F15" s="1134"/>
      <c r="G15" s="1134"/>
      <c r="H15" s="1134"/>
      <c r="I15" s="1134"/>
      <c r="J15" s="1134"/>
      <c r="K15" s="1134"/>
    </row>
    <row r="16" spans="1:12" s="127" customFormat="1">
      <c r="A16" s="1134" t="s">
        <v>171</v>
      </c>
      <c r="B16" s="1134"/>
      <c r="C16" s="1134"/>
      <c r="D16" s="1134"/>
      <c r="E16" s="1134"/>
      <c r="F16" s="1134"/>
      <c r="G16" s="1134"/>
      <c r="H16" s="1134"/>
      <c r="I16" s="1134"/>
      <c r="J16" s="1134"/>
      <c r="K16" s="1134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L25" sqref="L25"/>
    </sheetView>
  </sheetViews>
  <sheetFormatPr defaultRowHeight="12.75"/>
  <sheetData>
    <row r="22" s="127" customFormat="1"/>
    <row r="23" s="127" customFormat="1"/>
    <row r="24" s="127" customFormat="1"/>
    <row r="44" spans="1:1" s="127" customFormat="1" ht="35.25" customHeight="1">
      <c r="A44" s="127" t="s">
        <v>326</v>
      </c>
    </row>
    <row r="58" spans="1:8">
      <c r="A58" s="700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M20" sqref="M20"/>
    </sheetView>
  </sheetViews>
  <sheetFormatPr defaultRowHeight="12.75"/>
  <cols>
    <col min="1" max="1" width="20.42578125" customWidth="1"/>
    <col min="2" max="2" width="10.140625" bestFit="1" customWidth="1"/>
    <col min="3" max="3" width="9.7109375" customWidth="1"/>
    <col min="4" max="4" width="10.140625" bestFit="1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44" t="s">
        <v>87</v>
      </c>
      <c r="B1" s="1144"/>
      <c r="C1" s="1144"/>
      <c r="D1" s="1144"/>
      <c r="E1" s="1144"/>
      <c r="F1" s="1144"/>
      <c r="G1" s="1144"/>
      <c r="H1" s="1144"/>
      <c r="I1" s="1144"/>
      <c r="J1" s="1144"/>
      <c r="K1" s="152"/>
    </row>
    <row r="2" spans="1:11" ht="19.5" thickBot="1">
      <c r="A2" s="1158" t="s">
        <v>352</v>
      </c>
      <c r="B2" s="1159"/>
      <c r="C2" s="1159"/>
      <c r="D2" s="1159"/>
      <c r="E2" s="1159"/>
      <c r="F2" s="1159"/>
      <c r="G2" s="1159"/>
      <c r="H2" s="1159"/>
      <c r="I2" s="1159"/>
      <c r="J2" s="1160"/>
    </row>
    <row r="3" spans="1:11" ht="26.25" thickBot="1">
      <c r="A3" s="796"/>
      <c r="B3" s="910"/>
      <c r="C3" s="911" t="s">
        <v>82</v>
      </c>
      <c r="D3" s="155"/>
      <c r="E3" s="855"/>
      <c r="F3" s="856" t="s">
        <v>334</v>
      </c>
      <c r="G3" s="857" t="s">
        <v>335</v>
      </c>
      <c r="H3" s="858" t="s">
        <v>91</v>
      </c>
      <c r="I3" s="856" t="s">
        <v>336</v>
      </c>
      <c r="J3" s="857" t="s">
        <v>337</v>
      </c>
    </row>
    <row r="4" spans="1:11" ht="27">
      <c r="A4" s="797" t="s">
        <v>73</v>
      </c>
      <c r="B4" s="859" t="s">
        <v>83</v>
      </c>
      <c r="C4" s="860" t="s">
        <v>84</v>
      </c>
      <c r="D4" s="861" t="s">
        <v>85</v>
      </c>
      <c r="E4" s="861" t="s">
        <v>92</v>
      </c>
      <c r="F4" s="862" t="s">
        <v>78</v>
      </c>
      <c r="G4" s="863" t="s">
        <v>69</v>
      </c>
      <c r="H4" s="864" t="s">
        <v>93</v>
      </c>
      <c r="I4" s="156" t="s">
        <v>70</v>
      </c>
      <c r="J4" s="865" t="s">
        <v>92</v>
      </c>
    </row>
    <row r="5" spans="1:11" ht="26.25" thickBot="1">
      <c r="A5" s="157"/>
      <c r="B5" s="1063" t="s">
        <v>375</v>
      </c>
      <c r="C5" s="1063" t="s">
        <v>375</v>
      </c>
      <c r="D5" s="1063" t="s">
        <v>375</v>
      </c>
      <c r="E5" s="866" t="s">
        <v>70</v>
      </c>
      <c r="F5" s="1063" t="s">
        <v>375</v>
      </c>
      <c r="G5" s="867" t="s">
        <v>94</v>
      </c>
      <c r="H5" s="868" t="s">
        <v>90</v>
      </c>
      <c r="I5" s="1063" t="s">
        <v>375</v>
      </c>
      <c r="J5" s="869" t="s">
        <v>80</v>
      </c>
    </row>
    <row r="6" spans="1:11" ht="16.5" thickBot="1">
      <c r="A6" s="870" t="s">
        <v>341</v>
      </c>
      <c r="B6" s="871"/>
      <c r="C6" s="871"/>
      <c r="D6" s="871"/>
      <c r="E6" s="871"/>
      <c r="F6" s="871"/>
      <c r="G6" s="871"/>
      <c r="H6" s="871"/>
      <c r="I6" s="871"/>
      <c r="J6" s="872"/>
    </row>
    <row r="7" spans="1:11" ht="15.75" thickBot="1">
      <c r="A7" s="873" t="s">
        <v>22</v>
      </c>
      <c r="B7" s="874">
        <v>6.7767054430784581</v>
      </c>
      <c r="C7" s="875">
        <v>13082.442940305904</v>
      </c>
      <c r="D7" s="876">
        <v>13344.091799112022</v>
      </c>
      <c r="E7" s="877">
        <v>-8.9233045050249551E-2</v>
      </c>
      <c r="F7" s="878">
        <v>325.24321895424839</v>
      </c>
      <c r="G7" s="877">
        <v>1.9047057821827806</v>
      </c>
      <c r="H7" s="877">
        <v>-45.302200871411017</v>
      </c>
      <c r="I7" s="877">
        <v>100</v>
      </c>
      <c r="J7" s="879" t="s">
        <v>23</v>
      </c>
    </row>
    <row r="8" spans="1:11" ht="15">
      <c r="A8" s="880" t="s">
        <v>103</v>
      </c>
      <c r="B8" s="881">
        <v>6.6040710784313728</v>
      </c>
      <c r="C8" s="882">
        <v>12252.450980392156</v>
      </c>
      <c r="D8" s="883">
        <v>12497.499999999998</v>
      </c>
      <c r="E8" s="884">
        <v>1.679948193621672</v>
      </c>
      <c r="F8" s="885">
        <v>240</v>
      </c>
      <c r="G8" s="886">
        <v>-1.827106626670292</v>
      </c>
      <c r="H8" s="886">
        <v>-77.777777777777786</v>
      </c>
      <c r="I8" s="886">
        <v>4.084967320261438E-2</v>
      </c>
      <c r="J8" s="887">
        <v>-5.9697751666115371E-2</v>
      </c>
    </row>
    <row r="9" spans="1:11" ht="15">
      <c r="A9" s="888" t="s">
        <v>104</v>
      </c>
      <c r="B9" s="889">
        <v>7.4430262350816419</v>
      </c>
      <c r="C9" s="890">
        <v>13964.401941991822</v>
      </c>
      <c r="D9" s="891">
        <v>14243.689980831659</v>
      </c>
      <c r="E9" s="892">
        <v>-7.0196296732493169E-2</v>
      </c>
      <c r="F9" s="893">
        <v>356.21847408829177</v>
      </c>
      <c r="G9" s="894">
        <v>1.2550381317319506</v>
      </c>
      <c r="H9" s="894">
        <v>-38.633686690223797</v>
      </c>
      <c r="I9" s="894">
        <v>42.565359477124183</v>
      </c>
      <c r="J9" s="895">
        <v>4.6254644933234914</v>
      </c>
    </row>
    <row r="10" spans="1:11" ht="15">
      <c r="A10" s="888" t="s">
        <v>105</v>
      </c>
      <c r="B10" s="889">
        <v>7.3486305421984159</v>
      </c>
      <c r="C10" s="890">
        <v>13787.299328702469</v>
      </c>
      <c r="D10" s="891">
        <v>14063.045315276519</v>
      </c>
      <c r="E10" s="892">
        <v>0.4542604475718563</v>
      </c>
      <c r="F10" s="893">
        <v>398.9569620253165</v>
      </c>
      <c r="G10" s="894">
        <v>2.2879824024764415</v>
      </c>
      <c r="H10" s="894">
        <v>-46.206225680933855</v>
      </c>
      <c r="I10" s="894">
        <v>11.294934640522875</v>
      </c>
      <c r="J10" s="895">
        <v>-0.18981566670536765</v>
      </c>
    </row>
    <row r="11" spans="1:11" ht="15">
      <c r="A11" s="888" t="s">
        <v>106</v>
      </c>
      <c r="B11" s="896" t="s">
        <v>100</v>
      </c>
      <c r="C11" s="890" t="s">
        <v>100</v>
      </c>
      <c r="D11" s="891" t="s">
        <v>100</v>
      </c>
      <c r="E11" s="892" t="s">
        <v>100</v>
      </c>
      <c r="F11" s="893" t="s">
        <v>100</v>
      </c>
      <c r="G11" s="894" t="s">
        <v>100</v>
      </c>
      <c r="H11" s="894" t="s">
        <v>100</v>
      </c>
      <c r="I11" s="894" t="s">
        <v>100</v>
      </c>
      <c r="J11" s="895" t="s">
        <v>100</v>
      </c>
    </row>
    <row r="12" spans="1:11" ht="15">
      <c r="A12" s="888" t="s">
        <v>98</v>
      </c>
      <c r="B12" s="889">
        <v>5.2041834636109359</v>
      </c>
      <c r="C12" s="890">
        <v>10686.2083441703</v>
      </c>
      <c r="D12" s="891">
        <v>10899.932511053707</v>
      </c>
      <c r="E12" s="892">
        <v>-2.3309041582682344</v>
      </c>
      <c r="F12" s="893">
        <v>270.19801616458489</v>
      </c>
      <c r="G12" s="894">
        <v>-1.1565711750465593</v>
      </c>
      <c r="H12" s="894">
        <v>-49.573916265283444</v>
      </c>
      <c r="I12" s="894">
        <v>27.798202614379086</v>
      </c>
      <c r="J12" s="895">
        <v>-2.3548529101433111</v>
      </c>
    </row>
    <row r="13" spans="1:11" ht="15.75" thickBot="1">
      <c r="A13" s="897" t="s">
        <v>107</v>
      </c>
      <c r="B13" s="898">
        <v>6.9182787135165578</v>
      </c>
      <c r="C13" s="899">
        <v>13355.750412194127</v>
      </c>
      <c r="D13" s="900">
        <v>13622.865420438011</v>
      </c>
      <c r="E13" s="901">
        <v>-2.1090069006379832</v>
      </c>
      <c r="F13" s="902">
        <v>291.50535714285712</v>
      </c>
      <c r="G13" s="903">
        <v>1.7434197343662268</v>
      </c>
      <c r="H13" s="903">
        <v>-50.742166025288618</v>
      </c>
      <c r="I13" s="903">
        <v>18.300653594771241</v>
      </c>
      <c r="J13" s="904">
        <v>-2.021098164808695</v>
      </c>
    </row>
    <row r="14" spans="1:11" ht="16.5" thickBot="1">
      <c r="A14" s="870" t="s">
        <v>338</v>
      </c>
      <c r="B14" s="871"/>
      <c r="C14" s="871"/>
      <c r="D14" s="871"/>
      <c r="E14" s="871"/>
      <c r="F14" s="871"/>
      <c r="G14" s="871"/>
      <c r="H14" s="871"/>
      <c r="I14" s="871"/>
      <c r="J14" s="872"/>
    </row>
    <row r="15" spans="1:11" ht="15.75" thickBot="1">
      <c r="A15" s="873" t="s">
        <v>22</v>
      </c>
      <c r="B15" s="905">
        <v>6.7292097737664953</v>
      </c>
      <c r="C15" s="906">
        <v>12990.752459008678</v>
      </c>
      <c r="D15" s="907">
        <v>13250.567508188851</v>
      </c>
      <c r="E15" s="877">
        <v>0.79620273735109925</v>
      </c>
      <c r="F15" s="877">
        <v>324.11280670257332</v>
      </c>
      <c r="G15" s="877">
        <v>2.2751021178083275</v>
      </c>
      <c r="H15" s="877">
        <v>-57.26342710997443</v>
      </c>
      <c r="I15" s="877">
        <v>100</v>
      </c>
      <c r="J15" s="879" t="s">
        <v>23</v>
      </c>
    </row>
    <row r="16" spans="1:11" ht="15">
      <c r="A16" s="880" t="s">
        <v>103</v>
      </c>
      <c r="B16" s="881">
        <v>5.704871117647059</v>
      </c>
      <c r="C16" s="882">
        <v>10584.176470588234</v>
      </c>
      <c r="D16" s="883">
        <v>10795.859999999999</v>
      </c>
      <c r="E16" s="884">
        <v>-18.97908263759323</v>
      </c>
      <c r="F16" s="885">
        <v>200</v>
      </c>
      <c r="G16" s="886">
        <v>-21.732324549960875</v>
      </c>
      <c r="H16" s="886">
        <v>-77.777777777777786</v>
      </c>
      <c r="I16" s="886">
        <v>5.9844404548174746E-2</v>
      </c>
      <c r="J16" s="887">
        <v>-5.5245109518321414E-2</v>
      </c>
    </row>
    <row r="17" spans="1:10" ht="15">
      <c r="A17" s="888" t="s">
        <v>104</v>
      </c>
      <c r="B17" s="889">
        <v>7.4423855224284798</v>
      </c>
      <c r="C17" s="890">
        <v>13963.199854462438</v>
      </c>
      <c r="D17" s="891">
        <v>14242.463851551687</v>
      </c>
      <c r="E17" s="892">
        <v>0.40911052418599314</v>
      </c>
      <c r="F17" s="893">
        <v>365.48005865102641</v>
      </c>
      <c r="G17" s="894">
        <v>3.5810895092704014</v>
      </c>
      <c r="H17" s="894">
        <v>-54.684385382059794</v>
      </c>
      <c r="I17" s="894">
        <v>40.813883901855178</v>
      </c>
      <c r="J17" s="895">
        <v>2.3228353085047928</v>
      </c>
    </row>
    <row r="18" spans="1:10" ht="15">
      <c r="A18" s="888" t="s">
        <v>105</v>
      </c>
      <c r="B18" s="889">
        <v>7.2764977468432512</v>
      </c>
      <c r="C18" s="890">
        <v>13651.965753927301</v>
      </c>
      <c r="D18" s="891">
        <v>13925.005069005847</v>
      </c>
      <c r="E18" s="892">
        <v>-0.40008272107020665</v>
      </c>
      <c r="F18" s="893">
        <v>381.94639175257731</v>
      </c>
      <c r="G18" s="894">
        <v>0.74069634196501299</v>
      </c>
      <c r="H18" s="894">
        <v>-58.129496402877699</v>
      </c>
      <c r="I18" s="894">
        <v>8.7073608617594243</v>
      </c>
      <c r="J18" s="895">
        <v>-0.180107168931114</v>
      </c>
    </row>
    <row r="19" spans="1:10" ht="15">
      <c r="A19" s="888" t="s">
        <v>106</v>
      </c>
      <c r="B19" s="896" t="s">
        <v>100</v>
      </c>
      <c r="C19" s="890" t="s">
        <v>100</v>
      </c>
      <c r="D19" s="891" t="s">
        <v>100</v>
      </c>
      <c r="E19" s="892" t="s">
        <v>100</v>
      </c>
      <c r="F19" s="893" t="s">
        <v>100</v>
      </c>
      <c r="G19" s="894" t="s">
        <v>100</v>
      </c>
      <c r="H19" s="894" t="s">
        <v>100</v>
      </c>
      <c r="I19" s="894" t="s">
        <v>100</v>
      </c>
      <c r="J19" s="895" t="s">
        <v>100</v>
      </c>
    </row>
    <row r="20" spans="1:10" ht="15">
      <c r="A20" s="888" t="s">
        <v>98</v>
      </c>
      <c r="B20" s="889">
        <v>5.2913460522286826</v>
      </c>
      <c r="C20" s="890">
        <v>10865.186965561976</v>
      </c>
      <c r="D20" s="891">
        <v>11082.490704873215</v>
      </c>
      <c r="E20" s="892">
        <v>-1.6435881418634093</v>
      </c>
      <c r="F20" s="893">
        <v>275.52693032015071</v>
      </c>
      <c r="G20" s="894">
        <v>-1.874362896889727</v>
      </c>
      <c r="H20" s="894">
        <v>-61.619082038308633</v>
      </c>
      <c r="I20" s="894">
        <v>31.777378815080791</v>
      </c>
      <c r="J20" s="895">
        <v>-3.6062528984741924</v>
      </c>
    </row>
    <row r="21" spans="1:10" ht="15.75" thickBot="1">
      <c r="A21" s="897" t="s">
        <v>107</v>
      </c>
      <c r="B21" s="898">
        <v>6.914855456308354</v>
      </c>
      <c r="C21" s="899">
        <v>13349.141807545086</v>
      </c>
      <c r="D21" s="900">
        <v>13616.124643695988</v>
      </c>
      <c r="E21" s="901">
        <v>0.78789125732959564</v>
      </c>
      <c r="F21" s="902">
        <v>289.74991974317817</v>
      </c>
      <c r="G21" s="903">
        <v>3.9109283097524892</v>
      </c>
      <c r="H21" s="903">
        <v>-53.47274085138163</v>
      </c>
      <c r="I21" s="903">
        <v>18.641532016756432</v>
      </c>
      <c r="J21" s="904">
        <v>1.5187698684188362</v>
      </c>
    </row>
    <row r="22" spans="1:10" ht="16.5" thickBot="1">
      <c r="A22" s="870" t="s">
        <v>342</v>
      </c>
      <c r="B22" s="871"/>
      <c r="C22" s="871"/>
      <c r="D22" s="871"/>
      <c r="E22" s="871"/>
      <c r="F22" s="871"/>
      <c r="G22" s="871"/>
      <c r="H22" s="871"/>
      <c r="I22" s="871"/>
      <c r="J22" s="872"/>
    </row>
    <row r="23" spans="1:10" ht="15.75" thickBot="1">
      <c r="A23" s="873" t="s">
        <v>22</v>
      </c>
      <c r="B23" s="905">
        <v>5.7569327069304368</v>
      </c>
      <c r="C23" s="906">
        <v>11113.769704498913</v>
      </c>
      <c r="D23" s="907">
        <v>11336.045098588891</v>
      </c>
      <c r="E23" s="877">
        <v>-2.3135012945937228</v>
      </c>
      <c r="F23" s="877">
        <v>295.94189944134081</v>
      </c>
      <c r="G23" s="877">
        <v>0.61167545784716393</v>
      </c>
      <c r="H23" s="877">
        <v>-34.67153284671533</v>
      </c>
      <c r="I23" s="877">
        <v>100</v>
      </c>
      <c r="J23" s="879" t="s">
        <v>23</v>
      </c>
    </row>
    <row r="24" spans="1:10" ht="15">
      <c r="A24" s="880" t="s">
        <v>103</v>
      </c>
      <c r="B24" s="908" t="s">
        <v>100</v>
      </c>
      <c r="C24" s="882" t="s">
        <v>100</v>
      </c>
      <c r="D24" s="883" t="s">
        <v>100</v>
      </c>
      <c r="E24" s="884" t="s">
        <v>100</v>
      </c>
      <c r="F24" s="885" t="s">
        <v>100</v>
      </c>
      <c r="G24" s="886" t="s">
        <v>100</v>
      </c>
      <c r="H24" s="909" t="s">
        <v>100</v>
      </c>
      <c r="I24" s="909">
        <v>0</v>
      </c>
      <c r="J24" s="923">
        <v>0</v>
      </c>
    </row>
    <row r="25" spans="1:10" ht="15">
      <c r="A25" s="888" t="s">
        <v>104</v>
      </c>
      <c r="B25" s="896">
        <v>6.8948332195050526</v>
      </c>
      <c r="C25" s="890">
        <v>12935.897222335932</v>
      </c>
      <c r="D25" s="891">
        <v>13194.615166782651</v>
      </c>
      <c r="E25" s="892">
        <v>-2.4123580114753485</v>
      </c>
      <c r="F25" s="893">
        <v>362.2789915966386</v>
      </c>
      <c r="G25" s="894">
        <v>2.9904978997494696</v>
      </c>
      <c r="H25" s="894">
        <v>-26.086956521739129</v>
      </c>
      <c r="I25" s="894">
        <v>16.620111731843576</v>
      </c>
      <c r="J25" s="895">
        <v>1.9303307099457658</v>
      </c>
    </row>
    <row r="26" spans="1:10" ht="15">
      <c r="A26" s="888" t="s">
        <v>105</v>
      </c>
      <c r="B26" s="889">
        <v>6.8855236070245578</v>
      </c>
      <c r="C26" s="890">
        <v>12918.430782410051</v>
      </c>
      <c r="D26" s="891">
        <v>13176.799398058252</v>
      </c>
      <c r="E26" s="892">
        <v>-1.1500390334764958</v>
      </c>
      <c r="F26" s="893">
        <v>386.22500000000008</v>
      </c>
      <c r="G26" s="894">
        <v>-1.7940091165617269</v>
      </c>
      <c r="H26" s="894">
        <v>-70.731707317073173</v>
      </c>
      <c r="I26" s="894">
        <v>3.3519553072625698</v>
      </c>
      <c r="J26" s="895">
        <v>-4.1297965175549489</v>
      </c>
    </row>
    <row r="27" spans="1:10" ht="15">
      <c r="A27" s="888" t="s">
        <v>106</v>
      </c>
      <c r="B27" s="896" t="s">
        <v>100</v>
      </c>
      <c r="C27" s="890" t="s">
        <v>100</v>
      </c>
      <c r="D27" s="891" t="s">
        <v>100</v>
      </c>
      <c r="E27" s="892" t="s">
        <v>100</v>
      </c>
      <c r="F27" s="893" t="s">
        <v>100</v>
      </c>
      <c r="G27" s="894" t="s">
        <v>100</v>
      </c>
      <c r="H27" s="894" t="s">
        <v>100</v>
      </c>
      <c r="I27" s="894" t="s">
        <v>100</v>
      </c>
      <c r="J27" s="895" t="s">
        <v>100</v>
      </c>
    </row>
    <row r="28" spans="1:10" ht="15">
      <c r="A28" s="888" t="s">
        <v>98</v>
      </c>
      <c r="B28" s="889">
        <v>4.9715350761085455</v>
      </c>
      <c r="C28" s="890">
        <v>10208.490916033974</v>
      </c>
      <c r="D28" s="891">
        <v>10412.660734354653</v>
      </c>
      <c r="E28" s="892">
        <v>-2.2863225077457536</v>
      </c>
      <c r="F28" s="893">
        <v>275.43037974683546</v>
      </c>
      <c r="G28" s="894">
        <v>1.926149058392453</v>
      </c>
      <c r="H28" s="894">
        <v>-36.546184738955823</v>
      </c>
      <c r="I28" s="894">
        <v>66.201117318435749</v>
      </c>
      <c r="J28" s="895">
        <v>-1.9558169881335914</v>
      </c>
    </row>
    <row r="29" spans="1:10" ht="15.75" thickBot="1">
      <c r="A29" s="897" t="s">
        <v>107</v>
      </c>
      <c r="B29" s="898">
        <v>6.1665930847003292</v>
      </c>
      <c r="C29" s="899">
        <v>11904.61985463384</v>
      </c>
      <c r="D29" s="900">
        <v>12142.712251726518</v>
      </c>
      <c r="E29" s="901">
        <v>-2.5840805399983386</v>
      </c>
      <c r="F29" s="902">
        <v>292.52323232323238</v>
      </c>
      <c r="G29" s="903">
        <v>-1.998240734701537</v>
      </c>
      <c r="H29" s="903">
        <v>-6.6037735849056602</v>
      </c>
      <c r="I29" s="903">
        <v>13.826815642458101</v>
      </c>
      <c r="J29" s="904">
        <v>4.1552827957427709</v>
      </c>
    </row>
    <row r="30" spans="1:10" ht="15">
      <c r="A30" s="1069"/>
    </row>
    <row r="31" spans="1:10">
      <c r="A31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4" t="s">
        <v>59</v>
      </c>
      <c r="B33" s="1146" t="s">
        <v>60</v>
      </c>
      <c r="C33" s="1147"/>
      <c r="D33" s="1147"/>
      <c r="E33" s="1147"/>
      <c r="F33" s="1147"/>
      <c r="G33" s="1147"/>
      <c r="H33" s="1148"/>
    </row>
    <row r="34" spans="1:8" ht="15.75">
      <c r="A34" s="665" t="s">
        <v>63</v>
      </c>
      <c r="B34" s="1152" t="s">
        <v>64</v>
      </c>
      <c r="C34" s="1153"/>
      <c r="D34" s="1153"/>
      <c r="E34" s="1153"/>
      <c r="F34" s="1153"/>
      <c r="G34" s="1153"/>
      <c r="H34" s="1154"/>
    </row>
    <row r="35" spans="1:8" ht="15.75">
      <c r="A35" s="662" t="s">
        <v>65</v>
      </c>
      <c r="B35" s="1149" t="s">
        <v>66</v>
      </c>
      <c r="C35" s="1150"/>
      <c r="D35" s="1150"/>
      <c r="E35" s="1150"/>
      <c r="F35" s="1150"/>
      <c r="G35" s="1150"/>
      <c r="H35" s="1151"/>
    </row>
    <row r="36" spans="1:8" ht="16.5" thickBot="1">
      <c r="A36" s="663" t="s">
        <v>67</v>
      </c>
      <c r="B36" s="1155" t="s">
        <v>62</v>
      </c>
      <c r="C36" s="1156"/>
      <c r="D36" s="1156"/>
      <c r="E36" s="1156"/>
      <c r="F36" s="1156"/>
      <c r="G36" s="1156"/>
      <c r="H36" s="1157"/>
    </row>
    <row r="37" spans="1:8">
      <c r="A37" s="1145"/>
      <c r="B37" s="1145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448"/>
  <sheetViews>
    <sheetView showGridLines="0" topLeftCell="A274" zoomScale="90" zoomScaleNormal="90" workbookViewId="0">
      <selection sqref="A1:XFD1048576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2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798" t="s">
        <v>347</v>
      </c>
      <c r="B1" s="798"/>
      <c r="C1" s="799"/>
      <c r="D1" s="799"/>
      <c r="E1" s="932" t="s">
        <v>376</v>
      </c>
      <c r="F1" s="127"/>
      <c r="G1" s="800"/>
      <c r="H1" s="799"/>
      <c r="I1" s="799"/>
      <c r="J1" s="799"/>
      <c r="K1" s="799"/>
    </row>
    <row r="2" spans="1:12" ht="15" customHeight="1" thickBot="1">
      <c r="A2" s="801" t="s">
        <v>348</v>
      </c>
      <c r="B2" s="801"/>
      <c r="C2" s="799"/>
      <c r="D2" s="799"/>
      <c r="E2" s="799"/>
      <c r="F2" s="800"/>
      <c r="G2" s="799"/>
      <c r="H2" s="799"/>
      <c r="I2" s="799"/>
      <c r="J2" s="799"/>
      <c r="K2" s="799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26"/>
    </row>
    <row r="4" spans="1:12">
      <c r="A4" s="30"/>
      <c r="B4" s="31"/>
      <c r="C4" s="3" t="s">
        <v>9</v>
      </c>
      <c r="D4" s="3"/>
      <c r="E4" s="3"/>
      <c r="F4" s="3"/>
      <c r="G4" s="1027"/>
      <c r="H4" s="1161" t="s">
        <v>10</v>
      </c>
      <c r="I4" s="1162"/>
      <c r="J4" s="980" t="s">
        <v>11</v>
      </c>
      <c r="K4" s="32" t="s">
        <v>12</v>
      </c>
      <c r="L4" s="1028"/>
    </row>
    <row r="5" spans="1:12" ht="15.75">
      <c r="A5" s="33" t="s">
        <v>13</v>
      </c>
      <c r="B5" s="34" t="s">
        <v>14</v>
      </c>
      <c r="C5" s="709" t="s">
        <v>40</v>
      </c>
      <c r="D5" s="709"/>
      <c r="E5" s="710" t="s">
        <v>41</v>
      </c>
      <c r="F5" s="711"/>
      <c r="G5" s="1086"/>
      <c r="H5" s="1163" t="s">
        <v>15</v>
      </c>
      <c r="I5" s="1164"/>
      <c r="J5" s="981" t="s">
        <v>16</v>
      </c>
      <c r="K5" s="86" t="s">
        <v>17</v>
      </c>
      <c r="L5" s="1029"/>
    </row>
    <row r="6" spans="1:12" ht="26.25" thickBot="1">
      <c r="A6" s="35" t="s">
        <v>18</v>
      </c>
      <c r="B6" s="36" t="s">
        <v>19</v>
      </c>
      <c r="C6" s="719" t="s">
        <v>375</v>
      </c>
      <c r="D6" s="1063" t="s">
        <v>377</v>
      </c>
      <c r="E6" s="913" t="s">
        <v>375</v>
      </c>
      <c r="F6" s="914" t="s">
        <v>377</v>
      </c>
      <c r="G6" s="1085" t="s">
        <v>20</v>
      </c>
      <c r="H6" s="85" t="s">
        <v>375</v>
      </c>
      <c r="I6" s="1087" t="s">
        <v>20</v>
      </c>
      <c r="J6" s="1088" t="s">
        <v>20</v>
      </c>
      <c r="K6" s="720" t="s">
        <v>375</v>
      </c>
      <c r="L6" s="1089" t="s">
        <v>21</v>
      </c>
    </row>
    <row r="7" spans="1:12" ht="15" thickBot="1">
      <c r="A7" s="37" t="s">
        <v>22</v>
      </c>
      <c r="B7" s="38" t="s">
        <v>23</v>
      </c>
      <c r="C7" s="87">
        <v>12903.579296037382</v>
      </c>
      <c r="D7" s="87">
        <v>12890.872984425363</v>
      </c>
      <c r="E7" s="88">
        <v>13161.65088195813</v>
      </c>
      <c r="F7" s="718">
        <v>13148.69044411387</v>
      </c>
      <c r="G7" s="1090">
        <v>9.8568278714492599E-2</v>
      </c>
      <c r="H7" s="89">
        <v>322.47041545677911</v>
      </c>
      <c r="I7" s="89">
        <v>1.7822700186832585</v>
      </c>
      <c r="J7" s="90">
        <v>-50.233437083148068</v>
      </c>
      <c r="K7" s="89">
        <v>100</v>
      </c>
      <c r="L7" s="1091" t="s">
        <v>23</v>
      </c>
    </row>
    <row r="8" spans="1:12" ht="15" thickBot="1">
      <c r="A8" s="39"/>
      <c r="B8" s="40"/>
      <c r="C8" s="91"/>
      <c r="D8" s="91"/>
      <c r="E8" s="91"/>
      <c r="F8" s="91"/>
      <c r="G8" s="1092"/>
      <c r="H8" s="90"/>
      <c r="I8" s="90"/>
      <c r="J8" s="90"/>
      <c r="K8" s="90"/>
      <c r="L8" s="1093"/>
    </row>
    <row r="9" spans="1:12" ht="15">
      <c r="A9" s="41" t="s">
        <v>108</v>
      </c>
      <c r="B9" s="42" t="s">
        <v>23</v>
      </c>
      <c r="C9" s="92">
        <v>11494.144028520499</v>
      </c>
      <c r="D9" s="92">
        <v>12568.02489106754</v>
      </c>
      <c r="E9" s="93">
        <v>11724.02690909091</v>
      </c>
      <c r="F9" s="93">
        <v>12819.385388888892</v>
      </c>
      <c r="G9" s="1094">
        <v>-8.5445475470873671</v>
      </c>
      <c r="H9" s="94">
        <v>219.97500000000002</v>
      </c>
      <c r="I9" s="94">
        <v>-12.009999999999991</v>
      </c>
      <c r="J9" s="94">
        <v>-77.777777777777786</v>
      </c>
      <c r="K9" s="94">
        <v>4.4672771945499221E-2</v>
      </c>
      <c r="L9" s="1095">
        <v>-5.5371692260814703E-2</v>
      </c>
    </row>
    <row r="10" spans="1:12" ht="15">
      <c r="A10" s="50" t="s">
        <v>109</v>
      </c>
      <c r="B10" s="95" t="s">
        <v>23</v>
      </c>
      <c r="C10" s="96">
        <v>13929.402478808452</v>
      </c>
      <c r="D10" s="96">
        <v>13925.448568579901</v>
      </c>
      <c r="E10" s="97">
        <v>14207.99052838462</v>
      </c>
      <c r="F10" s="97">
        <v>14203.9575399515</v>
      </c>
      <c r="G10" s="1096">
        <v>2.8393413749490691E-2</v>
      </c>
      <c r="H10" s="98">
        <v>359.95758340342024</v>
      </c>
      <c r="I10" s="98">
        <v>2.1826515596051039</v>
      </c>
      <c r="J10" s="98">
        <v>-45.682960255824575</v>
      </c>
      <c r="K10" s="98">
        <v>39.836944382398926</v>
      </c>
      <c r="L10" s="1097">
        <v>3.3373890244620696</v>
      </c>
    </row>
    <row r="11" spans="1:12" ht="15">
      <c r="A11" s="43" t="s">
        <v>110</v>
      </c>
      <c r="B11" s="44" t="s">
        <v>23</v>
      </c>
      <c r="C11" s="99">
        <v>13719.570527632788</v>
      </c>
      <c r="D11" s="99">
        <v>13687.711605186354</v>
      </c>
      <c r="E11" s="100">
        <v>13993.961938185445</v>
      </c>
      <c r="F11" s="100">
        <v>13961.465837290081</v>
      </c>
      <c r="G11" s="1098">
        <v>0.23275565240842044</v>
      </c>
      <c r="H11" s="101">
        <v>392.84297235023035</v>
      </c>
      <c r="I11" s="101">
        <v>1.781161382119006</v>
      </c>
      <c r="J11" s="101">
        <v>-51.911357340720222</v>
      </c>
      <c r="K11" s="101">
        <v>9.69399151217333</v>
      </c>
      <c r="L11" s="1099">
        <v>-0.33824503740425982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98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99" t="s">
        <v>100</v>
      </c>
    </row>
    <row r="13" spans="1:12" ht="15">
      <c r="A13" s="43" t="s">
        <v>98</v>
      </c>
      <c r="B13" s="44" t="s">
        <v>23</v>
      </c>
      <c r="C13" s="99">
        <v>10673.573317806617</v>
      </c>
      <c r="D13" s="99">
        <v>10930.14300698537</v>
      </c>
      <c r="E13" s="100">
        <v>10887.044784162748</v>
      </c>
      <c r="F13" s="100">
        <v>11148.745867125079</v>
      </c>
      <c r="G13" s="1098">
        <v>-2.347358941367772</v>
      </c>
      <c r="H13" s="101">
        <v>273.01370383154989</v>
      </c>
      <c r="I13" s="101">
        <v>-1.6644031529954404</v>
      </c>
      <c r="J13" s="101">
        <v>-54.291574629220577</v>
      </c>
      <c r="K13" s="101">
        <v>32.35425508152781</v>
      </c>
      <c r="L13" s="1099">
        <v>-2.8725123706731708</v>
      </c>
    </row>
    <row r="14" spans="1:12" ht="15.75" thickBot="1">
      <c r="A14" s="45" t="s">
        <v>112</v>
      </c>
      <c r="B14" s="46" t="s">
        <v>23</v>
      </c>
      <c r="C14" s="102">
        <v>13263.926700865621</v>
      </c>
      <c r="D14" s="102">
        <v>13434.145635810548</v>
      </c>
      <c r="E14" s="103">
        <v>13529.205234882933</v>
      </c>
      <c r="F14" s="103">
        <v>13702.828548526759</v>
      </c>
      <c r="G14" s="1100">
        <v>-1.2670618553604596</v>
      </c>
      <c r="H14" s="104">
        <v>290.87954264524103</v>
      </c>
      <c r="I14" s="104">
        <v>2.5167318193728301</v>
      </c>
      <c r="J14" s="104">
        <v>-50.428921568627452</v>
      </c>
      <c r="K14" s="104">
        <v>18.070136251954434</v>
      </c>
      <c r="L14" s="1101">
        <v>-7.1259924123822316E-2</v>
      </c>
    </row>
    <row r="15" spans="1:12" ht="15" thickBot="1">
      <c r="A15" s="39"/>
      <c r="B15" s="47"/>
      <c r="C15" s="91"/>
      <c r="D15" s="91"/>
      <c r="E15" s="91"/>
      <c r="F15" s="91"/>
      <c r="G15" s="1092"/>
      <c r="H15" s="90"/>
      <c r="I15" s="90"/>
      <c r="J15" s="90"/>
      <c r="K15" s="90"/>
      <c r="L15" s="1093"/>
    </row>
    <row r="16" spans="1:12" ht="14.25">
      <c r="A16" s="48" t="s">
        <v>113</v>
      </c>
      <c r="B16" s="49" t="s">
        <v>25</v>
      </c>
      <c r="C16" s="105" t="s">
        <v>100</v>
      </c>
      <c r="D16" s="105" t="s">
        <v>257</v>
      </c>
      <c r="E16" s="106" t="s">
        <v>100</v>
      </c>
      <c r="F16" s="106" t="s">
        <v>257</v>
      </c>
      <c r="G16" s="1102" t="s">
        <v>100</v>
      </c>
      <c r="H16" s="1103" t="s">
        <v>100</v>
      </c>
      <c r="I16" s="1104" t="s">
        <v>100</v>
      </c>
      <c r="J16" s="1105" t="s">
        <v>100</v>
      </c>
      <c r="K16" s="1105" t="s">
        <v>100</v>
      </c>
      <c r="L16" s="1106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257</v>
      </c>
      <c r="E17" s="100" t="s">
        <v>100</v>
      </c>
      <c r="F17" s="100" t="s">
        <v>257</v>
      </c>
      <c r="G17" s="1098" t="s">
        <v>100</v>
      </c>
      <c r="H17" s="1107" t="s">
        <v>100</v>
      </c>
      <c r="I17" s="101" t="s">
        <v>100</v>
      </c>
      <c r="J17" s="109" t="s">
        <v>100</v>
      </c>
      <c r="K17" s="109" t="s">
        <v>100</v>
      </c>
      <c r="L17" s="1108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 t="s">
        <v>100</v>
      </c>
      <c r="E18" s="100" t="s">
        <v>100</v>
      </c>
      <c r="F18" s="100" t="s">
        <v>100</v>
      </c>
      <c r="G18" s="1098" t="s">
        <v>100</v>
      </c>
      <c r="H18" s="1107" t="s">
        <v>100</v>
      </c>
      <c r="I18" s="101" t="s">
        <v>100</v>
      </c>
      <c r="J18" s="109" t="s">
        <v>100</v>
      </c>
      <c r="K18" s="109" t="s">
        <v>100</v>
      </c>
      <c r="L18" s="1108" t="s">
        <v>100</v>
      </c>
    </row>
    <row r="19" spans="1:12" ht="14.25">
      <c r="A19" s="48" t="s">
        <v>113</v>
      </c>
      <c r="B19" s="52" t="s">
        <v>28</v>
      </c>
      <c r="C19" s="110">
        <v>13362.745098039215</v>
      </c>
      <c r="D19" s="110" t="s">
        <v>257</v>
      </c>
      <c r="E19" s="111">
        <v>13630</v>
      </c>
      <c r="F19" s="1109" t="s">
        <v>100</v>
      </c>
      <c r="G19" s="1110" t="s">
        <v>100</v>
      </c>
      <c r="H19" s="1111">
        <v>240</v>
      </c>
      <c r="I19" s="112" t="s">
        <v>100</v>
      </c>
      <c r="J19" s="113" t="s">
        <v>100</v>
      </c>
      <c r="K19" s="1065" t="s">
        <v>100</v>
      </c>
      <c r="L19" s="1112" t="s">
        <v>100</v>
      </c>
    </row>
    <row r="20" spans="1:12" ht="15">
      <c r="A20" s="50" t="s">
        <v>113</v>
      </c>
      <c r="B20" s="51" t="s">
        <v>29</v>
      </c>
      <c r="C20" s="1113" t="s">
        <v>100</v>
      </c>
      <c r="D20" s="99" t="s">
        <v>257</v>
      </c>
      <c r="E20" s="1114" t="s">
        <v>100</v>
      </c>
      <c r="F20" s="100" t="s">
        <v>257</v>
      </c>
      <c r="G20" s="1098" t="s">
        <v>100</v>
      </c>
      <c r="H20" s="1107" t="s">
        <v>100</v>
      </c>
      <c r="I20" s="101" t="s">
        <v>100</v>
      </c>
      <c r="J20" s="109" t="s">
        <v>100</v>
      </c>
      <c r="K20" s="109" t="s">
        <v>100</v>
      </c>
      <c r="L20" s="1108" t="s">
        <v>100</v>
      </c>
    </row>
    <row r="21" spans="1:12" ht="15">
      <c r="A21" s="50" t="s">
        <v>113</v>
      </c>
      <c r="B21" s="51" t="s">
        <v>30</v>
      </c>
      <c r="C21" s="99">
        <v>13362.745098039215</v>
      </c>
      <c r="D21" s="99" t="s">
        <v>100</v>
      </c>
      <c r="E21" s="100">
        <v>13630</v>
      </c>
      <c r="F21" s="100" t="s">
        <v>100</v>
      </c>
      <c r="G21" s="1098" t="s">
        <v>100</v>
      </c>
      <c r="H21" s="1107">
        <v>240</v>
      </c>
      <c r="I21" s="101" t="s">
        <v>100</v>
      </c>
      <c r="J21" s="109" t="s">
        <v>100</v>
      </c>
      <c r="K21" s="109" t="s">
        <v>100</v>
      </c>
      <c r="L21" s="1108" t="s">
        <v>100</v>
      </c>
    </row>
    <row r="22" spans="1:12" ht="14.25">
      <c r="A22" s="48" t="s">
        <v>113</v>
      </c>
      <c r="B22" s="52" t="s">
        <v>31</v>
      </c>
      <c r="C22" s="110" t="s">
        <v>257</v>
      </c>
      <c r="D22" s="110">
        <v>12259.450414781297</v>
      </c>
      <c r="E22" s="111" t="s">
        <v>257</v>
      </c>
      <c r="F22" s="111">
        <v>12504.639423076924</v>
      </c>
      <c r="G22" s="1098" t="s">
        <v>100</v>
      </c>
      <c r="H22" s="1111" t="s">
        <v>257</v>
      </c>
      <c r="I22" s="112" t="s">
        <v>100</v>
      </c>
      <c r="J22" s="113" t="s">
        <v>100</v>
      </c>
      <c r="K22" s="113" t="s">
        <v>257</v>
      </c>
      <c r="L22" s="1115" t="s">
        <v>100</v>
      </c>
    </row>
    <row r="23" spans="1:12" ht="15">
      <c r="A23" s="50" t="s">
        <v>113</v>
      </c>
      <c r="B23" s="51" t="s">
        <v>32</v>
      </c>
      <c r="C23" s="99" t="s">
        <v>257</v>
      </c>
      <c r="D23" s="99">
        <v>12163.060784313726</v>
      </c>
      <c r="E23" s="100" t="s">
        <v>257</v>
      </c>
      <c r="F23" s="100">
        <v>12406.322</v>
      </c>
      <c r="G23" s="1098" t="s">
        <v>100</v>
      </c>
      <c r="H23" s="1107" t="s">
        <v>257</v>
      </c>
      <c r="I23" s="101" t="s">
        <v>100</v>
      </c>
      <c r="J23" s="109" t="s">
        <v>100</v>
      </c>
      <c r="K23" s="109" t="s">
        <v>257</v>
      </c>
      <c r="L23" s="1108" t="s">
        <v>100</v>
      </c>
    </row>
    <row r="24" spans="1:12" ht="15.75" thickBot="1">
      <c r="A24" s="53" t="s">
        <v>113</v>
      </c>
      <c r="B24" s="54" t="s">
        <v>33</v>
      </c>
      <c r="C24" s="1116" t="s">
        <v>100</v>
      </c>
      <c r="D24" s="114">
        <v>12521.079411764706</v>
      </c>
      <c r="E24" s="1117" t="s">
        <v>100</v>
      </c>
      <c r="F24" s="115">
        <v>12771.501</v>
      </c>
      <c r="G24" s="1118" t="s">
        <v>100</v>
      </c>
      <c r="H24" s="1119" t="s">
        <v>100</v>
      </c>
      <c r="I24" s="104" t="s">
        <v>100</v>
      </c>
      <c r="J24" s="104" t="s">
        <v>100</v>
      </c>
      <c r="K24" s="104" t="s">
        <v>100</v>
      </c>
      <c r="L24" s="1101" t="s">
        <v>100</v>
      </c>
    </row>
    <row r="25" spans="1:12" ht="15" thickBot="1">
      <c r="A25" s="39"/>
      <c r="B25" s="47"/>
      <c r="C25" s="91"/>
      <c r="D25" s="91"/>
      <c r="E25" s="91"/>
      <c r="F25" s="91"/>
      <c r="G25" s="1092"/>
      <c r="H25" s="90"/>
      <c r="I25" s="90"/>
      <c r="J25" s="90"/>
      <c r="K25" s="90"/>
      <c r="L25" s="1093"/>
    </row>
    <row r="26" spans="1:12" ht="14.25">
      <c r="A26" s="48" t="s">
        <v>114</v>
      </c>
      <c r="B26" s="49" t="s">
        <v>25</v>
      </c>
      <c r="C26" s="105">
        <v>14404.913674434194</v>
      </c>
      <c r="D26" s="105">
        <v>14556.042037713725</v>
      </c>
      <c r="E26" s="106">
        <v>14693.011947922878</v>
      </c>
      <c r="F26" s="106">
        <v>14847.162878468</v>
      </c>
      <c r="G26" s="1102">
        <v>-1.038251764373638</v>
      </c>
      <c r="H26" s="107">
        <v>421.591061452514</v>
      </c>
      <c r="I26" s="107">
        <v>2.402251363136322</v>
      </c>
      <c r="J26" s="108">
        <v>-42.164781906300483</v>
      </c>
      <c r="K26" s="108">
        <v>3.9982130891221801</v>
      </c>
      <c r="L26" s="1120">
        <v>0.55779512558282907</v>
      </c>
    </row>
    <row r="27" spans="1:12" ht="15">
      <c r="A27" s="50" t="s">
        <v>114</v>
      </c>
      <c r="B27" s="51" t="s">
        <v>26</v>
      </c>
      <c r="C27" s="99">
        <v>14382.558823529411</v>
      </c>
      <c r="D27" s="99">
        <v>14599.760784313725</v>
      </c>
      <c r="E27" s="100">
        <v>14670.21</v>
      </c>
      <c r="F27" s="100">
        <v>14891.755999999999</v>
      </c>
      <c r="G27" s="1098">
        <v>-1.4877090384773983</v>
      </c>
      <c r="H27" s="101">
        <v>411.3</v>
      </c>
      <c r="I27" s="101">
        <v>1.933085501858739</v>
      </c>
      <c r="J27" s="109">
        <v>-47.5</v>
      </c>
      <c r="K27" s="109">
        <v>2.1107884744248384</v>
      </c>
      <c r="L27" s="1108">
        <v>0.10989919029856043</v>
      </c>
    </row>
    <row r="28" spans="1:12" ht="15">
      <c r="A28" s="50" t="s">
        <v>114</v>
      </c>
      <c r="B28" s="51" t="s">
        <v>27</v>
      </c>
      <c r="C28" s="99">
        <v>14428.651960784315</v>
      </c>
      <c r="D28" s="99">
        <v>14498.092156862745</v>
      </c>
      <c r="E28" s="100">
        <v>14717.225</v>
      </c>
      <c r="F28" s="100">
        <v>14788.054</v>
      </c>
      <c r="G28" s="1098">
        <v>-0.47896092345889274</v>
      </c>
      <c r="H28" s="101">
        <v>433.1</v>
      </c>
      <c r="I28" s="101">
        <v>2.3635074450484517</v>
      </c>
      <c r="J28" s="109">
        <v>-34.749034749034749</v>
      </c>
      <c r="K28" s="109">
        <v>1.8874246146973421</v>
      </c>
      <c r="L28" s="1108">
        <v>0.44789593528426974</v>
      </c>
    </row>
    <row r="29" spans="1:12" ht="14.25">
      <c r="A29" s="48" t="s">
        <v>114</v>
      </c>
      <c r="B29" s="52" t="s">
        <v>28</v>
      </c>
      <c r="C29" s="110">
        <v>14110.827501524878</v>
      </c>
      <c r="D29" s="110">
        <v>14103.041498085488</v>
      </c>
      <c r="E29" s="111">
        <v>14393.044051555376</v>
      </c>
      <c r="F29" s="111">
        <v>14385.102328047198</v>
      </c>
      <c r="G29" s="1121">
        <v>5.520797368743055E-2</v>
      </c>
      <c r="H29" s="112">
        <v>379.565</v>
      </c>
      <c r="I29" s="112">
        <v>3.0479979540747428</v>
      </c>
      <c r="J29" s="113">
        <v>-41.990182954038374</v>
      </c>
      <c r="K29" s="113">
        <v>14.518650882287245</v>
      </c>
      <c r="L29" s="1115">
        <v>2.0631150886011618</v>
      </c>
    </row>
    <row r="30" spans="1:12" ht="15">
      <c r="A30" s="50" t="s">
        <v>114</v>
      </c>
      <c r="B30" s="51" t="s">
        <v>29</v>
      </c>
      <c r="C30" s="99">
        <v>14167.676470588236</v>
      </c>
      <c r="D30" s="99">
        <v>14207.282352941176</v>
      </c>
      <c r="E30" s="100">
        <v>14451.03</v>
      </c>
      <c r="F30" s="100">
        <v>14491.428</v>
      </c>
      <c r="G30" s="1098">
        <v>-0.27877169868973045</v>
      </c>
      <c r="H30" s="101">
        <v>365.1</v>
      </c>
      <c r="I30" s="101">
        <v>1.8694196428571557</v>
      </c>
      <c r="J30" s="109">
        <v>-46.477584629460203</v>
      </c>
      <c r="K30" s="109">
        <v>6.5333928970292607</v>
      </c>
      <c r="L30" s="1108">
        <v>0.4584707093903102</v>
      </c>
    </row>
    <row r="31" spans="1:12" ht="15">
      <c r="A31" s="50" t="s">
        <v>114</v>
      </c>
      <c r="B31" s="51" t="s">
        <v>30</v>
      </c>
      <c r="C31" s="99">
        <v>14067.440196078433</v>
      </c>
      <c r="D31" s="99">
        <v>14008.888235294118</v>
      </c>
      <c r="E31" s="100">
        <v>14348.789000000001</v>
      </c>
      <c r="F31" s="100">
        <v>14289.066000000001</v>
      </c>
      <c r="G31" s="1098">
        <v>0.4179629375355951</v>
      </c>
      <c r="H31" s="101">
        <v>391.4</v>
      </c>
      <c r="I31" s="101">
        <v>3.5997882477501233</v>
      </c>
      <c r="J31" s="109">
        <v>-37.717770034843205</v>
      </c>
      <c r="K31" s="109">
        <v>7.9852579852579844</v>
      </c>
      <c r="L31" s="1108">
        <v>1.6046443792108525</v>
      </c>
    </row>
    <row r="32" spans="1:12" ht="14.25">
      <c r="A32" s="48" t="s">
        <v>114</v>
      </c>
      <c r="B32" s="52" t="s">
        <v>31</v>
      </c>
      <c r="C32" s="110">
        <v>13677.220483756599</v>
      </c>
      <c r="D32" s="110">
        <v>13676.265839887859</v>
      </c>
      <c r="E32" s="111">
        <v>13950.764893431731</v>
      </c>
      <c r="F32" s="111">
        <v>13949.791156685616</v>
      </c>
      <c r="G32" s="1121">
        <v>6.9802962293678055E-3</v>
      </c>
      <c r="H32" s="112">
        <v>335.04693556836037</v>
      </c>
      <c r="I32" s="112">
        <v>0.72651661661331268</v>
      </c>
      <c r="J32" s="113">
        <v>-48.502832479093605</v>
      </c>
      <c r="K32" s="113">
        <v>21.320080410989505</v>
      </c>
      <c r="L32" s="1115">
        <v>0.71647881027807614</v>
      </c>
    </row>
    <row r="33" spans="1:12" ht="15">
      <c r="A33" s="50" t="s">
        <v>114</v>
      </c>
      <c r="B33" s="51" t="s">
        <v>32</v>
      </c>
      <c r="C33" s="99">
        <v>13680.169607843136</v>
      </c>
      <c r="D33" s="99">
        <v>13731.88137254902</v>
      </c>
      <c r="E33" s="100">
        <v>13953.772999999999</v>
      </c>
      <c r="F33" s="100">
        <v>14006.519</v>
      </c>
      <c r="G33" s="1098">
        <v>-0.37658179023639637</v>
      </c>
      <c r="H33" s="101">
        <v>326.2</v>
      </c>
      <c r="I33" s="101">
        <v>1.0219882316506694</v>
      </c>
      <c r="J33" s="109">
        <v>-42.020774315391876</v>
      </c>
      <c r="K33" s="109">
        <v>13.71454098726826</v>
      </c>
      <c r="L33" s="1108">
        <v>1.9426423656586547</v>
      </c>
    </row>
    <row r="34" spans="1:12" ht="15.75" thickBot="1">
      <c r="A34" s="53" t="s">
        <v>114</v>
      </c>
      <c r="B34" s="54" t="s">
        <v>33</v>
      </c>
      <c r="C34" s="114">
        <v>13672.279411764706</v>
      </c>
      <c r="D34" s="114">
        <v>13607.004901960785</v>
      </c>
      <c r="E34" s="115">
        <v>13945.725</v>
      </c>
      <c r="F34" s="115">
        <v>13879.145</v>
      </c>
      <c r="G34" s="1118">
        <v>0.47971254713456718</v>
      </c>
      <c r="H34" s="109">
        <v>351</v>
      </c>
      <c r="I34" s="109">
        <v>1.5624999999999933</v>
      </c>
      <c r="J34" s="109">
        <v>-57.142857142857139</v>
      </c>
      <c r="K34" s="109">
        <v>7.6055394237212415</v>
      </c>
      <c r="L34" s="1108">
        <v>-1.2261635553805821</v>
      </c>
    </row>
    <row r="35" spans="1:12" ht="15.75" thickBot="1">
      <c r="A35" s="55"/>
      <c r="B35" s="56"/>
      <c r="C35" s="116"/>
      <c r="D35" s="116"/>
      <c r="E35" s="116"/>
      <c r="F35" s="116"/>
      <c r="G35" s="1122"/>
      <c r="H35" s="117"/>
      <c r="I35" s="117"/>
      <c r="J35" s="117"/>
      <c r="K35" s="117"/>
      <c r="L35" s="1123"/>
    </row>
    <row r="36" spans="1:12" ht="15">
      <c r="A36" s="50" t="s">
        <v>115</v>
      </c>
      <c r="B36" s="57" t="s">
        <v>30</v>
      </c>
      <c r="C36" s="118">
        <v>13960.360784313725</v>
      </c>
      <c r="D36" s="118">
        <v>13896.743137254902</v>
      </c>
      <c r="E36" s="119">
        <v>14239.567999999999</v>
      </c>
      <c r="F36" s="119">
        <v>14174.678</v>
      </c>
      <c r="G36" s="1124">
        <v>0.45778817691660734</v>
      </c>
      <c r="H36" s="120">
        <v>417.2</v>
      </c>
      <c r="I36" s="120">
        <v>2.4809629083763118</v>
      </c>
      <c r="J36" s="120">
        <v>-45.550527903469082</v>
      </c>
      <c r="K36" s="120">
        <v>4.0317176680813045</v>
      </c>
      <c r="L36" s="1125">
        <v>0.34674656981540819</v>
      </c>
    </row>
    <row r="37" spans="1:12" ht="15.75" thickBot="1">
      <c r="A37" s="53" t="s">
        <v>115</v>
      </c>
      <c r="B37" s="54" t="s">
        <v>33</v>
      </c>
      <c r="C37" s="114">
        <v>13529.088235294117</v>
      </c>
      <c r="D37" s="114">
        <v>13555.492156862745</v>
      </c>
      <c r="E37" s="115">
        <v>13799.67</v>
      </c>
      <c r="F37" s="115">
        <v>13826.602000000001</v>
      </c>
      <c r="G37" s="1118">
        <v>-0.19478393896056817</v>
      </c>
      <c r="H37" s="109">
        <v>375.5</v>
      </c>
      <c r="I37" s="109">
        <v>0.48166978860048476</v>
      </c>
      <c r="J37" s="109">
        <v>-55.604203152364271</v>
      </c>
      <c r="K37" s="109">
        <v>5.6622738440920255</v>
      </c>
      <c r="L37" s="1108">
        <v>-0.68499160721966845</v>
      </c>
    </row>
    <row r="38" spans="1:12" ht="15.75" thickBot="1">
      <c r="A38" s="55"/>
      <c r="B38" s="56"/>
      <c r="C38" s="116"/>
      <c r="D38" s="116"/>
      <c r="E38" s="116"/>
      <c r="F38" s="116"/>
      <c r="G38" s="1122"/>
      <c r="H38" s="117"/>
      <c r="I38" s="117"/>
      <c r="J38" s="117"/>
      <c r="K38" s="117"/>
      <c r="L38" s="1123"/>
    </row>
    <row r="39" spans="1:12" ht="14.25">
      <c r="A39" s="48" t="s">
        <v>116</v>
      </c>
      <c r="B39" s="49" t="s">
        <v>25</v>
      </c>
      <c r="C39" s="105" t="s">
        <v>100</v>
      </c>
      <c r="D39" s="105" t="s">
        <v>100</v>
      </c>
      <c r="E39" s="106" t="s">
        <v>100</v>
      </c>
      <c r="F39" s="106" t="s">
        <v>100</v>
      </c>
      <c r="G39" s="1102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120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98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108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98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108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98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108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1" t="s">
        <v>100</v>
      </c>
      <c r="F43" s="111" t="s">
        <v>100</v>
      </c>
      <c r="G43" s="1121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115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98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108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98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108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1" t="s">
        <v>100</v>
      </c>
      <c r="F46" s="111" t="s">
        <v>100</v>
      </c>
      <c r="G46" s="1121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115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98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108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114" t="s">
        <v>100</v>
      </c>
      <c r="E48" s="115" t="s">
        <v>100</v>
      </c>
      <c r="F48" s="115" t="s">
        <v>100</v>
      </c>
      <c r="G48" s="1118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108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122"/>
      <c r="H49" s="117"/>
      <c r="I49" s="117"/>
      <c r="J49" s="117"/>
      <c r="K49" s="117"/>
      <c r="L49" s="1123"/>
    </row>
    <row r="50" spans="1:12" ht="14.25">
      <c r="A50" s="48" t="s">
        <v>24</v>
      </c>
      <c r="B50" s="49" t="s">
        <v>28</v>
      </c>
      <c r="C50" s="105">
        <v>12055.30907120743</v>
      </c>
      <c r="D50" s="105">
        <v>12127.990391244959</v>
      </c>
      <c r="E50" s="106">
        <v>12296.415252631579</v>
      </c>
      <c r="F50" s="106">
        <v>12370.550199069858</v>
      </c>
      <c r="G50" s="1102">
        <v>-0.59928576534819411</v>
      </c>
      <c r="H50" s="107">
        <v>360.32413793103444</v>
      </c>
      <c r="I50" s="107">
        <v>6.9392055334120784</v>
      </c>
      <c r="J50" s="108">
        <v>-71.890145395799678</v>
      </c>
      <c r="K50" s="108">
        <v>1.943265579629216</v>
      </c>
      <c r="L50" s="1120">
        <v>-1.4971523839101351</v>
      </c>
    </row>
    <row r="51" spans="1:12" ht="15">
      <c r="A51" s="50" t="s">
        <v>24</v>
      </c>
      <c r="B51" s="51" t="s">
        <v>29</v>
      </c>
      <c r="C51" s="99">
        <v>11686.488235294119</v>
      </c>
      <c r="D51" s="99">
        <v>11886.331372549021</v>
      </c>
      <c r="E51" s="100">
        <v>11920.218000000001</v>
      </c>
      <c r="F51" s="100">
        <v>12124.058000000001</v>
      </c>
      <c r="G51" s="1098">
        <v>-1.6812852594403633</v>
      </c>
      <c r="H51" s="101">
        <v>330</v>
      </c>
      <c r="I51" s="101">
        <v>5.4650047938638622</v>
      </c>
      <c r="J51" s="109">
        <v>-69.811320754716974</v>
      </c>
      <c r="K51" s="109">
        <v>0.35738217556399376</v>
      </c>
      <c r="L51" s="1108">
        <v>-0.23176855809541042</v>
      </c>
    </row>
    <row r="52" spans="1:12" ht="15">
      <c r="A52" s="50" t="s">
        <v>24</v>
      </c>
      <c r="B52" s="51" t="s">
        <v>30</v>
      </c>
      <c r="C52" s="99">
        <v>12121.620588235293</v>
      </c>
      <c r="D52" s="99">
        <v>12191.874509803922</v>
      </c>
      <c r="E52" s="100">
        <v>12364.053</v>
      </c>
      <c r="F52" s="100">
        <v>12435.712</v>
      </c>
      <c r="G52" s="1098">
        <v>-0.57623560275438712</v>
      </c>
      <c r="H52" s="101">
        <v>353</v>
      </c>
      <c r="I52" s="101">
        <v>4.8411048411048441</v>
      </c>
      <c r="J52" s="109">
        <v>-75.428571428571431</v>
      </c>
      <c r="K52" s="109">
        <v>0.96046459682823315</v>
      </c>
      <c r="L52" s="1108">
        <v>-0.98484442940564854</v>
      </c>
    </row>
    <row r="53" spans="1:12" ht="15">
      <c r="A53" s="50" t="s">
        <v>24</v>
      </c>
      <c r="B53" s="51" t="s">
        <v>35</v>
      </c>
      <c r="C53" s="99">
        <v>12141.697058823531</v>
      </c>
      <c r="D53" s="99">
        <v>12136.463725490195</v>
      </c>
      <c r="E53" s="100">
        <v>12384.531000000001</v>
      </c>
      <c r="F53" s="100">
        <v>12379.192999999999</v>
      </c>
      <c r="G53" s="1098">
        <v>4.3120743008058418E-2</v>
      </c>
      <c r="H53" s="101">
        <v>388.9</v>
      </c>
      <c r="I53" s="101">
        <v>10.138770886434424</v>
      </c>
      <c r="J53" s="109">
        <v>-65.644171779141104</v>
      </c>
      <c r="K53" s="109">
        <v>0.62541880723698906</v>
      </c>
      <c r="L53" s="1108">
        <v>-0.28053939640907577</v>
      </c>
    </row>
    <row r="54" spans="1:12" ht="14.25">
      <c r="A54" s="48" t="s">
        <v>24</v>
      </c>
      <c r="B54" s="52" t="s">
        <v>31</v>
      </c>
      <c r="C54" s="110">
        <v>11205.032505050958</v>
      </c>
      <c r="D54" s="110">
        <v>11233.336256007871</v>
      </c>
      <c r="E54" s="111">
        <v>11429.133155151978</v>
      </c>
      <c r="F54" s="111">
        <v>11458.002981128029</v>
      </c>
      <c r="G54" s="1121">
        <v>-0.25196210913543576</v>
      </c>
      <c r="H54" s="112">
        <v>296.79296482412065</v>
      </c>
      <c r="I54" s="112">
        <v>0.92858272445088086</v>
      </c>
      <c r="J54" s="113">
        <v>-56.3476830271456</v>
      </c>
      <c r="K54" s="113">
        <v>17.779763234308689</v>
      </c>
      <c r="L54" s="1115">
        <v>-2.4903568190483583</v>
      </c>
    </row>
    <row r="55" spans="1:12" ht="15">
      <c r="A55" s="50" t="s">
        <v>24</v>
      </c>
      <c r="B55" s="51" t="s">
        <v>32</v>
      </c>
      <c r="C55" s="99">
        <v>11037.513725490195</v>
      </c>
      <c r="D55" s="99">
        <v>10971.106862745099</v>
      </c>
      <c r="E55" s="100">
        <v>11258.263999999999</v>
      </c>
      <c r="F55" s="100">
        <v>11190.529</v>
      </c>
      <c r="G55" s="1098">
        <v>0.60528863291448298</v>
      </c>
      <c r="H55" s="101">
        <v>275.7</v>
      </c>
      <c r="I55" s="101">
        <v>1.9977802441731325</v>
      </c>
      <c r="J55" s="109">
        <v>-47.626004382761138</v>
      </c>
      <c r="K55" s="109">
        <v>8.0075943712307343</v>
      </c>
      <c r="L55" s="1108">
        <v>0.39865706576163706</v>
      </c>
    </row>
    <row r="56" spans="1:12" ht="15">
      <c r="A56" s="50" t="s">
        <v>24</v>
      </c>
      <c r="B56" s="51" t="s">
        <v>33</v>
      </c>
      <c r="C56" s="99">
        <v>11330.903921568628</v>
      </c>
      <c r="D56" s="99">
        <v>11375.641176470588</v>
      </c>
      <c r="E56" s="100">
        <v>11557.522000000001</v>
      </c>
      <c r="F56" s="100">
        <v>11603.154</v>
      </c>
      <c r="G56" s="1098">
        <v>-0.39327238094055805</v>
      </c>
      <c r="H56" s="101">
        <v>307.8</v>
      </c>
      <c r="I56" s="101">
        <v>2.8056112224449015</v>
      </c>
      <c r="J56" s="109">
        <v>-60.225352112676056</v>
      </c>
      <c r="K56" s="109">
        <v>7.8847442483806125</v>
      </c>
      <c r="L56" s="1108">
        <v>-1.9807515275197867</v>
      </c>
    </row>
    <row r="57" spans="1:12" ht="15">
      <c r="A57" s="50" t="s">
        <v>24</v>
      </c>
      <c r="B57" s="51" t="s">
        <v>36</v>
      </c>
      <c r="C57" s="99">
        <v>11305.201960784314</v>
      </c>
      <c r="D57" s="99">
        <v>11358.475490196079</v>
      </c>
      <c r="E57" s="100">
        <v>11531.306</v>
      </c>
      <c r="F57" s="100">
        <v>11585.645</v>
      </c>
      <c r="G57" s="1098">
        <v>-0.46902006750595188</v>
      </c>
      <c r="H57" s="101">
        <v>340.3</v>
      </c>
      <c r="I57" s="101">
        <v>0.11768167107973938</v>
      </c>
      <c r="J57" s="109">
        <v>-66.401590457256461</v>
      </c>
      <c r="K57" s="109">
        <v>1.8874246146973421</v>
      </c>
      <c r="L57" s="1108">
        <v>-0.90826235729020821</v>
      </c>
    </row>
    <row r="58" spans="1:12" ht="14.25">
      <c r="A58" s="48" t="s">
        <v>24</v>
      </c>
      <c r="B58" s="52" t="s">
        <v>37</v>
      </c>
      <c r="C58" s="110">
        <v>9353.230014342902</v>
      </c>
      <c r="D58" s="110">
        <v>9728.8084829607087</v>
      </c>
      <c r="E58" s="111">
        <v>9540.29461462976</v>
      </c>
      <c r="F58" s="111">
        <v>9923.3846526199231</v>
      </c>
      <c r="G58" s="1121">
        <v>-3.8604775628547432</v>
      </c>
      <c r="H58" s="112">
        <v>226.10954907161803</v>
      </c>
      <c r="I58" s="112">
        <v>-2.1177736380567427</v>
      </c>
      <c r="J58" s="113">
        <v>-45.415057915057915</v>
      </c>
      <c r="K58" s="113">
        <v>12.631226267589904</v>
      </c>
      <c r="L58" s="1115">
        <v>1.1149968322853248</v>
      </c>
    </row>
    <row r="59" spans="1:12" ht="15">
      <c r="A59" s="50" t="s">
        <v>24</v>
      </c>
      <c r="B59" s="51" t="s">
        <v>102</v>
      </c>
      <c r="C59" s="121">
        <v>9087.5549019607843</v>
      </c>
      <c r="D59" s="121">
        <v>9445.9480392156856</v>
      </c>
      <c r="E59" s="122">
        <v>9269.3060000000005</v>
      </c>
      <c r="F59" s="122">
        <v>9634.8670000000002</v>
      </c>
      <c r="G59" s="1126">
        <v>-3.7941468211237339</v>
      </c>
      <c r="H59" s="123">
        <v>215.4</v>
      </c>
      <c r="I59" s="123">
        <v>0.18604651162790961</v>
      </c>
      <c r="J59" s="124">
        <v>-40.650406504065039</v>
      </c>
      <c r="K59" s="124">
        <v>7.3375027920482463</v>
      </c>
      <c r="L59" s="1127">
        <v>1.1847682433599402</v>
      </c>
    </row>
    <row r="60" spans="1:12" ht="15">
      <c r="A60" s="50" t="s">
        <v>24</v>
      </c>
      <c r="B60" s="51" t="s">
        <v>38</v>
      </c>
      <c r="C60" s="99">
        <v>9595.1382352941164</v>
      </c>
      <c r="D60" s="99">
        <v>9880.5705882352941</v>
      </c>
      <c r="E60" s="100">
        <v>9787.0409999999993</v>
      </c>
      <c r="F60" s="100">
        <v>10078.182000000001</v>
      </c>
      <c r="G60" s="1098">
        <v>-2.8888245915781381</v>
      </c>
      <c r="H60" s="101">
        <v>237.7</v>
      </c>
      <c r="I60" s="101">
        <v>-2.7811860940695343</v>
      </c>
      <c r="J60" s="109">
        <v>-46.301020408163261</v>
      </c>
      <c r="K60" s="109">
        <v>4.7018092472637925</v>
      </c>
      <c r="L60" s="1108">
        <v>0.34431702849989776</v>
      </c>
    </row>
    <row r="61" spans="1:12" ht="15.75" thickBot="1">
      <c r="A61" s="50" t="s">
        <v>24</v>
      </c>
      <c r="B61" s="51" t="s">
        <v>39</v>
      </c>
      <c r="C61" s="99">
        <v>10300.451960784312</v>
      </c>
      <c r="D61" s="99">
        <v>10509.888235294116</v>
      </c>
      <c r="E61" s="100">
        <v>10506.460999999999</v>
      </c>
      <c r="F61" s="100">
        <v>10720.085999999999</v>
      </c>
      <c r="G61" s="1098">
        <v>-1.9927545357378662</v>
      </c>
      <c r="H61" s="101">
        <v>266.8</v>
      </c>
      <c r="I61" s="101">
        <v>-1.3313609467455496</v>
      </c>
      <c r="J61" s="109">
        <v>-70.718232044198885</v>
      </c>
      <c r="K61" s="109">
        <v>0.59191422827786466</v>
      </c>
      <c r="L61" s="1108">
        <v>-0.41408843957451413</v>
      </c>
    </row>
    <row r="62" spans="1:12" ht="15.75" thickBot="1">
      <c r="A62" s="55"/>
      <c r="B62" s="56"/>
      <c r="C62" s="116"/>
      <c r="D62" s="116"/>
      <c r="E62" s="116"/>
      <c r="F62" s="116"/>
      <c r="G62" s="1122"/>
      <c r="H62" s="117"/>
      <c r="I62" s="117"/>
      <c r="J62" s="117"/>
      <c r="K62" s="117"/>
      <c r="L62" s="1123"/>
    </row>
    <row r="63" spans="1:12" ht="14.25">
      <c r="A63" s="48" t="s">
        <v>117</v>
      </c>
      <c r="B63" s="52" t="s">
        <v>25</v>
      </c>
      <c r="C63" s="110">
        <v>14534.053259813794</v>
      </c>
      <c r="D63" s="110">
        <v>14287.047047728935</v>
      </c>
      <c r="E63" s="111">
        <v>14824.734325010071</v>
      </c>
      <c r="F63" s="111">
        <v>14572.787988683514</v>
      </c>
      <c r="G63" s="1121">
        <v>1.728882191398142</v>
      </c>
      <c r="H63" s="112">
        <v>335.51486486486482</v>
      </c>
      <c r="I63" s="112">
        <v>-2.857316879553181E-2</v>
      </c>
      <c r="J63" s="113">
        <v>-53.164556962025308</v>
      </c>
      <c r="K63" s="113">
        <v>0.82644628099173556</v>
      </c>
      <c r="L63" s="1115">
        <v>-5.1721793708131014E-2</v>
      </c>
    </row>
    <row r="64" spans="1:12" ht="15">
      <c r="A64" s="50" t="s">
        <v>117</v>
      </c>
      <c r="B64" s="51" t="s">
        <v>26</v>
      </c>
      <c r="C64" s="99">
        <v>14844.758823529412</v>
      </c>
      <c r="D64" s="99">
        <v>14348.488235294119</v>
      </c>
      <c r="E64" s="100">
        <v>15141.654</v>
      </c>
      <c r="F64" s="100">
        <v>14635.458000000001</v>
      </c>
      <c r="G64" s="1098">
        <v>3.4586959970777813</v>
      </c>
      <c r="H64" s="101">
        <v>338.5</v>
      </c>
      <c r="I64" s="101">
        <v>-2.8415614236509694</v>
      </c>
      <c r="J64" s="109">
        <v>-27.027027027027028</v>
      </c>
      <c r="K64" s="109">
        <v>0.30154121063211975</v>
      </c>
      <c r="L64" s="1108">
        <v>9.5894256430252234E-2</v>
      </c>
    </row>
    <row r="65" spans="1:12" ht="15">
      <c r="A65" s="50" t="s">
        <v>117</v>
      </c>
      <c r="B65" s="51" t="s">
        <v>27</v>
      </c>
      <c r="C65" s="99">
        <v>14353.055882352941</v>
      </c>
      <c r="D65" s="99">
        <v>14267.311764705881</v>
      </c>
      <c r="E65" s="100">
        <v>14640.117</v>
      </c>
      <c r="F65" s="100">
        <v>14552.657999999999</v>
      </c>
      <c r="G65" s="1098">
        <v>0.60098299568368019</v>
      </c>
      <c r="H65" s="101">
        <v>333.8</v>
      </c>
      <c r="I65" s="101">
        <v>0.63310220078384771</v>
      </c>
      <c r="J65" s="109">
        <v>-61.157024793388423</v>
      </c>
      <c r="K65" s="109">
        <v>0.52490507035961576</v>
      </c>
      <c r="L65" s="1108">
        <v>-0.14761605013838341</v>
      </c>
    </row>
    <row r="66" spans="1:12" ht="14.25">
      <c r="A66" s="48" t="s">
        <v>117</v>
      </c>
      <c r="B66" s="52" t="s">
        <v>28</v>
      </c>
      <c r="C66" s="110">
        <v>13733.837959560295</v>
      </c>
      <c r="D66" s="110">
        <v>13935.189274713086</v>
      </c>
      <c r="E66" s="111">
        <v>14008.514718751501</v>
      </c>
      <c r="F66" s="111">
        <v>14213.893060207349</v>
      </c>
      <c r="G66" s="1121">
        <v>-1.444912668091028</v>
      </c>
      <c r="H66" s="112">
        <v>311.73238380809596</v>
      </c>
      <c r="I66" s="112">
        <v>3.5076176678812834</v>
      </c>
      <c r="J66" s="113">
        <v>-48.573631457208947</v>
      </c>
      <c r="K66" s="113">
        <v>7.449184721911994</v>
      </c>
      <c r="L66" s="1115">
        <v>0.24042527326815133</v>
      </c>
    </row>
    <row r="67" spans="1:12" ht="15">
      <c r="A67" s="50" t="s">
        <v>117</v>
      </c>
      <c r="B67" s="51" t="s">
        <v>29</v>
      </c>
      <c r="C67" s="99">
        <v>13541.689215686274</v>
      </c>
      <c r="D67" s="99">
        <v>13879.150980392156</v>
      </c>
      <c r="E67" s="100">
        <v>13812.522999999999</v>
      </c>
      <c r="F67" s="100">
        <v>14156.734</v>
      </c>
      <c r="G67" s="1098">
        <v>-2.4314294525841986</v>
      </c>
      <c r="H67" s="101">
        <v>295.10000000000002</v>
      </c>
      <c r="I67" s="101">
        <v>4.9804340092493771</v>
      </c>
      <c r="J67" s="109">
        <v>-52.884615384615387</v>
      </c>
      <c r="K67" s="109">
        <v>1.0944829126647309</v>
      </c>
      <c r="L67" s="1108">
        <v>-6.1586451497118722E-2</v>
      </c>
    </row>
    <row r="68" spans="1:12" ht="15">
      <c r="A68" s="50" t="s">
        <v>117</v>
      </c>
      <c r="B68" s="51" t="s">
        <v>30</v>
      </c>
      <c r="C68" s="99">
        <v>13710.589215686274</v>
      </c>
      <c r="D68" s="99">
        <v>14017.399019607843</v>
      </c>
      <c r="E68" s="100">
        <v>13984.800999999999</v>
      </c>
      <c r="F68" s="100">
        <v>14297.746999999999</v>
      </c>
      <c r="G68" s="1098">
        <v>-2.188778413829815</v>
      </c>
      <c r="H68" s="101">
        <v>304.5</v>
      </c>
      <c r="I68" s="101">
        <v>1.9076305220883494</v>
      </c>
      <c r="J68" s="109">
        <v>-52.589641434262944</v>
      </c>
      <c r="K68" s="109">
        <v>3.9870448961358051</v>
      </c>
      <c r="L68" s="1108">
        <v>-0.19814852316166087</v>
      </c>
    </row>
    <row r="69" spans="1:12" ht="15">
      <c r="A69" s="50" t="s">
        <v>117</v>
      </c>
      <c r="B69" s="51" t="s">
        <v>35</v>
      </c>
      <c r="C69" s="99">
        <v>13848.835294117647</v>
      </c>
      <c r="D69" s="99">
        <v>13793.12450980392</v>
      </c>
      <c r="E69" s="100">
        <v>14125.812</v>
      </c>
      <c r="F69" s="100">
        <v>14068.986999999999</v>
      </c>
      <c r="G69" s="1098">
        <v>0.40390256953113068</v>
      </c>
      <c r="H69" s="101">
        <v>331.6</v>
      </c>
      <c r="I69" s="101">
        <v>3.9824396362496226</v>
      </c>
      <c r="J69" s="109">
        <v>-36.904761904761905</v>
      </c>
      <c r="K69" s="109">
        <v>2.3676569131114586</v>
      </c>
      <c r="L69" s="1108">
        <v>0.50016024792693226</v>
      </c>
    </row>
    <row r="70" spans="1:12" ht="14.25">
      <c r="A70" s="48" t="s">
        <v>117</v>
      </c>
      <c r="B70" s="52" t="s">
        <v>31</v>
      </c>
      <c r="C70" s="110">
        <v>12720.648472706445</v>
      </c>
      <c r="D70" s="110">
        <v>12934.780779644607</v>
      </c>
      <c r="E70" s="111">
        <v>12975.061442160575</v>
      </c>
      <c r="F70" s="111">
        <v>13193.4763952375</v>
      </c>
      <c r="G70" s="1121">
        <v>-1.6554768927753316</v>
      </c>
      <c r="H70" s="112">
        <v>271.25370581527937</v>
      </c>
      <c r="I70" s="112">
        <v>1.7031259115318678</v>
      </c>
      <c r="J70" s="113">
        <v>-51.520176893311223</v>
      </c>
      <c r="K70" s="113">
        <v>9.7945052490507045</v>
      </c>
      <c r="L70" s="1115">
        <v>-0.25996340368384274</v>
      </c>
    </row>
    <row r="71" spans="1:12" ht="15">
      <c r="A71" s="50" t="s">
        <v>117</v>
      </c>
      <c r="B71" s="51" t="s">
        <v>32</v>
      </c>
      <c r="C71" s="99">
        <v>12412.141176470588</v>
      </c>
      <c r="D71" s="99">
        <v>12810.456862745097</v>
      </c>
      <c r="E71" s="100">
        <v>12660.384</v>
      </c>
      <c r="F71" s="100">
        <v>13066.665999999999</v>
      </c>
      <c r="G71" s="1098">
        <v>-3.109301179045973</v>
      </c>
      <c r="H71" s="101">
        <v>248.9</v>
      </c>
      <c r="I71" s="101">
        <v>2.3016851623510046</v>
      </c>
      <c r="J71" s="109">
        <v>-49.168207024029577</v>
      </c>
      <c r="K71" s="109">
        <v>3.0712530712530715</v>
      </c>
      <c r="L71" s="1108">
        <v>6.4361119274414236E-2</v>
      </c>
    </row>
    <row r="72" spans="1:12" ht="15">
      <c r="A72" s="50" t="s">
        <v>117</v>
      </c>
      <c r="B72" s="51" t="s">
        <v>33</v>
      </c>
      <c r="C72" s="99">
        <v>12851.132352941177</v>
      </c>
      <c r="D72" s="99">
        <v>13010.589215686274</v>
      </c>
      <c r="E72" s="100">
        <v>13108.155000000001</v>
      </c>
      <c r="F72" s="100">
        <v>13270.800999999999</v>
      </c>
      <c r="G72" s="1098">
        <v>-1.225592938964263</v>
      </c>
      <c r="H72" s="101">
        <v>275.5</v>
      </c>
      <c r="I72" s="101">
        <v>1.6980435585086833</v>
      </c>
      <c r="J72" s="101">
        <v>-46.611053180396247</v>
      </c>
      <c r="K72" s="101">
        <v>5.7181148090239002</v>
      </c>
      <c r="L72" s="1099">
        <v>0.38796807714306425</v>
      </c>
    </row>
    <row r="73" spans="1:12" ht="15.75" thickBot="1">
      <c r="A73" s="60" t="s">
        <v>117</v>
      </c>
      <c r="B73" s="61" t="s">
        <v>36</v>
      </c>
      <c r="C73" s="102">
        <v>12816.303921568626</v>
      </c>
      <c r="D73" s="102">
        <v>12898.227450980392</v>
      </c>
      <c r="E73" s="103">
        <v>13072.63</v>
      </c>
      <c r="F73" s="103">
        <v>13156.191999999999</v>
      </c>
      <c r="G73" s="1100">
        <v>-0.63515339393040104</v>
      </c>
      <c r="H73" s="104">
        <v>315.39999999999998</v>
      </c>
      <c r="I73" s="104">
        <v>7.024092297251439</v>
      </c>
      <c r="J73" s="104">
        <v>-70.873786407766985</v>
      </c>
      <c r="K73" s="104">
        <v>1.0051373687737324</v>
      </c>
      <c r="L73" s="1101">
        <v>-0.71229260010132323</v>
      </c>
    </row>
    <row r="74" spans="1:12">
      <c r="A74" s="4"/>
      <c r="B74" s="4"/>
      <c r="C74" s="738"/>
      <c r="D74" s="738"/>
      <c r="E74" s="738"/>
      <c r="F74" s="738"/>
      <c r="G74" s="739"/>
      <c r="H74" s="739"/>
      <c r="I74" s="739"/>
      <c r="J74" s="739"/>
      <c r="K74" s="739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30"/>
    </row>
    <row r="76" spans="1:12" ht="21" thickBot="1">
      <c r="A76" s="28" t="s">
        <v>344</v>
      </c>
      <c r="B76" s="29"/>
      <c r="C76" s="29"/>
      <c r="D76" s="29"/>
      <c r="E76" s="29"/>
      <c r="F76" s="29"/>
      <c r="G76" s="915"/>
      <c r="H76" s="915"/>
      <c r="I76" s="915"/>
      <c r="J76" s="915"/>
      <c r="K76" s="915"/>
      <c r="L76" s="1031"/>
    </row>
    <row r="77" spans="1:12">
      <c r="A77" s="30"/>
      <c r="B77" s="31"/>
      <c r="C77" s="3" t="s">
        <v>9</v>
      </c>
      <c r="D77" s="3" t="s">
        <v>9</v>
      </c>
      <c r="E77" s="3"/>
      <c r="F77" s="3"/>
      <c r="G77" s="1027"/>
      <c r="H77" s="1161" t="s">
        <v>10</v>
      </c>
      <c r="I77" s="1162"/>
      <c r="J77" s="980" t="s">
        <v>11</v>
      </c>
      <c r="K77" s="32" t="s">
        <v>12</v>
      </c>
      <c r="L77" s="1028"/>
    </row>
    <row r="78" spans="1:12" ht="15.75">
      <c r="A78" s="33" t="s">
        <v>13</v>
      </c>
      <c r="B78" s="34" t="s">
        <v>14</v>
      </c>
      <c r="C78" s="709" t="s">
        <v>40</v>
      </c>
      <c r="D78" s="709" t="s">
        <v>40</v>
      </c>
      <c r="E78" s="710" t="s">
        <v>41</v>
      </c>
      <c r="F78" s="711"/>
      <c r="G78" s="1086"/>
      <c r="H78" s="1163" t="s">
        <v>15</v>
      </c>
      <c r="I78" s="1164"/>
      <c r="J78" s="981" t="s">
        <v>16</v>
      </c>
      <c r="K78" s="86" t="s">
        <v>17</v>
      </c>
      <c r="L78" s="1029"/>
    </row>
    <row r="79" spans="1:12" ht="26.25" thickBot="1">
      <c r="A79" s="35" t="s">
        <v>18</v>
      </c>
      <c r="B79" s="36" t="s">
        <v>19</v>
      </c>
      <c r="C79" s="719" t="s">
        <v>375</v>
      </c>
      <c r="D79" s="719" t="s">
        <v>377</v>
      </c>
      <c r="E79" s="913" t="s">
        <v>375</v>
      </c>
      <c r="F79" s="914" t="s">
        <v>377</v>
      </c>
      <c r="G79" s="1085" t="s">
        <v>20</v>
      </c>
      <c r="H79" s="85" t="s">
        <v>375</v>
      </c>
      <c r="I79" s="1087" t="s">
        <v>20</v>
      </c>
      <c r="J79" s="1088" t="s">
        <v>20</v>
      </c>
      <c r="K79" s="720" t="s">
        <v>375</v>
      </c>
      <c r="L79" s="1089" t="s">
        <v>21</v>
      </c>
    </row>
    <row r="80" spans="1:12" ht="15" thickBot="1">
      <c r="A80" s="37" t="s">
        <v>22</v>
      </c>
      <c r="B80" s="38" t="s">
        <v>23</v>
      </c>
      <c r="C80" s="87">
        <v>13082.442940305904</v>
      </c>
      <c r="D80" s="87">
        <v>13094.127228754876</v>
      </c>
      <c r="E80" s="88">
        <v>13344.091799112022</v>
      </c>
      <c r="F80" s="718">
        <v>13356.009773329974</v>
      </c>
      <c r="G80" s="1090">
        <v>-8.9233045050249551E-2</v>
      </c>
      <c r="H80" s="89">
        <v>325.24321895424839</v>
      </c>
      <c r="I80" s="89">
        <v>1.9047057821827806</v>
      </c>
      <c r="J80" s="90">
        <v>-45.302200871411017</v>
      </c>
      <c r="K80" s="89">
        <v>100</v>
      </c>
      <c r="L80" s="1091" t="s">
        <v>23</v>
      </c>
    </row>
    <row r="81" spans="1:12" ht="15" thickBot="1">
      <c r="A81" s="39"/>
      <c r="B81" s="40"/>
      <c r="C81" s="91"/>
      <c r="D81" s="91"/>
      <c r="E81" s="91"/>
      <c r="F81" s="91"/>
      <c r="G81" s="1092"/>
      <c r="H81" s="90"/>
      <c r="I81" s="90"/>
      <c r="J81" s="90"/>
      <c r="K81" s="90"/>
      <c r="L81" s="1093"/>
    </row>
    <row r="82" spans="1:12" ht="15">
      <c r="A82" s="41" t="s">
        <v>108</v>
      </c>
      <c r="B82" s="42" t="s">
        <v>23</v>
      </c>
      <c r="C82" s="92">
        <v>12252.450980392156</v>
      </c>
      <c r="D82" s="92">
        <v>12050.016938502673</v>
      </c>
      <c r="E82" s="93">
        <v>12497.499999999998</v>
      </c>
      <c r="F82" s="93">
        <v>12291.017277272727</v>
      </c>
      <c r="G82" s="1094">
        <v>1.679948193621672</v>
      </c>
      <c r="H82" s="94">
        <v>240</v>
      </c>
      <c r="I82" s="94">
        <v>-1.827106626670292</v>
      </c>
      <c r="J82" s="94">
        <v>-77.777777777777786</v>
      </c>
      <c r="K82" s="94">
        <v>4.084967320261438E-2</v>
      </c>
      <c r="L82" s="1095">
        <v>-5.9697751666115371E-2</v>
      </c>
    </row>
    <row r="83" spans="1:12" ht="15">
      <c r="A83" s="50" t="s">
        <v>109</v>
      </c>
      <c r="B83" s="95" t="s">
        <v>23</v>
      </c>
      <c r="C83" s="96">
        <v>13964.401941991822</v>
      </c>
      <c r="D83" s="96">
        <v>13974.211320836623</v>
      </c>
      <c r="E83" s="97">
        <v>14243.689980831659</v>
      </c>
      <c r="F83" s="97">
        <v>14253.695547253355</v>
      </c>
      <c r="G83" s="1096">
        <v>-7.0196296732493169E-2</v>
      </c>
      <c r="H83" s="98">
        <v>356.21847408829177</v>
      </c>
      <c r="I83" s="98">
        <v>1.2550381317319506</v>
      </c>
      <c r="J83" s="98">
        <v>-38.633686690223797</v>
      </c>
      <c r="K83" s="98">
        <v>42.565359477124183</v>
      </c>
      <c r="L83" s="1097">
        <v>4.6254644933234914</v>
      </c>
    </row>
    <row r="84" spans="1:12" ht="15">
      <c r="A84" s="43" t="s">
        <v>110</v>
      </c>
      <c r="B84" s="44" t="s">
        <v>23</v>
      </c>
      <c r="C84" s="99">
        <v>13787.299328702469</v>
      </c>
      <c r="D84" s="99">
        <v>13724.952298960188</v>
      </c>
      <c r="E84" s="100">
        <v>14063.045315276519</v>
      </c>
      <c r="F84" s="100">
        <v>13999.451344939393</v>
      </c>
      <c r="G84" s="1098">
        <v>0.4542604475718563</v>
      </c>
      <c r="H84" s="101">
        <v>398.9569620253165</v>
      </c>
      <c r="I84" s="101">
        <v>2.2879824024764415</v>
      </c>
      <c r="J84" s="101">
        <v>-46.206225680933855</v>
      </c>
      <c r="K84" s="101">
        <v>11.294934640522875</v>
      </c>
      <c r="L84" s="1099">
        <v>-0.18981566670536765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98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99" t="s">
        <v>100</v>
      </c>
    </row>
    <row r="86" spans="1:12" ht="15">
      <c r="A86" s="43" t="s">
        <v>98</v>
      </c>
      <c r="B86" s="44" t="s">
        <v>23</v>
      </c>
      <c r="C86" s="99">
        <v>10686.2083441703</v>
      </c>
      <c r="D86" s="99">
        <v>10941.238118439025</v>
      </c>
      <c r="E86" s="100">
        <v>10899.932511053707</v>
      </c>
      <c r="F86" s="100">
        <v>11160.062880807805</v>
      </c>
      <c r="G86" s="1098">
        <v>-2.3309041582682344</v>
      </c>
      <c r="H86" s="101">
        <v>270.19801616458489</v>
      </c>
      <c r="I86" s="101">
        <v>-1.1565711750465593</v>
      </c>
      <c r="J86" s="101">
        <v>-49.573916265283444</v>
      </c>
      <c r="K86" s="101">
        <v>27.798202614379086</v>
      </c>
      <c r="L86" s="1099">
        <v>-2.3548529101433111</v>
      </c>
    </row>
    <row r="87" spans="1:12" ht="15.75" thickBot="1">
      <c r="A87" s="45" t="s">
        <v>112</v>
      </c>
      <c r="B87" s="46" t="s">
        <v>23</v>
      </c>
      <c r="C87" s="102">
        <v>13355.750412194127</v>
      </c>
      <c r="D87" s="102">
        <v>13643.492612887969</v>
      </c>
      <c r="E87" s="103">
        <v>13622.865420438011</v>
      </c>
      <c r="F87" s="103">
        <v>13916.362465145728</v>
      </c>
      <c r="G87" s="1100">
        <v>-2.1090069006379832</v>
      </c>
      <c r="H87" s="104">
        <v>291.50535714285712</v>
      </c>
      <c r="I87" s="104">
        <v>1.7434197343662268</v>
      </c>
      <c r="J87" s="104">
        <v>-50.742166025288618</v>
      </c>
      <c r="K87" s="104">
        <v>18.300653594771241</v>
      </c>
      <c r="L87" s="1101">
        <v>-2.021098164808695</v>
      </c>
    </row>
    <row r="88" spans="1:12" ht="15" thickBot="1">
      <c r="A88" s="39"/>
      <c r="B88" s="47"/>
      <c r="C88" s="91"/>
      <c r="D88" s="91"/>
      <c r="E88" s="91"/>
      <c r="F88" s="91"/>
      <c r="G88" s="1092"/>
      <c r="H88" s="90"/>
      <c r="I88" s="90"/>
      <c r="J88" s="90"/>
      <c r="K88" s="90"/>
      <c r="L88" s="1093"/>
    </row>
    <row r="89" spans="1:12" ht="14.25">
      <c r="A89" s="48" t="s">
        <v>113</v>
      </c>
      <c r="B89" s="49" t="s">
        <v>25</v>
      </c>
      <c r="C89" s="105" t="s">
        <v>100</v>
      </c>
      <c r="D89" s="105" t="s">
        <v>257</v>
      </c>
      <c r="E89" s="106" t="s">
        <v>100</v>
      </c>
      <c r="F89" s="106">
        <v>14733.55</v>
      </c>
      <c r="G89" s="1102" t="s">
        <v>100</v>
      </c>
      <c r="H89" s="107" t="s">
        <v>100</v>
      </c>
      <c r="I89" s="107" t="s">
        <v>100</v>
      </c>
      <c r="J89" s="108" t="s">
        <v>100</v>
      </c>
      <c r="K89" s="108" t="s">
        <v>100</v>
      </c>
      <c r="L89" s="1120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257</v>
      </c>
      <c r="E90" s="100" t="s">
        <v>100</v>
      </c>
      <c r="F90" s="100">
        <v>14733.55</v>
      </c>
      <c r="G90" s="1098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108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98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108" t="s">
        <v>100</v>
      </c>
    </row>
    <row r="92" spans="1:12" ht="14.25">
      <c r="A92" s="48" t="s">
        <v>113</v>
      </c>
      <c r="B92" s="52" t="s">
        <v>28</v>
      </c>
      <c r="C92" s="1128" t="s">
        <v>100</v>
      </c>
      <c r="D92" s="110" t="s">
        <v>100</v>
      </c>
      <c r="E92" s="1109" t="s">
        <v>100</v>
      </c>
      <c r="F92" s="111" t="s">
        <v>100</v>
      </c>
      <c r="G92" s="1121" t="s">
        <v>100</v>
      </c>
      <c r="H92" s="1129" t="s">
        <v>100</v>
      </c>
      <c r="I92" s="112" t="s">
        <v>100</v>
      </c>
      <c r="J92" s="113" t="s">
        <v>100</v>
      </c>
      <c r="K92" s="113" t="s">
        <v>100</v>
      </c>
      <c r="L92" s="1115" t="s">
        <v>100</v>
      </c>
    </row>
    <row r="93" spans="1:12" ht="15">
      <c r="A93" s="50" t="s">
        <v>113</v>
      </c>
      <c r="B93" s="51" t="s">
        <v>29</v>
      </c>
      <c r="C93" s="99" t="s">
        <v>100</v>
      </c>
      <c r="D93" s="99" t="s">
        <v>100</v>
      </c>
      <c r="E93" s="100" t="s">
        <v>100</v>
      </c>
      <c r="F93" s="100" t="s">
        <v>100</v>
      </c>
      <c r="G93" s="1098" t="s">
        <v>100</v>
      </c>
      <c r="H93" s="101" t="s">
        <v>100</v>
      </c>
      <c r="I93" s="101" t="s">
        <v>100</v>
      </c>
      <c r="J93" s="109" t="s">
        <v>100</v>
      </c>
      <c r="K93" s="109" t="s">
        <v>100</v>
      </c>
      <c r="L93" s="1108" t="s">
        <v>100</v>
      </c>
    </row>
    <row r="94" spans="1:12" ht="15">
      <c r="A94" s="50" t="s">
        <v>113</v>
      </c>
      <c r="B94" s="51" t="s">
        <v>30</v>
      </c>
      <c r="C94" s="99" t="s">
        <v>257</v>
      </c>
      <c r="D94" s="99" t="s">
        <v>100</v>
      </c>
      <c r="E94" s="100" t="s">
        <v>257</v>
      </c>
      <c r="F94" s="100" t="s">
        <v>100</v>
      </c>
      <c r="G94" s="1098" t="s">
        <v>100</v>
      </c>
      <c r="H94" s="101" t="s">
        <v>257</v>
      </c>
      <c r="I94" s="101" t="s">
        <v>100</v>
      </c>
      <c r="J94" s="109" t="s">
        <v>100</v>
      </c>
      <c r="K94" s="109" t="s">
        <v>257</v>
      </c>
      <c r="L94" s="1108" t="s">
        <v>100</v>
      </c>
    </row>
    <row r="95" spans="1:12" ht="14.25">
      <c r="A95" s="48" t="s">
        <v>113</v>
      </c>
      <c r="B95" s="52" t="s">
        <v>31</v>
      </c>
      <c r="C95" s="1128" t="s">
        <v>100</v>
      </c>
      <c r="D95" s="110">
        <v>11657.245310716879</v>
      </c>
      <c r="E95" s="1109" t="s">
        <v>100</v>
      </c>
      <c r="F95" s="111">
        <v>11890.390216931217</v>
      </c>
      <c r="G95" s="1121" t="s">
        <v>100</v>
      </c>
      <c r="H95" s="112" t="s">
        <v>100</v>
      </c>
      <c r="I95" s="112" t="s">
        <v>100</v>
      </c>
      <c r="J95" s="113" t="s">
        <v>100</v>
      </c>
      <c r="K95" s="113" t="s">
        <v>100</v>
      </c>
      <c r="L95" s="1115" t="s">
        <v>100</v>
      </c>
    </row>
    <row r="96" spans="1:12" ht="15">
      <c r="A96" s="50" t="s">
        <v>113</v>
      </c>
      <c r="B96" s="51" t="s">
        <v>32</v>
      </c>
      <c r="C96" s="99" t="s">
        <v>257</v>
      </c>
      <c r="D96" s="99">
        <v>11407.302941176471</v>
      </c>
      <c r="E96" s="100" t="s">
        <v>257</v>
      </c>
      <c r="F96" s="100">
        <v>11635.449000000001</v>
      </c>
      <c r="G96" s="1098" t="s">
        <v>100</v>
      </c>
      <c r="H96" s="101" t="s">
        <v>257</v>
      </c>
      <c r="I96" s="101" t="s">
        <v>100</v>
      </c>
      <c r="J96" s="109" t="s">
        <v>100</v>
      </c>
      <c r="K96" s="109" t="s">
        <v>257</v>
      </c>
      <c r="L96" s="1108" t="s">
        <v>100</v>
      </c>
    </row>
    <row r="97" spans="1:12" ht="15.75" thickBot="1">
      <c r="A97" s="53" t="s">
        <v>113</v>
      </c>
      <c r="B97" s="54" t="s">
        <v>33</v>
      </c>
      <c r="C97" s="114" t="s">
        <v>100</v>
      </c>
      <c r="D97" s="114" t="s">
        <v>257</v>
      </c>
      <c r="E97" s="115" t="s">
        <v>100</v>
      </c>
      <c r="F97" s="115" t="s">
        <v>257</v>
      </c>
      <c r="G97" s="1118" t="s">
        <v>100</v>
      </c>
      <c r="H97" s="109" t="s">
        <v>100</v>
      </c>
      <c r="I97" s="109" t="s">
        <v>100</v>
      </c>
      <c r="J97" s="109" t="s">
        <v>100</v>
      </c>
      <c r="K97" s="109" t="s">
        <v>100</v>
      </c>
      <c r="L97" s="1108" t="s">
        <v>100</v>
      </c>
    </row>
    <row r="98" spans="1:12" ht="15" thickBot="1">
      <c r="A98" s="39"/>
      <c r="B98" s="47"/>
      <c r="C98" s="91"/>
      <c r="D98" s="91"/>
      <c r="E98" s="91"/>
      <c r="F98" s="91"/>
      <c r="G98" s="1092"/>
      <c r="H98" s="90"/>
      <c r="I98" s="90"/>
      <c r="J98" s="90"/>
      <c r="K98" s="90"/>
      <c r="L98" s="1093"/>
    </row>
    <row r="99" spans="1:12" ht="14.25">
      <c r="A99" s="48" t="s">
        <v>114</v>
      </c>
      <c r="B99" s="49" t="s">
        <v>25</v>
      </c>
      <c r="C99" s="105">
        <v>14415.936180352011</v>
      </c>
      <c r="D99" s="105">
        <v>14489.881346951781</v>
      </c>
      <c r="E99" s="106">
        <v>14704.254903959052</v>
      </c>
      <c r="F99" s="106">
        <v>14779.678973890817</v>
      </c>
      <c r="G99" s="1102">
        <v>-0.51032278891176386</v>
      </c>
      <c r="H99" s="107">
        <v>420.44936708860757</v>
      </c>
      <c r="I99" s="107">
        <v>3.2432173538863638</v>
      </c>
      <c r="J99" s="108">
        <v>-41.263940520446099</v>
      </c>
      <c r="K99" s="108">
        <v>3.2271241830065365</v>
      </c>
      <c r="L99" s="1120">
        <v>0.2218733730411695</v>
      </c>
    </row>
    <row r="100" spans="1:12" ht="15">
      <c r="A100" s="50" t="s">
        <v>114</v>
      </c>
      <c r="B100" s="51" t="s">
        <v>26</v>
      </c>
      <c r="C100" s="99">
        <v>14515.072549019607</v>
      </c>
      <c r="D100" s="99">
        <v>14571.311764705881</v>
      </c>
      <c r="E100" s="100">
        <v>14805.374</v>
      </c>
      <c r="F100" s="100">
        <v>14862.737999999999</v>
      </c>
      <c r="G100" s="1098">
        <v>-0.38595849566883023</v>
      </c>
      <c r="H100" s="101">
        <v>401.2</v>
      </c>
      <c r="I100" s="101">
        <v>9.9800399201591145E-2</v>
      </c>
      <c r="J100" s="109">
        <v>-45.806451612903224</v>
      </c>
      <c r="K100" s="109">
        <v>1.715686274509804</v>
      </c>
      <c r="L100" s="1108">
        <v>-1.596382045165301E-2</v>
      </c>
    </row>
    <row r="101" spans="1:12" ht="15">
      <c r="A101" s="50" t="s">
        <v>114</v>
      </c>
      <c r="B101" s="51" t="s">
        <v>27</v>
      </c>
      <c r="C101" s="99">
        <v>14313.861764705882</v>
      </c>
      <c r="D101" s="99">
        <v>14383.207843137254</v>
      </c>
      <c r="E101" s="100">
        <v>14600.138999999999</v>
      </c>
      <c r="F101" s="100">
        <v>14670.871999999999</v>
      </c>
      <c r="G101" s="1098">
        <v>-0.48213221409061557</v>
      </c>
      <c r="H101" s="101">
        <v>442.3</v>
      </c>
      <c r="I101" s="101">
        <v>6.3221153846153868</v>
      </c>
      <c r="J101" s="109">
        <v>-35.087719298245609</v>
      </c>
      <c r="K101" s="109">
        <v>1.511437908496732</v>
      </c>
      <c r="L101" s="1108">
        <v>0.23783719349282184</v>
      </c>
    </row>
    <row r="102" spans="1:12" ht="14.25">
      <c r="A102" s="48" t="s">
        <v>114</v>
      </c>
      <c r="B102" s="52" t="s">
        <v>28</v>
      </c>
      <c r="C102" s="110">
        <v>14197.354117065035</v>
      </c>
      <c r="D102" s="110">
        <v>14107.35468218811</v>
      </c>
      <c r="E102" s="111">
        <v>14481.301199406336</v>
      </c>
      <c r="F102" s="111">
        <v>14389.501775831872</v>
      </c>
      <c r="G102" s="1121">
        <v>0.63796109833801051</v>
      </c>
      <c r="H102" s="112">
        <v>380.08377125193203</v>
      </c>
      <c r="I102" s="112">
        <v>4.2301008124812212</v>
      </c>
      <c r="J102" s="113">
        <v>-43.394575678040241</v>
      </c>
      <c r="K102" s="113">
        <v>13.214869281045752</v>
      </c>
      <c r="L102" s="1115">
        <v>0.44534632271707508</v>
      </c>
    </row>
    <row r="103" spans="1:12" ht="15">
      <c r="A103" s="50" t="s">
        <v>114</v>
      </c>
      <c r="B103" s="51" t="s">
        <v>29</v>
      </c>
      <c r="C103" s="99">
        <v>14361.538235294118</v>
      </c>
      <c r="D103" s="99">
        <v>14269.750980392157</v>
      </c>
      <c r="E103" s="100">
        <v>14648.769</v>
      </c>
      <c r="F103" s="100">
        <v>14555.146000000001</v>
      </c>
      <c r="G103" s="1098">
        <v>0.64322954919174014</v>
      </c>
      <c r="H103" s="101">
        <v>369.2</v>
      </c>
      <c r="I103" s="101">
        <v>3.2149846239865809</v>
      </c>
      <c r="J103" s="109">
        <v>-42.526964560862865</v>
      </c>
      <c r="K103" s="109">
        <v>7.6184640522875826</v>
      </c>
      <c r="L103" s="1108">
        <v>0.3678775256425153</v>
      </c>
    </row>
    <row r="104" spans="1:12" ht="15">
      <c r="A104" s="50" t="s">
        <v>114</v>
      </c>
      <c r="B104" s="51" t="s">
        <v>30</v>
      </c>
      <c r="C104" s="99">
        <v>13988.360784313725</v>
      </c>
      <c r="D104" s="99">
        <v>13903.176470588234</v>
      </c>
      <c r="E104" s="100">
        <v>14268.128000000001</v>
      </c>
      <c r="F104" s="100">
        <v>14181.24</v>
      </c>
      <c r="G104" s="1098">
        <v>0.6126967740479734</v>
      </c>
      <c r="H104" s="101">
        <v>394.9</v>
      </c>
      <c r="I104" s="101">
        <v>5.6447298020331633</v>
      </c>
      <c r="J104" s="109">
        <v>-44.534412955465584</v>
      </c>
      <c r="K104" s="109">
        <v>5.5964052287581705</v>
      </c>
      <c r="L104" s="1108">
        <v>7.7468797074559781E-2</v>
      </c>
    </row>
    <row r="105" spans="1:12" ht="14.25">
      <c r="A105" s="48" t="s">
        <v>114</v>
      </c>
      <c r="B105" s="52" t="s">
        <v>31</v>
      </c>
      <c r="C105" s="110">
        <v>13761.417481467599</v>
      </c>
      <c r="D105" s="110">
        <v>13806.659938388844</v>
      </c>
      <c r="E105" s="111">
        <v>14036.645831096952</v>
      </c>
      <c r="F105" s="111">
        <v>14082.793137156621</v>
      </c>
      <c r="G105" s="1121">
        <v>-0.32768574820510649</v>
      </c>
      <c r="H105" s="112">
        <v>336.21118060985145</v>
      </c>
      <c r="I105" s="112">
        <v>-0.19872455157473962</v>
      </c>
      <c r="J105" s="113">
        <v>-35.534274193548384</v>
      </c>
      <c r="K105" s="113">
        <v>26.123366013071898</v>
      </c>
      <c r="L105" s="1115">
        <v>3.9582447975652499</v>
      </c>
    </row>
    <row r="106" spans="1:12" ht="15">
      <c r="A106" s="50" t="s">
        <v>114</v>
      </c>
      <c r="B106" s="51" t="s">
        <v>32</v>
      </c>
      <c r="C106" s="99">
        <v>13831.991176470587</v>
      </c>
      <c r="D106" s="99">
        <v>13924.341176470587</v>
      </c>
      <c r="E106" s="100">
        <v>14108.630999999999</v>
      </c>
      <c r="F106" s="100">
        <v>14202.828</v>
      </c>
      <c r="G106" s="1098">
        <v>-0.6632270699891607</v>
      </c>
      <c r="H106" s="101">
        <v>328.3</v>
      </c>
      <c r="I106" s="101">
        <v>-3.0450669914727741E-2</v>
      </c>
      <c r="J106" s="109">
        <v>-29.140624999999996</v>
      </c>
      <c r="K106" s="109">
        <v>18.52532679738562</v>
      </c>
      <c r="L106" s="1108">
        <v>4.2252485938329443</v>
      </c>
    </row>
    <row r="107" spans="1:12" ht="15.75" thickBot="1">
      <c r="A107" s="53" t="s">
        <v>114</v>
      </c>
      <c r="B107" s="54" t="s">
        <v>33</v>
      </c>
      <c r="C107" s="114">
        <v>13602.503921568627</v>
      </c>
      <c r="D107" s="114">
        <v>13607.177450980393</v>
      </c>
      <c r="E107" s="115">
        <v>13874.554</v>
      </c>
      <c r="F107" s="115">
        <v>13879.321</v>
      </c>
      <c r="G107" s="1118">
        <v>-3.4346060588985768E-2</v>
      </c>
      <c r="H107" s="109">
        <v>355.5</v>
      </c>
      <c r="I107" s="109">
        <v>0.90831677547544376</v>
      </c>
      <c r="J107" s="109">
        <v>-47.159090909090914</v>
      </c>
      <c r="K107" s="109">
        <v>7.5980392156862742</v>
      </c>
      <c r="L107" s="1108">
        <v>-0.26700379626769788</v>
      </c>
    </row>
    <row r="108" spans="1:12" ht="15.75" thickBot="1">
      <c r="A108" s="55"/>
      <c r="B108" s="56"/>
      <c r="C108" s="116"/>
      <c r="D108" s="116"/>
      <c r="E108" s="116"/>
      <c r="F108" s="116"/>
      <c r="G108" s="1122"/>
      <c r="H108" s="117"/>
      <c r="I108" s="117"/>
      <c r="J108" s="117"/>
      <c r="K108" s="117"/>
      <c r="L108" s="1123"/>
    </row>
    <row r="109" spans="1:12" ht="15">
      <c r="A109" s="50" t="s">
        <v>115</v>
      </c>
      <c r="B109" s="57" t="s">
        <v>30</v>
      </c>
      <c r="C109" s="118">
        <v>14093.723529411764</v>
      </c>
      <c r="D109" s="118">
        <v>13912.98725490196</v>
      </c>
      <c r="E109" s="119">
        <v>14375.598</v>
      </c>
      <c r="F109" s="119">
        <v>14191.246999999999</v>
      </c>
      <c r="G109" s="1124">
        <v>1.2990472225590928</v>
      </c>
      <c r="H109" s="120">
        <v>425.8</v>
      </c>
      <c r="I109" s="120">
        <v>5.006165228113443</v>
      </c>
      <c r="J109" s="120">
        <v>-41.071428571428569</v>
      </c>
      <c r="K109" s="120">
        <v>4.7181372549019605</v>
      </c>
      <c r="L109" s="1125">
        <v>0.33873830506395297</v>
      </c>
    </row>
    <row r="110" spans="1:12" ht="15.75" thickBot="1">
      <c r="A110" s="53" t="s">
        <v>115</v>
      </c>
      <c r="B110" s="54" t="s">
        <v>33</v>
      </c>
      <c r="C110" s="114">
        <v>13540.78137254902</v>
      </c>
      <c r="D110" s="114">
        <v>13601.416666666666</v>
      </c>
      <c r="E110" s="115">
        <v>13811.597</v>
      </c>
      <c r="F110" s="115">
        <v>13873.445</v>
      </c>
      <c r="G110" s="1118">
        <v>-0.44580131322825695</v>
      </c>
      <c r="H110" s="109">
        <v>379.7</v>
      </c>
      <c r="I110" s="109">
        <v>-0.21024967148489129</v>
      </c>
      <c r="J110" s="109">
        <v>-49.371069182389938</v>
      </c>
      <c r="K110" s="109">
        <v>6.5767973856209156</v>
      </c>
      <c r="L110" s="1108">
        <v>-0.52855397176931973</v>
      </c>
    </row>
    <row r="111" spans="1:12" ht="15.75" thickBot="1">
      <c r="A111" s="55"/>
      <c r="B111" s="56"/>
      <c r="C111" s="116"/>
      <c r="D111" s="116"/>
      <c r="E111" s="116"/>
      <c r="F111" s="116"/>
      <c r="G111" s="1122"/>
      <c r="H111" s="117"/>
      <c r="I111" s="117"/>
      <c r="J111" s="117"/>
      <c r="K111" s="117"/>
      <c r="L111" s="1123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102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120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98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108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98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108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98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108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121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115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98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108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98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108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121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115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98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108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118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108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122"/>
      <c r="H122" s="117"/>
      <c r="I122" s="117"/>
      <c r="J122" s="117"/>
      <c r="K122" s="117"/>
      <c r="L122" s="1123"/>
    </row>
    <row r="123" spans="1:12" ht="14.25">
      <c r="A123" s="48" t="s">
        <v>24</v>
      </c>
      <c r="B123" s="49" t="s">
        <v>28</v>
      </c>
      <c r="C123" s="105">
        <v>11765.820598386032</v>
      </c>
      <c r="D123" s="105">
        <v>11868.902700287656</v>
      </c>
      <c r="E123" s="106">
        <v>12001.137010353752</v>
      </c>
      <c r="F123" s="106">
        <v>12106.28075429341</v>
      </c>
      <c r="G123" s="1102">
        <v>-0.86850574568386096</v>
      </c>
      <c r="H123" s="107">
        <v>351.18333333333339</v>
      </c>
      <c r="I123" s="107">
        <v>6.8170534926954351</v>
      </c>
      <c r="J123" s="108">
        <v>-75.645756457564573</v>
      </c>
      <c r="K123" s="108">
        <v>1.3480392156862746</v>
      </c>
      <c r="L123" s="1120">
        <v>-1.6795554664721433</v>
      </c>
    </row>
    <row r="124" spans="1:12" ht="15">
      <c r="A124" s="50" t="s">
        <v>24</v>
      </c>
      <c r="B124" s="51" t="s">
        <v>29</v>
      </c>
      <c r="C124" s="99">
        <v>11633.407843137255</v>
      </c>
      <c r="D124" s="99">
        <v>11935.156862745098</v>
      </c>
      <c r="E124" s="100">
        <v>11866.075999999999</v>
      </c>
      <c r="F124" s="100">
        <v>12173.86</v>
      </c>
      <c r="G124" s="1098">
        <v>-2.5282367301743363</v>
      </c>
      <c r="H124" s="101">
        <v>337.6</v>
      </c>
      <c r="I124" s="101">
        <v>7.4474856779121694</v>
      </c>
      <c r="J124" s="109">
        <v>-72.58064516129032</v>
      </c>
      <c r="K124" s="109">
        <v>0.34722222222222221</v>
      </c>
      <c r="L124" s="1108">
        <v>-0.34543781576236054</v>
      </c>
    </row>
    <row r="125" spans="1:12" ht="15">
      <c r="A125" s="50" t="s">
        <v>24</v>
      </c>
      <c r="B125" s="51" t="s">
        <v>30</v>
      </c>
      <c r="C125" s="99">
        <v>11978.568627450979</v>
      </c>
      <c r="D125" s="99">
        <v>11809.756862745096</v>
      </c>
      <c r="E125" s="100">
        <v>12218.14</v>
      </c>
      <c r="F125" s="100">
        <v>12045.951999999999</v>
      </c>
      <c r="G125" s="1098">
        <v>1.4294262504117574</v>
      </c>
      <c r="H125" s="101">
        <v>344.1</v>
      </c>
      <c r="I125" s="101">
        <v>2.8699551569506796</v>
      </c>
      <c r="J125" s="109">
        <v>-79.136690647482013</v>
      </c>
      <c r="K125" s="109">
        <v>0.5923202614379085</v>
      </c>
      <c r="L125" s="1108">
        <v>-0.96057885597913983</v>
      </c>
    </row>
    <row r="126" spans="1:12" ht="15">
      <c r="A126" s="50" t="s">
        <v>24</v>
      </c>
      <c r="B126" s="51" t="s">
        <v>35</v>
      </c>
      <c r="C126" s="99">
        <v>11583.089215686274</v>
      </c>
      <c r="D126" s="99">
        <v>11932.010784313725</v>
      </c>
      <c r="E126" s="100">
        <v>11814.751</v>
      </c>
      <c r="F126" s="100">
        <v>12170.651</v>
      </c>
      <c r="G126" s="1098">
        <v>-2.9242478483689953</v>
      </c>
      <c r="H126" s="101">
        <v>373</v>
      </c>
      <c r="I126" s="101">
        <v>12.927641537995758</v>
      </c>
      <c r="J126" s="109">
        <v>-71.428571428571431</v>
      </c>
      <c r="K126" s="109">
        <v>0.40849673202614384</v>
      </c>
      <c r="L126" s="1108">
        <v>-0.37353879473064316</v>
      </c>
    </row>
    <row r="127" spans="1:12" ht="14.25">
      <c r="A127" s="48" t="s">
        <v>24</v>
      </c>
      <c r="B127" s="52" t="s">
        <v>31</v>
      </c>
      <c r="C127" s="110">
        <v>11125.288204483528</v>
      </c>
      <c r="D127" s="110">
        <v>11109.518008036717</v>
      </c>
      <c r="E127" s="111">
        <v>11347.793968573198</v>
      </c>
      <c r="F127" s="111">
        <v>11331.708368197451</v>
      </c>
      <c r="G127" s="1121">
        <v>0.14195212101373483</v>
      </c>
      <c r="H127" s="112">
        <v>293.82077922077923</v>
      </c>
      <c r="I127" s="112">
        <v>2.2429853747818109</v>
      </c>
      <c r="J127" s="113">
        <v>-50.258397932816536</v>
      </c>
      <c r="K127" s="113">
        <v>15.727124183006536</v>
      </c>
      <c r="L127" s="1115">
        <v>-1.5670328944149805</v>
      </c>
    </row>
    <row r="128" spans="1:12" ht="15">
      <c r="A128" s="50" t="s">
        <v>24</v>
      </c>
      <c r="B128" s="51" t="s">
        <v>32</v>
      </c>
      <c r="C128" s="99">
        <v>11047.108823529412</v>
      </c>
      <c r="D128" s="99">
        <v>10967.099019607844</v>
      </c>
      <c r="E128" s="100">
        <v>11268.050999999999</v>
      </c>
      <c r="F128" s="100">
        <v>11186.441000000001</v>
      </c>
      <c r="G128" s="1098">
        <v>0.72954391839190635</v>
      </c>
      <c r="H128" s="101">
        <v>275</v>
      </c>
      <c r="I128" s="101">
        <v>2.7653213751868373</v>
      </c>
      <c r="J128" s="109">
        <v>-49.014084507042256</v>
      </c>
      <c r="K128" s="109">
        <v>7.393790849673203</v>
      </c>
      <c r="L128" s="1108">
        <v>-0.53828377885992129</v>
      </c>
    </row>
    <row r="129" spans="1:12" ht="15">
      <c r="A129" s="50" t="s">
        <v>24</v>
      </c>
      <c r="B129" s="51" t="s">
        <v>33</v>
      </c>
      <c r="C129" s="99">
        <v>11186.097058823529</v>
      </c>
      <c r="D129" s="99">
        <v>11198.110784313725</v>
      </c>
      <c r="E129" s="100">
        <v>11409.819</v>
      </c>
      <c r="F129" s="100">
        <v>11422.073</v>
      </c>
      <c r="G129" s="1098">
        <v>-0.10728350274070927</v>
      </c>
      <c r="H129" s="101">
        <v>305.39999999999998</v>
      </c>
      <c r="I129" s="101">
        <v>2.3458445040214477</v>
      </c>
      <c r="J129" s="109">
        <v>-50.070921985815595</v>
      </c>
      <c r="K129" s="109">
        <v>7.18954248366013</v>
      </c>
      <c r="L129" s="1108">
        <v>-0.68667246439036767</v>
      </c>
    </row>
    <row r="130" spans="1:12" ht="15">
      <c r="A130" s="50" t="s">
        <v>24</v>
      </c>
      <c r="B130" s="51" t="s">
        <v>36</v>
      </c>
      <c r="C130" s="99">
        <v>11190.135294117646</v>
      </c>
      <c r="D130" s="99">
        <v>11298.754901960783</v>
      </c>
      <c r="E130" s="100">
        <v>11413.938</v>
      </c>
      <c r="F130" s="100">
        <v>11524.73</v>
      </c>
      <c r="G130" s="1098">
        <v>-0.96134139368123561</v>
      </c>
      <c r="H130" s="101">
        <v>342.7</v>
      </c>
      <c r="I130" s="101">
        <v>2.4514200298953628</v>
      </c>
      <c r="J130" s="109">
        <v>-57.894736842105267</v>
      </c>
      <c r="K130" s="109">
        <v>1.1437908496732025</v>
      </c>
      <c r="L130" s="1108">
        <v>-0.34207665116469266</v>
      </c>
    </row>
    <row r="131" spans="1:12" ht="14.25">
      <c r="A131" s="48" t="s">
        <v>24</v>
      </c>
      <c r="B131" s="52" t="s">
        <v>37</v>
      </c>
      <c r="C131" s="110">
        <v>9635.2251645033939</v>
      </c>
      <c r="D131" s="110">
        <v>10168.532505790778</v>
      </c>
      <c r="E131" s="111">
        <v>9827.9296677934617</v>
      </c>
      <c r="F131" s="111">
        <v>10371.903155906593</v>
      </c>
      <c r="G131" s="1121">
        <v>-5.2446834485081899</v>
      </c>
      <c r="H131" s="112">
        <v>225.37028571428573</v>
      </c>
      <c r="I131" s="112">
        <v>-2.7071403412157649</v>
      </c>
      <c r="J131" s="113">
        <v>-40.340909090909086</v>
      </c>
      <c r="K131" s="113">
        <v>10.723039215686274</v>
      </c>
      <c r="L131" s="1115">
        <v>0.89173545074380911</v>
      </c>
    </row>
    <row r="132" spans="1:12" ht="15">
      <c r="A132" s="50" t="s">
        <v>24</v>
      </c>
      <c r="B132" s="51" t="s">
        <v>102</v>
      </c>
      <c r="C132" s="121">
        <v>8984.8147058823524</v>
      </c>
      <c r="D132" s="121">
        <v>9619.4313725490192</v>
      </c>
      <c r="E132" s="122">
        <v>9164.5110000000004</v>
      </c>
      <c r="F132" s="122">
        <v>9811.82</v>
      </c>
      <c r="G132" s="1126">
        <v>-6.5972368021427137</v>
      </c>
      <c r="H132" s="123">
        <v>208.3</v>
      </c>
      <c r="I132" s="123">
        <v>-1.8378887841658709</v>
      </c>
      <c r="J132" s="124">
        <v>-36.501079913606908</v>
      </c>
      <c r="K132" s="124">
        <v>6.0049019607843137</v>
      </c>
      <c r="L132" s="1127">
        <v>0.83229554809299433</v>
      </c>
    </row>
    <row r="133" spans="1:12" ht="15">
      <c r="A133" s="50" t="s">
        <v>24</v>
      </c>
      <c r="B133" s="51" t="s">
        <v>38</v>
      </c>
      <c r="C133" s="99">
        <v>10182.572549019607</v>
      </c>
      <c r="D133" s="99">
        <v>10476.833333333334</v>
      </c>
      <c r="E133" s="100">
        <v>10386.224</v>
      </c>
      <c r="F133" s="100">
        <v>10686.37</v>
      </c>
      <c r="G133" s="1098">
        <v>-2.8086805903220702</v>
      </c>
      <c r="H133" s="101">
        <v>241.5</v>
      </c>
      <c r="I133" s="101">
        <v>-0.98400984009840331</v>
      </c>
      <c r="J133" s="109">
        <v>-39.024390243902438</v>
      </c>
      <c r="K133" s="109">
        <v>4.0849673202614376</v>
      </c>
      <c r="L133" s="1108">
        <v>0.42057228060106455</v>
      </c>
    </row>
    <row r="134" spans="1:12" ht="15.75" thickBot="1">
      <c r="A134" s="50" t="s">
        <v>24</v>
      </c>
      <c r="B134" s="51" t="s">
        <v>39</v>
      </c>
      <c r="C134" s="99">
        <v>11161.507843137255</v>
      </c>
      <c r="D134" s="99">
        <v>11312.60294117647</v>
      </c>
      <c r="E134" s="100">
        <v>11384.737999999999</v>
      </c>
      <c r="F134" s="100">
        <v>11538.855</v>
      </c>
      <c r="G134" s="1098">
        <v>-1.3356351215090247</v>
      </c>
      <c r="H134" s="101">
        <v>283.2</v>
      </c>
      <c r="I134" s="101">
        <v>-1.5299026425591216</v>
      </c>
      <c r="J134" s="109">
        <v>-65.168539325842701</v>
      </c>
      <c r="K134" s="109">
        <v>0.63316993464052285</v>
      </c>
      <c r="L134" s="1108">
        <v>-0.36113237795024922</v>
      </c>
    </row>
    <row r="135" spans="1:12" ht="15.75" thickBot="1">
      <c r="A135" s="55"/>
      <c r="B135" s="56"/>
      <c r="C135" s="116"/>
      <c r="D135" s="116"/>
      <c r="E135" s="116"/>
      <c r="F135" s="116"/>
      <c r="G135" s="1122"/>
      <c r="H135" s="117"/>
      <c r="I135" s="117"/>
      <c r="J135" s="117"/>
      <c r="K135" s="117"/>
      <c r="L135" s="1123"/>
    </row>
    <row r="136" spans="1:12" ht="14.25">
      <c r="A136" s="48" t="s">
        <v>117</v>
      </c>
      <c r="B136" s="52" t="s">
        <v>25</v>
      </c>
      <c r="C136" s="110">
        <v>14748.596428262936</v>
      </c>
      <c r="D136" s="110">
        <v>14370.294741843736</v>
      </c>
      <c r="E136" s="111">
        <v>15043.568356828195</v>
      </c>
      <c r="F136" s="111">
        <v>14657.700636680611</v>
      </c>
      <c r="G136" s="1121">
        <v>2.6325255898729258</v>
      </c>
      <c r="H136" s="112">
        <v>340.49250000000001</v>
      </c>
      <c r="I136" s="112">
        <v>-2.6546974039286146</v>
      </c>
      <c r="J136" s="113">
        <v>-51.219512195121951</v>
      </c>
      <c r="K136" s="113">
        <v>0.81699346405228768</v>
      </c>
      <c r="L136" s="1115">
        <v>-9.9105295862805587E-2</v>
      </c>
    </row>
    <row r="137" spans="1:12" ht="15">
      <c r="A137" s="50" t="s">
        <v>117</v>
      </c>
      <c r="B137" s="51" t="s">
        <v>26</v>
      </c>
      <c r="C137" s="99">
        <v>15120.499019607843</v>
      </c>
      <c r="D137" s="99">
        <v>14370.529411764706</v>
      </c>
      <c r="E137" s="100">
        <v>15422.909</v>
      </c>
      <c r="F137" s="100">
        <v>14657.94</v>
      </c>
      <c r="G137" s="1098">
        <v>5.2188029150071511</v>
      </c>
      <c r="H137" s="101">
        <v>341.3</v>
      </c>
      <c r="I137" s="101">
        <v>-5.4308672762538004</v>
      </c>
      <c r="J137" s="109">
        <v>4.5454545454545459</v>
      </c>
      <c r="K137" s="109">
        <v>0.46977124183006536</v>
      </c>
      <c r="L137" s="1108">
        <v>0.22398864770650373</v>
      </c>
    </row>
    <row r="138" spans="1:12" ht="15">
      <c r="A138" s="50" t="s">
        <v>117</v>
      </c>
      <c r="B138" s="51" t="s">
        <v>27</v>
      </c>
      <c r="C138" s="99">
        <v>14242.628431372548</v>
      </c>
      <c r="D138" s="99">
        <v>14370.204901960784</v>
      </c>
      <c r="E138" s="100">
        <v>14527.481</v>
      </c>
      <c r="F138" s="100">
        <v>14657.609</v>
      </c>
      <c r="G138" s="1098">
        <v>-0.88778463117688988</v>
      </c>
      <c r="H138" s="101">
        <v>339.4</v>
      </c>
      <c r="I138" s="101">
        <v>-1.8223893549320254</v>
      </c>
      <c r="J138" s="109">
        <v>-71.666666666666671</v>
      </c>
      <c r="K138" s="109">
        <v>0.34722222222222221</v>
      </c>
      <c r="L138" s="1108">
        <v>-0.32309394356930943</v>
      </c>
    </row>
    <row r="139" spans="1:12" ht="14.25">
      <c r="A139" s="48" t="s">
        <v>117</v>
      </c>
      <c r="B139" s="52" t="s">
        <v>28</v>
      </c>
      <c r="C139" s="110">
        <v>13797.608245955334</v>
      </c>
      <c r="D139" s="110">
        <v>14093.542222110538</v>
      </c>
      <c r="E139" s="111">
        <v>14073.560410874441</v>
      </c>
      <c r="F139" s="111">
        <v>14375.41306655275</v>
      </c>
      <c r="G139" s="1121">
        <v>-2.0997842238052211</v>
      </c>
      <c r="H139" s="112">
        <v>312.98596491228068</v>
      </c>
      <c r="I139" s="112">
        <v>3.5423275639489922</v>
      </c>
      <c r="J139" s="113">
        <v>-54.701986754966889</v>
      </c>
      <c r="K139" s="113">
        <v>6.9852941176470589</v>
      </c>
      <c r="L139" s="1115">
        <v>-1.4495176352297152</v>
      </c>
    </row>
    <row r="140" spans="1:12" ht="15">
      <c r="A140" s="50" t="s">
        <v>117</v>
      </c>
      <c r="B140" s="51" t="s">
        <v>29</v>
      </c>
      <c r="C140" s="99">
        <v>13916.697058823531</v>
      </c>
      <c r="D140" s="99">
        <v>14127.823529411764</v>
      </c>
      <c r="E140" s="100">
        <v>14195.031000000001</v>
      </c>
      <c r="F140" s="100">
        <v>14410.38</v>
      </c>
      <c r="G140" s="1098">
        <v>-1.4944019519263083</v>
      </c>
      <c r="H140" s="101">
        <v>275.8</v>
      </c>
      <c r="I140" s="101">
        <v>-2.6473702788563358</v>
      </c>
      <c r="J140" s="109">
        <v>-67.567567567567565</v>
      </c>
      <c r="K140" s="109">
        <v>0.98039215686274506</v>
      </c>
      <c r="L140" s="1108">
        <v>-0.6730543854230332</v>
      </c>
    </row>
    <row r="141" spans="1:12" ht="15">
      <c r="A141" s="50" t="s">
        <v>117</v>
      </c>
      <c r="B141" s="51" t="s">
        <v>30</v>
      </c>
      <c r="C141" s="99">
        <v>13801.59705882353</v>
      </c>
      <c r="D141" s="99">
        <v>14161.462745098039</v>
      </c>
      <c r="E141" s="100">
        <v>14077.629000000001</v>
      </c>
      <c r="F141" s="100">
        <v>14444.691999999999</v>
      </c>
      <c r="G141" s="1098">
        <v>-2.541161833011035</v>
      </c>
      <c r="H141" s="101">
        <v>309.39999999999998</v>
      </c>
      <c r="I141" s="101">
        <v>2.6883504812479142</v>
      </c>
      <c r="J141" s="109">
        <v>-53.125</v>
      </c>
      <c r="K141" s="109">
        <v>4.2892156862745097</v>
      </c>
      <c r="L141" s="1108">
        <v>-0.71581168496892733</v>
      </c>
    </row>
    <row r="142" spans="1:12" ht="15">
      <c r="A142" s="50" t="s">
        <v>117</v>
      </c>
      <c r="B142" s="51" t="s">
        <v>35</v>
      </c>
      <c r="C142" s="99">
        <v>13733.928431372549</v>
      </c>
      <c r="D142" s="99">
        <v>13886.824509803921</v>
      </c>
      <c r="E142" s="100">
        <v>14008.607</v>
      </c>
      <c r="F142" s="100">
        <v>14164.561</v>
      </c>
      <c r="G142" s="1098">
        <v>-1.1010154144558362</v>
      </c>
      <c r="H142" s="101">
        <v>343.2</v>
      </c>
      <c r="I142" s="101">
        <v>6.3526495196777191</v>
      </c>
      <c r="J142" s="109">
        <v>-47.169811320754718</v>
      </c>
      <c r="K142" s="109">
        <v>1.715686274509804</v>
      </c>
      <c r="L142" s="1108">
        <v>-6.0651564837754801E-2</v>
      </c>
    </row>
    <row r="143" spans="1:12" ht="14.25">
      <c r="A143" s="48" t="s">
        <v>117</v>
      </c>
      <c r="B143" s="52" t="s">
        <v>31</v>
      </c>
      <c r="C143" s="110">
        <v>12884.166116260052</v>
      </c>
      <c r="D143" s="110">
        <v>13175.889934108744</v>
      </c>
      <c r="E143" s="111">
        <v>13141.849438585254</v>
      </c>
      <c r="F143" s="111">
        <v>13439.407732790918</v>
      </c>
      <c r="G143" s="1121">
        <v>-2.2140729719781445</v>
      </c>
      <c r="H143" s="112">
        <v>273.40058365758756</v>
      </c>
      <c r="I143" s="112">
        <v>1.5965595860411166</v>
      </c>
      <c r="J143" s="113">
        <v>-47.657841140529534</v>
      </c>
      <c r="K143" s="113">
        <v>10.498366013071896</v>
      </c>
      <c r="L143" s="1115">
        <v>-0.47247523371617284</v>
      </c>
    </row>
    <row r="144" spans="1:12" ht="15">
      <c r="A144" s="50" t="s">
        <v>117</v>
      </c>
      <c r="B144" s="51" t="s">
        <v>32</v>
      </c>
      <c r="C144" s="99">
        <v>12520.817647058824</v>
      </c>
      <c r="D144" s="99">
        <v>13105.34019607843</v>
      </c>
      <c r="E144" s="100">
        <v>12771.234</v>
      </c>
      <c r="F144" s="100">
        <v>13367.447</v>
      </c>
      <c r="G144" s="1098">
        <v>-4.4601860026076761</v>
      </c>
      <c r="H144" s="101">
        <v>249.1</v>
      </c>
      <c r="I144" s="101">
        <v>0.48406615570794215</v>
      </c>
      <c r="J144" s="109">
        <v>-60.766961651917406</v>
      </c>
      <c r="K144" s="109">
        <v>2.7165032679738563</v>
      </c>
      <c r="L144" s="1108">
        <v>-1.0707830687482973</v>
      </c>
    </row>
    <row r="145" spans="1:12" ht="15">
      <c r="A145" s="50" t="s">
        <v>117</v>
      </c>
      <c r="B145" s="51" t="s">
        <v>33</v>
      </c>
      <c r="C145" s="99">
        <v>12987.359803921569</v>
      </c>
      <c r="D145" s="99">
        <v>13241.05</v>
      </c>
      <c r="E145" s="100">
        <v>13247.107</v>
      </c>
      <c r="F145" s="100">
        <v>13505.870999999999</v>
      </c>
      <c r="G145" s="1098">
        <v>-1.9159371505917628</v>
      </c>
      <c r="H145" s="101">
        <v>276.5</v>
      </c>
      <c r="I145" s="101">
        <v>0.39941902687001557</v>
      </c>
      <c r="J145" s="101">
        <v>-37.753222836095759</v>
      </c>
      <c r="K145" s="101">
        <v>6.9035947712418304</v>
      </c>
      <c r="L145" s="1099">
        <v>0.837233470828469</v>
      </c>
    </row>
    <row r="146" spans="1:12" ht="15.75" thickBot="1">
      <c r="A146" s="60" t="s">
        <v>117</v>
      </c>
      <c r="B146" s="61" t="s">
        <v>36</v>
      </c>
      <c r="C146" s="102">
        <v>13055.922549019608</v>
      </c>
      <c r="D146" s="102">
        <v>13051.517647058825</v>
      </c>
      <c r="E146" s="103">
        <v>13317.040999999999</v>
      </c>
      <c r="F146" s="103">
        <v>13312.548000000001</v>
      </c>
      <c r="G146" s="1100">
        <v>3.3750113051224856E-2</v>
      </c>
      <c r="H146" s="104">
        <v>324.2</v>
      </c>
      <c r="I146" s="104">
        <v>5.6714471968709175</v>
      </c>
      <c r="J146" s="104">
        <v>-56.999999999999993</v>
      </c>
      <c r="K146" s="104">
        <v>0.87826797385620914</v>
      </c>
      <c r="L146" s="1101">
        <v>-0.23892563579634363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30"/>
    </row>
    <row r="149" spans="1:12" ht="21" thickBot="1">
      <c r="A149" s="28" t="s">
        <v>345</v>
      </c>
      <c r="B149" s="29"/>
      <c r="C149" s="29"/>
      <c r="D149" s="29"/>
      <c r="E149" s="29"/>
      <c r="F149" s="29"/>
      <c r="G149" s="915"/>
      <c r="H149" s="915"/>
      <c r="I149" s="915"/>
      <c r="J149" s="915"/>
      <c r="K149" s="915"/>
      <c r="L149" s="1031"/>
    </row>
    <row r="150" spans="1:12">
      <c r="A150" s="30"/>
      <c r="B150" s="31"/>
      <c r="C150" s="3" t="s">
        <v>9</v>
      </c>
      <c r="D150" s="3" t="s">
        <v>9</v>
      </c>
      <c r="E150" s="3"/>
      <c r="F150" s="3"/>
      <c r="G150" s="1027"/>
      <c r="H150" s="1161" t="s">
        <v>10</v>
      </c>
      <c r="I150" s="1162"/>
      <c r="J150" s="980" t="s">
        <v>11</v>
      </c>
      <c r="K150" s="32" t="s">
        <v>12</v>
      </c>
      <c r="L150" s="1028"/>
    </row>
    <row r="151" spans="1:12" ht="15.75">
      <c r="A151" s="33" t="s">
        <v>13</v>
      </c>
      <c r="B151" s="34" t="s">
        <v>14</v>
      </c>
      <c r="C151" s="709" t="s">
        <v>40</v>
      </c>
      <c r="D151" s="709" t="s">
        <v>40</v>
      </c>
      <c r="E151" s="710" t="s">
        <v>41</v>
      </c>
      <c r="F151" s="711"/>
      <c r="G151" s="1086"/>
      <c r="H151" s="1163" t="s">
        <v>15</v>
      </c>
      <c r="I151" s="1164"/>
      <c r="J151" s="981" t="s">
        <v>16</v>
      </c>
      <c r="K151" s="86" t="s">
        <v>17</v>
      </c>
      <c r="L151" s="1029"/>
    </row>
    <row r="152" spans="1:12" ht="26.25" thickBot="1">
      <c r="A152" s="35" t="s">
        <v>18</v>
      </c>
      <c r="B152" s="36" t="s">
        <v>19</v>
      </c>
      <c r="C152" s="719" t="s">
        <v>375</v>
      </c>
      <c r="D152" s="719" t="s">
        <v>377</v>
      </c>
      <c r="E152" s="913" t="s">
        <v>375</v>
      </c>
      <c r="F152" s="914" t="s">
        <v>377</v>
      </c>
      <c r="G152" s="1085" t="s">
        <v>20</v>
      </c>
      <c r="H152" s="85" t="s">
        <v>375</v>
      </c>
      <c r="I152" s="1087" t="s">
        <v>20</v>
      </c>
      <c r="J152" s="1088" t="s">
        <v>20</v>
      </c>
      <c r="K152" s="720" t="s">
        <v>375</v>
      </c>
      <c r="L152" s="1089" t="s">
        <v>21</v>
      </c>
    </row>
    <row r="153" spans="1:12" ht="15" thickBot="1">
      <c r="A153" s="37" t="s">
        <v>22</v>
      </c>
      <c r="B153" s="38" t="s">
        <v>23</v>
      </c>
      <c r="C153" s="87">
        <v>12990.752459008678</v>
      </c>
      <c r="D153" s="87">
        <v>12888.136761321482</v>
      </c>
      <c r="E153" s="88">
        <v>13250.567508188851</v>
      </c>
      <c r="F153" s="718">
        <v>13145.899496547912</v>
      </c>
      <c r="G153" s="1090">
        <v>0.79620273735109925</v>
      </c>
      <c r="H153" s="89">
        <v>324.11280670257332</v>
      </c>
      <c r="I153" s="89">
        <v>2.2751021178083275</v>
      </c>
      <c r="J153" s="90">
        <v>-57.26342710997443</v>
      </c>
      <c r="K153" s="89">
        <v>100</v>
      </c>
      <c r="L153" s="1091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92"/>
      <c r="H154" s="90"/>
      <c r="I154" s="90"/>
      <c r="J154" s="90"/>
      <c r="K154" s="90"/>
      <c r="L154" s="1093"/>
    </row>
    <row r="155" spans="1:12" ht="15">
      <c r="A155" s="41" t="s">
        <v>108</v>
      </c>
      <c r="B155" s="42" t="s">
        <v>23</v>
      </c>
      <c r="C155" s="92">
        <v>10584.176470588234</v>
      </c>
      <c r="D155" s="92">
        <v>13063.511023017903</v>
      </c>
      <c r="E155" s="93">
        <v>10795.859999999999</v>
      </c>
      <c r="F155" s="93">
        <v>13324.781243478261</v>
      </c>
      <c r="G155" s="1094">
        <v>-18.97908263759323</v>
      </c>
      <c r="H155" s="94">
        <v>200</v>
      </c>
      <c r="I155" s="94">
        <v>-21.732324549960875</v>
      </c>
      <c r="J155" s="94">
        <v>-77.777777777777786</v>
      </c>
      <c r="K155" s="94">
        <v>5.9844404548174746E-2</v>
      </c>
      <c r="L155" s="1095">
        <v>-5.5245109518321414E-2</v>
      </c>
    </row>
    <row r="156" spans="1:12" ht="15">
      <c r="A156" s="50" t="s">
        <v>109</v>
      </c>
      <c r="B156" s="95" t="s">
        <v>23</v>
      </c>
      <c r="C156" s="96">
        <v>13963.199854462438</v>
      </c>
      <c r="D156" s="96">
        <v>13906.307686192538</v>
      </c>
      <c r="E156" s="97">
        <v>14242.463851551687</v>
      </c>
      <c r="F156" s="97">
        <v>14184.43383991639</v>
      </c>
      <c r="G156" s="1096">
        <v>0.40911052418599314</v>
      </c>
      <c r="H156" s="98">
        <v>365.48005865102641</v>
      </c>
      <c r="I156" s="98">
        <v>3.5810895092704014</v>
      </c>
      <c r="J156" s="98">
        <v>-54.684385382059794</v>
      </c>
      <c r="K156" s="98">
        <v>40.813883901855178</v>
      </c>
      <c r="L156" s="1097">
        <v>2.3228353085047928</v>
      </c>
    </row>
    <row r="157" spans="1:12" ht="15">
      <c r="A157" s="43" t="s">
        <v>110</v>
      </c>
      <c r="B157" s="44" t="s">
        <v>23</v>
      </c>
      <c r="C157" s="99">
        <v>13651.965753927301</v>
      </c>
      <c r="D157" s="99">
        <v>13706.804309580841</v>
      </c>
      <c r="E157" s="100">
        <v>13925.005069005847</v>
      </c>
      <c r="F157" s="100">
        <v>13980.940395772457</v>
      </c>
      <c r="G157" s="1098">
        <v>-0.40008272107020665</v>
      </c>
      <c r="H157" s="101">
        <v>381.94639175257731</v>
      </c>
      <c r="I157" s="101">
        <v>0.74069634196501299</v>
      </c>
      <c r="J157" s="101">
        <v>-58.129496402877699</v>
      </c>
      <c r="K157" s="101">
        <v>8.7073608617594243</v>
      </c>
      <c r="L157" s="1099">
        <v>-0.180107168931114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98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99" t="s">
        <v>100</v>
      </c>
    </row>
    <row r="159" spans="1:12" ht="15">
      <c r="A159" s="43" t="s">
        <v>98</v>
      </c>
      <c r="B159" s="44" t="s">
        <v>23</v>
      </c>
      <c r="C159" s="99">
        <v>10865.186965561976</v>
      </c>
      <c r="D159" s="99">
        <v>11046.750039268687</v>
      </c>
      <c r="E159" s="100">
        <v>11082.490704873215</v>
      </c>
      <c r="F159" s="100">
        <v>11267.685040054061</v>
      </c>
      <c r="G159" s="1098">
        <v>-1.6435881418634093</v>
      </c>
      <c r="H159" s="101">
        <v>275.52693032015071</v>
      </c>
      <c r="I159" s="101">
        <v>-1.874362896889727</v>
      </c>
      <c r="J159" s="101">
        <v>-61.619082038308633</v>
      </c>
      <c r="K159" s="101">
        <v>31.777378815080791</v>
      </c>
      <c r="L159" s="1099">
        <v>-3.6062528984741924</v>
      </c>
    </row>
    <row r="160" spans="1:12" ht="15.75" thickBot="1">
      <c r="A160" s="45" t="s">
        <v>112</v>
      </c>
      <c r="B160" s="46" t="s">
        <v>23</v>
      </c>
      <c r="C160" s="102">
        <v>13349.141807545086</v>
      </c>
      <c r="D160" s="102">
        <v>13244.787286463141</v>
      </c>
      <c r="E160" s="103">
        <v>13616.124643695988</v>
      </c>
      <c r="F160" s="103">
        <v>13509.683032192404</v>
      </c>
      <c r="G160" s="1100">
        <v>0.78789125732959564</v>
      </c>
      <c r="H160" s="104">
        <v>289.74991974317817</v>
      </c>
      <c r="I160" s="104">
        <v>3.9109283097524892</v>
      </c>
      <c r="J160" s="104">
        <v>-53.47274085138163</v>
      </c>
      <c r="K160" s="104">
        <v>18.641532016756432</v>
      </c>
      <c r="L160" s="1101">
        <v>1.5187698684188362</v>
      </c>
    </row>
    <row r="161" spans="1:12" ht="15" thickBot="1">
      <c r="A161" s="39"/>
      <c r="B161" s="47"/>
      <c r="C161" s="91"/>
      <c r="D161" s="91"/>
      <c r="E161" s="91"/>
      <c r="F161" s="91"/>
      <c r="G161" s="1092"/>
      <c r="H161" s="90"/>
      <c r="I161" s="90"/>
      <c r="J161" s="90"/>
      <c r="K161" s="90"/>
      <c r="L161" s="1093"/>
    </row>
    <row r="162" spans="1:12" ht="14.25">
      <c r="A162" s="48" t="s">
        <v>113</v>
      </c>
      <c r="B162" s="49" t="s">
        <v>25</v>
      </c>
      <c r="C162" s="105" t="s">
        <v>100</v>
      </c>
      <c r="D162" s="105" t="s">
        <v>257</v>
      </c>
      <c r="E162" s="106" t="s">
        <v>100</v>
      </c>
      <c r="F162" s="106" t="s">
        <v>257</v>
      </c>
      <c r="G162" s="1102" t="s">
        <v>100</v>
      </c>
      <c r="H162" s="107" t="s">
        <v>100</v>
      </c>
      <c r="I162" s="107" t="s">
        <v>100</v>
      </c>
      <c r="J162" s="108" t="s">
        <v>100</v>
      </c>
      <c r="K162" s="108" t="s">
        <v>100</v>
      </c>
      <c r="L162" s="1120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99" t="s">
        <v>257</v>
      </c>
      <c r="E163" s="100" t="s">
        <v>100</v>
      </c>
      <c r="F163" s="1114" t="s">
        <v>257</v>
      </c>
      <c r="G163" s="1098" t="s">
        <v>100</v>
      </c>
      <c r="H163" s="101" t="s">
        <v>100</v>
      </c>
      <c r="I163" s="101" t="s">
        <v>100</v>
      </c>
      <c r="J163" s="109" t="s">
        <v>100</v>
      </c>
      <c r="K163" s="109" t="s">
        <v>100</v>
      </c>
      <c r="L163" s="1108" t="s">
        <v>100</v>
      </c>
    </row>
    <row r="164" spans="1:12" ht="15">
      <c r="A164" s="50" t="s">
        <v>113</v>
      </c>
      <c r="B164" s="51" t="s">
        <v>27</v>
      </c>
      <c r="C164" s="99" t="s">
        <v>100</v>
      </c>
      <c r="D164" s="99" t="s">
        <v>100</v>
      </c>
      <c r="E164" s="100" t="s">
        <v>100</v>
      </c>
      <c r="F164" s="100" t="s">
        <v>100</v>
      </c>
      <c r="G164" s="1098" t="s">
        <v>100</v>
      </c>
      <c r="H164" s="101" t="s">
        <v>100</v>
      </c>
      <c r="I164" s="101" t="s">
        <v>100</v>
      </c>
      <c r="J164" s="109" t="s">
        <v>100</v>
      </c>
      <c r="K164" s="109" t="s">
        <v>100</v>
      </c>
      <c r="L164" s="1108" t="s">
        <v>100</v>
      </c>
    </row>
    <row r="165" spans="1:12" ht="14.25">
      <c r="A165" s="48" t="s">
        <v>113</v>
      </c>
      <c r="B165" s="52" t="s">
        <v>28</v>
      </c>
      <c r="C165" s="110" t="s">
        <v>100</v>
      </c>
      <c r="D165" s="110" t="s">
        <v>100</v>
      </c>
      <c r="E165" s="111" t="s">
        <v>100</v>
      </c>
      <c r="F165" s="111" t="s">
        <v>100</v>
      </c>
      <c r="G165" s="1121" t="s">
        <v>100</v>
      </c>
      <c r="H165" s="112" t="s">
        <v>100</v>
      </c>
      <c r="I165" s="112" t="s">
        <v>100</v>
      </c>
      <c r="J165" s="113" t="s">
        <v>100</v>
      </c>
      <c r="K165" s="113" t="s">
        <v>100</v>
      </c>
      <c r="L165" s="1115" t="s">
        <v>100</v>
      </c>
    </row>
    <row r="166" spans="1:12" ht="15">
      <c r="A166" s="50" t="s">
        <v>113</v>
      </c>
      <c r="B166" s="51" t="s">
        <v>29</v>
      </c>
      <c r="C166" s="99" t="s">
        <v>100</v>
      </c>
      <c r="D166" s="99" t="s">
        <v>100</v>
      </c>
      <c r="E166" s="100" t="s">
        <v>100</v>
      </c>
      <c r="F166" s="100" t="s">
        <v>100</v>
      </c>
      <c r="G166" s="1098" t="s">
        <v>100</v>
      </c>
      <c r="H166" s="101" t="s">
        <v>100</v>
      </c>
      <c r="I166" s="101" t="s">
        <v>100</v>
      </c>
      <c r="J166" s="109" t="s">
        <v>100</v>
      </c>
      <c r="K166" s="109" t="s">
        <v>100</v>
      </c>
      <c r="L166" s="1108" t="s">
        <v>100</v>
      </c>
    </row>
    <row r="167" spans="1:12" ht="15">
      <c r="A167" s="50" t="s">
        <v>113</v>
      </c>
      <c r="B167" s="51" t="s">
        <v>30</v>
      </c>
      <c r="C167" s="99" t="s">
        <v>100</v>
      </c>
      <c r="D167" s="99" t="s">
        <v>100</v>
      </c>
      <c r="E167" s="100" t="s">
        <v>100</v>
      </c>
      <c r="F167" s="100" t="s">
        <v>100</v>
      </c>
      <c r="G167" s="1098" t="s">
        <v>100</v>
      </c>
      <c r="H167" s="101" t="s">
        <v>100</v>
      </c>
      <c r="I167" s="101" t="s">
        <v>100</v>
      </c>
      <c r="J167" s="109" t="s">
        <v>100</v>
      </c>
      <c r="K167" s="109" t="s">
        <v>100</v>
      </c>
      <c r="L167" s="1108" t="s">
        <v>100</v>
      </c>
    </row>
    <row r="168" spans="1:12" ht="14.25">
      <c r="A168" s="48" t="s">
        <v>113</v>
      </c>
      <c r="B168" s="52" t="s">
        <v>31</v>
      </c>
      <c r="C168" s="1128" t="s">
        <v>100</v>
      </c>
      <c r="D168" s="110">
        <v>12825.703277729004</v>
      </c>
      <c r="E168" s="1109" t="s">
        <v>100</v>
      </c>
      <c r="F168" s="111">
        <v>13082.217343283584</v>
      </c>
      <c r="G168" s="1098" t="s">
        <v>100</v>
      </c>
      <c r="H168" s="1129" t="s">
        <v>100</v>
      </c>
      <c r="I168" s="112" t="s">
        <v>100</v>
      </c>
      <c r="J168" s="113" t="s">
        <v>100</v>
      </c>
      <c r="K168" s="113" t="s">
        <v>100</v>
      </c>
      <c r="L168" s="1115" t="s">
        <v>100</v>
      </c>
    </row>
    <row r="169" spans="1:12" ht="15">
      <c r="A169" s="50" t="s">
        <v>113</v>
      </c>
      <c r="B169" s="51" t="s">
        <v>32</v>
      </c>
      <c r="C169" s="99" t="s">
        <v>257</v>
      </c>
      <c r="D169" s="99">
        <v>12852.880392156863</v>
      </c>
      <c r="E169" s="100" t="s">
        <v>257</v>
      </c>
      <c r="F169" s="100">
        <v>13109.938</v>
      </c>
      <c r="G169" s="1098" t="s">
        <v>100</v>
      </c>
      <c r="H169" s="101" t="s">
        <v>257</v>
      </c>
      <c r="I169" s="101" t="s">
        <v>100</v>
      </c>
      <c r="J169" s="109" t="s">
        <v>100</v>
      </c>
      <c r="K169" s="109" t="s">
        <v>257</v>
      </c>
      <c r="L169" s="1108" t="s">
        <v>100</v>
      </c>
    </row>
    <row r="170" spans="1:12" ht="15.75" thickBot="1">
      <c r="A170" s="53" t="s">
        <v>113</v>
      </c>
      <c r="B170" s="54" t="s">
        <v>33</v>
      </c>
      <c r="C170" s="114" t="s">
        <v>100</v>
      </c>
      <c r="D170" s="114" t="s">
        <v>257</v>
      </c>
      <c r="E170" s="115" t="s">
        <v>100</v>
      </c>
      <c r="F170" s="115">
        <v>13002.787</v>
      </c>
      <c r="G170" s="1118" t="s">
        <v>100</v>
      </c>
      <c r="H170" s="109" t="s">
        <v>100</v>
      </c>
      <c r="I170" s="109" t="s">
        <v>100</v>
      </c>
      <c r="J170" s="109" t="s">
        <v>100</v>
      </c>
      <c r="K170" s="109" t="s">
        <v>100</v>
      </c>
      <c r="L170" s="1108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92"/>
      <c r="H171" s="90"/>
      <c r="I171" s="90"/>
      <c r="J171" s="90"/>
      <c r="K171" s="90"/>
      <c r="L171" s="1093"/>
    </row>
    <row r="172" spans="1:12" ht="14.25">
      <c r="A172" s="48" t="s">
        <v>114</v>
      </c>
      <c r="B172" s="49" t="s">
        <v>25</v>
      </c>
      <c r="C172" s="105">
        <v>14450.067786337348</v>
      </c>
      <c r="D172" s="105">
        <v>14632.744375776503</v>
      </c>
      <c r="E172" s="106">
        <v>14739.069142064094</v>
      </c>
      <c r="F172" s="106">
        <v>14925.399263292033</v>
      </c>
      <c r="G172" s="1102">
        <v>-1.2484096267106517</v>
      </c>
      <c r="H172" s="107">
        <v>423.83208556149737</v>
      </c>
      <c r="I172" s="107">
        <v>2.0222144043885812</v>
      </c>
      <c r="J172" s="108">
        <v>-45</v>
      </c>
      <c r="K172" s="108">
        <v>5.5954518252543384</v>
      </c>
      <c r="L172" s="1120">
        <v>1.2476257382978169</v>
      </c>
    </row>
    <row r="173" spans="1:12" ht="15">
      <c r="A173" s="50" t="s">
        <v>114</v>
      </c>
      <c r="B173" s="51" t="s">
        <v>26</v>
      </c>
      <c r="C173" s="99">
        <v>14364.709803921569</v>
      </c>
      <c r="D173" s="99">
        <v>14662.033333333333</v>
      </c>
      <c r="E173" s="100">
        <v>14652.004000000001</v>
      </c>
      <c r="F173" s="100">
        <v>14955.273999999999</v>
      </c>
      <c r="G173" s="1098">
        <v>-2.0278464974964594</v>
      </c>
      <c r="H173" s="101">
        <v>420.5</v>
      </c>
      <c r="I173" s="101">
        <v>3.6480157752033553</v>
      </c>
      <c r="J173" s="109">
        <v>-52.525252525252533</v>
      </c>
      <c r="K173" s="109">
        <v>2.8126870137642133</v>
      </c>
      <c r="L173" s="1108">
        <v>0.28071770430129783</v>
      </c>
    </row>
    <row r="174" spans="1:12" ht="15">
      <c r="A174" s="50" t="s">
        <v>114</v>
      </c>
      <c r="B174" s="51" t="s">
        <v>27</v>
      </c>
      <c r="C174" s="99">
        <v>14534.996078431372</v>
      </c>
      <c r="D174" s="99">
        <v>14594.123529411763</v>
      </c>
      <c r="E174" s="100">
        <v>14825.696</v>
      </c>
      <c r="F174" s="100">
        <v>14886.005999999999</v>
      </c>
      <c r="G174" s="1098">
        <v>-0.40514561125394882</v>
      </c>
      <c r="H174" s="101">
        <v>427.2</v>
      </c>
      <c r="I174" s="101">
        <v>-0.41958041958042225</v>
      </c>
      <c r="J174" s="109">
        <v>-34.507042253521128</v>
      </c>
      <c r="K174" s="109">
        <v>2.7827648114901256</v>
      </c>
      <c r="L174" s="1108">
        <v>0.96690803399651948</v>
      </c>
    </row>
    <row r="175" spans="1:12" ht="14.25">
      <c r="A175" s="48" t="s">
        <v>114</v>
      </c>
      <c r="B175" s="52" t="s">
        <v>28</v>
      </c>
      <c r="C175" s="110">
        <v>14101.208601249642</v>
      </c>
      <c r="D175" s="110">
        <v>14113.778115991885</v>
      </c>
      <c r="E175" s="111">
        <v>14383.232773274634</v>
      </c>
      <c r="F175" s="111">
        <v>14396.053678311722</v>
      </c>
      <c r="G175" s="1121">
        <v>-8.905846924149162E-2</v>
      </c>
      <c r="H175" s="112">
        <v>379.2454991816694</v>
      </c>
      <c r="I175" s="112">
        <v>1.8250059968266057</v>
      </c>
      <c r="J175" s="113">
        <v>-42.140151515151516</v>
      </c>
      <c r="K175" s="113">
        <v>18.282465589467385</v>
      </c>
      <c r="L175" s="1115">
        <v>4.778629272331834</v>
      </c>
    </row>
    <row r="176" spans="1:12" ht="15">
      <c r="A176" s="50" t="s">
        <v>114</v>
      </c>
      <c r="B176" s="51" t="s">
        <v>29</v>
      </c>
      <c r="C176" s="99">
        <v>13935.776470588235</v>
      </c>
      <c r="D176" s="99">
        <v>14133.420588235294</v>
      </c>
      <c r="E176" s="100">
        <v>14214.492</v>
      </c>
      <c r="F176" s="100">
        <v>14416.089</v>
      </c>
      <c r="G176" s="1098">
        <v>-1.3984167273107135</v>
      </c>
      <c r="H176" s="101">
        <v>356.5</v>
      </c>
      <c r="I176" s="101">
        <v>-0.77929306985806046</v>
      </c>
      <c r="J176" s="109">
        <v>-55.924170616113742</v>
      </c>
      <c r="K176" s="109">
        <v>5.5655296229802511</v>
      </c>
      <c r="L176" s="1108">
        <v>0.16911018564009783</v>
      </c>
    </row>
    <row r="177" spans="1:12" ht="15">
      <c r="A177" s="50" t="s">
        <v>114</v>
      </c>
      <c r="B177" s="51" t="s">
        <v>30</v>
      </c>
      <c r="C177" s="99">
        <v>14167.525490196078</v>
      </c>
      <c r="D177" s="99">
        <v>14101.453921568627</v>
      </c>
      <c r="E177" s="100">
        <v>14450.876</v>
      </c>
      <c r="F177" s="100">
        <v>14383.483</v>
      </c>
      <c r="G177" s="1098">
        <v>0.46854437134593913</v>
      </c>
      <c r="H177" s="101">
        <v>389.2</v>
      </c>
      <c r="I177" s="101">
        <v>2.0986358866736623</v>
      </c>
      <c r="J177" s="109">
        <v>-32.965299684542586</v>
      </c>
      <c r="K177" s="109">
        <v>12.716935966487133</v>
      </c>
      <c r="L177" s="1108">
        <v>4.609519086691737</v>
      </c>
    </row>
    <row r="178" spans="1:12" ht="14.25">
      <c r="A178" s="48" t="s">
        <v>114</v>
      </c>
      <c r="B178" s="52" t="s">
        <v>31</v>
      </c>
      <c r="C178" s="110">
        <v>13586.936663550992</v>
      </c>
      <c r="D178" s="110">
        <v>13557.112769518637</v>
      </c>
      <c r="E178" s="111">
        <v>13858.675396822013</v>
      </c>
      <c r="F178" s="111">
        <v>13828.255024909009</v>
      </c>
      <c r="G178" s="1121">
        <v>0.2199870616951097</v>
      </c>
      <c r="H178" s="112">
        <v>331.34134275618379</v>
      </c>
      <c r="I178" s="112">
        <v>1.3791838496362316</v>
      </c>
      <c r="J178" s="113">
        <v>-64.931846344485749</v>
      </c>
      <c r="K178" s="113">
        <v>16.935966487133452</v>
      </c>
      <c r="L178" s="1115">
        <v>-3.7034197021248616</v>
      </c>
    </row>
    <row r="179" spans="1:12" ht="15">
      <c r="A179" s="50" t="s">
        <v>114</v>
      </c>
      <c r="B179" s="51" t="s">
        <v>32</v>
      </c>
      <c r="C179" s="99">
        <v>13332.258823529412</v>
      </c>
      <c r="D179" s="99">
        <v>13462.742156862745</v>
      </c>
      <c r="E179" s="100">
        <v>13598.904</v>
      </c>
      <c r="F179" s="100">
        <v>13731.996999999999</v>
      </c>
      <c r="G179" s="1098">
        <v>-0.96921809697452566</v>
      </c>
      <c r="H179" s="101">
        <v>317.2</v>
      </c>
      <c r="I179" s="101">
        <v>1.0512902198152314</v>
      </c>
      <c r="J179" s="109">
        <v>-64.569961489088584</v>
      </c>
      <c r="K179" s="109">
        <v>8.2585278276481162</v>
      </c>
      <c r="L179" s="1108">
        <v>-1.7031090009963847</v>
      </c>
    </row>
    <row r="180" spans="1:12" ht="15.75" thickBot="1">
      <c r="A180" s="53" t="s">
        <v>114</v>
      </c>
      <c r="B180" s="54" t="s">
        <v>33</v>
      </c>
      <c r="C180" s="114">
        <v>13809.929411764706</v>
      </c>
      <c r="D180" s="114">
        <v>13638.639215686275</v>
      </c>
      <c r="E180" s="115">
        <v>14086.128000000001</v>
      </c>
      <c r="F180" s="115">
        <v>13911.412</v>
      </c>
      <c r="G180" s="1118">
        <v>1.2559185221457057</v>
      </c>
      <c r="H180" s="109">
        <v>344.8</v>
      </c>
      <c r="I180" s="109">
        <v>1.7409265269991248</v>
      </c>
      <c r="J180" s="109">
        <v>-65.269461077844312</v>
      </c>
      <c r="K180" s="109">
        <v>8.6774386594853379</v>
      </c>
      <c r="L180" s="1108">
        <v>-2.0003107011284733</v>
      </c>
    </row>
    <row r="181" spans="1:12" ht="15.75" thickBot="1">
      <c r="A181" s="55"/>
      <c r="B181" s="56"/>
      <c r="C181" s="116"/>
      <c r="D181" s="116"/>
      <c r="E181" s="116"/>
      <c r="F181" s="116"/>
      <c r="G181" s="1122"/>
      <c r="H181" s="117"/>
      <c r="I181" s="117"/>
      <c r="J181" s="117"/>
      <c r="K181" s="117"/>
      <c r="L181" s="1123"/>
    </row>
    <row r="182" spans="1:12" ht="15">
      <c r="A182" s="50" t="s">
        <v>115</v>
      </c>
      <c r="B182" s="57" t="s">
        <v>30</v>
      </c>
      <c r="C182" s="118">
        <v>13794.033333333333</v>
      </c>
      <c r="D182" s="118">
        <v>13965.461764705882</v>
      </c>
      <c r="E182" s="119">
        <v>14069.914000000001</v>
      </c>
      <c r="F182" s="119">
        <v>14244.771000000001</v>
      </c>
      <c r="G182" s="1124">
        <v>-1.2275171008365102</v>
      </c>
      <c r="H182" s="120">
        <v>404.1</v>
      </c>
      <c r="I182" s="120">
        <v>-1.6309639727361218</v>
      </c>
      <c r="J182" s="120">
        <v>-51.020408163265309</v>
      </c>
      <c r="K182" s="120">
        <v>3.5906642728904847</v>
      </c>
      <c r="L182" s="1125">
        <v>0.45767194552475621</v>
      </c>
    </row>
    <row r="183" spans="1:12" ht="15.75" thickBot="1">
      <c r="A183" s="53" t="s">
        <v>115</v>
      </c>
      <c r="B183" s="54" t="s">
        <v>33</v>
      </c>
      <c r="C183" s="114">
        <v>13542.025490196078</v>
      </c>
      <c r="D183" s="114">
        <v>13546.949999999999</v>
      </c>
      <c r="E183" s="115">
        <v>13812.866</v>
      </c>
      <c r="F183" s="115">
        <v>13817.888999999999</v>
      </c>
      <c r="G183" s="1118">
        <v>-3.6351428210193534E-2</v>
      </c>
      <c r="H183" s="109">
        <v>366.4</v>
      </c>
      <c r="I183" s="109">
        <v>1.2434374136501798</v>
      </c>
      <c r="J183" s="109">
        <v>-62</v>
      </c>
      <c r="K183" s="109">
        <v>5.1166965888689404</v>
      </c>
      <c r="L183" s="1108">
        <v>-0.63777911445586799</v>
      </c>
    </row>
    <row r="184" spans="1:12" ht="15.75" thickBot="1">
      <c r="A184" s="55"/>
      <c r="B184" s="56"/>
      <c r="C184" s="116"/>
      <c r="D184" s="116"/>
      <c r="E184" s="116"/>
      <c r="F184" s="116"/>
      <c r="G184" s="1122"/>
      <c r="H184" s="117"/>
      <c r="I184" s="117"/>
      <c r="J184" s="117"/>
      <c r="K184" s="117"/>
      <c r="L184" s="1123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102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120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98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108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98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108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98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108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121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115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98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108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98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108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121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115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98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108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118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108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122"/>
      <c r="H195" s="117"/>
      <c r="I195" s="117"/>
      <c r="J195" s="117"/>
      <c r="K195" s="117"/>
      <c r="L195" s="1123"/>
    </row>
    <row r="196" spans="1:12" ht="14.25">
      <c r="A196" s="48" t="s">
        <v>24</v>
      </c>
      <c r="B196" s="49" t="s">
        <v>28</v>
      </c>
      <c r="C196" s="105">
        <v>12437.22938098086</v>
      </c>
      <c r="D196" s="105">
        <v>12406.011891419084</v>
      </c>
      <c r="E196" s="106">
        <v>12685.973968600478</v>
      </c>
      <c r="F196" s="106">
        <v>12654.132129247466</v>
      </c>
      <c r="G196" s="1102">
        <v>0.25163194937261579</v>
      </c>
      <c r="H196" s="107">
        <v>367.46153846153845</v>
      </c>
      <c r="I196" s="107">
        <v>6.8941457954198784</v>
      </c>
      <c r="J196" s="108">
        <v>-72.171253822629964</v>
      </c>
      <c r="K196" s="108">
        <v>2.722920406941951</v>
      </c>
      <c r="L196" s="1120">
        <v>-1.4586652708074088</v>
      </c>
    </row>
    <row r="197" spans="1:12" ht="15">
      <c r="A197" s="50" t="s">
        <v>24</v>
      </c>
      <c r="B197" s="51" t="s">
        <v>29</v>
      </c>
      <c r="C197" s="99">
        <v>11702.145098039216</v>
      </c>
      <c r="D197" s="99">
        <v>11858.263725490197</v>
      </c>
      <c r="E197" s="100">
        <v>11936.188</v>
      </c>
      <c r="F197" s="100">
        <v>12095.429</v>
      </c>
      <c r="G197" s="1098">
        <v>-1.3165386692774599</v>
      </c>
      <c r="H197" s="101">
        <v>325.8</v>
      </c>
      <c r="I197" s="101">
        <v>4.1227229146692341</v>
      </c>
      <c r="J197" s="109">
        <v>-70.731707317073173</v>
      </c>
      <c r="K197" s="109">
        <v>0.35906642728904847</v>
      </c>
      <c r="L197" s="1108">
        <v>-0.16523024790276741</v>
      </c>
    </row>
    <row r="198" spans="1:12" ht="15">
      <c r="A198" s="50" t="s">
        <v>24</v>
      </c>
      <c r="B198" s="51" t="s">
        <v>30</v>
      </c>
      <c r="C198" s="99">
        <v>12311.211764705882</v>
      </c>
      <c r="D198" s="99">
        <v>12534.660784313724</v>
      </c>
      <c r="E198" s="100">
        <v>12557.436</v>
      </c>
      <c r="F198" s="100">
        <v>12785.353999999999</v>
      </c>
      <c r="G198" s="1098">
        <v>-1.7826491155426722</v>
      </c>
      <c r="H198" s="101">
        <v>361.6</v>
      </c>
      <c r="I198" s="101">
        <v>6.8873780668046143</v>
      </c>
      <c r="J198" s="109">
        <v>-75.376884422110564</v>
      </c>
      <c r="K198" s="109">
        <v>1.4661879114302814</v>
      </c>
      <c r="L198" s="1108">
        <v>-1.0785691218178004</v>
      </c>
    </row>
    <row r="199" spans="1:12" ht="15">
      <c r="A199" s="50" t="s">
        <v>24</v>
      </c>
      <c r="B199" s="51" t="s">
        <v>35</v>
      </c>
      <c r="C199" s="99">
        <v>12869.677450980393</v>
      </c>
      <c r="D199" s="99">
        <v>12355.350980392157</v>
      </c>
      <c r="E199" s="100">
        <v>13127.071</v>
      </c>
      <c r="F199" s="100">
        <v>12602.458000000001</v>
      </c>
      <c r="G199" s="1098">
        <v>4.1627831649984417</v>
      </c>
      <c r="H199" s="101">
        <v>393.7</v>
      </c>
      <c r="I199" s="101">
        <v>6.1758360302049553</v>
      </c>
      <c r="J199" s="109">
        <v>-65.517241379310349</v>
      </c>
      <c r="K199" s="109">
        <v>0.89766606822262118</v>
      </c>
      <c r="L199" s="1108">
        <v>-0.21486590108684167</v>
      </c>
    </row>
    <row r="200" spans="1:12" ht="14.25">
      <c r="A200" s="48" t="s">
        <v>24</v>
      </c>
      <c r="B200" s="52" t="s">
        <v>31</v>
      </c>
      <c r="C200" s="110">
        <v>11405.867358631966</v>
      </c>
      <c r="D200" s="110">
        <v>11420.625242640164</v>
      </c>
      <c r="E200" s="111">
        <v>11633.984705804605</v>
      </c>
      <c r="F200" s="111">
        <v>11649.037747492968</v>
      </c>
      <c r="G200" s="1121">
        <v>-0.1292213315353247</v>
      </c>
      <c r="H200" s="112">
        <v>293.80097087378647</v>
      </c>
      <c r="I200" s="112">
        <v>-2.5136198518866042E-2</v>
      </c>
      <c r="J200" s="113">
        <v>-64.006988934187532</v>
      </c>
      <c r="K200" s="113">
        <v>18.491921005385997</v>
      </c>
      <c r="L200" s="1115">
        <v>-3.4646007337444402</v>
      </c>
    </row>
    <row r="201" spans="1:12" ht="15">
      <c r="A201" s="50" t="s">
        <v>24</v>
      </c>
      <c r="B201" s="51" t="s">
        <v>32</v>
      </c>
      <c r="C201" s="99">
        <v>10996.668627450981</v>
      </c>
      <c r="D201" s="99">
        <v>11039.581372549019</v>
      </c>
      <c r="E201" s="100">
        <v>11216.602000000001</v>
      </c>
      <c r="F201" s="100">
        <v>11260.373</v>
      </c>
      <c r="G201" s="1098">
        <v>-0.38871714107515642</v>
      </c>
      <c r="H201" s="101">
        <v>268.3</v>
      </c>
      <c r="I201" s="101">
        <v>-0.48219584569733354</v>
      </c>
      <c r="J201" s="109">
        <v>-51.476014760147606</v>
      </c>
      <c r="K201" s="109">
        <v>7.8695391980849791</v>
      </c>
      <c r="L201" s="1108">
        <v>0.93859290652487637</v>
      </c>
    </row>
    <row r="202" spans="1:12" ht="15">
      <c r="A202" s="50" t="s">
        <v>24</v>
      </c>
      <c r="B202" s="51" t="s">
        <v>33</v>
      </c>
      <c r="C202" s="99">
        <v>11708.847058823529</v>
      </c>
      <c r="D202" s="99">
        <v>11596.12156862745</v>
      </c>
      <c r="E202" s="100">
        <v>11943.023999999999</v>
      </c>
      <c r="F202" s="100">
        <v>11828.044</v>
      </c>
      <c r="G202" s="1098">
        <v>0.97209648526839743</v>
      </c>
      <c r="H202" s="101">
        <v>306.10000000000002</v>
      </c>
      <c r="I202" s="101">
        <v>3.51707811971594</v>
      </c>
      <c r="J202" s="109">
        <v>-70.077007700770082</v>
      </c>
      <c r="K202" s="109">
        <v>8.1388390185517654</v>
      </c>
      <c r="L202" s="1108">
        <v>-3.4852019021643468</v>
      </c>
    </row>
    <row r="203" spans="1:12" ht="15">
      <c r="A203" s="50" t="s">
        <v>24</v>
      </c>
      <c r="B203" s="51" t="s">
        <v>36</v>
      </c>
      <c r="C203" s="99">
        <v>11537.437254901961</v>
      </c>
      <c r="D203" s="99">
        <v>11515.666666666666</v>
      </c>
      <c r="E203" s="100">
        <v>11768.186</v>
      </c>
      <c r="F203" s="100">
        <v>11745.98</v>
      </c>
      <c r="G203" s="1098">
        <v>0.18905191393140575</v>
      </c>
      <c r="H203" s="101">
        <v>334.3</v>
      </c>
      <c r="I203" s="101">
        <v>-0.83061406110946645</v>
      </c>
      <c r="J203" s="109">
        <v>-68.796992481203006</v>
      </c>
      <c r="K203" s="109">
        <v>2.4835427887492521</v>
      </c>
      <c r="L203" s="1108">
        <v>-0.91799173810496759</v>
      </c>
    </row>
    <row r="204" spans="1:12" ht="14.25">
      <c r="A204" s="48" t="s">
        <v>24</v>
      </c>
      <c r="B204" s="52" t="s">
        <v>37</v>
      </c>
      <c r="C204" s="110">
        <v>8922.5858812158895</v>
      </c>
      <c r="D204" s="110">
        <v>8911.9693732109918</v>
      </c>
      <c r="E204" s="111">
        <v>9101.0375988402066</v>
      </c>
      <c r="F204" s="111">
        <v>9090.208760675212</v>
      </c>
      <c r="G204" s="1121">
        <v>0.11912639687485203</v>
      </c>
      <c r="H204" s="112">
        <v>219.83456090651555</v>
      </c>
      <c r="I204" s="112">
        <v>-0.63275814044123035</v>
      </c>
      <c r="J204" s="113">
        <v>-51.175656984785611</v>
      </c>
      <c r="K204" s="113">
        <v>10.562537402752843</v>
      </c>
      <c r="L204" s="1115">
        <v>1.3170131060776509</v>
      </c>
    </row>
    <row r="205" spans="1:12" ht="15">
      <c r="A205" s="50" t="s">
        <v>24</v>
      </c>
      <c r="B205" s="51" t="s">
        <v>102</v>
      </c>
      <c r="C205" s="121">
        <v>8937.2117647058822</v>
      </c>
      <c r="D205" s="121">
        <v>8631.4676470588238</v>
      </c>
      <c r="E205" s="122">
        <v>9115.9560000000001</v>
      </c>
      <c r="F205" s="122">
        <v>8804.0969999999998</v>
      </c>
      <c r="G205" s="1126">
        <v>3.54220313565378</v>
      </c>
      <c r="H205" s="123">
        <v>207.9</v>
      </c>
      <c r="I205" s="123">
        <v>2.0618556701031014</v>
      </c>
      <c r="J205" s="124">
        <v>-54.385964912280706</v>
      </c>
      <c r="K205" s="124">
        <v>4.6678635547576297</v>
      </c>
      <c r="L205" s="1127">
        <v>0.2944620202307755</v>
      </c>
    </row>
    <row r="206" spans="1:12" ht="15">
      <c r="A206" s="50" t="s">
        <v>24</v>
      </c>
      <c r="B206" s="51" t="s">
        <v>38</v>
      </c>
      <c r="C206" s="99">
        <v>8924.4696078431371</v>
      </c>
      <c r="D206" s="99">
        <v>8983.7813725490196</v>
      </c>
      <c r="E206" s="100">
        <v>9102.9590000000007</v>
      </c>
      <c r="F206" s="100">
        <v>9163.4570000000003</v>
      </c>
      <c r="G206" s="1098">
        <v>-0.66020935112152102</v>
      </c>
      <c r="H206" s="101">
        <v>228.5</v>
      </c>
      <c r="I206" s="101">
        <v>-2.2250748823277657</v>
      </c>
      <c r="J206" s="109">
        <v>-40.789473684210527</v>
      </c>
      <c r="K206" s="109">
        <v>5.3859964093357267</v>
      </c>
      <c r="L206" s="1108">
        <v>1.4985283786451897</v>
      </c>
    </row>
    <row r="207" spans="1:12" ht="15.75" thickBot="1">
      <c r="A207" s="50" t="s">
        <v>24</v>
      </c>
      <c r="B207" s="51" t="s">
        <v>39</v>
      </c>
      <c r="C207" s="99">
        <v>8786.0029411764699</v>
      </c>
      <c r="D207" s="99">
        <v>9662.176470588236</v>
      </c>
      <c r="E207" s="100">
        <v>8961.723</v>
      </c>
      <c r="F207" s="100">
        <v>9855.42</v>
      </c>
      <c r="G207" s="1098">
        <v>-9.0680762463700191</v>
      </c>
      <c r="H207" s="101">
        <v>237.6</v>
      </c>
      <c r="I207" s="101">
        <v>-4.9219687875150102</v>
      </c>
      <c r="J207" s="109">
        <v>-77.922077922077932</v>
      </c>
      <c r="K207" s="109">
        <v>0.50867743865948534</v>
      </c>
      <c r="L207" s="1108">
        <v>-0.47597729279831513</v>
      </c>
    </row>
    <row r="208" spans="1:12" ht="15.75" thickBot="1">
      <c r="A208" s="55"/>
      <c r="B208" s="56"/>
      <c r="C208" s="116"/>
      <c r="D208" s="116"/>
      <c r="E208" s="116"/>
      <c r="F208" s="116"/>
      <c r="G208" s="1122"/>
      <c r="H208" s="117"/>
      <c r="I208" s="117"/>
      <c r="J208" s="117"/>
      <c r="K208" s="117"/>
      <c r="L208" s="1123"/>
    </row>
    <row r="209" spans="1:12" ht="14.25">
      <c r="A209" s="48" t="s">
        <v>117</v>
      </c>
      <c r="B209" s="52" t="s">
        <v>25</v>
      </c>
      <c r="C209" s="110">
        <v>14496.664870090752</v>
      </c>
      <c r="D209" s="110">
        <v>14284.290255159607</v>
      </c>
      <c r="E209" s="111">
        <v>14786.598167492568</v>
      </c>
      <c r="F209" s="111">
        <v>14569.976060262799</v>
      </c>
      <c r="G209" s="1121">
        <v>1.4867705089823002</v>
      </c>
      <c r="H209" s="112">
        <v>325.49677419354845</v>
      </c>
      <c r="I209" s="112">
        <v>1.7730533775368955</v>
      </c>
      <c r="J209" s="113">
        <v>-55.072463768115945</v>
      </c>
      <c r="K209" s="113">
        <v>0.92758827049670856</v>
      </c>
      <c r="L209" s="1115">
        <v>4.5235329320237994E-2</v>
      </c>
    </row>
    <row r="210" spans="1:12" ht="15">
      <c r="A210" s="50" t="s">
        <v>117</v>
      </c>
      <c r="B210" s="51" t="s">
        <v>26</v>
      </c>
      <c r="C210" s="99">
        <v>14338.665686274509</v>
      </c>
      <c r="D210" s="99">
        <v>14313.132352941177</v>
      </c>
      <c r="E210" s="100">
        <v>14625.439</v>
      </c>
      <c r="F210" s="100">
        <v>14599.395</v>
      </c>
      <c r="G210" s="1098">
        <v>0.17839095387171777</v>
      </c>
      <c r="H210" s="101">
        <v>295</v>
      </c>
      <c r="I210" s="101">
        <v>-10.606060606060606</v>
      </c>
      <c r="J210" s="109">
        <v>-86.666666666666671</v>
      </c>
      <c r="K210" s="109">
        <v>5.9844404548174746E-2</v>
      </c>
      <c r="L210" s="1108">
        <v>-0.13197145222931886</v>
      </c>
    </row>
    <row r="211" spans="1:12" ht="15">
      <c r="A211" s="50" t="s">
        <v>117</v>
      </c>
      <c r="B211" s="51" t="s">
        <v>27</v>
      </c>
      <c r="C211" s="99">
        <v>14506.477450980392</v>
      </c>
      <c r="D211" s="99">
        <v>14275.950980392156</v>
      </c>
      <c r="E211" s="100">
        <v>14796.607</v>
      </c>
      <c r="F211" s="100">
        <v>14561.47</v>
      </c>
      <c r="G211" s="1098">
        <v>1.6147888915061506</v>
      </c>
      <c r="H211" s="101">
        <v>327.60000000000002</v>
      </c>
      <c r="I211" s="101">
        <v>3.3438485804416476</v>
      </c>
      <c r="J211" s="109">
        <v>-46.296296296296298</v>
      </c>
      <c r="K211" s="109">
        <v>0.86774386594853392</v>
      </c>
      <c r="L211" s="1108">
        <v>0.17720678154955694</v>
      </c>
    </row>
    <row r="212" spans="1:12" ht="14.25">
      <c r="A212" s="48" t="s">
        <v>117</v>
      </c>
      <c r="B212" s="52" t="s">
        <v>28</v>
      </c>
      <c r="C212" s="110">
        <v>13770.863652553526</v>
      </c>
      <c r="D212" s="110">
        <v>13795.435067056284</v>
      </c>
      <c r="E212" s="111">
        <v>14046.280925604597</v>
      </c>
      <c r="F212" s="111">
        <v>14071.34376839741</v>
      </c>
      <c r="G212" s="1121">
        <v>-0.17811264656259326</v>
      </c>
      <c r="H212" s="112">
        <v>312.5789830508474</v>
      </c>
      <c r="I212" s="112">
        <v>4.4789003793838882</v>
      </c>
      <c r="J212" s="113">
        <v>-41.699604743083</v>
      </c>
      <c r="K212" s="113">
        <v>8.8270496708557751</v>
      </c>
      <c r="L212" s="1115">
        <v>2.3564614355616564</v>
      </c>
    </row>
    <row r="213" spans="1:12" ht="15">
      <c r="A213" s="50" t="s">
        <v>117</v>
      </c>
      <c r="B213" s="51" t="s">
        <v>29</v>
      </c>
      <c r="C213" s="99">
        <v>13398.033333333333</v>
      </c>
      <c r="D213" s="99">
        <v>13496.677450980393</v>
      </c>
      <c r="E213" s="100">
        <v>13665.994000000001</v>
      </c>
      <c r="F213" s="100">
        <v>13766.611000000001</v>
      </c>
      <c r="G213" s="1098">
        <v>-0.73087704737208148</v>
      </c>
      <c r="H213" s="101">
        <v>321.2</v>
      </c>
      <c r="I213" s="101">
        <v>17.14077315827863</v>
      </c>
      <c r="J213" s="109">
        <v>-23.636363636363637</v>
      </c>
      <c r="K213" s="109">
        <v>1.2567324955116697</v>
      </c>
      <c r="L213" s="1108">
        <v>0.55340768732752643</v>
      </c>
    </row>
    <row r="214" spans="1:12" ht="15">
      <c r="A214" s="50" t="s">
        <v>117</v>
      </c>
      <c r="B214" s="51" t="s">
        <v>30</v>
      </c>
      <c r="C214" s="99">
        <v>13715.609803921569</v>
      </c>
      <c r="D214" s="99">
        <v>13863.421568627451</v>
      </c>
      <c r="E214" s="100">
        <v>13989.922</v>
      </c>
      <c r="F214" s="100">
        <v>14140.69</v>
      </c>
      <c r="G214" s="1098">
        <v>-1.0661997398995382</v>
      </c>
      <c r="H214" s="101">
        <v>298</v>
      </c>
      <c r="I214" s="101">
        <v>0.81190798376183249</v>
      </c>
      <c r="J214" s="109">
        <v>-55.438596491228068</v>
      </c>
      <c r="K214" s="109">
        <v>3.8001196888090965</v>
      </c>
      <c r="L214" s="1108">
        <v>0.1556184100367175</v>
      </c>
    </row>
    <row r="215" spans="1:12" ht="15">
      <c r="A215" s="50" t="s">
        <v>117</v>
      </c>
      <c r="B215" s="51" t="s">
        <v>35</v>
      </c>
      <c r="C215" s="99">
        <v>13945.095098039215</v>
      </c>
      <c r="D215" s="99">
        <v>13771.963725490195</v>
      </c>
      <c r="E215" s="100">
        <v>14223.996999999999</v>
      </c>
      <c r="F215" s="100">
        <v>14047.403</v>
      </c>
      <c r="G215" s="1098">
        <v>1.2571291647288765</v>
      </c>
      <c r="H215" s="101">
        <v>324.39999999999998</v>
      </c>
      <c r="I215" s="101">
        <v>3.4438775510203934</v>
      </c>
      <c r="J215" s="109">
        <v>-24.096385542168676</v>
      </c>
      <c r="K215" s="109">
        <v>3.7701974865350087</v>
      </c>
      <c r="L215" s="1108">
        <v>1.6474353381974129</v>
      </c>
    </row>
    <row r="216" spans="1:12" ht="14.25">
      <c r="A216" s="48" t="s">
        <v>117</v>
      </c>
      <c r="B216" s="52" t="s">
        <v>31</v>
      </c>
      <c r="C216" s="110">
        <v>12703.968207068046</v>
      </c>
      <c r="D216" s="110">
        <v>12713.106740545467</v>
      </c>
      <c r="E216" s="111">
        <v>12958.047571209408</v>
      </c>
      <c r="F216" s="111">
        <v>12967.368875356377</v>
      </c>
      <c r="G216" s="1121">
        <v>-7.1882771567349735E-2</v>
      </c>
      <c r="H216" s="112">
        <v>263.34343434343435</v>
      </c>
      <c r="I216" s="112">
        <v>0.63734622033383292</v>
      </c>
      <c r="J216" s="113">
        <v>-61.125654450261777</v>
      </c>
      <c r="K216" s="113">
        <v>8.8868940754039496</v>
      </c>
      <c r="L216" s="1115">
        <v>-0.88292689646305789</v>
      </c>
    </row>
    <row r="217" spans="1:12" ht="15">
      <c r="A217" s="50" t="s">
        <v>117</v>
      </c>
      <c r="B217" s="51" t="s">
        <v>32</v>
      </c>
      <c r="C217" s="99">
        <v>12367.976470588235</v>
      </c>
      <c r="D217" s="99">
        <v>12291.763725490197</v>
      </c>
      <c r="E217" s="100">
        <v>12615.335999999999</v>
      </c>
      <c r="F217" s="100">
        <v>12537.599</v>
      </c>
      <c r="G217" s="1098">
        <v>0.62003099636540593</v>
      </c>
      <c r="H217" s="101">
        <v>246.4</v>
      </c>
      <c r="I217" s="101">
        <v>4.851063829787237</v>
      </c>
      <c r="J217" s="109">
        <v>-30.569948186528496</v>
      </c>
      <c r="K217" s="109">
        <v>4.0095751047277073</v>
      </c>
      <c r="L217" s="1108">
        <v>1.5415444141906232</v>
      </c>
    </row>
    <row r="218" spans="1:12" ht="15">
      <c r="A218" s="50" t="s">
        <v>117</v>
      </c>
      <c r="B218" s="51" t="s">
        <v>33</v>
      </c>
      <c r="C218" s="99">
        <v>12927.404901960783</v>
      </c>
      <c r="D218" s="99">
        <v>12767.25294117647</v>
      </c>
      <c r="E218" s="100">
        <v>13185.953</v>
      </c>
      <c r="F218" s="100">
        <v>13022.598</v>
      </c>
      <c r="G218" s="1098">
        <v>1.2543963961722504</v>
      </c>
      <c r="H218" s="101">
        <v>271.7</v>
      </c>
      <c r="I218" s="101">
        <v>3.2294832826747721</v>
      </c>
      <c r="J218" s="101">
        <v>-65.714285714285708</v>
      </c>
      <c r="K218" s="101">
        <v>3.9497307001795332</v>
      </c>
      <c r="L218" s="1099">
        <v>-0.97354295710946959</v>
      </c>
    </row>
    <row r="219" spans="1:12" ht="15.75" thickBot="1">
      <c r="A219" s="60" t="s">
        <v>117</v>
      </c>
      <c r="B219" s="61" t="s">
        <v>36</v>
      </c>
      <c r="C219" s="102">
        <v>13034.061764705883</v>
      </c>
      <c r="D219" s="102">
        <v>12968.943137254902</v>
      </c>
      <c r="E219" s="103">
        <v>13294.743</v>
      </c>
      <c r="F219" s="103">
        <v>13228.322</v>
      </c>
      <c r="G219" s="1100">
        <v>0.50211205926194014</v>
      </c>
      <c r="H219" s="104">
        <v>301</v>
      </c>
      <c r="I219" s="104">
        <v>5.1712089447938547</v>
      </c>
      <c r="J219" s="104">
        <v>-83.333333333333343</v>
      </c>
      <c r="K219" s="104">
        <v>0.92758827049670856</v>
      </c>
      <c r="L219" s="1101">
        <v>-1.4509283535442119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130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30"/>
    </row>
    <row r="223" spans="1:12" ht="21" thickBot="1">
      <c r="A223" s="28" t="s">
        <v>332</v>
      </c>
      <c r="B223" s="29"/>
      <c r="C223" s="29"/>
      <c r="D223" s="29"/>
      <c r="E223" s="29"/>
      <c r="F223" s="29"/>
      <c r="G223" s="915"/>
      <c r="H223" s="915"/>
      <c r="I223" s="915"/>
      <c r="J223" s="915"/>
      <c r="K223" s="915"/>
      <c r="L223" s="1031"/>
    </row>
    <row r="224" spans="1:12">
      <c r="A224" s="30"/>
      <c r="B224" s="31"/>
      <c r="C224" s="3" t="s">
        <v>9</v>
      </c>
      <c r="D224" s="3" t="s">
        <v>9</v>
      </c>
      <c r="E224" s="3"/>
      <c r="F224" s="3"/>
      <c r="G224" s="1027"/>
      <c r="H224" s="1161" t="s">
        <v>10</v>
      </c>
      <c r="I224" s="1162"/>
      <c r="J224" s="980" t="s">
        <v>11</v>
      </c>
      <c r="K224" s="32" t="s">
        <v>12</v>
      </c>
      <c r="L224" s="1028"/>
    </row>
    <row r="225" spans="1:12" ht="15.75">
      <c r="A225" s="33" t="s">
        <v>13</v>
      </c>
      <c r="B225" s="34" t="s">
        <v>14</v>
      </c>
      <c r="C225" s="709" t="s">
        <v>40</v>
      </c>
      <c r="D225" s="709" t="s">
        <v>40</v>
      </c>
      <c r="E225" s="710" t="s">
        <v>41</v>
      </c>
      <c r="F225" s="711"/>
      <c r="G225" s="1086"/>
      <c r="H225" s="1163" t="s">
        <v>15</v>
      </c>
      <c r="I225" s="1164"/>
      <c r="J225" s="981" t="s">
        <v>16</v>
      </c>
      <c r="K225" s="86" t="s">
        <v>17</v>
      </c>
      <c r="L225" s="1029"/>
    </row>
    <row r="226" spans="1:12" ht="26.25" thickBot="1">
      <c r="A226" s="35" t="s">
        <v>18</v>
      </c>
      <c r="B226" s="36" t="s">
        <v>19</v>
      </c>
      <c r="C226" s="719" t="s">
        <v>375</v>
      </c>
      <c r="D226" s="719" t="s">
        <v>377</v>
      </c>
      <c r="E226" s="913" t="s">
        <v>375</v>
      </c>
      <c r="F226" s="914" t="s">
        <v>377</v>
      </c>
      <c r="G226" s="1085" t="s">
        <v>20</v>
      </c>
      <c r="H226" s="85" t="s">
        <v>375</v>
      </c>
      <c r="I226" s="1087" t="s">
        <v>20</v>
      </c>
      <c r="J226" s="1088" t="s">
        <v>20</v>
      </c>
      <c r="K226" s="720" t="s">
        <v>375</v>
      </c>
      <c r="L226" s="1089" t="s">
        <v>21</v>
      </c>
    </row>
    <row r="227" spans="1:12" ht="15" thickBot="1">
      <c r="A227" s="37" t="s">
        <v>22</v>
      </c>
      <c r="B227" s="38" t="s">
        <v>23</v>
      </c>
      <c r="C227" s="87">
        <v>11113.769704498913</v>
      </c>
      <c r="D227" s="87">
        <v>11376.976196080863</v>
      </c>
      <c r="E227" s="88">
        <v>11336.045098588891</v>
      </c>
      <c r="F227" s="718">
        <v>11604.515720002481</v>
      </c>
      <c r="G227" s="1090">
        <v>-2.3135012945937228</v>
      </c>
      <c r="H227" s="89">
        <v>295.94189944134081</v>
      </c>
      <c r="I227" s="89">
        <v>0.61167545784716393</v>
      </c>
      <c r="J227" s="90">
        <v>-34.67153284671533</v>
      </c>
      <c r="K227" s="89">
        <v>100</v>
      </c>
      <c r="L227" s="1091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92"/>
      <c r="H228" s="90"/>
      <c r="I228" s="90"/>
      <c r="J228" s="90"/>
      <c r="K228" s="90"/>
      <c r="L228" s="1093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94" t="s">
        <v>100</v>
      </c>
      <c r="H229" s="94" t="s">
        <v>100</v>
      </c>
      <c r="I229" s="94" t="s">
        <v>100</v>
      </c>
      <c r="J229" s="94" t="s">
        <v>100</v>
      </c>
      <c r="K229" s="94">
        <v>0</v>
      </c>
      <c r="L229" s="1095">
        <v>0</v>
      </c>
    </row>
    <row r="230" spans="1:12" ht="15">
      <c r="A230" s="50" t="s">
        <v>109</v>
      </c>
      <c r="B230" s="95" t="s">
        <v>23</v>
      </c>
      <c r="C230" s="96">
        <v>12935.897222335932</v>
      </c>
      <c r="D230" s="96">
        <v>13255.671475141356</v>
      </c>
      <c r="E230" s="97">
        <v>13194.615166782651</v>
      </c>
      <c r="F230" s="97">
        <v>13520.784904644184</v>
      </c>
      <c r="G230" s="1096">
        <v>-2.4123580114753485</v>
      </c>
      <c r="H230" s="98">
        <v>362.2789915966386</v>
      </c>
      <c r="I230" s="98">
        <v>2.9904978997494696</v>
      </c>
      <c r="J230" s="98">
        <v>-26.086956521739129</v>
      </c>
      <c r="K230" s="98">
        <v>16.620111731843576</v>
      </c>
      <c r="L230" s="1097">
        <v>1.9303307099457658</v>
      </c>
    </row>
    <row r="231" spans="1:12" ht="15">
      <c r="A231" s="43" t="s">
        <v>110</v>
      </c>
      <c r="B231" s="44" t="s">
        <v>23</v>
      </c>
      <c r="C231" s="99">
        <v>12918.430782410051</v>
      </c>
      <c r="D231" s="99">
        <v>13068.726235294116</v>
      </c>
      <c r="E231" s="100">
        <v>13176.799398058252</v>
      </c>
      <c r="F231" s="100">
        <v>13330.100759999999</v>
      </c>
      <c r="G231" s="1098">
        <v>-1.1500390334764958</v>
      </c>
      <c r="H231" s="101">
        <v>386.22500000000008</v>
      </c>
      <c r="I231" s="101">
        <v>-1.7940091165617269</v>
      </c>
      <c r="J231" s="101">
        <v>-70.731707317073173</v>
      </c>
      <c r="K231" s="101">
        <v>3.3519553072625698</v>
      </c>
      <c r="L231" s="1099">
        <v>-4.1297965175549489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98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99" t="s">
        <v>100</v>
      </c>
    </row>
    <row r="233" spans="1:12" ht="15">
      <c r="A233" s="43" t="s">
        <v>98</v>
      </c>
      <c r="B233" s="44" t="s">
        <v>23</v>
      </c>
      <c r="C233" s="99">
        <v>10208.490916033974</v>
      </c>
      <c r="D233" s="99">
        <v>10447.351054659875</v>
      </c>
      <c r="E233" s="100">
        <v>10412.660734354653</v>
      </c>
      <c r="F233" s="100">
        <v>10656.298075753073</v>
      </c>
      <c r="G233" s="1098">
        <v>-2.2863225077457536</v>
      </c>
      <c r="H233" s="101">
        <v>275.43037974683546</v>
      </c>
      <c r="I233" s="101">
        <v>1.926149058392453</v>
      </c>
      <c r="J233" s="101">
        <v>-36.546184738955823</v>
      </c>
      <c r="K233" s="101">
        <v>66.201117318435749</v>
      </c>
      <c r="L233" s="1099">
        <v>-1.9558169881335914</v>
      </c>
    </row>
    <row r="234" spans="1:12" ht="15.75" thickBot="1">
      <c r="A234" s="45" t="s">
        <v>112</v>
      </c>
      <c r="B234" s="46" t="s">
        <v>23</v>
      </c>
      <c r="C234" s="102">
        <v>11904.61985463384</v>
      </c>
      <c r="D234" s="102">
        <v>12220.404961143748</v>
      </c>
      <c r="E234" s="103">
        <v>12142.712251726518</v>
      </c>
      <c r="F234" s="103">
        <v>12464.813060366623</v>
      </c>
      <c r="G234" s="1100">
        <v>-2.5840805399983386</v>
      </c>
      <c r="H234" s="104">
        <v>292.52323232323238</v>
      </c>
      <c r="I234" s="104">
        <v>-1.998240734701537</v>
      </c>
      <c r="J234" s="104">
        <v>-6.6037735849056602</v>
      </c>
      <c r="K234" s="104">
        <v>13.826815642458101</v>
      </c>
      <c r="L234" s="1101">
        <v>4.1552827957427709</v>
      </c>
    </row>
    <row r="235" spans="1:12" ht="15" thickBot="1">
      <c r="A235" s="39"/>
      <c r="B235" s="47"/>
      <c r="C235" s="91"/>
      <c r="D235" s="91"/>
      <c r="E235" s="91"/>
      <c r="F235" s="91"/>
      <c r="G235" s="1092"/>
      <c r="H235" s="90"/>
      <c r="I235" s="90"/>
      <c r="J235" s="90"/>
      <c r="K235" s="90"/>
      <c r="L235" s="1093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102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120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98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108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98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108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121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115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98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108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98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108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121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115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98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108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118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108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92"/>
      <c r="H245" s="90"/>
      <c r="I245" s="90"/>
      <c r="J245" s="90"/>
      <c r="K245" s="90"/>
      <c r="L245" s="1093"/>
    </row>
    <row r="246" spans="1:12" ht="14.25">
      <c r="A246" s="48" t="s">
        <v>114</v>
      </c>
      <c r="B246" s="49" t="s">
        <v>25</v>
      </c>
      <c r="C246" s="105">
        <v>13582.17351070199</v>
      </c>
      <c r="D246" s="105">
        <v>13668.185973597359</v>
      </c>
      <c r="E246" s="106">
        <v>13853.81698091603</v>
      </c>
      <c r="F246" s="106">
        <v>13941.549693069306</v>
      </c>
      <c r="G246" s="1102">
        <v>-0.62928952723878573</v>
      </c>
      <c r="H246" s="107">
        <v>403.0846153846154</v>
      </c>
      <c r="I246" s="107">
        <v>-0.22411065011129117</v>
      </c>
      <c r="J246" s="108">
        <v>30</v>
      </c>
      <c r="K246" s="108">
        <v>1.8156424581005588</v>
      </c>
      <c r="L246" s="1120">
        <v>0.90323369897647132</v>
      </c>
    </row>
    <row r="247" spans="1:12" ht="15">
      <c r="A247" s="50" t="s">
        <v>114</v>
      </c>
      <c r="B247" s="51" t="s">
        <v>26</v>
      </c>
      <c r="C247" s="99">
        <v>13546.973529411765</v>
      </c>
      <c r="D247" s="99" t="s">
        <v>257</v>
      </c>
      <c r="E247" s="100">
        <v>13817.913</v>
      </c>
      <c r="F247" s="100">
        <v>13713.266</v>
      </c>
      <c r="G247" s="1098">
        <v>0.76310778190987361</v>
      </c>
      <c r="H247" s="101">
        <v>409.1</v>
      </c>
      <c r="I247" s="101">
        <v>2.2750000000000057</v>
      </c>
      <c r="J247" s="109">
        <v>57.142857142857139</v>
      </c>
      <c r="K247" s="109">
        <v>1.5363128491620111</v>
      </c>
      <c r="L247" s="1108">
        <v>0.89762671777514969</v>
      </c>
    </row>
    <row r="248" spans="1:12" ht="15">
      <c r="A248" s="50" t="s">
        <v>114</v>
      </c>
      <c r="B248" s="51" t="s">
        <v>27</v>
      </c>
      <c r="C248" s="99" t="s">
        <v>257</v>
      </c>
      <c r="D248" s="99">
        <v>14173.557843137256</v>
      </c>
      <c r="E248" s="100" t="s">
        <v>257</v>
      </c>
      <c r="F248" s="100">
        <v>14457.029</v>
      </c>
      <c r="G248" s="1098" t="s">
        <v>100</v>
      </c>
      <c r="H248" s="101" t="s">
        <v>257</v>
      </c>
      <c r="I248" s="101" t="s">
        <v>100</v>
      </c>
      <c r="J248" s="109" t="s">
        <v>100</v>
      </c>
      <c r="K248" s="109" t="s">
        <v>257</v>
      </c>
      <c r="L248" s="1108" t="s">
        <v>100</v>
      </c>
    </row>
    <row r="249" spans="1:12" ht="14.25">
      <c r="A249" s="48" t="s">
        <v>114</v>
      </c>
      <c r="B249" s="52" t="s">
        <v>28</v>
      </c>
      <c r="C249" s="110">
        <v>12907.365674507328</v>
      </c>
      <c r="D249" s="110">
        <v>13709.540749711648</v>
      </c>
      <c r="E249" s="111">
        <v>13165.512987997474</v>
      </c>
      <c r="F249" s="111">
        <v>13983.731564705882</v>
      </c>
      <c r="G249" s="1121">
        <v>-5.8512177019583529</v>
      </c>
      <c r="H249" s="112">
        <v>376.9190476190476</v>
      </c>
      <c r="I249" s="112">
        <v>3.4612116855107504</v>
      </c>
      <c r="J249" s="113">
        <v>0</v>
      </c>
      <c r="K249" s="113">
        <v>5.8659217877094969</v>
      </c>
      <c r="L249" s="1115">
        <v>2.0338049993883289</v>
      </c>
    </row>
    <row r="250" spans="1:12" ht="15">
      <c r="A250" s="50" t="s">
        <v>114</v>
      </c>
      <c r="B250" s="51" t="s">
        <v>29</v>
      </c>
      <c r="C250" s="99">
        <v>12982.993137254902</v>
      </c>
      <c r="D250" s="99">
        <v>13790.687254901961</v>
      </c>
      <c r="E250" s="100">
        <v>13242.653</v>
      </c>
      <c r="F250" s="100">
        <v>14066.501</v>
      </c>
      <c r="G250" s="1098">
        <v>-5.8568083135955415</v>
      </c>
      <c r="H250" s="101">
        <v>367.7</v>
      </c>
      <c r="I250" s="101">
        <v>1.9972260748959747</v>
      </c>
      <c r="J250" s="109">
        <v>18.181818181818183</v>
      </c>
      <c r="K250" s="109">
        <v>3.6312849162011176</v>
      </c>
      <c r="L250" s="1108">
        <v>1.623985646128125</v>
      </c>
    </row>
    <row r="251" spans="1:12" ht="15">
      <c r="A251" s="50" t="s">
        <v>114</v>
      </c>
      <c r="B251" s="51" t="s">
        <v>30</v>
      </c>
      <c r="C251" s="99">
        <v>12792.054901960784</v>
      </c>
      <c r="D251" s="99">
        <v>13622.228431372549</v>
      </c>
      <c r="E251" s="100">
        <v>13047.896000000001</v>
      </c>
      <c r="F251" s="100">
        <v>13894.673000000001</v>
      </c>
      <c r="G251" s="1098">
        <v>-6.0942564103523704</v>
      </c>
      <c r="H251" s="101">
        <v>391.9</v>
      </c>
      <c r="I251" s="101">
        <v>6.3500678426051502</v>
      </c>
      <c r="J251" s="109">
        <v>-20</v>
      </c>
      <c r="K251" s="109">
        <v>2.2346368715083798</v>
      </c>
      <c r="L251" s="1108">
        <v>0.4098193532602048</v>
      </c>
    </row>
    <row r="252" spans="1:12" ht="14.25">
      <c r="A252" s="48" t="s">
        <v>114</v>
      </c>
      <c r="B252" s="52" t="s">
        <v>31</v>
      </c>
      <c r="C252" s="110">
        <v>12802.737814490589</v>
      </c>
      <c r="D252" s="110">
        <v>13024.758134441763</v>
      </c>
      <c r="E252" s="111">
        <v>13058.792570780401</v>
      </c>
      <c r="F252" s="111">
        <v>13285.253297130599</v>
      </c>
      <c r="G252" s="1121">
        <v>-1.7046022479609804</v>
      </c>
      <c r="H252" s="112">
        <v>344.3828125</v>
      </c>
      <c r="I252" s="112">
        <v>0.65784600213448008</v>
      </c>
      <c r="J252" s="113">
        <v>-41.284403669724774</v>
      </c>
      <c r="K252" s="113">
        <v>8.938547486033519</v>
      </c>
      <c r="L252" s="1115">
        <v>-1.006707988419036</v>
      </c>
    </row>
    <row r="253" spans="1:12" ht="15">
      <c r="A253" s="50" t="s">
        <v>114</v>
      </c>
      <c r="B253" s="51" t="s">
        <v>32</v>
      </c>
      <c r="C253" s="99">
        <v>12710.529411764706</v>
      </c>
      <c r="D253" s="99">
        <v>12940.88725490196</v>
      </c>
      <c r="E253" s="100">
        <v>12964.74</v>
      </c>
      <c r="F253" s="100">
        <v>13199.705</v>
      </c>
      <c r="G253" s="1098">
        <v>-1.7800776608265119</v>
      </c>
      <c r="H253" s="101">
        <v>338</v>
      </c>
      <c r="I253" s="101">
        <v>4.4499381953028356</v>
      </c>
      <c r="J253" s="109">
        <v>-23.728813559322035</v>
      </c>
      <c r="K253" s="109">
        <v>6.2849162011173192</v>
      </c>
      <c r="L253" s="1108">
        <v>0.90170452228520315</v>
      </c>
    </row>
    <row r="254" spans="1:12" ht="15.75" thickBot="1">
      <c r="A254" s="53" t="s">
        <v>114</v>
      </c>
      <c r="B254" s="54" t="s">
        <v>33</v>
      </c>
      <c r="C254" s="114">
        <v>13008.080392156862</v>
      </c>
      <c r="D254" s="114">
        <v>13112.730392156864</v>
      </c>
      <c r="E254" s="115">
        <v>13268.242</v>
      </c>
      <c r="F254" s="115">
        <v>13374.985000000001</v>
      </c>
      <c r="G254" s="1118">
        <v>-0.79807939971521746</v>
      </c>
      <c r="H254" s="109">
        <v>359.5</v>
      </c>
      <c r="I254" s="109">
        <v>-1.2362637362637363</v>
      </c>
      <c r="J254" s="109">
        <v>-62</v>
      </c>
      <c r="K254" s="109">
        <v>2.6536312849162011</v>
      </c>
      <c r="L254" s="1108">
        <v>-1.9084125107042369</v>
      </c>
    </row>
    <row r="255" spans="1:12" ht="15.75" thickBot="1">
      <c r="A255" s="55"/>
      <c r="B255" s="56"/>
      <c r="C255" s="116"/>
      <c r="D255" s="116"/>
      <c r="E255" s="116"/>
      <c r="F255" s="116"/>
      <c r="G255" s="1122"/>
      <c r="H255" s="117"/>
      <c r="I255" s="117"/>
      <c r="J255" s="117"/>
      <c r="K255" s="117"/>
      <c r="L255" s="1123"/>
    </row>
    <row r="256" spans="1:12" ht="15">
      <c r="A256" s="50" t="s">
        <v>115</v>
      </c>
      <c r="B256" s="57" t="s">
        <v>30</v>
      </c>
      <c r="C256" s="118">
        <v>12624.120588235293</v>
      </c>
      <c r="D256" s="118">
        <v>12976.321568627451</v>
      </c>
      <c r="E256" s="119">
        <v>12876.602999999999</v>
      </c>
      <c r="F256" s="119">
        <v>13235.848</v>
      </c>
      <c r="G256" s="1124">
        <v>-2.7141819700558725</v>
      </c>
      <c r="H256" s="120">
        <v>378</v>
      </c>
      <c r="I256" s="120">
        <v>-4.7619047619047565</v>
      </c>
      <c r="J256" s="120">
        <v>-61.53846153846154</v>
      </c>
      <c r="K256" s="120">
        <v>1.3966480446927374</v>
      </c>
      <c r="L256" s="1125">
        <v>-0.97561472902988999</v>
      </c>
    </row>
    <row r="257" spans="1:12" ht="15.75" thickBot="1">
      <c r="A257" s="53" t="s">
        <v>115</v>
      </c>
      <c r="B257" s="54" t="s">
        <v>33</v>
      </c>
      <c r="C257" s="114">
        <v>13121.070588235294</v>
      </c>
      <c r="D257" s="114">
        <v>13112.210784313726</v>
      </c>
      <c r="E257" s="115">
        <v>13383.492</v>
      </c>
      <c r="F257" s="115">
        <v>13374.455</v>
      </c>
      <c r="G257" s="1118">
        <v>6.7569108423485388E-2</v>
      </c>
      <c r="H257" s="109">
        <v>392.1</v>
      </c>
      <c r="I257" s="109">
        <v>0.12768130745658834</v>
      </c>
      <c r="J257" s="109">
        <v>-75</v>
      </c>
      <c r="K257" s="109">
        <v>1.9553072625698324</v>
      </c>
      <c r="L257" s="1108">
        <v>-3.1541817885250585</v>
      </c>
    </row>
    <row r="258" spans="1:12" ht="15.75" thickBot="1">
      <c r="A258" s="55"/>
      <c r="B258" s="56"/>
      <c r="C258" s="116"/>
      <c r="D258" s="116"/>
      <c r="E258" s="116"/>
      <c r="F258" s="116"/>
      <c r="G258" s="1122"/>
      <c r="H258" s="117"/>
      <c r="I258" s="117"/>
      <c r="J258" s="117"/>
      <c r="K258" s="117"/>
      <c r="L258" s="1123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102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120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98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108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98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108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98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108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121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115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98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108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98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108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121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115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98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108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118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108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122"/>
      <c r="H269" s="117"/>
      <c r="I269" s="117"/>
      <c r="J269" s="117"/>
      <c r="K269" s="117"/>
      <c r="L269" s="1123"/>
    </row>
    <row r="270" spans="1:12" ht="14.25">
      <c r="A270" s="48" t="s">
        <v>24</v>
      </c>
      <c r="B270" s="49" t="s">
        <v>28</v>
      </c>
      <c r="C270" s="105">
        <v>11058.421521865326</v>
      </c>
      <c r="D270" s="105">
        <v>10927.744519447122</v>
      </c>
      <c r="E270" s="106">
        <v>11279.589952302633</v>
      </c>
      <c r="F270" s="106">
        <v>11146.299409836065</v>
      </c>
      <c r="G270" s="1102">
        <v>1.1958277592018154</v>
      </c>
      <c r="H270" s="107">
        <v>357.62941176470594</v>
      </c>
      <c r="I270" s="107">
        <v>9.924820730529877</v>
      </c>
      <c r="J270" s="108">
        <v>13.333333333333334</v>
      </c>
      <c r="K270" s="108">
        <v>2.3743016759776534</v>
      </c>
      <c r="L270" s="1120">
        <v>1.0056885372915219</v>
      </c>
    </row>
    <row r="271" spans="1:12" ht="15">
      <c r="A271" s="50" t="s">
        <v>24</v>
      </c>
      <c r="B271" s="51" t="s">
        <v>29</v>
      </c>
      <c r="C271" s="99" t="s">
        <v>257</v>
      </c>
      <c r="D271" s="99" t="s">
        <v>100</v>
      </c>
      <c r="E271" s="100" t="s">
        <v>257</v>
      </c>
      <c r="F271" s="100" t="s">
        <v>100</v>
      </c>
      <c r="G271" s="1098" t="s">
        <v>100</v>
      </c>
      <c r="H271" s="101" t="s">
        <v>257</v>
      </c>
      <c r="I271" s="101" t="s">
        <v>100</v>
      </c>
      <c r="J271" s="109" t="s">
        <v>100</v>
      </c>
      <c r="K271" s="109" t="s">
        <v>257</v>
      </c>
      <c r="L271" s="1108" t="s">
        <v>100</v>
      </c>
    </row>
    <row r="272" spans="1:12" ht="15">
      <c r="A272" s="50" t="s">
        <v>24</v>
      </c>
      <c r="B272" s="51" t="s">
        <v>30</v>
      </c>
      <c r="C272" s="99" t="s">
        <v>257</v>
      </c>
      <c r="D272" s="99">
        <v>11199.100980392157</v>
      </c>
      <c r="E272" s="100" t="s">
        <v>257</v>
      </c>
      <c r="F272" s="100">
        <v>11423.083000000001</v>
      </c>
      <c r="G272" s="1098" t="s">
        <v>100</v>
      </c>
      <c r="H272" s="101" t="s">
        <v>257</v>
      </c>
      <c r="I272" s="101" t="s">
        <v>100</v>
      </c>
      <c r="J272" s="109" t="s">
        <v>100</v>
      </c>
      <c r="K272" s="109" t="s">
        <v>257</v>
      </c>
      <c r="L272" s="1108" t="s">
        <v>100</v>
      </c>
    </row>
    <row r="273" spans="1:12" ht="15">
      <c r="A273" s="50" t="s">
        <v>24</v>
      </c>
      <c r="B273" s="51" t="s">
        <v>35</v>
      </c>
      <c r="C273" s="99" t="s">
        <v>257</v>
      </c>
      <c r="D273" s="99">
        <v>10869.693137254901</v>
      </c>
      <c r="E273" s="100" t="s">
        <v>257</v>
      </c>
      <c r="F273" s="100">
        <v>11087.087</v>
      </c>
      <c r="G273" s="1098" t="s">
        <v>100</v>
      </c>
      <c r="H273" s="101" t="s">
        <v>257</v>
      </c>
      <c r="I273" s="101" t="s">
        <v>100</v>
      </c>
      <c r="J273" s="109" t="s">
        <v>100</v>
      </c>
      <c r="K273" s="109" t="s">
        <v>257</v>
      </c>
      <c r="L273" s="1108" t="s">
        <v>100</v>
      </c>
    </row>
    <row r="274" spans="1:12" ht="14.25">
      <c r="A274" s="48" t="s">
        <v>24</v>
      </c>
      <c r="B274" s="52" t="s">
        <v>31</v>
      </c>
      <c r="C274" s="110">
        <v>10919.885262408894</v>
      </c>
      <c r="D274" s="110">
        <v>10855.350569223283</v>
      </c>
      <c r="E274" s="111">
        <v>11138.282967657073</v>
      </c>
      <c r="F274" s="111">
        <v>11072.457580607748</v>
      </c>
      <c r="G274" s="1121">
        <v>0.5944966288659419</v>
      </c>
      <c r="H274" s="112">
        <v>316.74117647058824</v>
      </c>
      <c r="I274" s="112">
        <v>2.1220781830916762</v>
      </c>
      <c r="J274" s="113">
        <v>-26.618705035971225</v>
      </c>
      <c r="K274" s="113">
        <v>28.491620111731841</v>
      </c>
      <c r="L274" s="1115">
        <v>3.1266566080822074</v>
      </c>
    </row>
    <row r="275" spans="1:12" ht="15">
      <c r="A275" s="50" t="s">
        <v>24</v>
      </c>
      <c r="B275" s="51" t="s">
        <v>32</v>
      </c>
      <c r="C275" s="99">
        <v>11107.500980392157</v>
      </c>
      <c r="D275" s="99" t="s">
        <v>100</v>
      </c>
      <c r="E275" s="100">
        <v>11329.651</v>
      </c>
      <c r="F275" s="100" t="s">
        <v>100</v>
      </c>
      <c r="G275" s="1098" t="s">
        <v>100</v>
      </c>
      <c r="H275" s="101">
        <v>299.3</v>
      </c>
      <c r="I275" s="101" t="s">
        <v>100</v>
      </c>
      <c r="J275" s="109" t="s">
        <v>100</v>
      </c>
      <c r="K275" s="109" t="s">
        <v>100</v>
      </c>
      <c r="L275" s="1108" t="s">
        <v>100</v>
      </c>
    </row>
    <row r="276" spans="1:12" ht="15">
      <c r="A276" s="50" t="s">
        <v>24</v>
      </c>
      <c r="B276" s="51" t="s">
        <v>33</v>
      </c>
      <c r="C276" s="99">
        <v>10731.151960784313</v>
      </c>
      <c r="D276" s="99">
        <v>10698.203921568627</v>
      </c>
      <c r="E276" s="100">
        <v>10945.775</v>
      </c>
      <c r="F276" s="100">
        <v>10912.168</v>
      </c>
      <c r="G276" s="1098">
        <v>0.30797729653722317</v>
      </c>
      <c r="H276" s="101">
        <v>323.3</v>
      </c>
      <c r="I276" s="101">
        <v>11.636740331491707</v>
      </c>
      <c r="J276" s="109">
        <v>-29.914529914529915</v>
      </c>
      <c r="K276" s="109">
        <v>11.452513966480447</v>
      </c>
      <c r="L276" s="1108">
        <v>0.77733148472862368</v>
      </c>
    </row>
    <row r="277" spans="1:12" ht="15">
      <c r="A277" s="50" t="s">
        <v>24</v>
      </c>
      <c r="B277" s="51" t="s">
        <v>36</v>
      </c>
      <c r="C277" s="99">
        <v>10904.405882352941</v>
      </c>
      <c r="D277" s="99">
        <v>10957.072549019607</v>
      </c>
      <c r="E277" s="100">
        <v>11122.494000000001</v>
      </c>
      <c r="F277" s="100">
        <v>11176.214</v>
      </c>
      <c r="G277" s="1098">
        <v>-0.4806636666048032</v>
      </c>
      <c r="H277" s="101">
        <v>352.3</v>
      </c>
      <c r="I277" s="101">
        <v>8.3666564134112544</v>
      </c>
      <c r="J277" s="109">
        <v>-81.366459627329192</v>
      </c>
      <c r="K277" s="109">
        <v>4.1899441340782122</v>
      </c>
      <c r="L277" s="1108">
        <v>-10.499836887819598</v>
      </c>
    </row>
    <row r="278" spans="1:12" ht="14.25">
      <c r="A278" s="48" t="s">
        <v>24</v>
      </c>
      <c r="B278" s="52" t="s">
        <v>37</v>
      </c>
      <c r="C278" s="110">
        <v>9354.0568183530704</v>
      </c>
      <c r="D278" s="110">
        <v>10108.521018053239</v>
      </c>
      <c r="E278" s="111">
        <v>9541.1379547201323</v>
      </c>
      <c r="F278" s="111">
        <v>10310.691438414304</v>
      </c>
      <c r="G278" s="1121">
        <v>-7.4636457534464071</v>
      </c>
      <c r="H278" s="112">
        <v>236.59723320158105</v>
      </c>
      <c r="I278" s="112">
        <v>-3.0146596298844277</v>
      </c>
      <c r="J278" s="113">
        <v>-44.273127753303967</v>
      </c>
      <c r="K278" s="113">
        <v>35.335195530726253</v>
      </c>
      <c r="L278" s="1115">
        <v>-6.0881621335073248</v>
      </c>
    </row>
    <row r="279" spans="1:12" ht="15">
      <c r="A279" s="50" t="s">
        <v>24</v>
      </c>
      <c r="B279" s="51" t="s">
        <v>102</v>
      </c>
      <c r="C279" s="121">
        <v>9320.8637254901969</v>
      </c>
      <c r="D279" s="121" t="s">
        <v>100</v>
      </c>
      <c r="E279" s="122">
        <v>9507.2810000000009</v>
      </c>
      <c r="F279" s="122">
        <v>0</v>
      </c>
      <c r="G279" s="1126" t="s">
        <v>100</v>
      </c>
      <c r="H279" s="123">
        <v>231.3</v>
      </c>
      <c r="I279" s="123" t="s">
        <v>100</v>
      </c>
      <c r="J279" s="124" t="s">
        <v>100</v>
      </c>
      <c r="K279" s="124">
        <v>28.910614525139668</v>
      </c>
      <c r="L279" s="1127">
        <v>28.910614525139668</v>
      </c>
    </row>
    <row r="280" spans="1:12" ht="15">
      <c r="A280" s="50" t="s">
        <v>24</v>
      </c>
      <c r="B280" s="51" t="s">
        <v>38</v>
      </c>
      <c r="C280" s="99">
        <v>9521.1686274509811</v>
      </c>
      <c r="D280" s="99">
        <v>10011.969607843137</v>
      </c>
      <c r="E280" s="100">
        <v>9711.5920000000006</v>
      </c>
      <c r="F280" s="100">
        <v>10212.209000000001</v>
      </c>
      <c r="G280" s="1098">
        <v>-4.9021421320303977</v>
      </c>
      <c r="H280" s="101">
        <v>260</v>
      </c>
      <c r="I280" s="101">
        <v>11.972437553832908</v>
      </c>
      <c r="J280" s="109">
        <v>-86.423841059602651</v>
      </c>
      <c r="K280" s="109">
        <v>5.7262569832402237</v>
      </c>
      <c r="L280" s="1108">
        <v>-21.828487542307226</v>
      </c>
    </row>
    <row r="281" spans="1:12" ht="15.75" thickBot="1">
      <c r="A281" s="50" t="s">
        <v>24</v>
      </c>
      <c r="B281" s="51" t="s">
        <v>39</v>
      </c>
      <c r="C281" s="99" t="s">
        <v>257</v>
      </c>
      <c r="D281" s="99">
        <v>10275.127450980392</v>
      </c>
      <c r="E281" s="100" t="s">
        <v>257</v>
      </c>
      <c r="F281" s="100">
        <v>10480.629999999999</v>
      </c>
      <c r="G281" s="1131" t="s">
        <v>100</v>
      </c>
      <c r="H281" s="101" t="s">
        <v>257</v>
      </c>
      <c r="I281" s="101" t="s">
        <v>100</v>
      </c>
      <c r="J281" s="109" t="s">
        <v>100</v>
      </c>
      <c r="K281" s="109" t="s">
        <v>257</v>
      </c>
      <c r="L281" s="1108" t="s">
        <v>100</v>
      </c>
    </row>
    <row r="282" spans="1:12" ht="15.75" thickBot="1">
      <c r="A282" s="55"/>
      <c r="B282" s="56"/>
      <c r="C282" s="116"/>
      <c r="D282" s="116"/>
      <c r="E282" s="116"/>
      <c r="F282" s="116"/>
      <c r="G282" s="1122"/>
      <c r="H282" s="117"/>
      <c r="I282" s="117"/>
      <c r="J282" s="117"/>
      <c r="K282" s="117"/>
      <c r="L282" s="1123"/>
    </row>
    <row r="283" spans="1:12" ht="14.25">
      <c r="A283" s="48" t="s">
        <v>117</v>
      </c>
      <c r="B283" s="52" t="s">
        <v>25</v>
      </c>
      <c r="C283" s="110">
        <v>12261.882352941177</v>
      </c>
      <c r="D283" s="110">
        <v>13262.069607843137</v>
      </c>
      <c r="E283" s="111">
        <v>12507.12</v>
      </c>
      <c r="F283" s="111">
        <v>13527.311</v>
      </c>
      <c r="G283" s="1121">
        <v>-7.5417132052334637</v>
      </c>
      <c r="H283" s="112">
        <v>373.33333333333331</v>
      </c>
      <c r="I283" s="112">
        <v>15.119745091993</v>
      </c>
      <c r="J283" s="113">
        <v>-57.142857142857139</v>
      </c>
      <c r="K283" s="113">
        <v>0.41899441340782123</v>
      </c>
      <c r="L283" s="1115">
        <v>-0.21969171797904014</v>
      </c>
    </row>
    <row r="284" spans="1:12" ht="15">
      <c r="A284" s="50" t="s">
        <v>117</v>
      </c>
      <c r="B284" s="51" t="s">
        <v>26</v>
      </c>
      <c r="C284" s="99" t="s">
        <v>257</v>
      </c>
      <c r="D284" s="99" t="s">
        <v>100</v>
      </c>
      <c r="E284" s="100" t="s">
        <v>257</v>
      </c>
      <c r="F284" s="100" t="s">
        <v>100</v>
      </c>
      <c r="G284" s="1098" t="s">
        <v>100</v>
      </c>
      <c r="H284" s="101" t="s">
        <v>257</v>
      </c>
      <c r="I284" s="101" t="s">
        <v>100</v>
      </c>
      <c r="J284" s="109" t="s">
        <v>100</v>
      </c>
      <c r="K284" s="109" t="s">
        <v>257</v>
      </c>
      <c r="L284" s="1108" t="s">
        <v>100</v>
      </c>
    </row>
    <row r="285" spans="1:12" ht="15">
      <c r="A285" s="50" t="s">
        <v>117</v>
      </c>
      <c r="B285" s="51" t="s">
        <v>27</v>
      </c>
      <c r="C285" s="99" t="s">
        <v>257</v>
      </c>
      <c r="D285" s="99">
        <v>13262.069607843137</v>
      </c>
      <c r="E285" s="100" t="s">
        <v>257</v>
      </c>
      <c r="F285" s="100">
        <v>13527.311</v>
      </c>
      <c r="G285" s="1098" t="s">
        <v>100</v>
      </c>
      <c r="H285" s="101" t="s">
        <v>257</v>
      </c>
      <c r="I285" s="101" t="s">
        <v>100</v>
      </c>
      <c r="J285" s="109" t="s">
        <v>100</v>
      </c>
      <c r="K285" s="109" t="s">
        <v>257</v>
      </c>
      <c r="L285" s="1108" t="s">
        <v>100</v>
      </c>
    </row>
    <row r="286" spans="1:12" ht="14.25">
      <c r="A286" s="48" t="s">
        <v>117</v>
      </c>
      <c r="B286" s="52" t="s">
        <v>28</v>
      </c>
      <c r="C286" s="110">
        <v>12554.10148075359</v>
      </c>
      <c r="D286" s="110">
        <v>12576.485422110818</v>
      </c>
      <c r="E286" s="111">
        <v>12805.183510368663</v>
      </c>
      <c r="F286" s="111">
        <v>12828.015130553034</v>
      </c>
      <c r="G286" s="1121">
        <v>-0.17798248561457286</v>
      </c>
      <c r="H286" s="112">
        <v>289.32</v>
      </c>
      <c r="I286" s="112">
        <v>-5.5667074663402714</v>
      </c>
      <c r="J286" s="113">
        <v>-16.666666666666664</v>
      </c>
      <c r="K286" s="113">
        <v>4.1899441340782122</v>
      </c>
      <c r="L286" s="1115">
        <v>0.90527260123149667</v>
      </c>
    </row>
    <row r="287" spans="1:12" ht="15">
      <c r="A287" s="50" t="s">
        <v>117</v>
      </c>
      <c r="B287" s="51" t="s">
        <v>29</v>
      </c>
      <c r="C287" s="99">
        <v>12159.416666666666</v>
      </c>
      <c r="D287" s="99" t="s">
        <v>257</v>
      </c>
      <c r="E287" s="100">
        <v>12402.605</v>
      </c>
      <c r="F287" s="100" t="s">
        <v>257</v>
      </c>
      <c r="G287" s="1098" t="s">
        <v>100</v>
      </c>
      <c r="H287" s="101" t="s">
        <v>257</v>
      </c>
      <c r="I287" s="101" t="s">
        <v>100</v>
      </c>
      <c r="J287" s="109" t="s">
        <v>100</v>
      </c>
      <c r="K287" s="109" t="s">
        <v>257</v>
      </c>
      <c r="L287" s="1108" t="s">
        <v>100</v>
      </c>
    </row>
    <row r="288" spans="1:12" ht="15">
      <c r="A288" s="50" t="s">
        <v>117</v>
      </c>
      <c r="B288" s="51" t="s">
        <v>30</v>
      </c>
      <c r="C288" s="99">
        <v>12674.458823529412</v>
      </c>
      <c r="D288" s="99">
        <v>12898.648039215685</v>
      </c>
      <c r="E288" s="100">
        <v>12927.948</v>
      </c>
      <c r="F288" s="100">
        <v>13156.620999999999</v>
      </c>
      <c r="G288" s="1098">
        <v>-1.7380830533918918</v>
      </c>
      <c r="H288" s="101">
        <v>294.5</v>
      </c>
      <c r="I288" s="101">
        <v>1.7271157167530224</v>
      </c>
      <c r="J288" s="109">
        <v>0</v>
      </c>
      <c r="K288" s="109">
        <v>2.7932960893854748</v>
      </c>
      <c r="L288" s="1108">
        <v>0.96847857113729985</v>
      </c>
    </row>
    <row r="289" spans="1:12" ht="15">
      <c r="A289" s="50" t="s">
        <v>117</v>
      </c>
      <c r="B289" s="51" t="s">
        <v>35</v>
      </c>
      <c r="C289" s="99" t="s">
        <v>257</v>
      </c>
      <c r="D289" s="99">
        <v>12815.254901960783</v>
      </c>
      <c r="E289" s="100" t="s">
        <v>257</v>
      </c>
      <c r="F289" s="100">
        <v>13071.56</v>
      </c>
      <c r="G289" s="1098" t="s">
        <v>100</v>
      </c>
      <c r="H289" s="101" t="s">
        <v>257</v>
      </c>
      <c r="I289" s="101" t="s">
        <v>100</v>
      </c>
      <c r="J289" s="109" t="s">
        <v>100</v>
      </c>
      <c r="K289" s="109" t="s">
        <v>257</v>
      </c>
      <c r="L289" s="1108" t="s">
        <v>100</v>
      </c>
    </row>
    <row r="290" spans="1:12" ht="14.25">
      <c r="A290" s="48" t="s">
        <v>117</v>
      </c>
      <c r="B290" s="52" t="s">
        <v>31</v>
      </c>
      <c r="C290" s="110">
        <v>11589.503230791275</v>
      </c>
      <c r="D290" s="110">
        <v>11877.321742361066</v>
      </c>
      <c r="E290" s="111">
        <v>11821.2932954071</v>
      </c>
      <c r="F290" s="111">
        <v>12114.868177208287</v>
      </c>
      <c r="G290" s="1121">
        <v>-2.4232610500334602</v>
      </c>
      <c r="H290" s="112">
        <v>290.30606060606061</v>
      </c>
      <c r="I290" s="112">
        <v>-0.27708781205216121</v>
      </c>
      <c r="J290" s="113">
        <v>4.7619047619047619</v>
      </c>
      <c r="K290" s="113">
        <v>9.2178770949720672</v>
      </c>
      <c r="L290" s="1115">
        <v>3.469701912490315</v>
      </c>
    </row>
    <row r="291" spans="1:12" ht="15">
      <c r="A291" s="50" t="s">
        <v>117</v>
      </c>
      <c r="B291" s="51" t="s">
        <v>32</v>
      </c>
      <c r="C291" s="99">
        <v>11484.8</v>
      </c>
      <c r="D291" s="99">
        <v>12257.01568627451</v>
      </c>
      <c r="E291" s="100">
        <v>11714.495999999999</v>
      </c>
      <c r="F291" s="100">
        <v>12502.156000000001</v>
      </c>
      <c r="G291" s="1098">
        <v>-6.3001933426522712</v>
      </c>
      <c r="H291" s="101">
        <v>288.7</v>
      </c>
      <c r="I291" s="101">
        <v>14.472640761300557</v>
      </c>
      <c r="J291" s="109">
        <v>-11.111111111111111</v>
      </c>
      <c r="K291" s="109">
        <v>1.1173184357541899</v>
      </c>
      <c r="L291" s="1108">
        <v>0.29615055254251099</v>
      </c>
    </row>
    <row r="292" spans="1:12" ht="15">
      <c r="A292" s="50" t="s">
        <v>117</v>
      </c>
      <c r="B292" s="51" t="s">
        <v>33</v>
      </c>
      <c r="C292" s="99">
        <v>11532.60588235294</v>
      </c>
      <c r="D292" s="99">
        <v>11912.779411764706</v>
      </c>
      <c r="E292" s="100">
        <v>11763.258</v>
      </c>
      <c r="F292" s="100">
        <v>12151.035</v>
      </c>
      <c r="G292" s="1098">
        <v>-3.1913083947169936</v>
      </c>
      <c r="H292" s="101">
        <v>279.3</v>
      </c>
      <c r="I292" s="101">
        <v>-3.0544949670253421</v>
      </c>
      <c r="J292" s="101">
        <v>35.483870967741936</v>
      </c>
      <c r="K292" s="101">
        <v>5.8659217877094969</v>
      </c>
      <c r="L292" s="1099">
        <v>3.0374546344248254</v>
      </c>
    </row>
    <row r="293" spans="1:12" ht="15.75" thickBot="1">
      <c r="A293" s="60" t="s">
        <v>117</v>
      </c>
      <c r="B293" s="61" t="s">
        <v>36</v>
      </c>
      <c r="C293" s="102">
        <v>11767.095098039215</v>
      </c>
      <c r="D293" s="102">
        <v>11712.259803921568</v>
      </c>
      <c r="E293" s="103">
        <v>12002.437</v>
      </c>
      <c r="F293" s="103">
        <v>11946.504999999999</v>
      </c>
      <c r="G293" s="1100">
        <v>0.46818713925119271</v>
      </c>
      <c r="H293" s="104">
        <v>320</v>
      </c>
      <c r="I293" s="104">
        <v>3.0927835051546464</v>
      </c>
      <c r="J293" s="104">
        <v>-30.434782608695656</v>
      </c>
      <c r="K293" s="104">
        <v>2.2346368715083798</v>
      </c>
      <c r="L293" s="1101">
        <v>0.13609672552297836</v>
      </c>
    </row>
    <row r="294" spans="1:12">
      <c r="E294" s="127"/>
      <c r="F294" s="127"/>
      <c r="G294" s="1066"/>
      <c r="H294" s="84"/>
      <c r="I294" s="712"/>
      <c r="J294" s="84"/>
      <c r="K294" s="84"/>
      <c r="L294" s="84"/>
    </row>
    <row r="295" spans="1:12">
      <c r="E295" s="127"/>
      <c r="F295" s="127"/>
      <c r="G295" s="1066"/>
      <c r="H295" s="84"/>
      <c r="I295" s="712"/>
      <c r="J295" s="84"/>
      <c r="K295" s="84"/>
      <c r="L295" s="84"/>
    </row>
    <row r="296" spans="1:12">
      <c r="E296" s="127"/>
      <c r="F296" s="127"/>
      <c r="G296" s="1066"/>
      <c r="H296" s="84"/>
      <c r="I296" s="712"/>
      <c r="J296" s="84"/>
      <c r="K296" s="84"/>
      <c r="L296" s="84"/>
    </row>
    <row r="297" spans="1:12">
      <c r="E297" s="127"/>
      <c r="F297" s="127"/>
      <c r="G297" s="1066"/>
      <c r="H297" s="84"/>
      <c r="I297" s="712"/>
      <c r="J297" s="84"/>
      <c r="K297" s="84"/>
      <c r="L297" s="84"/>
    </row>
    <row r="298" spans="1:12">
      <c r="E298" s="127"/>
      <c r="F298" s="127"/>
      <c r="G298" s="1066"/>
      <c r="H298" s="84"/>
      <c r="I298" s="712"/>
      <c r="J298" s="84"/>
      <c r="K298" s="84"/>
      <c r="L298" s="84"/>
    </row>
    <row r="299" spans="1:12">
      <c r="E299" s="127"/>
      <c r="F299" s="127"/>
      <c r="G299" s="1066"/>
      <c r="H299" s="84"/>
      <c r="I299" s="712"/>
      <c r="J299" s="84"/>
      <c r="K299" s="84"/>
      <c r="L299" s="84"/>
    </row>
    <row r="300" spans="1:12">
      <c r="E300" s="127"/>
      <c r="F300" s="127"/>
      <c r="G300" s="1066"/>
      <c r="H300" s="84"/>
      <c r="I300" s="712"/>
      <c r="J300" s="84"/>
      <c r="K300" s="84"/>
      <c r="L300" s="84"/>
    </row>
    <row r="301" spans="1:12">
      <c r="E301" s="127"/>
      <c r="F301" s="127"/>
      <c r="G301" s="1066"/>
      <c r="H301" s="84"/>
      <c r="I301" s="712"/>
      <c r="J301" s="84"/>
      <c r="K301" s="84"/>
      <c r="L301" s="84"/>
    </row>
    <row r="302" spans="1:12">
      <c r="E302" s="127"/>
      <c r="F302" s="127"/>
      <c r="G302" s="1066"/>
      <c r="H302" s="84"/>
      <c r="I302" s="712"/>
      <c r="J302" s="84"/>
      <c r="K302" s="84"/>
      <c r="L302" s="84"/>
    </row>
    <row r="303" spans="1:12">
      <c r="E303" s="127"/>
      <c r="F303" s="127"/>
      <c r="G303" s="1066"/>
      <c r="H303" s="84"/>
      <c r="I303" s="712"/>
      <c r="J303" s="84"/>
      <c r="K303" s="84"/>
      <c r="L303" s="84"/>
    </row>
    <row r="304" spans="1:12">
      <c r="E304" s="127"/>
      <c r="F304" s="127"/>
      <c r="G304" s="1066"/>
      <c r="H304" s="84"/>
      <c r="I304" s="712"/>
      <c r="J304" s="84"/>
      <c r="K304" s="84"/>
      <c r="L304" s="84"/>
    </row>
    <row r="305" spans="5:12">
      <c r="E305" s="127"/>
      <c r="F305" s="127"/>
      <c r="G305" s="1066"/>
      <c r="H305" s="84"/>
      <c r="I305" s="712"/>
      <c r="J305" s="84"/>
      <c r="K305" s="84"/>
      <c r="L305" s="84"/>
    </row>
    <row r="306" spans="5:12">
      <c r="E306" s="127"/>
      <c r="F306" s="127"/>
      <c r="G306" s="1066"/>
      <c r="H306" s="84"/>
      <c r="I306" s="712"/>
      <c r="J306" s="84"/>
      <c r="K306" s="84"/>
      <c r="L306" s="84"/>
    </row>
    <row r="307" spans="5:12">
      <c r="E307" s="127"/>
      <c r="F307" s="127"/>
      <c r="G307" s="1066"/>
      <c r="H307" s="84"/>
      <c r="I307" s="712"/>
      <c r="J307" s="84"/>
      <c r="K307" s="84"/>
      <c r="L307" s="84"/>
    </row>
    <row r="308" spans="5:12">
      <c r="E308" s="127"/>
      <c r="F308" s="127"/>
      <c r="G308" s="1066"/>
      <c r="H308" s="84"/>
      <c r="I308" s="712"/>
      <c r="J308" s="84"/>
      <c r="K308" s="84"/>
      <c r="L308" s="84"/>
    </row>
    <row r="309" spans="5:12">
      <c r="E309" s="127"/>
      <c r="F309" s="127"/>
      <c r="G309" s="1066"/>
      <c r="H309" s="84"/>
      <c r="I309" s="712"/>
      <c r="J309" s="84"/>
      <c r="K309" s="84"/>
      <c r="L309" s="84"/>
    </row>
    <row r="310" spans="5:12">
      <c r="E310" s="127"/>
      <c r="F310" s="127"/>
      <c r="G310" s="1066"/>
      <c r="H310" s="84"/>
      <c r="I310" s="712"/>
      <c r="J310" s="84"/>
      <c r="K310" s="84"/>
      <c r="L310" s="84"/>
    </row>
    <row r="311" spans="5:12">
      <c r="E311" s="127"/>
      <c r="F311" s="127"/>
      <c r="G311" s="1066"/>
      <c r="H311" s="84"/>
      <c r="I311" s="712"/>
      <c r="J311" s="84"/>
      <c r="K311" s="84"/>
      <c r="L311" s="84"/>
    </row>
    <row r="312" spans="5:12">
      <c r="E312" s="127"/>
      <c r="F312" s="127"/>
      <c r="G312" s="1066"/>
      <c r="H312" s="84"/>
      <c r="I312" s="712"/>
      <c r="J312" s="84"/>
      <c r="K312" s="84"/>
      <c r="L312" s="84"/>
    </row>
    <row r="313" spans="5:12">
      <c r="E313" s="127"/>
      <c r="F313" s="127"/>
      <c r="G313" s="1066"/>
      <c r="H313" s="84"/>
      <c r="I313" s="712"/>
      <c r="J313" s="84"/>
      <c r="K313" s="84"/>
      <c r="L313" s="84"/>
    </row>
    <row r="314" spans="5:12">
      <c r="E314" s="127"/>
      <c r="F314" s="127"/>
      <c r="G314" s="1066"/>
      <c r="H314" s="84"/>
      <c r="I314" s="712"/>
      <c r="J314" s="84"/>
      <c r="K314" s="84"/>
      <c r="L314" s="84"/>
    </row>
    <row r="315" spans="5:12">
      <c r="E315" s="127"/>
      <c r="F315" s="127"/>
      <c r="G315" s="1066"/>
      <c r="H315" s="84"/>
      <c r="I315" s="712"/>
      <c r="J315" s="84"/>
      <c r="K315" s="84"/>
      <c r="L315" s="84"/>
    </row>
    <row r="316" spans="5:12">
      <c r="E316" s="127"/>
      <c r="F316" s="127"/>
      <c r="G316" s="1066"/>
      <c r="H316" s="84"/>
      <c r="I316" s="712"/>
      <c r="J316" s="84"/>
      <c r="K316" s="84"/>
      <c r="L316" s="84"/>
    </row>
    <row r="317" spans="5:12">
      <c r="E317" s="127"/>
      <c r="F317" s="127"/>
      <c r="G317" s="1066"/>
      <c r="H317" s="84"/>
      <c r="I317" s="712"/>
      <c r="J317" s="84"/>
      <c r="K317" s="84"/>
      <c r="L317" s="84"/>
    </row>
    <row r="318" spans="5:12">
      <c r="E318" s="127"/>
      <c r="F318" s="127"/>
      <c r="G318" s="1066"/>
      <c r="H318" s="84"/>
      <c r="I318" s="712"/>
      <c r="J318" s="84"/>
      <c r="K318" s="84"/>
      <c r="L318" s="84"/>
    </row>
    <row r="319" spans="5:12">
      <c r="E319" s="127"/>
      <c r="F319" s="127"/>
      <c r="G319" s="1066"/>
      <c r="H319" s="84"/>
      <c r="I319" s="712"/>
      <c r="J319" s="84"/>
      <c r="K319" s="84"/>
      <c r="L319" s="84"/>
    </row>
    <row r="320" spans="5:12">
      <c r="E320" s="127"/>
      <c r="F320" s="127"/>
      <c r="G320" s="1066"/>
      <c r="H320" s="84"/>
      <c r="I320" s="712"/>
      <c r="J320" s="84"/>
      <c r="K320" s="84"/>
      <c r="L320" s="84"/>
    </row>
    <row r="321" spans="5:12">
      <c r="E321" s="127"/>
      <c r="F321" s="127"/>
      <c r="G321" s="1066"/>
      <c r="H321" s="84"/>
      <c r="I321" s="712"/>
      <c r="J321" s="84"/>
      <c r="K321" s="84"/>
      <c r="L321" s="84"/>
    </row>
    <row r="322" spans="5:12">
      <c r="E322" s="127"/>
      <c r="F322" s="127"/>
      <c r="G322" s="1066"/>
      <c r="H322" s="84"/>
      <c r="I322" s="712"/>
      <c r="J322" s="84"/>
      <c r="K322" s="84"/>
      <c r="L322" s="84"/>
    </row>
    <row r="323" spans="5:12">
      <c r="E323" s="127"/>
      <c r="F323" s="127"/>
      <c r="G323" s="1066"/>
      <c r="H323" s="84"/>
      <c r="I323" s="712"/>
      <c r="J323" s="84"/>
      <c r="K323" s="84"/>
      <c r="L323" s="84"/>
    </row>
    <row r="324" spans="5:12">
      <c r="E324" s="127"/>
      <c r="F324" s="127"/>
      <c r="G324" s="1066"/>
      <c r="H324" s="84"/>
      <c r="I324" s="712"/>
      <c r="J324" s="84"/>
      <c r="K324" s="84"/>
      <c r="L324" s="84"/>
    </row>
    <row r="325" spans="5:12">
      <c r="E325" s="127"/>
      <c r="F325" s="127"/>
      <c r="G325" s="1066"/>
      <c r="H325" s="84"/>
      <c r="I325" s="712"/>
      <c r="J325" s="84"/>
      <c r="K325" s="84"/>
      <c r="L325" s="84"/>
    </row>
    <row r="326" spans="5:12">
      <c r="E326" s="127"/>
      <c r="F326" s="127"/>
      <c r="G326" s="1066"/>
      <c r="H326" s="84"/>
      <c r="I326" s="712"/>
      <c r="J326" s="84"/>
      <c r="K326" s="84"/>
      <c r="L326" s="84"/>
    </row>
    <row r="327" spans="5:12">
      <c r="E327" s="127"/>
      <c r="F327" s="127"/>
      <c r="G327" s="1066"/>
      <c r="H327" s="84"/>
      <c r="I327" s="712"/>
      <c r="J327" s="84"/>
      <c r="K327" s="84"/>
      <c r="L327" s="84"/>
    </row>
    <row r="328" spans="5:12">
      <c r="E328" s="127"/>
      <c r="F328" s="127"/>
      <c r="G328" s="1066"/>
      <c r="H328" s="84"/>
      <c r="I328" s="712"/>
      <c r="J328" s="84"/>
      <c r="K328" s="84"/>
      <c r="L328" s="84"/>
    </row>
    <row r="329" spans="5:12">
      <c r="E329" s="127"/>
      <c r="F329" s="127"/>
      <c r="G329" s="1066"/>
      <c r="H329" s="84"/>
      <c r="I329" s="712"/>
      <c r="J329" s="84"/>
      <c r="K329" s="84"/>
      <c r="L329" s="84"/>
    </row>
    <row r="330" spans="5:12">
      <c r="E330" s="127"/>
      <c r="F330" s="127"/>
      <c r="G330" s="1066"/>
      <c r="H330" s="84"/>
      <c r="I330" s="712"/>
      <c r="J330" s="84"/>
      <c r="K330" s="84"/>
      <c r="L330" s="84"/>
    </row>
    <row r="331" spans="5:12">
      <c r="E331" s="127"/>
      <c r="F331" s="127"/>
      <c r="G331" s="1066"/>
      <c r="H331" s="84"/>
      <c r="I331" s="712"/>
      <c r="J331" s="84"/>
      <c r="K331" s="84"/>
      <c r="L331" s="84"/>
    </row>
    <row r="332" spans="5:12">
      <c r="E332" s="127"/>
      <c r="F332" s="127"/>
      <c r="G332" s="1066"/>
      <c r="H332" s="84"/>
      <c r="I332" s="712"/>
      <c r="J332" s="84"/>
      <c r="K332" s="84"/>
      <c r="L332" s="84"/>
    </row>
    <row r="333" spans="5:12">
      <c r="E333" s="127"/>
      <c r="F333" s="127"/>
      <c r="G333" s="1066"/>
      <c r="H333" s="84"/>
      <c r="I333" s="712"/>
      <c r="J333" s="84"/>
      <c r="K333" s="84"/>
      <c r="L333" s="84"/>
    </row>
    <row r="334" spans="5:12">
      <c r="E334" s="127"/>
      <c r="F334" s="127"/>
      <c r="G334" s="1066"/>
      <c r="H334" s="84"/>
      <c r="I334" s="712"/>
      <c r="J334" s="84"/>
      <c r="K334" s="84"/>
      <c r="L334" s="84"/>
    </row>
    <row r="335" spans="5:12">
      <c r="E335" s="127"/>
      <c r="F335" s="127"/>
      <c r="G335" s="1066"/>
      <c r="H335" s="84"/>
      <c r="I335" s="712"/>
      <c r="J335" s="84"/>
      <c r="K335" s="84"/>
      <c r="L335" s="84"/>
    </row>
    <row r="336" spans="5:12">
      <c r="E336" s="127"/>
      <c r="F336" s="127"/>
      <c r="G336" s="1066"/>
      <c r="H336" s="84"/>
      <c r="I336" s="712"/>
      <c r="J336" s="84"/>
      <c r="K336" s="84"/>
      <c r="L336" s="84"/>
    </row>
    <row r="337" spans="5:12">
      <c r="E337" s="127"/>
      <c r="F337" s="127"/>
      <c r="G337" s="1066"/>
      <c r="H337" s="84"/>
      <c r="I337" s="712"/>
      <c r="J337" s="84"/>
      <c r="K337" s="84"/>
      <c r="L337" s="84"/>
    </row>
    <row r="338" spans="5:12">
      <c r="E338" s="127"/>
      <c r="F338" s="127"/>
      <c r="G338" s="1066"/>
      <c r="H338" s="84"/>
      <c r="I338" s="712"/>
      <c r="J338" s="84"/>
      <c r="K338" s="84"/>
      <c r="L338" s="84"/>
    </row>
    <row r="339" spans="5:12">
      <c r="E339" s="127"/>
      <c r="F339" s="127"/>
      <c r="G339" s="1066"/>
      <c r="H339" s="84"/>
      <c r="I339" s="712"/>
      <c r="J339" s="84"/>
      <c r="K339" s="84"/>
      <c r="L339" s="84"/>
    </row>
    <row r="340" spans="5:12">
      <c r="E340" s="127"/>
      <c r="F340" s="127"/>
      <c r="G340" s="1066"/>
      <c r="H340" s="84"/>
      <c r="I340" s="712"/>
      <c r="J340" s="84"/>
      <c r="K340" s="84"/>
      <c r="L340" s="84"/>
    </row>
    <row r="341" spans="5:12">
      <c r="E341" s="127"/>
      <c r="F341" s="127"/>
      <c r="G341" s="1066"/>
      <c r="H341" s="84"/>
      <c r="I341" s="712"/>
      <c r="J341" s="84"/>
      <c r="K341" s="84"/>
      <c r="L341" s="84"/>
    </row>
    <row r="342" spans="5:12">
      <c r="E342" s="127"/>
      <c r="F342" s="127"/>
      <c r="G342" s="1066"/>
      <c r="H342" s="84"/>
      <c r="I342" s="712"/>
      <c r="J342" s="84"/>
      <c r="K342" s="84"/>
      <c r="L342" s="84"/>
    </row>
    <row r="343" spans="5:12">
      <c r="E343" s="127"/>
      <c r="F343" s="127"/>
      <c r="G343" s="1066"/>
      <c r="H343" s="84"/>
      <c r="I343" s="712"/>
      <c r="J343" s="84"/>
      <c r="K343" s="84"/>
      <c r="L343" s="84"/>
    </row>
    <row r="344" spans="5:12">
      <c r="E344" s="127"/>
      <c r="F344" s="127"/>
      <c r="G344" s="1066"/>
      <c r="H344" s="84"/>
      <c r="I344" s="712"/>
      <c r="J344" s="84"/>
      <c r="K344" s="84"/>
      <c r="L344" s="84"/>
    </row>
    <row r="345" spans="5:12">
      <c r="E345" s="127"/>
      <c r="F345" s="127"/>
      <c r="G345" s="1066"/>
      <c r="H345" s="84"/>
      <c r="I345" s="712"/>
      <c r="J345" s="84"/>
      <c r="K345" s="84"/>
      <c r="L345" s="84"/>
    </row>
    <row r="346" spans="5:12">
      <c r="E346" s="127"/>
      <c r="F346" s="127"/>
      <c r="G346" s="1066"/>
      <c r="H346" s="84"/>
      <c r="I346" s="712"/>
      <c r="J346" s="84"/>
      <c r="K346" s="84"/>
      <c r="L346" s="84"/>
    </row>
    <row r="347" spans="5:12">
      <c r="E347" s="127"/>
      <c r="F347" s="127"/>
      <c r="G347" s="1066"/>
      <c r="H347" s="84"/>
      <c r="I347" s="712"/>
      <c r="J347" s="84"/>
      <c r="K347" s="84"/>
      <c r="L347" s="84"/>
    </row>
    <row r="348" spans="5:12">
      <c r="E348" s="127"/>
      <c r="F348" s="127"/>
      <c r="G348" s="1066"/>
      <c r="H348" s="84"/>
      <c r="I348" s="712"/>
      <c r="J348" s="84"/>
      <c r="K348" s="84"/>
      <c r="L348" s="84"/>
    </row>
    <row r="349" spans="5:12">
      <c r="E349" s="127"/>
      <c r="F349" s="127"/>
      <c r="G349" s="1066"/>
      <c r="H349" s="84"/>
      <c r="I349" s="712"/>
      <c r="J349" s="84"/>
      <c r="K349" s="84"/>
      <c r="L349" s="84"/>
    </row>
    <row r="350" spans="5:12">
      <c r="E350" s="127"/>
      <c r="F350" s="127"/>
      <c r="G350" s="1066"/>
      <c r="H350" s="84"/>
      <c r="I350" s="712"/>
      <c r="J350" s="84"/>
      <c r="K350" s="84"/>
      <c r="L350" s="84"/>
    </row>
    <row r="351" spans="5:12">
      <c r="E351" s="127"/>
      <c r="F351" s="127"/>
      <c r="G351" s="1066"/>
      <c r="H351" s="84"/>
      <c r="I351" s="712"/>
      <c r="J351" s="84"/>
      <c r="K351" s="84"/>
      <c r="L351" s="84"/>
    </row>
    <row r="352" spans="5:12">
      <c r="E352" s="127"/>
      <c r="F352" s="127"/>
      <c r="G352" s="1066"/>
      <c r="H352" s="84"/>
      <c r="I352" s="712"/>
      <c r="J352" s="84"/>
      <c r="K352" s="84"/>
      <c r="L352" s="84"/>
    </row>
    <row r="353" spans="5:12">
      <c r="E353" s="127"/>
      <c r="F353" s="127"/>
      <c r="G353" s="1066"/>
      <c r="H353" s="84"/>
      <c r="I353" s="712"/>
      <c r="J353" s="84"/>
      <c r="K353" s="84"/>
      <c r="L353" s="84"/>
    </row>
    <row r="354" spans="5:12">
      <c r="E354" s="127"/>
      <c r="F354" s="127"/>
      <c r="G354" s="1066"/>
      <c r="H354" s="84"/>
      <c r="I354" s="712"/>
      <c r="J354" s="84"/>
      <c r="K354" s="84"/>
      <c r="L354" s="84"/>
    </row>
    <row r="355" spans="5:12">
      <c r="E355" s="127"/>
      <c r="F355" s="127"/>
      <c r="G355" s="1066"/>
      <c r="H355" s="84"/>
      <c r="I355" s="712"/>
      <c r="J355" s="84"/>
      <c r="K355" s="84"/>
      <c r="L355" s="84"/>
    </row>
    <row r="356" spans="5:12">
      <c r="E356" s="127"/>
      <c r="F356" s="127"/>
      <c r="G356" s="1067"/>
      <c r="I356" s="1068"/>
    </row>
    <row r="357" spans="5:12">
      <c r="E357" s="127"/>
      <c r="F357" s="127"/>
      <c r="G357" s="1067"/>
      <c r="I357" s="1068"/>
    </row>
    <row r="358" spans="5:12">
      <c r="E358" s="127"/>
      <c r="F358" s="127"/>
      <c r="G358" s="1067"/>
      <c r="I358" s="1068"/>
    </row>
    <row r="359" spans="5:12">
      <c r="E359" s="127"/>
      <c r="F359" s="127"/>
      <c r="G359" s="1067"/>
      <c r="I359" s="1068"/>
    </row>
    <row r="360" spans="5:12">
      <c r="E360" s="127"/>
      <c r="F360" s="127"/>
      <c r="G360" s="1067"/>
      <c r="I360" s="1068"/>
    </row>
    <row r="361" spans="5:12">
      <c r="E361" s="127"/>
      <c r="F361" s="127"/>
      <c r="G361" s="1067"/>
      <c r="I361" s="1068"/>
    </row>
    <row r="362" spans="5:12">
      <c r="E362" s="127"/>
      <c r="F362" s="127"/>
      <c r="G362" s="1067"/>
      <c r="I362" s="1068"/>
    </row>
    <row r="363" spans="5:12">
      <c r="E363" s="127"/>
      <c r="F363" s="127"/>
      <c r="G363" s="1067"/>
      <c r="I363" s="1068"/>
    </row>
    <row r="364" spans="5:12">
      <c r="E364" s="127"/>
      <c r="F364" s="127"/>
      <c r="G364" s="1067"/>
      <c r="I364" s="1068"/>
    </row>
    <row r="365" spans="5:12">
      <c r="E365" s="127"/>
      <c r="F365" s="127"/>
      <c r="G365" s="1067"/>
      <c r="I365" s="1068"/>
    </row>
    <row r="366" spans="5:12">
      <c r="E366" s="127"/>
      <c r="F366" s="127"/>
      <c r="G366" s="1067"/>
      <c r="I366" s="1068"/>
    </row>
    <row r="367" spans="5:12">
      <c r="E367" s="127"/>
      <c r="F367" s="127"/>
      <c r="G367" s="1067"/>
      <c r="I367" s="1068"/>
    </row>
    <row r="368" spans="5:12">
      <c r="E368" s="127"/>
      <c r="F368" s="127"/>
      <c r="G368" s="1067"/>
      <c r="I368" s="1068"/>
    </row>
    <row r="369" spans="5:9">
      <c r="E369" s="127"/>
      <c r="F369" s="127"/>
      <c r="G369" s="1067"/>
      <c r="I369" s="1068"/>
    </row>
    <row r="370" spans="5:9">
      <c r="E370" s="127"/>
      <c r="F370" s="127"/>
      <c r="G370" s="1067"/>
      <c r="I370" s="1068"/>
    </row>
    <row r="371" spans="5:9">
      <c r="E371" s="127"/>
      <c r="F371" s="127"/>
      <c r="G371" s="1067"/>
      <c r="I371" s="1068"/>
    </row>
    <row r="372" spans="5:9">
      <c r="E372" s="127"/>
      <c r="F372" s="127"/>
      <c r="G372" s="1067"/>
      <c r="I372" s="1068"/>
    </row>
    <row r="373" spans="5:9">
      <c r="E373" s="127"/>
      <c r="F373" s="127"/>
      <c r="G373" s="1067"/>
      <c r="I373" s="1068"/>
    </row>
    <row r="374" spans="5:9">
      <c r="E374" s="127"/>
      <c r="F374" s="127"/>
      <c r="G374" s="1067"/>
      <c r="I374" s="1068"/>
    </row>
    <row r="375" spans="5:9">
      <c r="E375" s="127"/>
      <c r="F375" s="127"/>
      <c r="G375" s="1067"/>
      <c r="I375" s="1068"/>
    </row>
    <row r="376" spans="5:9">
      <c r="E376" s="127"/>
      <c r="F376" s="127"/>
      <c r="G376" s="1067"/>
      <c r="I376" s="1068"/>
    </row>
    <row r="377" spans="5:9">
      <c r="E377" s="127"/>
      <c r="F377" s="127"/>
      <c r="G377" s="1067"/>
      <c r="I377" s="1068"/>
    </row>
    <row r="378" spans="5:9">
      <c r="E378" s="127"/>
      <c r="F378" s="127"/>
      <c r="G378" s="1067"/>
      <c r="I378" s="1068"/>
    </row>
    <row r="379" spans="5:9">
      <c r="E379" s="127"/>
      <c r="F379" s="127"/>
      <c r="G379" s="1067"/>
      <c r="I379" s="1068"/>
    </row>
    <row r="380" spans="5:9">
      <c r="E380" s="127"/>
      <c r="F380" s="127"/>
      <c r="G380" s="1067"/>
      <c r="I380" s="1068"/>
    </row>
    <row r="381" spans="5:9">
      <c r="E381" s="127"/>
      <c r="F381" s="127"/>
      <c r="G381" s="1067"/>
      <c r="I381" s="1068"/>
    </row>
    <row r="382" spans="5:9">
      <c r="E382" s="127"/>
      <c r="F382" s="127"/>
      <c r="G382" s="1067"/>
      <c r="I382" s="1068"/>
    </row>
    <row r="383" spans="5:9">
      <c r="E383" s="127"/>
      <c r="F383" s="127"/>
      <c r="G383" s="1067"/>
      <c r="I383" s="1068"/>
    </row>
    <row r="384" spans="5:9">
      <c r="E384" s="127"/>
      <c r="F384" s="127"/>
      <c r="G384" s="1067"/>
      <c r="I384" s="1068"/>
    </row>
    <row r="385" spans="5:9">
      <c r="E385" s="127"/>
      <c r="F385" s="127"/>
      <c r="G385" s="1067"/>
      <c r="I385" s="1068"/>
    </row>
    <row r="386" spans="5:9">
      <c r="E386" s="127"/>
      <c r="F386" s="127"/>
      <c r="G386" s="1067"/>
      <c r="I386" s="1068"/>
    </row>
    <row r="387" spans="5:9">
      <c r="E387" s="127"/>
      <c r="F387" s="127"/>
      <c r="G387" s="1067"/>
      <c r="I387" s="1068"/>
    </row>
    <row r="388" spans="5:9">
      <c r="E388" s="127"/>
      <c r="F388" s="127"/>
      <c r="G388" s="1067"/>
      <c r="I388" s="1068"/>
    </row>
    <row r="389" spans="5:9">
      <c r="E389" s="127"/>
      <c r="F389" s="127"/>
      <c r="G389" s="1067"/>
      <c r="I389" s="1068"/>
    </row>
    <row r="390" spans="5:9">
      <c r="E390" s="127"/>
      <c r="F390" s="127"/>
      <c r="G390" s="1067"/>
      <c r="I390" s="1068"/>
    </row>
    <row r="391" spans="5:9">
      <c r="E391" s="127"/>
      <c r="F391" s="127"/>
      <c r="G391" s="1067"/>
      <c r="I391" s="1068"/>
    </row>
    <row r="392" spans="5:9">
      <c r="E392" s="127"/>
      <c r="F392" s="127"/>
      <c r="G392" s="1067"/>
      <c r="I392" s="1068"/>
    </row>
    <row r="393" spans="5:9">
      <c r="E393" s="127"/>
      <c r="F393" s="127"/>
      <c r="G393" s="1067"/>
      <c r="I393" s="1068"/>
    </row>
    <row r="394" spans="5:9">
      <c r="E394" s="127"/>
      <c r="F394" s="127"/>
      <c r="G394" s="1067"/>
      <c r="I394" s="1068"/>
    </row>
    <row r="395" spans="5:9">
      <c r="E395" s="127"/>
      <c r="F395" s="127"/>
      <c r="G395" s="1067"/>
      <c r="I395" s="1068"/>
    </row>
    <row r="396" spans="5:9">
      <c r="E396" s="127"/>
      <c r="F396" s="127"/>
      <c r="G396" s="1067"/>
      <c r="I396" s="1068"/>
    </row>
    <row r="397" spans="5:9">
      <c r="E397" s="127"/>
      <c r="F397" s="127"/>
      <c r="G397" s="1067"/>
      <c r="I397" s="1068"/>
    </row>
    <row r="398" spans="5:9">
      <c r="E398" s="127"/>
      <c r="F398" s="127"/>
      <c r="G398" s="1067"/>
      <c r="I398" s="1068"/>
    </row>
    <row r="399" spans="5:9">
      <c r="E399" s="127"/>
      <c r="F399" s="127"/>
      <c r="G399" s="1067"/>
      <c r="I399" s="1068"/>
    </row>
    <row r="400" spans="5:9">
      <c r="E400" s="127"/>
      <c r="F400" s="127"/>
      <c r="G400" s="1067"/>
      <c r="I400" s="1068"/>
    </row>
    <row r="401" spans="5:9">
      <c r="E401" s="127"/>
      <c r="F401" s="127"/>
      <c r="G401" s="1067"/>
      <c r="I401" s="1068"/>
    </row>
    <row r="402" spans="5:9">
      <c r="E402" s="127"/>
      <c r="F402" s="127"/>
      <c r="G402" s="1067"/>
      <c r="I402" s="1068"/>
    </row>
    <row r="403" spans="5:9">
      <c r="E403" s="127"/>
      <c r="F403" s="127"/>
      <c r="G403" s="1067"/>
      <c r="I403" s="1068"/>
    </row>
    <row r="404" spans="5:9">
      <c r="E404" s="127"/>
      <c r="F404" s="127"/>
      <c r="G404" s="1067"/>
      <c r="I404" s="1068"/>
    </row>
    <row r="405" spans="5:9">
      <c r="E405" s="127"/>
      <c r="F405" s="127"/>
      <c r="G405" s="1067"/>
      <c r="I405" s="1068"/>
    </row>
    <row r="406" spans="5:9">
      <c r="E406" s="127"/>
      <c r="F406" s="127"/>
      <c r="G406" s="1067"/>
      <c r="I406" s="1068"/>
    </row>
    <row r="407" spans="5:9">
      <c r="E407" s="127"/>
      <c r="F407" s="127"/>
      <c r="G407" s="1067"/>
      <c r="I407" s="1068"/>
    </row>
    <row r="408" spans="5:9">
      <c r="E408" s="127"/>
      <c r="F408" s="127"/>
      <c r="G408" s="1067"/>
      <c r="I408" s="1068"/>
    </row>
    <row r="409" spans="5:9">
      <c r="E409" s="127"/>
      <c r="F409" s="127"/>
      <c r="G409" s="1067"/>
      <c r="I409" s="1068"/>
    </row>
    <row r="410" spans="5:9">
      <c r="E410" s="127"/>
      <c r="F410" s="127"/>
      <c r="G410" s="1067"/>
      <c r="I410" s="1068"/>
    </row>
    <row r="411" spans="5:9">
      <c r="E411" s="127"/>
      <c r="F411" s="127"/>
      <c r="G411" s="1067"/>
      <c r="I411" s="1068"/>
    </row>
    <row r="412" spans="5:9">
      <c r="E412" s="127"/>
      <c r="F412" s="127"/>
      <c r="G412" s="1067"/>
      <c r="I412" s="1068"/>
    </row>
    <row r="413" spans="5:9">
      <c r="E413" s="127"/>
      <c r="F413" s="127"/>
      <c r="G413" s="1067"/>
      <c r="I413" s="1068"/>
    </row>
    <row r="414" spans="5:9">
      <c r="E414" s="127"/>
      <c r="F414" s="127"/>
      <c r="G414" s="1067"/>
      <c r="I414" s="1068"/>
    </row>
    <row r="415" spans="5:9">
      <c r="E415" s="127"/>
      <c r="F415" s="127"/>
      <c r="G415" s="1067"/>
      <c r="I415" s="1068"/>
    </row>
    <row r="416" spans="5:9">
      <c r="E416" s="127"/>
      <c r="F416" s="127"/>
      <c r="G416" s="1067"/>
      <c r="I416" s="1068"/>
    </row>
    <row r="417" spans="5:9">
      <c r="E417" s="127"/>
      <c r="F417" s="127"/>
      <c r="G417" s="1067"/>
      <c r="I417" s="1068"/>
    </row>
    <row r="418" spans="5:9">
      <c r="E418" s="127"/>
      <c r="F418" s="127"/>
      <c r="G418" s="1067"/>
    </row>
    <row r="419" spans="5:9">
      <c r="E419" s="127"/>
      <c r="F419" s="127"/>
      <c r="G419" s="1067"/>
    </row>
    <row r="420" spans="5:9">
      <c r="E420" s="127"/>
      <c r="F420" s="127"/>
      <c r="G420" s="1067"/>
    </row>
    <row r="421" spans="5:9">
      <c r="E421" s="127"/>
      <c r="F421" s="127"/>
      <c r="G421" s="1067"/>
    </row>
    <row r="422" spans="5:9">
      <c r="E422" s="127"/>
      <c r="F422" s="127"/>
      <c r="G422" s="1067"/>
    </row>
    <row r="423" spans="5:9">
      <c r="E423" s="127"/>
      <c r="F423" s="127"/>
      <c r="G423" s="1067"/>
    </row>
    <row r="424" spans="5:9">
      <c r="E424" s="127"/>
      <c r="F424" s="127"/>
      <c r="G424" s="1067"/>
    </row>
    <row r="425" spans="5:9">
      <c r="E425" s="127"/>
      <c r="F425" s="127"/>
      <c r="G425" s="1067"/>
    </row>
    <row r="426" spans="5:9">
      <c r="E426" s="127"/>
      <c r="F426" s="127"/>
      <c r="G426" s="1067"/>
    </row>
    <row r="427" spans="5:9">
      <c r="E427" s="127"/>
      <c r="F427" s="127"/>
      <c r="G427" s="1067"/>
    </row>
    <row r="428" spans="5:9">
      <c r="E428" s="127"/>
      <c r="F428" s="127"/>
      <c r="G428" s="1067"/>
    </row>
    <row r="429" spans="5:9">
      <c r="E429" s="127"/>
      <c r="F429" s="127"/>
      <c r="G429" s="1067"/>
    </row>
    <row r="430" spans="5:9">
      <c r="E430" s="127"/>
      <c r="F430" s="127"/>
      <c r="G430" s="1067"/>
    </row>
    <row r="431" spans="5:9">
      <c r="E431" s="127"/>
      <c r="F431" s="127"/>
      <c r="G431" s="1067"/>
    </row>
    <row r="432" spans="5:9">
      <c r="E432" s="127"/>
      <c r="F432" s="127"/>
      <c r="G432" s="1067"/>
    </row>
    <row r="433" spans="5:7">
      <c r="E433" s="127"/>
      <c r="F433" s="127"/>
      <c r="G433" s="1067"/>
    </row>
    <row r="434" spans="5:7">
      <c r="E434" s="127"/>
      <c r="F434" s="127"/>
      <c r="G434" s="1067"/>
    </row>
    <row r="435" spans="5:7">
      <c r="E435" s="127"/>
      <c r="G435" s="1064"/>
    </row>
    <row r="436" spans="5:7">
      <c r="E436" s="127"/>
      <c r="G436" s="1064"/>
    </row>
    <row r="437" spans="5:7">
      <c r="E437" s="127"/>
      <c r="G437" s="1064"/>
    </row>
    <row r="438" spans="5:7">
      <c r="E438" s="127"/>
      <c r="G438" s="1064"/>
    </row>
    <row r="439" spans="5:7">
      <c r="E439" s="127"/>
      <c r="G439" s="1064"/>
    </row>
    <row r="440" spans="5:7">
      <c r="E440" s="127"/>
      <c r="G440" s="1064"/>
    </row>
    <row r="441" spans="5:7">
      <c r="E441" s="127"/>
      <c r="G441" s="1064"/>
    </row>
    <row r="442" spans="5:7">
      <c r="E442" s="127"/>
      <c r="G442" s="1064"/>
    </row>
    <row r="443" spans="5:7">
      <c r="E443" s="127"/>
      <c r="G443" s="1064"/>
    </row>
    <row r="444" spans="5:7">
      <c r="E444" s="127"/>
      <c r="G444" s="1064"/>
    </row>
    <row r="445" spans="5:7">
      <c r="E445" s="127"/>
      <c r="G445" s="1064"/>
    </row>
    <row r="446" spans="5:7">
      <c r="E446" s="127"/>
      <c r="G446" s="1064"/>
    </row>
    <row r="447" spans="5:7">
      <c r="E447" s="127"/>
    </row>
    <row r="448" spans="5:7">
      <c r="E448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-0.249977111117893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2" width="9" style="132" customWidth="1"/>
    <col min="3" max="3" width="10.28515625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18" ht="40.5" customHeight="1" thickBot="1">
      <c r="A1" s="1166" t="s">
        <v>128</v>
      </c>
      <c r="B1" s="1166"/>
      <c r="C1" s="1166"/>
      <c r="D1" s="1166"/>
      <c r="E1" s="1166"/>
      <c r="F1" s="1166"/>
      <c r="G1" s="1166"/>
      <c r="H1" s="1166"/>
    </row>
    <row r="2" spans="1:18" ht="40.5" customHeight="1">
      <c r="A2" s="952" t="s">
        <v>129</v>
      </c>
      <c r="B2" s="3" t="s">
        <v>9</v>
      </c>
      <c r="C2" s="3"/>
      <c r="D2" s="953" t="s">
        <v>130</v>
      </c>
      <c r="E2" s="1167" t="s">
        <v>131</v>
      </c>
      <c r="F2" s="1168"/>
      <c r="G2" s="1169"/>
      <c r="H2" s="954" t="s">
        <v>132</v>
      </c>
    </row>
    <row r="3" spans="1:18" ht="27.75" thickBot="1">
      <c r="A3" s="647"/>
      <c r="B3" s="1025" t="s">
        <v>375</v>
      </c>
      <c r="C3" s="1025">
        <v>43464</v>
      </c>
      <c r="D3" s="968" t="s">
        <v>70</v>
      </c>
      <c r="E3" s="1087" t="s">
        <v>375</v>
      </c>
      <c r="F3" s="666" t="s">
        <v>377</v>
      </c>
      <c r="G3" s="969" t="s">
        <v>133</v>
      </c>
      <c r="H3" s="970" t="s">
        <v>134</v>
      </c>
    </row>
    <row r="4" spans="1:18" ht="15.75">
      <c r="A4" s="702" t="s">
        <v>8</v>
      </c>
      <c r="B4" s="955"/>
      <c r="C4" s="955"/>
      <c r="D4" s="956"/>
      <c r="E4" s="957"/>
      <c r="F4" s="957"/>
      <c r="G4" s="958"/>
      <c r="H4" s="959"/>
    </row>
    <row r="5" spans="1:18" ht="15">
      <c r="A5" s="464" t="s">
        <v>313</v>
      </c>
      <c r="B5" s="150">
        <v>13622.311635763426</v>
      </c>
      <c r="C5" s="150">
        <v>13804.633360534244</v>
      </c>
      <c r="D5" s="924">
        <v>-1.3207284830327586</v>
      </c>
      <c r="E5" s="971">
        <v>100</v>
      </c>
      <c r="F5" s="972">
        <v>100</v>
      </c>
      <c r="G5" s="687" t="s">
        <v>100</v>
      </c>
      <c r="H5" s="690">
        <v>-41.999062730133232</v>
      </c>
    </row>
    <row r="6" spans="1:18">
      <c r="A6" s="675" t="s">
        <v>135</v>
      </c>
      <c r="B6" s="99">
        <v>10831.245999999999</v>
      </c>
      <c r="C6" s="99">
        <v>10981.380999999999</v>
      </c>
      <c r="D6" s="925">
        <v>-1.367177771174684</v>
      </c>
      <c r="E6" s="973">
        <v>8.9916431968234924</v>
      </c>
      <c r="F6" s="974">
        <v>6.1833032068019014</v>
      </c>
      <c r="G6" s="685">
        <v>45.418118699602104</v>
      </c>
      <c r="H6" s="686">
        <v>-15.656128194023381</v>
      </c>
    </row>
    <row r="7" spans="1:18">
      <c r="A7" s="675" t="s">
        <v>136</v>
      </c>
      <c r="B7" s="99">
        <v>16655.164000000001</v>
      </c>
      <c r="C7" s="99">
        <v>16250.128000000001</v>
      </c>
      <c r="D7" s="925">
        <v>2.4925095974628633</v>
      </c>
      <c r="E7" s="973">
        <v>8.5761115471628422</v>
      </c>
      <c r="F7" s="974">
        <v>13.159938407980182</v>
      </c>
      <c r="G7" s="685">
        <v>-34.831674121192755</v>
      </c>
      <c r="H7" s="686">
        <v>-62.201760187210667</v>
      </c>
    </row>
    <row r="8" spans="1:18" ht="13.5" thickBot="1">
      <c r="A8" s="676" t="s">
        <v>137</v>
      </c>
      <c r="B8" s="102">
        <v>13611.226000000001</v>
      </c>
      <c r="C8" s="102">
        <v>13622.063</v>
      </c>
      <c r="D8" s="926">
        <v>-7.9554763474515816E-2</v>
      </c>
      <c r="E8" s="975">
        <v>82.432245256013672</v>
      </c>
      <c r="F8" s="976">
        <v>80.656758385217913</v>
      </c>
      <c r="G8" s="688">
        <v>2.201287165938417</v>
      </c>
      <c r="H8" s="691">
        <v>-40.722295541887668</v>
      </c>
    </row>
    <row r="9" spans="1:18" ht="15">
      <c r="A9" s="648" t="s">
        <v>314</v>
      </c>
      <c r="B9" s="151">
        <v>10920.022538348181</v>
      </c>
      <c r="C9" s="151">
        <v>11117.789437895672</v>
      </c>
      <c r="D9" s="927">
        <v>-1.7788329294435985</v>
      </c>
      <c r="E9" s="977">
        <v>100</v>
      </c>
      <c r="F9" s="978">
        <v>100</v>
      </c>
      <c r="G9" s="689" t="s">
        <v>100</v>
      </c>
      <c r="H9" s="692">
        <v>-71.946614342304997</v>
      </c>
    </row>
    <row r="10" spans="1:18">
      <c r="A10" s="675" t="s">
        <v>135</v>
      </c>
      <c r="B10" s="99">
        <v>9764.6200000000008</v>
      </c>
      <c r="C10" s="99">
        <v>9965.3259999999991</v>
      </c>
      <c r="D10" s="925">
        <v>-2.0140434944125092</v>
      </c>
      <c r="E10" s="973">
        <v>3.4422082920928188</v>
      </c>
      <c r="F10" s="974">
        <v>6.0321103747855815</v>
      </c>
      <c r="G10" s="685">
        <v>-42.935256846735399</v>
      </c>
      <c r="H10" s="686">
        <v>-83.991407528641574</v>
      </c>
    </row>
    <row r="11" spans="1:18">
      <c r="A11" s="675" t="s">
        <v>136</v>
      </c>
      <c r="B11" s="99">
        <v>14124.641</v>
      </c>
      <c r="C11" s="99">
        <v>13905.856</v>
      </c>
      <c r="D11" s="925">
        <v>1.5733299697623782</v>
      </c>
      <c r="E11" s="973">
        <v>5.0456395029143302</v>
      </c>
      <c r="F11" s="974">
        <v>4.5765305492823911</v>
      </c>
      <c r="G11" s="685">
        <v>10.25031841436077</v>
      </c>
      <c r="H11" s="686">
        <v>-69.071052986382639</v>
      </c>
    </row>
    <row r="12" spans="1:18" ht="13.5" thickBot="1">
      <c r="A12" s="677" t="s">
        <v>137</v>
      </c>
      <c r="B12" s="99">
        <v>10786.791999999999</v>
      </c>
      <c r="C12" s="99">
        <v>11052.817999999999</v>
      </c>
      <c r="D12" s="925">
        <v>-2.406861309034491</v>
      </c>
      <c r="E12" s="973">
        <v>91.512152204992859</v>
      </c>
      <c r="F12" s="974">
        <v>89.391359075932016</v>
      </c>
      <c r="G12" s="685">
        <v>2.372481133505723</v>
      </c>
      <c r="H12" s="686">
        <v>-71.281053060266586</v>
      </c>
      <c r="P12"/>
      <c r="Q12"/>
      <c r="R12"/>
    </row>
    <row r="13" spans="1:18" ht="15.75">
      <c r="A13" s="702" t="s">
        <v>138</v>
      </c>
      <c r="B13" s="706"/>
      <c r="C13" s="706"/>
      <c r="D13" s="928"/>
      <c r="E13" s="979"/>
      <c r="F13" s="979"/>
      <c r="G13" s="707"/>
      <c r="H13" s="708"/>
      <c r="P13"/>
      <c r="Q13"/>
      <c r="R13"/>
    </row>
    <row r="14" spans="1:18" ht="15">
      <c r="A14" s="464" t="s">
        <v>313</v>
      </c>
      <c r="B14" s="150">
        <v>13210.460469883024</v>
      </c>
      <c r="C14" s="150">
        <v>13485.838321522264</v>
      </c>
      <c r="D14" s="924">
        <v>-2.0419779999865457</v>
      </c>
      <c r="E14" s="971">
        <v>100</v>
      </c>
      <c r="F14" s="972">
        <v>100</v>
      </c>
      <c r="G14" s="687" t="s">
        <v>100</v>
      </c>
      <c r="H14" s="690">
        <v>-36.455670657877029</v>
      </c>
      <c r="P14"/>
      <c r="Q14"/>
      <c r="R14"/>
    </row>
    <row r="15" spans="1:18">
      <c r="A15" s="675" t="s">
        <v>135</v>
      </c>
      <c r="B15" s="99">
        <v>11130.279</v>
      </c>
      <c r="C15" s="99">
        <v>11375.465</v>
      </c>
      <c r="D15" s="925">
        <v>-2.1553932081018199</v>
      </c>
      <c r="E15" s="973">
        <v>2.4532895781506374</v>
      </c>
      <c r="F15" s="974">
        <v>1.6867348311583479</v>
      </c>
      <c r="G15" s="685">
        <v>45.446073255383354</v>
      </c>
      <c r="H15" s="686">
        <v>-7.5772681954137573</v>
      </c>
    </row>
    <row r="16" spans="1:18">
      <c r="A16" s="675" t="s">
        <v>136</v>
      </c>
      <c r="B16" s="99">
        <v>15603.838</v>
      </c>
      <c r="C16" s="99">
        <v>14993.566000000001</v>
      </c>
      <c r="D16" s="925">
        <v>4.0702258555436313</v>
      </c>
      <c r="E16" s="973">
        <v>0.26200179960832054</v>
      </c>
      <c r="F16" s="974">
        <v>4.1554554015875151</v>
      </c>
      <c r="G16" s="685">
        <v>-93.694991901291317</v>
      </c>
      <c r="H16" s="686">
        <v>-95.993524888709032</v>
      </c>
    </row>
    <row r="17" spans="1:13" ht="13.5" thickBot="1">
      <c r="A17" s="676" t="s">
        <v>137</v>
      </c>
      <c r="B17" s="102">
        <v>13256.472</v>
      </c>
      <c r="C17" s="102">
        <v>13457.102999999999</v>
      </c>
      <c r="D17" s="926">
        <v>-1.4908929507338944</v>
      </c>
      <c r="E17" s="975">
        <v>97.284708622241041</v>
      </c>
      <c r="F17" s="976">
        <v>94.157809767254136</v>
      </c>
      <c r="G17" s="688">
        <v>3.320912904321152</v>
      </c>
      <c r="H17" s="691">
        <v>-34.345418824790137</v>
      </c>
    </row>
    <row r="18" spans="1:13" ht="15">
      <c r="A18" s="648" t="s">
        <v>314</v>
      </c>
      <c r="B18" s="151">
        <v>10788.386</v>
      </c>
      <c r="C18" s="151">
        <v>11126.903</v>
      </c>
      <c r="D18" s="927">
        <v>-3.0423290290209217</v>
      </c>
      <c r="E18" s="977">
        <v>100</v>
      </c>
      <c r="F18" s="978">
        <v>100</v>
      </c>
      <c r="G18" s="689" t="s">
        <v>100</v>
      </c>
      <c r="H18" s="692">
        <v>-82.103074023526361</v>
      </c>
    </row>
    <row r="19" spans="1:13">
      <c r="A19" s="675" t="s">
        <v>135</v>
      </c>
      <c r="B19" s="99" t="s">
        <v>257</v>
      </c>
      <c r="C19" s="99" t="s">
        <v>100</v>
      </c>
      <c r="D19" s="925" t="s">
        <v>100</v>
      </c>
      <c r="E19" s="973" t="s">
        <v>100</v>
      </c>
      <c r="F19" s="974" t="s">
        <v>100</v>
      </c>
      <c r="G19" s="685" t="s">
        <v>100</v>
      </c>
      <c r="H19" s="686" t="s">
        <v>100</v>
      </c>
    </row>
    <row r="20" spans="1:13">
      <c r="A20" s="675" t="s">
        <v>136</v>
      </c>
      <c r="B20" s="99" t="s">
        <v>257</v>
      </c>
      <c r="C20" s="99" t="s">
        <v>100</v>
      </c>
      <c r="D20" s="925" t="s">
        <v>100</v>
      </c>
      <c r="E20" s="973" t="s">
        <v>100</v>
      </c>
      <c r="F20" s="974" t="s">
        <v>100</v>
      </c>
      <c r="G20" s="685" t="s">
        <v>100</v>
      </c>
      <c r="H20" s="686" t="s">
        <v>100</v>
      </c>
    </row>
    <row r="21" spans="1:13" ht="13.5" thickBot="1">
      <c r="A21" s="677" t="s">
        <v>137</v>
      </c>
      <c r="B21" s="99">
        <v>10788.386</v>
      </c>
      <c r="C21" s="99">
        <v>11126.903</v>
      </c>
      <c r="D21" s="925">
        <v>-3.0423290290209217</v>
      </c>
      <c r="E21" s="973">
        <v>100</v>
      </c>
      <c r="F21" s="974">
        <v>100</v>
      </c>
      <c r="G21" s="685">
        <v>0</v>
      </c>
      <c r="H21" s="686">
        <v>-82.103074023526361</v>
      </c>
    </row>
    <row r="22" spans="1:13" ht="15.75">
      <c r="A22" s="702" t="s">
        <v>139</v>
      </c>
      <c r="B22" s="706"/>
      <c r="C22" s="706"/>
      <c r="D22" s="928"/>
      <c r="E22" s="979"/>
      <c r="F22" s="979"/>
      <c r="G22" s="707"/>
      <c r="H22" s="708"/>
    </row>
    <row r="23" spans="1:13" ht="15">
      <c r="A23" s="464" t="s">
        <v>313</v>
      </c>
      <c r="B23" s="150">
        <v>13900.390589193397</v>
      </c>
      <c r="C23" s="1033">
        <v>14057.483488585864</v>
      </c>
      <c r="D23" s="924">
        <v>-1.1175037091099533</v>
      </c>
      <c r="E23" s="971">
        <v>100</v>
      </c>
      <c r="F23" s="972">
        <v>100</v>
      </c>
      <c r="G23" s="687" t="s">
        <v>100</v>
      </c>
      <c r="H23" s="690">
        <v>-47.919109451223925</v>
      </c>
    </row>
    <row r="24" spans="1:13">
      <c r="A24" s="675" t="s">
        <v>135</v>
      </c>
      <c r="B24" s="99">
        <v>10704.493</v>
      </c>
      <c r="C24" s="99">
        <v>10825.119000000001</v>
      </c>
      <c r="D24" s="925">
        <v>-1.114315694820539</v>
      </c>
      <c r="E24" s="973">
        <v>17.154928011562625</v>
      </c>
      <c r="F24" s="974">
        <v>10.228572255757735</v>
      </c>
      <c r="G24" s="685">
        <v>67.715763086153061</v>
      </c>
      <c r="H24" s="686">
        <v>-12.65213699405604</v>
      </c>
    </row>
    <row r="25" spans="1:13">
      <c r="A25" s="675" t="s">
        <v>136</v>
      </c>
      <c r="B25" s="99">
        <v>16669.362000000001</v>
      </c>
      <c r="C25" s="99">
        <v>16475.519</v>
      </c>
      <c r="D25" s="925">
        <v>1.1765517068081484</v>
      </c>
      <c r="E25" s="973">
        <v>20.376341097337264</v>
      </c>
      <c r="F25" s="974">
        <v>22.635746442581901</v>
      </c>
      <c r="G25" s="685">
        <v>-9.9815809077728961</v>
      </c>
      <c r="H25" s="686">
        <v>-53.11760567883865</v>
      </c>
    </row>
    <row r="26" spans="1:13" ht="16.5" thickBot="1">
      <c r="A26" s="676" t="s">
        <v>137</v>
      </c>
      <c r="B26" s="102">
        <v>13874.84</v>
      </c>
      <c r="C26" s="102">
        <v>13734.681</v>
      </c>
      <c r="D26" s="926">
        <v>1.020475102406817</v>
      </c>
      <c r="E26" s="975">
        <v>62.468730891100122</v>
      </c>
      <c r="F26" s="976">
        <v>67.13568130166037</v>
      </c>
      <c r="G26" s="688">
        <v>-6.9515201455843805</v>
      </c>
      <c r="H26" s="691">
        <v>-51.539523049721851</v>
      </c>
      <c r="J26" s="134"/>
      <c r="K26" s="127"/>
      <c r="L26" s="127"/>
      <c r="M26" s="127"/>
    </row>
    <row r="27" spans="1:13" ht="15">
      <c r="A27" s="648" t="s">
        <v>314</v>
      </c>
      <c r="B27" s="151">
        <v>11021.999882113822</v>
      </c>
      <c r="C27" s="151">
        <v>10942.377677052404</v>
      </c>
      <c r="D27" s="927">
        <v>0.72764994420176177</v>
      </c>
      <c r="E27" s="977">
        <v>100</v>
      </c>
      <c r="F27" s="978">
        <v>100</v>
      </c>
      <c r="G27" s="689" t="s">
        <v>100</v>
      </c>
      <c r="H27" s="692">
        <v>-63.47980997624704</v>
      </c>
      <c r="J27" s="1165"/>
      <c r="K27" s="1165"/>
      <c r="L27" s="1165"/>
      <c r="M27" s="1165"/>
    </row>
    <row r="28" spans="1:13">
      <c r="A28" s="675" t="s">
        <v>135</v>
      </c>
      <c r="B28" s="99" t="s">
        <v>100</v>
      </c>
      <c r="C28" s="99">
        <v>10470.959999999999</v>
      </c>
      <c r="D28" s="925" t="s">
        <v>100</v>
      </c>
      <c r="E28" s="973" t="s">
        <v>100</v>
      </c>
      <c r="F28" s="974" t="s">
        <v>100</v>
      </c>
      <c r="G28" s="685" t="s">
        <v>100</v>
      </c>
      <c r="H28" s="686" t="s">
        <v>100</v>
      </c>
    </row>
    <row r="29" spans="1:13">
      <c r="A29" s="675" t="s">
        <v>136</v>
      </c>
      <c r="B29" s="99" t="s">
        <v>257</v>
      </c>
      <c r="C29" s="99" t="s">
        <v>257</v>
      </c>
      <c r="D29" s="925" t="s">
        <v>100</v>
      </c>
      <c r="E29" s="973" t="s">
        <v>100</v>
      </c>
      <c r="F29" s="974" t="s">
        <v>100</v>
      </c>
      <c r="G29" s="685" t="s">
        <v>100</v>
      </c>
      <c r="H29" s="686" t="s">
        <v>100</v>
      </c>
    </row>
    <row r="30" spans="1:13" ht="13.5" thickBot="1">
      <c r="A30" s="677" t="s">
        <v>137</v>
      </c>
      <c r="B30" s="99">
        <v>10973.048000000001</v>
      </c>
      <c r="C30" s="99">
        <v>10956.718999999999</v>
      </c>
      <c r="D30" s="925">
        <v>0.1490318406450101</v>
      </c>
      <c r="E30" s="973">
        <v>99.263211382113823</v>
      </c>
      <c r="F30" s="974">
        <v>90.426440023752974</v>
      </c>
      <c r="G30" s="685">
        <v>9.7723313624196972</v>
      </c>
      <c r="H30" s="686">
        <v>-59.910935992940558</v>
      </c>
    </row>
    <row r="31" spans="1:13" ht="15.75">
      <c r="A31" s="702" t="s">
        <v>140</v>
      </c>
      <c r="B31" s="706"/>
      <c r="C31" s="706"/>
      <c r="D31" s="928"/>
      <c r="E31" s="979"/>
      <c r="F31" s="979"/>
      <c r="G31" s="707"/>
      <c r="H31" s="708"/>
    </row>
    <row r="32" spans="1:13" ht="15">
      <c r="A32" s="464" t="s">
        <v>313</v>
      </c>
      <c r="B32" s="150">
        <v>14054.063601538222</v>
      </c>
      <c r="C32" s="150">
        <v>13876.166038847541</v>
      </c>
      <c r="D32" s="924">
        <v>1.2820368550840449</v>
      </c>
      <c r="E32" s="971">
        <v>100</v>
      </c>
      <c r="F32" s="972">
        <v>100</v>
      </c>
      <c r="G32" s="687" t="s">
        <v>100</v>
      </c>
      <c r="H32" s="690">
        <v>-38.18967587034814</v>
      </c>
    </row>
    <row r="33" spans="1:8">
      <c r="A33" s="675" t="s">
        <v>135</v>
      </c>
      <c r="B33" s="99" t="s">
        <v>257</v>
      </c>
      <c r="C33" s="99" t="s">
        <v>257</v>
      </c>
      <c r="D33" s="925" t="s">
        <v>100</v>
      </c>
      <c r="E33" s="973" t="s">
        <v>100</v>
      </c>
      <c r="F33" s="974" t="s">
        <v>100</v>
      </c>
      <c r="G33" s="685" t="s">
        <v>100</v>
      </c>
      <c r="H33" s="686" t="s">
        <v>100</v>
      </c>
    </row>
    <row r="34" spans="1:8">
      <c r="A34" s="675" t="s">
        <v>136</v>
      </c>
      <c r="B34" s="99" t="s">
        <v>100</v>
      </c>
      <c r="C34" s="99" t="s">
        <v>257</v>
      </c>
      <c r="D34" s="925" t="s">
        <v>100</v>
      </c>
      <c r="E34" s="973" t="s">
        <v>100</v>
      </c>
      <c r="F34" s="974" t="s">
        <v>100</v>
      </c>
      <c r="G34" s="685" t="s">
        <v>100</v>
      </c>
      <c r="H34" s="686" t="s">
        <v>100</v>
      </c>
    </row>
    <row r="35" spans="1:8" ht="13.5" thickBot="1">
      <c r="A35" s="676" t="s">
        <v>137</v>
      </c>
      <c r="B35" s="102">
        <v>14195.419</v>
      </c>
      <c r="C35" s="102">
        <v>13843.671</v>
      </c>
      <c r="D35" s="926">
        <v>2.5408578403806303</v>
      </c>
      <c r="E35" s="975">
        <v>94.631758856432569</v>
      </c>
      <c r="F35" s="976">
        <v>86.957983193277315</v>
      </c>
      <c r="G35" s="688">
        <v>8.824693698448737</v>
      </c>
      <c r="H35" s="691">
        <v>-32.735104091888012</v>
      </c>
    </row>
    <row r="36" spans="1:8" ht="15">
      <c r="A36" s="648" t="s">
        <v>314</v>
      </c>
      <c r="B36" s="151">
        <v>10903.843796604526</v>
      </c>
      <c r="C36" s="151">
        <v>11397.89986553788</v>
      </c>
      <c r="D36" s="927">
        <v>-4.3346237005218606</v>
      </c>
      <c r="E36" s="977">
        <v>100</v>
      </c>
      <c r="F36" s="978">
        <v>100</v>
      </c>
      <c r="G36" s="689" t="s">
        <v>100</v>
      </c>
      <c r="H36" s="692">
        <v>-61.540185001440328</v>
      </c>
    </row>
    <row r="37" spans="1:8">
      <c r="A37" s="675" t="s">
        <v>135</v>
      </c>
      <c r="B37" s="99" t="s">
        <v>257</v>
      </c>
      <c r="C37" s="99" t="s">
        <v>257</v>
      </c>
      <c r="D37" s="925" t="s">
        <v>100</v>
      </c>
      <c r="E37" s="973" t="s">
        <v>100</v>
      </c>
      <c r="F37" s="974" t="s">
        <v>100</v>
      </c>
      <c r="G37" s="685" t="s">
        <v>100</v>
      </c>
      <c r="H37" s="686" t="s">
        <v>100</v>
      </c>
    </row>
    <row r="38" spans="1:8">
      <c r="A38" s="675" t="s">
        <v>136</v>
      </c>
      <c r="B38" s="99" t="s">
        <v>257</v>
      </c>
      <c r="C38" s="99" t="s">
        <v>257</v>
      </c>
      <c r="D38" s="925" t="s">
        <v>100</v>
      </c>
      <c r="E38" s="973" t="s">
        <v>100</v>
      </c>
      <c r="F38" s="974" t="s">
        <v>100</v>
      </c>
      <c r="G38" s="685" t="s">
        <v>100</v>
      </c>
      <c r="H38" s="686" t="s">
        <v>100</v>
      </c>
    </row>
    <row r="39" spans="1:8" ht="13.5" thickBot="1">
      <c r="A39" s="676" t="s">
        <v>137</v>
      </c>
      <c r="B39" s="102">
        <v>10345.879999999999</v>
      </c>
      <c r="C39" s="102">
        <v>10999.880999999999</v>
      </c>
      <c r="D39" s="926">
        <v>-5.9455279561660728</v>
      </c>
      <c r="E39" s="975">
        <v>69.091211717709726</v>
      </c>
      <c r="F39" s="976">
        <v>61.482572096149532</v>
      </c>
      <c r="G39" s="688">
        <v>12.375278655651265</v>
      </c>
      <c r="H39" s="691">
        <v>-56.780675724920613</v>
      </c>
    </row>
    <row r="40" spans="1:8" ht="14.25" customHeight="1">
      <c r="A40" s="134" t="s">
        <v>315</v>
      </c>
      <c r="B40" s="127"/>
      <c r="C40" s="134"/>
      <c r="D40" s="127"/>
    </row>
    <row r="41" spans="1:8" ht="5.25" customHeight="1">
      <c r="A41" s="1170"/>
      <c r="B41" s="1170"/>
      <c r="C41" s="1170"/>
      <c r="D41" s="1170"/>
    </row>
    <row r="42" spans="1:8" ht="15">
      <c r="A42" s="135" t="s">
        <v>61</v>
      </c>
      <c r="B42" s="136"/>
    </row>
    <row r="43" spans="1:8" ht="15">
      <c r="A43" s="133" t="s">
        <v>96</v>
      </c>
      <c r="B43" s="1171" t="s">
        <v>62</v>
      </c>
      <c r="C43" s="1172"/>
      <c r="D43" s="1172"/>
      <c r="E43" s="1172"/>
      <c r="F43" s="1172"/>
      <c r="G43" s="1172"/>
      <c r="H43" s="1173"/>
    </row>
    <row r="44" spans="1:8" ht="15">
      <c r="A44" s="133" t="s">
        <v>63</v>
      </c>
      <c r="B44" s="1171" t="s">
        <v>64</v>
      </c>
      <c r="C44" s="1172"/>
      <c r="D44" s="1172"/>
      <c r="E44" s="1172"/>
      <c r="F44" s="1172"/>
      <c r="G44" s="1172"/>
      <c r="H44" s="1173"/>
    </row>
    <row r="45" spans="1:8" ht="15">
      <c r="A45" s="133" t="s">
        <v>65</v>
      </c>
      <c r="B45" s="1171" t="s">
        <v>66</v>
      </c>
      <c r="C45" s="1172"/>
      <c r="D45" s="1172"/>
      <c r="E45" s="1172"/>
      <c r="F45" s="1172"/>
      <c r="G45" s="1172"/>
      <c r="H45" s="1173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-0.249977111117893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32" customWidth="1"/>
    <col min="2" max="2" width="12.85546875" style="132" customWidth="1"/>
    <col min="3" max="3" width="12.5703125" style="132" customWidth="1"/>
    <col min="4" max="4" width="12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41" t="s">
        <v>378</v>
      </c>
      <c r="B2" s="942"/>
      <c r="C2" s="942"/>
      <c r="D2" s="942"/>
      <c r="E2" s="942"/>
      <c r="F2" s="127"/>
      <c r="G2" s="127"/>
      <c r="H2" s="127"/>
    </row>
    <row r="3" spans="1:8" ht="30.75" customHeight="1">
      <c r="A3" s="1174" t="s">
        <v>141</v>
      </c>
      <c r="B3" s="1176" t="s">
        <v>142</v>
      </c>
      <c r="C3" s="1176"/>
      <c r="D3" s="1177" t="s">
        <v>320</v>
      </c>
      <c r="E3" s="1178"/>
    </row>
    <row r="4" spans="1:8" ht="16.5" thickBot="1">
      <c r="A4" s="1175"/>
      <c r="B4" s="1032" t="s">
        <v>143</v>
      </c>
      <c r="C4" s="1032" t="s">
        <v>144</v>
      </c>
      <c r="D4" s="1034" t="s">
        <v>143</v>
      </c>
      <c r="E4" s="1035" t="s">
        <v>144</v>
      </c>
      <c r="G4" s="137" t="s">
        <v>145</v>
      </c>
      <c r="H4" s="138"/>
    </row>
    <row r="5" spans="1:8" ht="17.25" customHeight="1" thickBot="1">
      <c r="A5" s="1019" t="s">
        <v>146</v>
      </c>
      <c r="B5" s="1020">
        <v>27985.949000000001</v>
      </c>
      <c r="C5" s="1020">
        <v>21924.25</v>
      </c>
      <c r="D5" s="1021">
        <v>3.5119371828678982</v>
      </c>
      <c r="E5" s="1022">
        <v>-2.5121683871875153</v>
      </c>
      <c r="G5" s="139" t="s">
        <v>59</v>
      </c>
      <c r="H5" s="140" t="s">
        <v>60</v>
      </c>
    </row>
    <row r="6" spans="1:8" ht="18" customHeight="1">
      <c r="A6" s="1074" t="s">
        <v>147</v>
      </c>
      <c r="B6" s="1075" t="s">
        <v>257</v>
      </c>
      <c r="C6" s="1075" t="s">
        <v>257</v>
      </c>
      <c r="D6" s="1076" t="s">
        <v>100</v>
      </c>
      <c r="E6" s="1077" t="s">
        <v>100</v>
      </c>
      <c r="G6" s="141" t="s">
        <v>148</v>
      </c>
      <c r="H6" s="142" t="s">
        <v>149</v>
      </c>
    </row>
    <row r="7" spans="1:8" ht="18" customHeight="1">
      <c r="A7" s="649" t="s">
        <v>150</v>
      </c>
      <c r="B7" s="650">
        <v>28751.72</v>
      </c>
      <c r="C7" s="650">
        <v>21650.31</v>
      </c>
      <c r="D7" s="1038">
        <v>5.587976367923333</v>
      </c>
      <c r="E7" s="1039">
        <v>-2.5994551046152248</v>
      </c>
      <c r="G7" s="143" t="s">
        <v>151</v>
      </c>
      <c r="H7" s="144" t="s">
        <v>152</v>
      </c>
    </row>
    <row r="8" spans="1:8" ht="18" customHeight="1">
      <c r="A8" s="649" t="s">
        <v>153</v>
      </c>
      <c r="B8" s="650">
        <v>27315.116000000002</v>
      </c>
      <c r="C8" s="650">
        <v>33866.743999999999</v>
      </c>
      <c r="D8" s="1041">
        <v>-5.1647775390039588</v>
      </c>
      <c r="E8" s="1040">
        <v>-0.87152753924638271</v>
      </c>
      <c r="G8" s="143" t="s">
        <v>154</v>
      </c>
      <c r="H8" s="144" t="s">
        <v>155</v>
      </c>
    </row>
    <row r="9" spans="1:8" ht="18" customHeight="1">
      <c r="A9" s="649" t="s">
        <v>156</v>
      </c>
      <c r="B9" s="651" t="s">
        <v>100</v>
      </c>
      <c r="C9" s="652" t="s">
        <v>257</v>
      </c>
      <c r="D9" s="1036" t="s">
        <v>100</v>
      </c>
      <c r="E9" s="1040" t="s">
        <v>100</v>
      </c>
      <c r="G9" s="143" t="s">
        <v>157</v>
      </c>
      <c r="H9" s="144" t="s">
        <v>158</v>
      </c>
    </row>
    <row r="10" spans="1:8" ht="18" customHeight="1">
      <c r="A10" s="649" t="s">
        <v>159</v>
      </c>
      <c r="B10" s="650" t="s">
        <v>257</v>
      </c>
      <c r="C10" s="650">
        <v>21001.697</v>
      </c>
      <c r="D10" s="1041" t="s">
        <v>100</v>
      </c>
      <c r="E10" s="1042">
        <v>1.6836581661962484</v>
      </c>
      <c r="G10" s="143" t="s">
        <v>160</v>
      </c>
      <c r="H10" s="144" t="s">
        <v>161</v>
      </c>
    </row>
    <row r="11" spans="1:8" ht="18" customHeight="1">
      <c r="A11" s="649" t="s">
        <v>162</v>
      </c>
      <c r="B11" s="680" t="s">
        <v>100</v>
      </c>
      <c r="C11" s="650" t="s">
        <v>257</v>
      </c>
      <c r="D11" s="1036" t="s">
        <v>100</v>
      </c>
      <c r="E11" s="1037" t="s">
        <v>100</v>
      </c>
      <c r="G11" s="143" t="s">
        <v>163</v>
      </c>
      <c r="H11" s="144" t="s">
        <v>164</v>
      </c>
    </row>
    <row r="12" spans="1:8" ht="18" customHeight="1">
      <c r="A12" s="649" t="s">
        <v>165</v>
      </c>
      <c r="B12" s="650" t="s">
        <v>257</v>
      </c>
      <c r="C12" s="650" t="s">
        <v>257</v>
      </c>
      <c r="D12" s="1036" t="s">
        <v>100</v>
      </c>
      <c r="E12" s="1042" t="s">
        <v>100</v>
      </c>
      <c r="G12" s="143" t="s">
        <v>166</v>
      </c>
      <c r="H12" s="144" t="s">
        <v>167</v>
      </c>
    </row>
    <row r="13" spans="1:8" ht="18" customHeight="1" thickBot="1">
      <c r="A13" s="653" t="s">
        <v>168</v>
      </c>
      <c r="B13" s="982" t="s">
        <v>257</v>
      </c>
      <c r="C13" s="654">
        <v>24610.223999999998</v>
      </c>
      <c r="D13" s="1043" t="s">
        <v>100</v>
      </c>
      <c r="E13" s="1044">
        <v>-2.0659752558269373</v>
      </c>
      <c r="G13" s="145" t="s">
        <v>169</v>
      </c>
      <c r="H13" s="146" t="s">
        <v>170</v>
      </c>
    </row>
    <row r="14" spans="1:8">
      <c r="A14" s="684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23" spans="1:4" ht="15">
      <c r="D23" s="1061"/>
    </row>
    <row r="24" spans="1:4" ht="15">
      <c r="D24" s="1061"/>
    </row>
    <row r="25" spans="1:4" ht="15">
      <c r="A25" s="1062"/>
      <c r="D25" s="1061"/>
    </row>
    <row r="26" spans="1:4" ht="15">
      <c r="A26" s="1062"/>
      <c r="D26" s="1061"/>
    </row>
    <row r="27" spans="1:4" ht="15">
      <c r="A27" s="1062"/>
      <c r="D27" s="1061"/>
    </row>
    <row r="28" spans="1:4" ht="15">
      <c r="A28" s="1062"/>
      <c r="D28" s="1061"/>
    </row>
    <row r="29" spans="1:4" ht="15">
      <c r="A29" s="1062"/>
      <c r="D29" s="1061"/>
    </row>
    <row r="30" spans="1:4" ht="15">
      <c r="A30" s="1062"/>
      <c r="D30" s="1061"/>
    </row>
    <row r="31" spans="1:4" ht="15">
      <c r="A31" s="1062"/>
      <c r="D31" s="1061"/>
    </row>
    <row r="32" spans="1:4" ht="15">
      <c r="A32" s="1062"/>
      <c r="D32" s="1061"/>
    </row>
    <row r="33" spans="1:13" ht="15">
      <c r="A33" s="1062"/>
      <c r="D33" s="1061"/>
    </row>
    <row r="34" spans="1:13" ht="15">
      <c r="A34" s="1062"/>
      <c r="D34" s="1061"/>
    </row>
    <row r="35" spans="1:13" ht="15">
      <c r="A35" s="1062"/>
      <c r="D35" s="1061"/>
      <c r="M35" s="132" t="s">
        <v>123</v>
      </c>
    </row>
    <row r="36" spans="1:13" ht="15">
      <c r="A36" s="1062"/>
      <c r="D36" s="1061"/>
    </row>
    <row r="37" spans="1:13" ht="15">
      <c r="A37" s="1062"/>
      <c r="D37" s="1061"/>
    </row>
    <row r="38" spans="1:13" ht="15">
      <c r="A38" s="1062"/>
      <c r="D38" s="1061"/>
    </row>
    <row r="39" spans="1:13" ht="15">
      <c r="A39" s="1062"/>
      <c r="D39" s="1061"/>
    </row>
    <row r="40" spans="1:13" ht="15">
      <c r="A40" s="1062"/>
      <c r="D40" s="1061"/>
    </row>
    <row r="41" spans="1:13" ht="15">
      <c r="A41" s="1062"/>
      <c r="D41" s="1061"/>
    </row>
    <row r="42" spans="1:13" ht="15">
      <c r="A42" s="1062"/>
      <c r="D42" s="1061"/>
    </row>
    <row r="43" spans="1:13" ht="15">
      <c r="A43" s="1062"/>
      <c r="D43" s="1061"/>
    </row>
    <row r="44" spans="1:13" ht="15">
      <c r="A44" s="1062"/>
      <c r="D44" s="1061"/>
    </row>
    <row r="45" spans="1:13" ht="15">
      <c r="D45" s="1061"/>
    </row>
    <row r="46" spans="1:13" ht="15">
      <c r="A46" s="1062"/>
      <c r="D46" s="1061"/>
    </row>
    <row r="47" spans="1:13" ht="15">
      <c r="A47" s="1062"/>
      <c r="D47" s="1061"/>
    </row>
    <row r="48" spans="1:13" ht="15">
      <c r="A48" s="1062"/>
      <c r="D48" s="1061"/>
    </row>
    <row r="49" spans="1:4" ht="15">
      <c r="A49" s="1062"/>
      <c r="D49" s="1061"/>
    </row>
    <row r="50" spans="1:4" ht="15">
      <c r="A50" s="1062"/>
      <c r="D50" s="1061"/>
    </row>
    <row r="51" spans="1:4" ht="15">
      <c r="A51" s="1062"/>
      <c r="D51" s="1061"/>
    </row>
    <row r="52" spans="1:4" ht="15">
      <c r="A52" s="1062"/>
      <c r="D52" s="1061"/>
    </row>
    <row r="53" spans="1:4" ht="15">
      <c r="A53" s="1062"/>
      <c r="D53" s="1061"/>
    </row>
    <row r="54" spans="1:4" ht="15">
      <c r="A54" s="1062"/>
    </row>
    <row r="55" spans="1:4" ht="15">
      <c r="A55" s="1062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2"/>
  <sheetViews>
    <sheetView showGridLines="0" zoomScale="90" zoomScaleNormal="90" workbookViewId="0">
      <selection activeCell="O18" sqref="O18"/>
    </sheetView>
  </sheetViews>
  <sheetFormatPr defaultRowHeight="12.75"/>
  <cols>
    <col min="1" max="1" width="42.28515625" customWidth="1"/>
    <col min="2" max="2" width="11.85546875" customWidth="1"/>
    <col min="3" max="3" width="14.42578125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85" t="s">
        <v>316</v>
      </c>
      <c r="B1" s="1185"/>
      <c r="C1" s="1185"/>
      <c r="D1" s="1185"/>
      <c r="E1" s="1185"/>
      <c r="F1" s="1185"/>
      <c r="G1" s="667"/>
      <c r="H1" s="667"/>
    </row>
    <row r="2" spans="1:8" ht="13.5" customHeight="1" thickBot="1"/>
    <row r="3" spans="1:8" ht="27" customHeight="1">
      <c r="A3" s="1179" t="s">
        <v>73</v>
      </c>
      <c r="B3" s="1181" t="s">
        <v>118</v>
      </c>
      <c r="C3" s="1186" t="s">
        <v>82</v>
      </c>
      <c r="D3" s="1187"/>
      <c r="E3" s="1188"/>
      <c r="F3" s="1183" t="s">
        <v>119</v>
      </c>
      <c r="G3" s="1184"/>
      <c r="H3" s="127"/>
    </row>
    <row r="4" spans="1:8" ht="32.25" customHeight="1" thickBot="1">
      <c r="A4" s="1180"/>
      <c r="B4" s="1182"/>
      <c r="C4" s="1000">
        <v>43471</v>
      </c>
      <c r="D4" s="1001">
        <v>43464</v>
      </c>
      <c r="E4" s="1002">
        <v>43107</v>
      </c>
      <c r="F4" s="1003" t="s">
        <v>325</v>
      </c>
      <c r="G4" s="1004" t="s">
        <v>120</v>
      </c>
      <c r="H4" s="127"/>
    </row>
    <row r="5" spans="1:8" ht="29.25" customHeight="1">
      <c r="A5" s="984" t="s">
        <v>124</v>
      </c>
      <c r="B5" s="985" t="s">
        <v>333</v>
      </c>
      <c r="C5" s="1005">
        <v>725.04</v>
      </c>
      <c r="D5" s="943">
        <v>667.61</v>
      </c>
      <c r="E5" s="1006">
        <v>659.82</v>
      </c>
      <c r="F5" s="1007">
        <v>8.6023277062955845</v>
      </c>
      <c r="G5" s="1008">
        <v>9.8845139583522652</v>
      </c>
    </row>
    <row r="6" spans="1:8" ht="28.5" customHeight="1" thickBot="1">
      <c r="A6" s="986" t="s">
        <v>125</v>
      </c>
      <c r="B6" s="983" t="s">
        <v>333</v>
      </c>
      <c r="C6" s="1009">
        <v>960.65</v>
      </c>
      <c r="D6" s="1010">
        <v>912.55700000000002</v>
      </c>
      <c r="E6" s="1011">
        <v>963.2</v>
      </c>
      <c r="F6" s="1012">
        <v>5.2701365503743833</v>
      </c>
      <c r="G6" s="1013">
        <v>-0.26474252491695061</v>
      </c>
    </row>
    <row r="7" spans="1:8" ht="32.25" customHeight="1" thickBot="1">
      <c r="A7" s="987" t="s">
        <v>121</v>
      </c>
      <c r="B7" s="988" t="s">
        <v>122</v>
      </c>
      <c r="C7" s="1009" t="s">
        <v>257</v>
      </c>
      <c r="D7" s="1047" t="s">
        <v>257</v>
      </c>
      <c r="E7" s="1048" t="s">
        <v>257</v>
      </c>
      <c r="F7" s="1049" t="s">
        <v>100</v>
      </c>
      <c r="G7" s="1050" t="s">
        <v>100</v>
      </c>
    </row>
    <row r="8" spans="1:8" s="127" customFormat="1" ht="15.75">
      <c r="A8" s="1069"/>
      <c r="B8"/>
      <c r="C8"/>
      <c r="D8" s="1071"/>
      <c r="E8" s="1072"/>
      <c r="F8" s="1073"/>
      <c r="G8" s="1073"/>
    </row>
    <row r="9" spans="1:8" ht="19.5" customHeight="1">
      <c r="A9" s="644" t="s">
        <v>42</v>
      </c>
    </row>
    <row r="10" spans="1:8" ht="15">
      <c r="A10" s="645" t="s">
        <v>95</v>
      </c>
    </row>
    <row r="11" spans="1:8" ht="15">
      <c r="A11" s="645"/>
    </row>
    <row r="12" spans="1:8" ht="15">
      <c r="A12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3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8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92" t="s">
        <v>89</v>
      </c>
      <c r="C1" s="1192"/>
      <c r="D1" s="1192"/>
      <c r="E1" s="1192"/>
      <c r="F1" s="8"/>
      <c r="G1" s="7"/>
    </row>
    <row r="2" spans="2:17" ht="20.25" thickBot="1">
      <c r="B2" s="951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0"/>
      <c r="C3" s="741" t="s">
        <v>321</v>
      </c>
      <c r="D3" s="693"/>
      <c r="E3" s="742" t="s">
        <v>69</v>
      </c>
      <c r="F3" s="1190"/>
    </row>
    <row r="4" spans="2:17" ht="34.5" customHeight="1" thickBot="1">
      <c r="B4" s="743" t="s">
        <v>43</v>
      </c>
      <c r="C4" s="658">
        <v>43469</v>
      </c>
      <c r="D4" s="658">
        <v>43462</v>
      </c>
      <c r="E4" s="744" t="s">
        <v>317</v>
      </c>
      <c r="F4" s="1191"/>
      <c r="G4" s="679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322</v>
      </c>
      <c r="C5" s="745"/>
      <c r="D5" s="745"/>
      <c r="E5" s="746"/>
      <c r="F5" s="10"/>
      <c r="G5" s="1189" t="s">
        <v>361</v>
      </c>
      <c r="H5" s="1189"/>
      <c r="I5" s="1189"/>
      <c r="J5" s="1189"/>
      <c r="K5" s="1189"/>
      <c r="L5" s="1189"/>
      <c r="M5" s="1189"/>
      <c r="N5" s="1189"/>
      <c r="O5" s="1189"/>
      <c r="P5" s="1189"/>
      <c r="Q5" s="1189"/>
    </row>
    <row r="6" spans="2:17" ht="21" customHeight="1">
      <c r="B6" s="1016" t="s">
        <v>44</v>
      </c>
      <c r="C6" s="991"/>
      <c r="D6" s="991">
        <v>12</v>
      </c>
      <c r="E6" s="992"/>
      <c r="F6" s="10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</row>
    <row r="7" spans="2:17" ht="15.75">
      <c r="B7" s="660" t="s">
        <v>45</v>
      </c>
      <c r="C7" s="661"/>
      <c r="D7" s="661">
        <v>18.5</v>
      </c>
      <c r="E7" s="993"/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1" t="s">
        <v>46</v>
      </c>
      <c r="C8" s="668" t="s">
        <v>257</v>
      </c>
      <c r="D8" s="668">
        <v>13.83</v>
      </c>
      <c r="E8" s="1132" t="s">
        <v>100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2" t="s">
        <v>259</v>
      </c>
      <c r="C9" s="669"/>
      <c r="D9" s="669">
        <v>212</v>
      </c>
      <c r="E9" s="994"/>
      <c r="F9" s="10"/>
      <c r="G9" s="19"/>
      <c r="H9" s="19"/>
      <c r="I9" s="20"/>
      <c r="J9" s="13"/>
      <c r="K9" s="12"/>
      <c r="L9" s="14"/>
    </row>
    <row r="10" spans="2:17" ht="15.75">
      <c r="B10" s="682" t="s">
        <v>260</v>
      </c>
      <c r="C10" s="669"/>
      <c r="D10" s="669">
        <v>182</v>
      </c>
      <c r="E10" s="994"/>
      <c r="F10" s="16"/>
      <c r="G10" s="19"/>
      <c r="H10" s="19"/>
      <c r="I10" s="20"/>
      <c r="J10" s="21"/>
      <c r="K10" s="11"/>
      <c r="L10" s="22"/>
    </row>
    <row r="11" spans="2:17" ht="16.5" thickBot="1">
      <c r="B11" s="1017" t="s">
        <v>360</v>
      </c>
      <c r="C11" s="995"/>
      <c r="D11" s="995">
        <v>2.13</v>
      </c>
      <c r="E11" s="996"/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323</v>
      </c>
      <c r="C12" s="997"/>
      <c r="D12" s="997"/>
      <c r="E12" s="998"/>
      <c r="F12" s="10"/>
      <c r="G12" s="23"/>
      <c r="H12" s="23"/>
      <c r="I12" s="24"/>
      <c r="J12" s="13"/>
      <c r="K12" s="12"/>
      <c r="L12" s="14"/>
    </row>
    <row r="13" spans="2:17" ht="15.75">
      <c r="B13" s="1016" t="s">
        <v>44</v>
      </c>
      <c r="C13" s="991"/>
      <c r="D13" s="1018">
        <v>7.1</v>
      </c>
      <c r="E13" s="992"/>
      <c r="F13" s="16"/>
      <c r="G13" s="23"/>
      <c r="H13" s="23"/>
      <c r="I13" s="20"/>
      <c r="J13" s="21"/>
      <c r="K13" s="11"/>
      <c r="L13" s="22"/>
    </row>
    <row r="14" spans="2:17" ht="15.75">
      <c r="B14" s="660" t="s">
        <v>45</v>
      </c>
      <c r="C14" s="661"/>
      <c r="D14" s="661">
        <v>7.15</v>
      </c>
      <c r="E14" s="993"/>
      <c r="F14" s="16"/>
      <c r="G14" s="23"/>
      <c r="H14" s="23"/>
      <c r="I14" s="20"/>
      <c r="J14" s="21"/>
      <c r="K14" s="11"/>
      <c r="L14" s="22"/>
    </row>
    <row r="15" spans="2:17" ht="15.75">
      <c r="B15" s="681" t="s">
        <v>46</v>
      </c>
      <c r="C15" s="668" t="s">
        <v>257</v>
      </c>
      <c r="D15" s="668">
        <v>7.13</v>
      </c>
      <c r="E15" s="1132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82" t="s">
        <v>259</v>
      </c>
      <c r="C16" s="669"/>
      <c r="D16" s="669">
        <v>280</v>
      </c>
      <c r="E16" s="994"/>
      <c r="F16" s="16"/>
      <c r="G16" s="19"/>
      <c r="H16" s="19"/>
      <c r="I16" s="20"/>
      <c r="J16" s="21"/>
      <c r="K16" s="11"/>
      <c r="L16" s="22"/>
    </row>
    <row r="17" spans="2:15" ht="15.75">
      <c r="B17" s="682" t="s">
        <v>260</v>
      </c>
      <c r="C17" s="669"/>
      <c r="D17" s="669">
        <v>224</v>
      </c>
      <c r="E17" s="994"/>
      <c r="F17" s="16"/>
      <c r="G17" s="19"/>
      <c r="H17" s="19"/>
      <c r="I17" s="20"/>
      <c r="J17" s="21"/>
      <c r="K17" s="11"/>
      <c r="L17" s="22"/>
    </row>
    <row r="18" spans="2:15" ht="16.5" thickBot="1">
      <c r="B18" s="1017" t="s">
        <v>360</v>
      </c>
      <c r="C18" s="995"/>
      <c r="D18" s="995">
        <v>2</v>
      </c>
      <c r="E18" s="996"/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324</v>
      </c>
      <c r="C19" s="997"/>
      <c r="D19" s="997"/>
      <c r="E19" s="998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1016" t="s">
        <v>44</v>
      </c>
      <c r="C20" s="991"/>
      <c r="D20" s="991">
        <v>5</v>
      </c>
      <c r="E20" s="992"/>
      <c r="F20" s="16"/>
      <c r="G20" s="23"/>
      <c r="H20" s="23"/>
      <c r="I20" s="20"/>
      <c r="J20" s="21"/>
      <c r="K20" s="11"/>
      <c r="L20" s="22"/>
    </row>
    <row r="21" spans="2:15" ht="15.75">
      <c r="B21" s="660" t="s">
        <v>45</v>
      </c>
      <c r="C21" s="661"/>
      <c r="D21" s="661">
        <v>5</v>
      </c>
      <c r="E21" s="993"/>
      <c r="F21" s="16"/>
      <c r="G21" s="23"/>
      <c r="H21" s="23"/>
      <c r="I21" s="20"/>
      <c r="J21" s="21"/>
      <c r="K21" s="11"/>
      <c r="L21" s="22"/>
    </row>
    <row r="22" spans="2:15" ht="15.75">
      <c r="B22" s="681" t="s">
        <v>46</v>
      </c>
      <c r="C22" s="668" t="s">
        <v>257</v>
      </c>
      <c r="D22" s="668">
        <v>5</v>
      </c>
      <c r="E22" s="1132" t="s">
        <v>100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2" t="s">
        <v>259</v>
      </c>
      <c r="C23" s="669"/>
      <c r="D23" s="669">
        <v>200</v>
      </c>
      <c r="E23" s="994"/>
      <c r="F23" s="16"/>
      <c r="G23" s="19"/>
      <c r="H23" s="19"/>
      <c r="I23" s="20"/>
      <c r="J23" s="21"/>
      <c r="K23" s="11"/>
      <c r="L23" s="22"/>
    </row>
    <row r="24" spans="2:15" ht="15.75">
      <c r="B24" s="682" t="s">
        <v>260</v>
      </c>
      <c r="C24" s="669"/>
      <c r="D24" s="669">
        <v>160</v>
      </c>
      <c r="E24" s="994"/>
      <c r="F24" s="16"/>
      <c r="G24" s="19"/>
      <c r="H24" s="19"/>
      <c r="I24" s="20"/>
      <c r="J24" s="21"/>
      <c r="K24" s="11"/>
      <c r="L24" s="22"/>
    </row>
    <row r="25" spans="2:15" ht="16.5" thickBot="1">
      <c r="B25" s="683" t="s">
        <v>360</v>
      </c>
      <c r="C25" s="678"/>
      <c r="D25" s="678">
        <v>2</v>
      </c>
      <c r="E25" s="999"/>
      <c r="F25" s="16"/>
      <c r="G25" s="23"/>
      <c r="H25" s="23"/>
      <c r="I25" s="20"/>
      <c r="J25" s="21"/>
      <c r="K25" s="11"/>
      <c r="L25" s="22"/>
    </row>
    <row r="26" spans="2:15" ht="13.5" customHeight="1">
      <c r="B26" s="645"/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 ht="15">
      <c r="B27" s="645" t="s">
        <v>95</v>
      </c>
      <c r="C27" s="7"/>
      <c r="D27" s="7"/>
      <c r="E27" s="7"/>
      <c r="F27" s="7"/>
      <c r="G27" s="7"/>
    </row>
    <row r="28" spans="2:15" s="127" customFormat="1" ht="15">
      <c r="B28" s="645"/>
      <c r="C28" s="7"/>
      <c r="D28" s="7"/>
      <c r="E28" s="7"/>
      <c r="F28" s="7"/>
      <c r="G28" s="7"/>
    </row>
    <row r="29" spans="2:15">
      <c r="B29" s="7"/>
      <c r="C29" s="7"/>
      <c r="D29" s="7"/>
      <c r="E29" s="7"/>
      <c r="F29" s="7"/>
      <c r="G29" s="7"/>
    </row>
    <row r="30" spans="2:15">
      <c r="B30" s="1" t="s">
        <v>47</v>
      </c>
      <c r="C30" s="7"/>
      <c r="D30" s="7"/>
      <c r="E30" s="7"/>
      <c r="F30" s="7"/>
      <c r="G30" s="7"/>
    </row>
    <row r="31" spans="2:15">
      <c r="B31" s="4" t="s">
        <v>48</v>
      </c>
      <c r="C31" s="7"/>
      <c r="D31" s="7"/>
      <c r="E31" s="7"/>
      <c r="F31" s="7"/>
      <c r="G31" s="7"/>
    </row>
    <row r="32" spans="2:15">
      <c r="B32" s="4" t="s">
        <v>49</v>
      </c>
      <c r="C32" s="7"/>
      <c r="D32" s="7"/>
      <c r="E32" s="7"/>
      <c r="F32" s="7"/>
      <c r="G32" s="7"/>
    </row>
    <row r="33" spans="2:7">
      <c r="B33" s="4" t="s">
        <v>50</v>
      </c>
      <c r="C33" s="7"/>
      <c r="D33" s="7"/>
      <c r="E33" s="7"/>
      <c r="F33" s="7"/>
      <c r="G33" s="7"/>
    </row>
    <row r="34" spans="2:7">
      <c r="B34" s="4" t="s">
        <v>51</v>
      </c>
      <c r="C34" s="7"/>
      <c r="D34" s="7"/>
      <c r="E34" s="7"/>
      <c r="F34" s="7"/>
      <c r="G34" s="7"/>
    </row>
    <row r="35" spans="2:7">
      <c r="B35" s="4" t="s">
        <v>52</v>
      </c>
      <c r="C35" s="7"/>
      <c r="D35" s="7"/>
      <c r="E35" s="7"/>
      <c r="F35" s="7"/>
      <c r="G35" s="7"/>
    </row>
    <row r="36" spans="2:7">
      <c r="B36" s="4" t="s">
        <v>53</v>
      </c>
      <c r="C36" s="7"/>
      <c r="D36" s="7"/>
      <c r="E36" s="7"/>
      <c r="F36" s="7"/>
      <c r="G36" s="7"/>
    </row>
    <row r="37" spans="2:7">
      <c r="B37" s="4" t="s">
        <v>54</v>
      </c>
      <c r="C37" s="7"/>
      <c r="D37" s="7"/>
      <c r="E37" s="7"/>
      <c r="F37" s="7"/>
      <c r="G37" s="7"/>
    </row>
    <row r="38" spans="2:7">
      <c r="B38" s="4" t="s">
        <v>55</v>
      </c>
      <c r="C38" s="7"/>
      <c r="D38" s="7"/>
      <c r="E38" s="7"/>
      <c r="F38" s="7"/>
      <c r="G38" s="7"/>
    </row>
    <row r="39" spans="2:7">
      <c r="B39" s="4" t="s">
        <v>56</v>
      </c>
      <c r="C39" s="7"/>
      <c r="D39" s="7"/>
      <c r="E39" s="7"/>
      <c r="F39" s="7"/>
      <c r="G39" s="7"/>
    </row>
    <row r="40" spans="2:7">
      <c r="B40" s="4" t="s">
        <v>57</v>
      </c>
      <c r="C40" s="7"/>
      <c r="D40" s="7"/>
      <c r="E40" s="7"/>
      <c r="F40" s="7"/>
      <c r="G40" s="7"/>
    </row>
    <row r="41" spans="2:7">
      <c r="B41" s="4" t="s">
        <v>58</v>
      </c>
    </row>
    <row r="42" spans="2:7">
      <c r="B42" s="4"/>
    </row>
    <row r="43" spans="2:7">
      <c r="B43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2019-01-11T09:30:10Z</dcterms:modified>
</cp:coreProperties>
</file>