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doch_wyd!$A$1:$M$128</definedName>
  </definedNames>
  <calcPr calcId="152511"/>
</workbook>
</file>

<file path=xl/calcChain.xml><?xml version="1.0" encoding="utf-8"?>
<calcChain xmlns="http://schemas.openxmlformats.org/spreadsheetml/2006/main">
  <c r="C128" i="4" l="1"/>
  <c r="C127" i="4"/>
  <c r="C126" i="4"/>
  <c r="C125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F101" i="4" s="1"/>
  <c r="D100" i="4"/>
  <c r="C100" i="4"/>
  <c r="D99" i="4"/>
  <c r="C99" i="4"/>
  <c r="D98" i="4"/>
  <c r="C98" i="4"/>
  <c r="I90" i="4"/>
  <c r="H90" i="4"/>
  <c r="G90" i="4"/>
  <c r="F90" i="4"/>
  <c r="E90" i="4"/>
  <c r="D90" i="4"/>
  <c r="C90" i="4"/>
  <c r="I89" i="4"/>
  <c r="H89" i="4"/>
  <c r="G89" i="4"/>
  <c r="G91" i="4" s="1"/>
  <c r="F89" i="4"/>
  <c r="E89" i="4"/>
  <c r="D89" i="4"/>
  <c r="C89" i="4"/>
  <c r="K89" i="4" s="1"/>
  <c r="I83" i="4"/>
  <c r="H83" i="4"/>
  <c r="G83" i="4"/>
  <c r="F83" i="4"/>
  <c r="E83" i="4"/>
  <c r="D83" i="4"/>
  <c r="C83" i="4"/>
  <c r="I82" i="4"/>
  <c r="H82" i="4"/>
  <c r="G82" i="4"/>
  <c r="F82" i="4"/>
  <c r="E82" i="4"/>
  <c r="D82" i="4"/>
  <c r="C82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K79" i="4" s="1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I75" i="4"/>
  <c r="H75" i="4"/>
  <c r="H78" i="4" s="1"/>
  <c r="G75" i="4"/>
  <c r="F75" i="4"/>
  <c r="E75" i="4"/>
  <c r="D75" i="4"/>
  <c r="C75" i="4"/>
  <c r="I66" i="4"/>
  <c r="H66" i="4"/>
  <c r="G66" i="4"/>
  <c r="F66" i="4"/>
  <c r="E66" i="4"/>
  <c r="D66" i="4"/>
  <c r="C66" i="4"/>
  <c r="D63" i="4"/>
  <c r="C63" i="4"/>
  <c r="D62" i="4"/>
  <c r="K62" i="4" s="1"/>
  <c r="C62" i="4"/>
  <c r="D60" i="4"/>
  <c r="C60" i="4"/>
  <c r="D59" i="4"/>
  <c r="C59" i="4"/>
  <c r="D58" i="4"/>
  <c r="C58" i="4"/>
  <c r="D56" i="4"/>
  <c r="C56" i="4"/>
  <c r="D55" i="4"/>
  <c r="C55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K46" i="4" s="1"/>
  <c r="D45" i="4"/>
  <c r="J45" i="4" s="1"/>
  <c r="C45" i="4"/>
  <c r="D44" i="4"/>
  <c r="K44" i="4" s="1"/>
  <c r="C44" i="4"/>
  <c r="D43" i="4"/>
  <c r="C43" i="4"/>
  <c r="D42" i="4"/>
  <c r="C42" i="4"/>
  <c r="D41" i="4"/>
  <c r="K41" i="4" s="1"/>
  <c r="C41" i="4"/>
  <c r="D40" i="4"/>
  <c r="C40" i="4"/>
  <c r="D38" i="4"/>
  <c r="C38" i="4"/>
  <c r="D37" i="4"/>
  <c r="C37" i="4"/>
  <c r="D36" i="4"/>
  <c r="C36" i="4"/>
  <c r="D35" i="4"/>
  <c r="D32" i="4" s="1"/>
  <c r="C35" i="4"/>
  <c r="D34" i="4"/>
  <c r="C34" i="4"/>
  <c r="D33" i="4"/>
  <c r="C33" i="4"/>
  <c r="D31" i="4"/>
  <c r="C31" i="4"/>
  <c r="D30" i="4"/>
  <c r="C30" i="4"/>
  <c r="D29" i="4"/>
  <c r="C29" i="4"/>
  <c r="D28" i="4"/>
  <c r="C28" i="4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J20" i="4" s="1"/>
  <c r="C20" i="4"/>
  <c r="I19" i="4"/>
  <c r="H19" i="4"/>
  <c r="G19" i="4"/>
  <c r="F19" i="4"/>
  <c r="E19" i="4"/>
  <c r="D19" i="4"/>
  <c r="C19" i="4"/>
  <c r="K19" i="4" s="1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J9" i="4" s="1"/>
  <c r="C9" i="4"/>
  <c r="I8" i="4"/>
  <c r="H8" i="4"/>
  <c r="G8" i="4"/>
  <c r="F8" i="4"/>
  <c r="E8" i="4"/>
  <c r="D8" i="4"/>
  <c r="J8" i="4" s="1"/>
  <c r="C8" i="4"/>
  <c r="I7" i="4"/>
  <c r="H7" i="4"/>
  <c r="G7" i="4"/>
  <c r="F7" i="4"/>
  <c r="E7" i="4"/>
  <c r="D7" i="4"/>
  <c r="C7" i="4"/>
  <c r="I5" i="4"/>
  <c r="H5" i="4"/>
  <c r="G5" i="4"/>
  <c r="F5" i="4"/>
  <c r="F65" i="4" s="1"/>
  <c r="F67" i="4" s="1"/>
  <c r="E5" i="4"/>
  <c r="D5" i="4"/>
  <c r="C5" i="4"/>
  <c r="K82" i="4"/>
  <c r="E91" i="4"/>
  <c r="F100" i="4"/>
  <c r="F104" i="4"/>
  <c r="F108" i="4"/>
  <c r="G6" i="4"/>
  <c r="G22" i="4"/>
  <c r="G65" i="4"/>
  <c r="G67" i="4"/>
  <c r="K10" i="4"/>
  <c r="K18" i="4"/>
  <c r="K28" i="4"/>
  <c r="C32" i="4"/>
  <c r="K33" i="4"/>
  <c r="K37" i="4"/>
  <c r="K42" i="4"/>
  <c r="K50" i="4"/>
  <c r="K55" i="4"/>
  <c r="K60" i="4"/>
  <c r="F78" i="4"/>
  <c r="F84" i="4" s="1"/>
  <c r="K81" i="4"/>
  <c r="F91" i="4"/>
  <c r="H65" i="4"/>
  <c r="H67" i="4" s="1"/>
  <c r="H6" i="4"/>
  <c r="K17" i="4"/>
  <c r="G78" i="4"/>
  <c r="G84" i="4"/>
  <c r="K80" i="4"/>
  <c r="F105" i="4"/>
  <c r="F109" i="4"/>
  <c r="I6" i="4"/>
  <c r="I65" i="4"/>
  <c r="K8" i="4"/>
  <c r="K16" i="4"/>
  <c r="K29" i="4"/>
  <c r="K34" i="4"/>
  <c r="K38" i="4"/>
  <c r="K43" i="4"/>
  <c r="K47" i="4"/>
  <c r="K51" i="4"/>
  <c r="K56" i="4"/>
  <c r="C61" i="4"/>
  <c r="H91" i="4"/>
  <c r="K11" i="4"/>
  <c r="K15" i="4"/>
  <c r="I78" i="4"/>
  <c r="I84" i="4" s="1"/>
  <c r="K77" i="4"/>
  <c r="I91" i="4"/>
  <c r="F98" i="4"/>
  <c r="F102" i="4"/>
  <c r="F110" i="4"/>
  <c r="C65" i="4"/>
  <c r="C67" i="4" s="1"/>
  <c r="K14" i="4"/>
  <c r="K26" i="4"/>
  <c r="C25" i="4"/>
  <c r="K30" i="4"/>
  <c r="K35" i="4"/>
  <c r="K40" i="4"/>
  <c r="C39" i="4"/>
  <c r="K48" i="4"/>
  <c r="K52" i="4"/>
  <c r="C57" i="4"/>
  <c r="K58" i="4"/>
  <c r="K63" i="4"/>
  <c r="K76" i="4"/>
  <c r="K90" i="4"/>
  <c r="E103" i="4"/>
  <c r="E105" i="4"/>
  <c r="E98" i="4"/>
  <c r="E100" i="4"/>
  <c r="E99" i="4"/>
  <c r="E104" i="4"/>
  <c r="E102" i="4"/>
  <c r="E101" i="4"/>
  <c r="D125" i="4"/>
  <c r="B93" i="4" s="1"/>
  <c r="J29" i="4"/>
  <c r="J48" i="4"/>
  <c r="J21" i="4"/>
  <c r="J37" i="4"/>
  <c r="J60" i="4"/>
  <c r="J52" i="4"/>
  <c r="J16" i="4"/>
  <c r="J53" i="4"/>
  <c r="J47" i="4"/>
  <c r="J42" i="4"/>
  <c r="J33" i="4"/>
  <c r="J14" i="4"/>
  <c r="J49" i="4"/>
  <c r="J5" i="4"/>
  <c r="J38" i="4"/>
  <c r="J50" i="4"/>
  <c r="J26" i="4"/>
  <c r="J13" i="4"/>
  <c r="J55" i="4"/>
  <c r="J35" i="4"/>
  <c r="J17" i="4"/>
  <c r="J51" i="4"/>
  <c r="J31" i="4"/>
  <c r="J12" i="4"/>
  <c r="J63" i="4"/>
  <c r="D85" i="4"/>
  <c r="J36" i="4"/>
  <c r="J46" i="4"/>
  <c r="J43" i="4"/>
  <c r="J19" i="4"/>
  <c r="J34" i="4"/>
  <c r="J30" i="4"/>
  <c r="D65" i="4"/>
  <c r="J56" i="4"/>
  <c r="J15" i="4"/>
  <c r="J18" i="4"/>
  <c r="J66" i="4"/>
  <c r="J27" i="4"/>
  <c r="J58" i="4"/>
  <c r="J59" i="4"/>
  <c r="J40" i="4"/>
  <c r="J10" i="4"/>
  <c r="J28" i="4"/>
  <c r="J11" i="4"/>
  <c r="K13" i="4"/>
  <c r="K21" i="4"/>
  <c r="D25" i="4"/>
  <c r="J25" i="4" s="1"/>
  <c r="D39" i="4"/>
  <c r="J39" i="4" s="1"/>
  <c r="D57" i="4"/>
  <c r="J57" i="4" s="1"/>
  <c r="C78" i="4"/>
  <c r="K75" i="4"/>
  <c r="C91" i="4"/>
  <c r="F99" i="4"/>
  <c r="F103" i="4"/>
  <c r="F107" i="4"/>
  <c r="F111" i="4"/>
  <c r="E65" i="4"/>
  <c r="E67" i="4"/>
  <c r="E6" i="4"/>
  <c r="K12" i="4"/>
  <c r="K27" i="4"/>
  <c r="K31" i="4"/>
  <c r="K36" i="4"/>
  <c r="K45" i="4"/>
  <c r="K49" i="4"/>
  <c r="K53" i="4"/>
  <c r="K59" i="4"/>
  <c r="K66" i="4"/>
  <c r="J83" i="4"/>
  <c r="D78" i="4"/>
  <c r="J78" i="4" s="1"/>
  <c r="J80" i="4"/>
  <c r="J75" i="4"/>
  <c r="J77" i="4"/>
  <c r="J82" i="4"/>
  <c r="J79" i="4"/>
  <c r="J81" i="4"/>
  <c r="J76" i="4"/>
  <c r="K83" i="4"/>
  <c r="J90" i="4"/>
  <c r="J89" i="4"/>
  <c r="D91" i="4"/>
  <c r="J91" i="4"/>
  <c r="E108" i="4"/>
  <c r="E111" i="4"/>
  <c r="E107" i="4"/>
  <c r="E109" i="4"/>
  <c r="E110" i="4"/>
  <c r="J65" i="4"/>
  <c r="K65" i="4"/>
  <c r="B1" i="4" l="1"/>
  <c r="B68" i="4"/>
  <c r="K91" i="4"/>
  <c r="H84" i="4"/>
  <c r="E78" i="4"/>
  <c r="E84" i="4" s="1"/>
  <c r="D84" i="4"/>
  <c r="J84" i="4" s="1"/>
  <c r="K78" i="4"/>
  <c r="C84" i="4"/>
  <c r="K84" i="4" s="1"/>
  <c r="C85" i="4"/>
  <c r="I67" i="4"/>
  <c r="D67" i="4"/>
  <c r="J62" i="4"/>
  <c r="D61" i="4"/>
  <c r="K57" i="4"/>
  <c r="C54" i="4"/>
  <c r="J44" i="4"/>
  <c r="K39" i="4"/>
  <c r="J41" i="4"/>
  <c r="C24" i="4"/>
  <c r="C23" i="4" s="1"/>
  <c r="K32" i="4"/>
  <c r="J32" i="4"/>
  <c r="D24" i="4"/>
  <c r="D23" i="4" s="1"/>
  <c r="K25" i="4"/>
  <c r="K20" i="4"/>
  <c r="H22" i="4"/>
  <c r="I22" i="4"/>
  <c r="E22" i="4"/>
  <c r="K9" i="4"/>
  <c r="J7" i="4"/>
  <c r="K7" i="4"/>
  <c r="F6" i="4"/>
  <c r="F22" i="4" s="1"/>
  <c r="J67" i="4"/>
  <c r="D86" i="4"/>
  <c r="K67" i="4"/>
  <c r="C86" i="4"/>
  <c r="K5" i="4"/>
  <c r="J61" i="4" l="1"/>
  <c r="D54" i="4"/>
  <c r="J54" i="4" s="1"/>
  <c r="K61" i="4"/>
  <c r="C6" i="4"/>
  <c r="C22" i="4" s="1"/>
  <c r="K24" i="4"/>
  <c r="J23" i="4"/>
  <c r="K23" i="4"/>
  <c r="J24" i="4"/>
  <c r="K54" i="4" l="1"/>
  <c r="D6" i="4"/>
  <c r="L7" i="4" l="1"/>
  <c r="L6" i="4"/>
  <c r="L21" i="4"/>
  <c r="L14" i="4"/>
  <c r="L10" i="4"/>
  <c r="L20" i="4"/>
  <c r="L13" i="4"/>
  <c r="L16" i="4"/>
  <c r="L19" i="4"/>
  <c r="K6" i="4"/>
  <c r="L8" i="4"/>
  <c r="D22" i="4"/>
  <c r="L15" i="4"/>
  <c r="L12" i="4"/>
  <c r="L18" i="4"/>
  <c r="L11" i="4"/>
  <c r="L9" i="4"/>
  <c r="L17" i="4"/>
  <c r="J6" i="4"/>
  <c r="K22" i="4" l="1"/>
  <c r="J22" i="4"/>
  <c r="L22" i="4"/>
</calcChain>
</file>

<file path=xl/sharedStrings.xml><?xml version="1.0" encoding="utf-8"?>
<sst xmlns="http://schemas.openxmlformats.org/spreadsheetml/2006/main" count="347" uniqueCount="117">
  <si>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</si>
  <si>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</si>
  <si>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</si>
  <si>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</si>
  <si>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</si>
  <si>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</si>
  <si>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</si>
  <si>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</si>
  <si>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</si>
  <si>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</si>
  <si>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</si>
  <si>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</si>
  <si>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</si>
  <si>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</si>
  <si>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</si>
  <si>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</si>
  <si>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</si>
  <si>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</si>
  <si>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</si>
  <si>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</si>
  <si>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</si>
  <si>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</si>
  <si>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</si>
  <si>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</si>
  <si>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</si>
  <si>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</si>
  <si>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</si>
  <si>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</si>
  <si>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</si>
  <si>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inne cele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</si>
  <si>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</si>
  <si>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</si>
  <si>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</si>
  <si>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</si>
  <si>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</si>
  <si>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</si>
  <si>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</si>
  <si>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</si>
  <si>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</si>
  <si>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</si>
  <si>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</si>
  <si>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</si>
  <si>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</si>
  <si>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</si>
  <si>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</si>
  <si>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</si>
  <si>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</si>
  <si>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</si>
  <si>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</si>
  <si>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</si>
  <si>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</si>
  <si>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</si>
  <si>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</si>
  <si>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</si>
  <si>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</si>
  <si>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</si>
  <si>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</si>
  <si>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</si>
  <si>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</si>
  <si>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</si>
  <si>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</si>
  <si>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</si>
  <si>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</si>
  <si>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</si>
  <si>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</si>
  <si>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</si>
  <si>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</si>
  <si>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</si>
  <si>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</si>
  <si>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</si>
  <si>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</si>
  <si>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</si>
  <si>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</si>
  <si>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</si>
  <si>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</si>
  <si>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</si>
  <si>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</si>
  <si>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</si>
  <si>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</si>
  <si>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UE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</si>
  <si>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</si>
  <si>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</si>
  <si>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</si>
  <si>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</si>
  <si>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</si>
  <si>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</si>
  <si>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</si>
  <si>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</si>
  <si>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</si>
  <si>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</si>
  <si>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</si>
  <si>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</si>
  <si>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</si>
  <si>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</si>
  <si>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</si>
  <si>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</si>
  <si>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</si>
  <si>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</si>
  <si>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</si>
  <si>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</si>
  <si>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</si>
  <si>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</si>
  <si>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</si>
  <si>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</si>
  <si>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</si>
  <si>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</si>
  <si>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</si>
  <si>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</si>
  <si>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</si>
  <si>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</si>
  <si>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</si>
  <si>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FINANSOWANIE DEFICYTU (E1+E2+E3+E4+E5+E6+E7) 
z tego: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</si>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</sst>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43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1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27">
    <xf numFmtId="0" fontId="0" fillId="0" borderId="0" xfId="0"/>
    <xf numFmtId="164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4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4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164" fontId="34" fillId="0" borderId="10" xfId="0" applyNumberFormat="1" applyFont="1" applyFill="1" applyBorder="1" applyAlignment="1">
      <alignment horizontal="center" vertical="center"/>
    </xf>
    <xf numFmtId="164" fontId="34" fillId="20" borderId="10" xfId="28" applyNumberFormat="1" applyFont="1" applyFill="1" applyBorder="1" applyAlignment="1">
      <alignment horizontal="center" vertical="center"/>
    </xf>
    <xf numFmtId="164" fontId="34" fillId="22" borderId="10" xfId="28" applyNumberFormat="1" applyFont="1" applyFill="1" applyBorder="1" applyAlignment="1">
      <alignment horizontal="center" vertical="center"/>
    </xf>
    <xf numFmtId="164" fontId="34" fillId="22" borderId="10" xfId="0" applyNumberFormat="1" applyFont="1" applyFill="1" applyBorder="1" applyAlignment="1">
      <alignment horizontal="center" vertical="center"/>
    </xf>
    <xf numFmtId="164" fontId="34" fillId="0" borderId="10" xfId="28" applyNumberFormat="1" applyFont="1" applyFill="1" applyBorder="1" applyAlignment="1">
      <alignment horizontal="center" vertical="center"/>
    </xf>
    <xf numFmtId="164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38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38" applyFont="1" applyFill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rmalny 2" xfId="38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28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8" t="str">
        <f>CONCATENATE("Informacja z wykonania budżetów miast na prawach powiatu za ",$D$125," ",$C$126," rok    ",$C$128,"")</f>
        <v xml:space="preserve">Informacja z wykonania budżetów miast na prawach powiatu za I Kwartał 2022 rok    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63" customHeight="1" x14ac:dyDescent="0.2">
      <c r="B2" s="107" t="s">
        <v>0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6" t="s">
        <v>2</v>
      </c>
      <c r="K2" s="5" t="s">
        <v>18</v>
      </c>
      <c r="L2" s="5" t="s">
        <v>3</v>
      </c>
    </row>
    <row r="3" spans="2:13" x14ac:dyDescent="0.2">
      <c r="B3" s="107"/>
      <c r="C3" s="114" t="s">
        <v>82</v>
      </c>
      <c r="D3" s="115"/>
      <c r="E3" s="115"/>
      <c r="F3" s="115"/>
      <c r="G3" s="115"/>
      <c r="H3" s="115"/>
      <c r="I3" s="116"/>
      <c r="J3" s="122" t="s">
        <v>4</v>
      </c>
      <c r="K3" s="122"/>
      <c r="L3" s="122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6" t="s">
        <v>5</v>
      </c>
      <c r="C5" s="68">
        <f>100578271741.96</f>
        <v>100578271741.96001</v>
      </c>
      <c r="D5" s="68">
        <f>30366922351.97</f>
        <v>30366922351.970001</v>
      </c>
      <c r="E5" s="68">
        <f>166669920.71</f>
        <v>166669920.71000001</v>
      </c>
      <c r="F5" s="68">
        <f>47576056.85</f>
        <v>47576056.850000001</v>
      </c>
      <c r="G5" s="68">
        <f>8298666.27</f>
        <v>8298666.2699999996</v>
      </c>
      <c r="H5" s="68">
        <f>43025348.58</f>
        <v>43025348.579999998</v>
      </c>
      <c r="I5" s="68">
        <f>13422.63</f>
        <v>13422.63</v>
      </c>
      <c r="J5" s="16">
        <f t="shared" ref="J5:J67" si="0">IF($D$5=0,"",100*$D5/$D$5)</f>
        <v>100</v>
      </c>
      <c r="K5" s="16">
        <f t="shared" ref="K5:K45" si="1">IF(C5=0,"",100*D5/C5)</f>
        <v>30.192328647163755</v>
      </c>
      <c r="L5" s="16"/>
    </row>
    <row r="6" spans="2:13" ht="25.5" customHeight="1" x14ac:dyDescent="0.2">
      <c r="B6" s="89" t="s">
        <v>60</v>
      </c>
      <c r="C6" s="68">
        <f>C5-C23-C54</f>
        <v>60933454945.87001</v>
      </c>
      <c r="D6" s="68">
        <f>D5-D23-D54</f>
        <v>16494476885.18</v>
      </c>
      <c r="E6" s="68">
        <f>E5</f>
        <v>166669920.71000001</v>
      </c>
      <c r="F6" s="68">
        <f>F5</f>
        <v>47576056.850000001</v>
      </c>
      <c r="G6" s="68">
        <f>G5</f>
        <v>8298666.2699999996</v>
      </c>
      <c r="H6" s="68">
        <f>H5</f>
        <v>43025348.579999998</v>
      </c>
      <c r="I6" s="68">
        <f>I5</f>
        <v>13422.63</v>
      </c>
      <c r="J6" s="16">
        <f t="shared" si="0"/>
        <v>54.317249189758442</v>
      </c>
      <c r="K6" s="16">
        <f t="shared" si="1"/>
        <v>27.069656397840564</v>
      </c>
      <c r="L6" s="16">
        <f t="shared" ref="L6:L22" si="2">IF($D$6=0,"",100*$D6/$D$6)</f>
        <v>100</v>
      </c>
    </row>
    <row r="7" spans="2:13" ht="33.75" outlineLevel="1" x14ac:dyDescent="0.2">
      <c r="B7" s="90" t="s">
        <v>61</v>
      </c>
      <c r="C7" s="69">
        <f>2929746478</f>
        <v>2929746478</v>
      </c>
      <c r="D7" s="69">
        <f>729375806.76</f>
        <v>729375806.75999999</v>
      </c>
      <c r="E7" s="69">
        <f>0</f>
        <v>0</v>
      </c>
      <c r="F7" s="69">
        <f>0</f>
        <v>0</v>
      </c>
      <c r="G7" s="69">
        <f>0</f>
        <v>0</v>
      </c>
      <c r="H7" s="69">
        <f>0</f>
        <v>0</v>
      </c>
      <c r="I7" s="69">
        <f>0</f>
        <v>0</v>
      </c>
      <c r="J7" s="18">
        <f t="shared" si="0"/>
        <v>2.4018759566943175</v>
      </c>
      <c r="K7" s="18">
        <f t="shared" si="1"/>
        <v>24.895526361649917</v>
      </c>
      <c r="L7" s="18">
        <f t="shared" si="2"/>
        <v>4.4219396094660715</v>
      </c>
    </row>
    <row r="8" spans="2:13" ht="33.75" outlineLevel="1" x14ac:dyDescent="0.2">
      <c r="B8" s="10" t="s">
        <v>62</v>
      </c>
      <c r="C8" s="70">
        <f>613794128</f>
        <v>613794128</v>
      </c>
      <c r="D8" s="70">
        <f>152865907.77</f>
        <v>152865907.77000001</v>
      </c>
      <c r="E8" s="70">
        <f>0</f>
        <v>0</v>
      </c>
      <c r="F8" s="70">
        <f>0</f>
        <v>0</v>
      </c>
      <c r="G8" s="70">
        <f>0</f>
        <v>0</v>
      </c>
      <c r="H8" s="70">
        <f>0</f>
        <v>0</v>
      </c>
      <c r="I8" s="70">
        <f>0</f>
        <v>0</v>
      </c>
      <c r="J8" s="18">
        <f t="shared" si="0"/>
        <v>0.50339611633407133</v>
      </c>
      <c r="K8" s="18">
        <f t="shared" si="1"/>
        <v>24.905078233332336</v>
      </c>
      <c r="L8" s="18">
        <f t="shared" si="2"/>
        <v>0.92677026882463531</v>
      </c>
    </row>
    <row r="9" spans="2:13" ht="33.75" outlineLevel="1" x14ac:dyDescent="0.2">
      <c r="B9" s="10" t="s">
        <v>63</v>
      </c>
      <c r="C9" s="70">
        <f>18719120721</f>
        <v>18719120721</v>
      </c>
      <c r="D9" s="70">
        <f>4678102182</f>
        <v>4678102182</v>
      </c>
      <c r="E9" s="70">
        <f>0</f>
        <v>0</v>
      </c>
      <c r="F9" s="70">
        <f>0</f>
        <v>0</v>
      </c>
      <c r="G9" s="70">
        <f>0</f>
        <v>0</v>
      </c>
      <c r="H9" s="70">
        <f>0</f>
        <v>0</v>
      </c>
      <c r="I9" s="70">
        <f>0</f>
        <v>0</v>
      </c>
      <c r="J9" s="18">
        <f t="shared" si="0"/>
        <v>15.405256179003324</v>
      </c>
      <c r="K9" s="18">
        <f t="shared" si="1"/>
        <v>24.991035913091167</v>
      </c>
      <c r="L9" s="18">
        <f t="shared" si="2"/>
        <v>28.361628044131507</v>
      </c>
    </row>
    <row r="10" spans="2:13" ht="33.75" outlineLevel="1" x14ac:dyDescent="0.2">
      <c r="B10" s="10" t="s">
        <v>64</v>
      </c>
      <c r="C10" s="70">
        <f>4995953330</f>
        <v>4995953330</v>
      </c>
      <c r="D10" s="70">
        <f>1250666349</f>
        <v>1250666349</v>
      </c>
      <c r="E10" s="70">
        <f>0</f>
        <v>0</v>
      </c>
      <c r="F10" s="70">
        <f>0</f>
        <v>0</v>
      </c>
      <c r="G10" s="70">
        <f>0</f>
        <v>0</v>
      </c>
      <c r="H10" s="70">
        <f>0</f>
        <v>0</v>
      </c>
      <c r="I10" s="70">
        <f>0</f>
        <v>0</v>
      </c>
      <c r="J10" s="18">
        <f t="shared" si="0"/>
        <v>4.11851531908325</v>
      </c>
      <c r="K10" s="18">
        <f t="shared" si="1"/>
        <v>25.033587513516665</v>
      </c>
      <c r="L10" s="18">
        <f t="shared" si="2"/>
        <v>7.582334121330649</v>
      </c>
    </row>
    <row r="11" spans="2:13" ht="12.95" customHeight="1" outlineLevel="1" x14ac:dyDescent="0.2">
      <c r="B11" s="10" t="s">
        <v>19</v>
      </c>
      <c r="C11" s="70">
        <f>23190135</f>
        <v>23190135</v>
      </c>
      <c r="D11" s="70">
        <f>12021709.34</f>
        <v>12021709.34</v>
      </c>
      <c r="E11" s="70">
        <f>393282.56</f>
        <v>393282.56</v>
      </c>
      <c r="F11" s="70">
        <f>1972.49</f>
        <v>1972.49</v>
      </c>
      <c r="G11" s="70">
        <f>2774.33</f>
        <v>2774.33</v>
      </c>
      <c r="H11" s="70">
        <f>35783.24</f>
        <v>35783.24</v>
      </c>
      <c r="I11" s="70">
        <f>0</f>
        <v>0</v>
      </c>
      <c r="J11" s="18">
        <f t="shared" si="0"/>
        <v>3.9588171631821996E-2</v>
      </c>
      <c r="K11" s="18">
        <f t="shared" si="1"/>
        <v>51.839755740964854</v>
      </c>
      <c r="L11" s="18">
        <f t="shared" si="2"/>
        <v>7.2883241000515131E-2</v>
      </c>
    </row>
    <row r="12" spans="2:13" ht="12.95" customHeight="1" outlineLevel="1" x14ac:dyDescent="0.2">
      <c r="B12" s="10" t="s">
        <v>20</v>
      </c>
      <c r="C12" s="70">
        <f>10388270788.57</f>
        <v>10388270788.57</v>
      </c>
      <c r="D12" s="71">
        <f>2989406000.42</f>
        <v>2989406000.4200001</v>
      </c>
      <c r="E12" s="70">
        <f>69223525.34</f>
        <v>69223525.340000004</v>
      </c>
      <c r="F12" s="70">
        <f>44047396.35</f>
        <v>44047396.350000001</v>
      </c>
      <c r="G12" s="70">
        <f>7014704.95</f>
        <v>7014704.9500000002</v>
      </c>
      <c r="H12" s="70">
        <f>36743433.86</f>
        <v>36743433.859999999</v>
      </c>
      <c r="I12" s="70">
        <f>13227.23</f>
        <v>13227.23</v>
      </c>
      <c r="J12" s="18">
        <f t="shared" si="0"/>
        <v>9.8442837432489014</v>
      </c>
      <c r="K12" s="18">
        <f t="shared" si="1"/>
        <v>28.776743129464645</v>
      </c>
      <c r="L12" s="18">
        <f t="shared" si="2"/>
        <v>18.123678739432648</v>
      </c>
    </row>
    <row r="13" spans="2:13" ht="12.95" customHeight="1" outlineLevel="1" x14ac:dyDescent="0.2">
      <c r="B13" s="10" t="s">
        <v>21</v>
      </c>
      <c r="C13" s="70">
        <f>4608950</f>
        <v>4608950</v>
      </c>
      <c r="D13" s="71">
        <f>1638706.64</f>
        <v>1638706.64</v>
      </c>
      <c r="E13" s="70">
        <f>0</f>
        <v>0</v>
      </c>
      <c r="F13" s="70">
        <f>6795.35</f>
        <v>6795.35</v>
      </c>
      <c r="G13" s="70">
        <f>1484.33</f>
        <v>1484.33</v>
      </c>
      <c r="H13" s="70">
        <f>594.83</f>
        <v>594.83000000000004</v>
      </c>
      <c r="I13" s="70">
        <f>0</f>
        <v>0</v>
      </c>
      <c r="J13" s="18">
        <f t="shared" si="0"/>
        <v>5.3963540361662357E-3</v>
      </c>
      <c r="K13" s="18">
        <f t="shared" si="1"/>
        <v>35.554879961813427</v>
      </c>
      <c r="L13" s="18">
        <f t="shared" si="2"/>
        <v>9.9348809386755957E-3</v>
      </c>
    </row>
    <row r="14" spans="2:13" ht="12.95" customHeight="1" outlineLevel="1" x14ac:dyDescent="0.2">
      <c r="B14" s="10" t="s">
        <v>22</v>
      </c>
      <c r="C14" s="70">
        <f>366992366</f>
        <v>366992366</v>
      </c>
      <c r="D14" s="71">
        <f>170608518.59</f>
        <v>170608518.59</v>
      </c>
      <c r="E14" s="70">
        <f>96216079.56</f>
        <v>96216079.560000002</v>
      </c>
      <c r="F14" s="70">
        <f>272602</f>
        <v>272602</v>
      </c>
      <c r="G14" s="70">
        <f>23414.71</f>
        <v>23414.71</v>
      </c>
      <c r="H14" s="70">
        <f>770761.01</f>
        <v>770761.01</v>
      </c>
      <c r="I14" s="70">
        <f>0</f>
        <v>0</v>
      </c>
      <c r="J14" s="18">
        <f t="shared" si="0"/>
        <v>0.56182354145918934</v>
      </c>
      <c r="K14" s="18">
        <f t="shared" si="1"/>
        <v>46.4883017730129</v>
      </c>
      <c r="L14" s="18">
        <f t="shared" si="2"/>
        <v>1.0343372498420291</v>
      </c>
    </row>
    <row r="15" spans="2:13" ht="33.75" outlineLevel="1" x14ac:dyDescent="0.2">
      <c r="B15" s="10" t="s">
        <v>39</v>
      </c>
      <c r="C15" s="70">
        <f>56420692</f>
        <v>56420692</v>
      </c>
      <c r="D15" s="71">
        <f>15597568.18</f>
        <v>15597568.18</v>
      </c>
      <c r="E15" s="70">
        <f>0</f>
        <v>0</v>
      </c>
      <c r="F15" s="70">
        <f>0</f>
        <v>0</v>
      </c>
      <c r="G15" s="70">
        <f>15576.72</f>
        <v>15576.72</v>
      </c>
      <c r="H15" s="70">
        <f>77424.11</f>
        <v>77424.11</v>
      </c>
      <c r="I15" s="70">
        <f>0</f>
        <v>0</v>
      </c>
      <c r="J15" s="18">
        <f t="shared" si="0"/>
        <v>5.1363677883505161E-2</v>
      </c>
      <c r="K15" s="18">
        <f t="shared" si="1"/>
        <v>27.645120304444333</v>
      </c>
      <c r="L15" s="18">
        <f t="shared" si="2"/>
        <v>9.4562369504510579E-2</v>
      </c>
    </row>
    <row r="16" spans="2:13" ht="12.95" customHeight="1" outlineLevel="1" x14ac:dyDescent="0.2">
      <c r="B16" s="10" t="s">
        <v>27</v>
      </c>
      <c r="C16" s="70">
        <f>186755310</f>
        <v>186755310</v>
      </c>
      <c r="D16" s="71">
        <f>65378541.09</f>
        <v>65378541.090000004</v>
      </c>
      <c r="E16" s="70">
        <f>0</f>
        <v>0</v>
      </c>
      <c r="F16" s="70">
        <f>0</f>
        <v>0</v>
      </c>
      <c r="G16" s="70">
        <f>553899.12</f>
        <v>553899.12</v>
      </c>
      <c r="H16" s="70">
        <f>2160062.2</f>
        <v>2160062.2000000002</v>
      </c>
      <c r="I16" s="70">
        <f>0</f>
        <v>0</v>
      </c>
      <c r="J16" s="18">
        <f t="shared" si="0"/>
        <v>0.21529524899568456</v>
      </c>
      <c r="K16" s="18">
        <f t="shared" si="1"/>
        <v>35.007594209771064</v>
      </c>
      <c r="L16" s="18">
        <f t="shared" si="2"/>
        <v>0.39636625971898193</v>
      </c>
    </row>
    <row r="17" spans="2:12" ht="22.5" customHeight="1" outlineLevel="1" x14ac:dyDescent="0.2">
      <c r="B17" s="10" t="s">
        <v>28</v>
      </c>
      <c r="C17" s="70">
        <f>1841574792.44</f>
        <v>1841574792.4400001</v>
      </c>
      <c r="D17" s="71">
        <f>579673597.31</f>
        <v>579673597.30999994</v>
      </c>
      <c r="E17" s="70">
        <f>0</f>
        <v>0</v>
      </c>
      <c r="F17" s="70">
        <f>0</f>
        <v>0</v>
      </c>
      <c r="G17" s="70">
        <f>49590</f>
        <v>49590</v>
      </c>
      <c r="H17" s="70">
        <f>111486.94</f>
        <v>111486.94</v>
      </c>
      <c r="I17" s="70">
        <f>0</f>
        <v>0</v>
      </c>
      <c r="J17" s="18">
        <f t="shared" si="0"/>
        <v>1.9088980786108363</v>
      </c>
      <c r="K17" s="18">
        <f t="shared" si="1"/>
        <v>31.477059725712234</v>
      </c>
      <c r="L17" s="18">
        <f t="shared" si="2"/>
        <v>3.5143496901731179</v>
      </c>
    </row>
    <row r="18" spans="2:12" ht="12.95" customHeight="1" outlineLevel="1" x14ac:dyDescent="0.2">
      <c r="B18" s="10" t="s">
        <v>53</v>
      </c>
      <c r="C18" s="70">
        <f>348911500</f>
        <v>348911500</v>
      </c>
      <c r="D18" s="71">
        <f>101250001.64</f>
        <v>101250001.64</v>
      </c>
      <c r="E18" s="70">
        <f>0</f>
        <v>0</v>
      </c>
      <c r="F18" s="70">
        <f>0</f>
        <v>0</v>
      </c>
      <c r="G18" s="70">
        <f>1481</f>
        <v>1481</v>
      </c>
      <c r="H18" s="70">
        <f>0</f>
        <v>0</v>
      </c>
      <c r="I18" s="70">
        <f>0</f>
        <v>0</v>
      </c>
      <c r="J18" s="18">
        <f t="shared" si="0"/>
        <v>0.33342200591306081</v>
      </c>
      <c r="K18" s="18">
        <f t="shared" si="1"/>
        <v>29.01882042867604</v>
      </c>
      <c r="L18" s="18">
        <f t="shared" si="2"/>
        <v>0.61384184745483716</v>
      </c>
    </row>
    <row r="19" spans="2:12" ht="12.95" customHeight="1" outlineLevel="1" x14ac:dyDescent="0.2">
      <c r="B19" s="10" t="s">
        <v>54</v>
      </c>
      <c r="C19" s="70">
        <f>9401000</f>
        <v>9401000</v>
      </c>
      <c r="D19" s="71">
        <f>4560957.97</f>
        <v>4560957.97</v>
      </c>
      <c r="E19" s="70">
        <f>0</f>
        <v>0</v>
      </c>
      <c r="F19" s="70">
        <f>0</f>
        <v>0</v>
      </c>
      <c r="G19" s="70">
        <f>0</f>
        <v>0</v>
      </c>
      <c r="H19" s="70">
        <f>0</f>
        <v>0</v>
      </c>
      <c r="I19" s="70">
        <f>0</f>
        <v>0</v>
      </c>
      <c r="J19" s="18">
        <f t="shared" si="0"/>
        <v>1.501949363566017E-2</v>
      </c>
      <c r="K19" s="18">
        <f t="shared" si="1"/>
        <v>48.515668226784385</v>
      </c>
      <c r="L19" s="18">
        <f t="shared" si="2"/>
        <v>2.7651425393781001E-2</v>
      </c>
    </row>
    <row r="20" spans="2:12" ht="12.95" customHeight="1" outlineLevel="1" x14ac:dyDescent="0.2">
      <c r="B20" s="10" t="s">
        <v>55</v>
      </c>
      <c r="C20" s="70">
        <f>17666500</f>
        <v>17666500</v>
      </c>
      <c r="D20" s="71">
        <f>2281087.78</f>
        <v>2281087.7799999998</v>
      </c>
      <c r="E20" s="70">
        <f>0</f>
        <v>0</v>
      </c>
      <c r="F20" s="70">
        <f>0</f>
        <v>0</v>
      </c>
      <c r="G20" s="70">
        <f>0</f>
        <v>0</v>
      </c>
      <c r="H20" s="70">
        <f>1745</f>
        <v>1745</v>
      </c>
      <c r="I20" s="70">
        <f>0</f>
        <v>0</v>
      </c>
      <c r="J20" s="18">
        <f t="shared" si="0"/>
        <v>7.5117516143417083E-3</v>
      </c>
      <c r="K20" s="18">
        <f t="shared" si="1"/>
        <v>12.911939433390879</v>
      </c>
      <c r="L20" s="18">
        <f t="shared" si="2"/>
        <v>1.3829403599028456E-2</v>
      </c>
    </row>
    <row r="21" spans="2:12" ht="12.95" customHeight="1" outlineLevel="1" x14ac:dyDescent="0.2">
      <c r="B21" s="10" t="s">
        <v>23</v>
      </c>
      <c r="C21" s="70">
        <f>5004954100.2</f>
        <v>5004954100.1999998</v>
      </c>
      <c r="D21" s="71">
        <f>1215667115.25</f>
        <v>1215667115.25</v>
      </c>
      <c r="E21" s="70">
        <f>0</f>
        <v>0</v>
      </c>
      <c r="F21" s="70">
        <f>0</f>
        <v>0</v>
      </c>
      <c r="G21" s="70">
        <f>0</f>
        <v>0</v>
      </c>
      <c r="H21" s="70">
        <f>0</f>
        <v>0</v>
      </c>
      <c r="I21" s="70">
        <f>0</f>
        <v>0</v>
      </c>
      <c r="J21" s="18">
        <f t="shared" si="0"/>
        <v>4.0032608545565553</v>
      </c>
      <c r="K21" s="18">
        <f t="shared" si="1"/>
        <v>24.289276003578564</v>
      </c>
      <c r="L21" s="18">
        <f t="shared" si="2"/>
        <v>7.370146526697404</v>
      </c>
    </row>
    <row r="22" spans="2:12" ht="12.95" customHeight="1" outlineLevel="1" x14ac:dyDescent="0.2">
      <c r="B22" s="10" t="s">
        <v>24</v>
      </c>
      <c r="C22" s="70">
        <f>C6-SUM(C7:C21)</f>
        <v>15426094154.660011</v>
      </c>
      <c r="D22" s="70">
        <f t="shared" ref="D22:I22" si="3">D6-SUM(D7:D21)</f>
        <v>4525382835.4400005</v>
      </c>
      <c r="E22" s="70">
        <f t="shared" si="3"/>
        <v>837033.25</v>
      </c>
      <c r="F22" s="70">
        <f t="shared" si="3"/>
        <v>3247290.6599999964</v>
      </c>
      <c r="G22" s="70">
        <f t="shared" si="3"/>
        <v>635741.1099999994</v>
      </c>
      <c r="H22" s="70">
        <f t="shared" si="3"/>
        <v>3124057.3900000006</v>
      </c>
      <c r="I22" s="70">
        <f t="shared" si="3"/>
        <v>195.39999999999964</v>
      </c>
      <c r="J22" s="18">
        <f t="shared" si="0"/>
        <v>14.902342697057755</v>
      </c>
      <c r="K22" s="18">
        <f t="shared" si="1"/>
        <v>29.33589533467838</v>
      </c>
      <c r="L22" s="18">
        <f t="shared" si="2"/>
        <v>27.43574632249161</v>
      </c>
    </row>
    <row r="23" spans="2:12" ht="26.25" customHeight="1" x14ac:dyDescent="0.2">
      <c r="B23" s="89" t="s">
        <v>112</v>
      </c>
      <c r="C23" s="68">
        <f>C24+C50+C52</f>
        <v>19644353311.09</v>
      </c>
      <c r="D23" s="68">
        <f>D24+D50+D52</f>
        <v>6325771658.7900009</v>
      </c>
      <c r="E23" s="20" t="s">
        <v>59</v>
      </c>
      <c r="F23" s="20" t="s">
        <v>59</v>
      </c>
      <c r="G23" s="20" t="s">
        <v>59</v>
      </c>
      <c r="H23" s="20" t="s">
        <v>59</v>
      </c>
      <c r="I23" s="20" t="s">
        <v>59</v>
      </c>
      <c r="J23" s="16">
        <f t="shared" si="0"/>
        <v>20.831125345765003</v>
      </c>
      <c r="K23" s="16">
        <f t="shared" si="1"/>
        <v>32.201475704567265</v>
      </c>
      <c r="L23" s="21"/>
    </row>
    <row r="24" spans="2:12" ht="25.5" customHeight="1" outlineLevel="1" x14ac:dyDescent="0.2">
      <c r="B24" s="91" t="s">
        <v>65</v>
      </c>
      <c r="C24" s="68">
        <f>C25+C32+C39</f>
        <v>13127569758.360001</v>
      </c>
      <c r="D24" s="68">
        <f>D25+D32+D39</f>
        <v>5446335934.5600004</v>
      </c>
      <c r="E24" s="20" t="s">
        <v>59</v>
      </c>
      <c r="F24" s="20" t="s">
        <v>59</v>
      </c>
      <c r="G24" s="20" t="s">
        <v>59</v>
      </c>
      <c r="H24" s="20" t="s">
        <v>59</v>
      </c>
      <c r="I24" s="20" t="s">
        <v>59</v>
      </c>
      <c r="J24" s="16">
        <f t="shared" si="0"/>
        <v>17.935093558161249</v>
      </c>
      <c r="K24" s="16">
        <f t="shared" si="1"/>
        <v>41.487769898092701</v>
      </c>
      <c r="L24" s="22"/>
    </row>
    <row r="25" spans="2:12" ht="13.5" customHeight="1" outlineLevel="1" x14ac:dyDescent="0.2">
      <c r="B25" s="92" t="s">
        <v>56</v>
      </c>
      <c r="C25" s="68">
        <f>C26+C28+C30</f>
        <v>9905759874.5900021</v>
      </c>
      <c r="D25" s="68">
        <f>D26+D28+D30</f>
        <v>4552914750.5300007</v>
      </c>
      <c r="E25" s="20" t="s">
        <v>59</v>
      </c>
      <c r="F25" s="20" t="s">
        <v>59</v>
      </c>
      <c r="G25" s="20" t="s">
        <v>59</v>
      </c>
      <c r="H25" s="20" t="s">
        <v>59</v>
      </c>
      <c r="I25" s="20" t="s">
        <v>59</v>
      </c>
      <c r="J25" s="16">
        <f t="shared" si="0"/>
        <v>14.993006857129327</v>
      </c>
      <c r="K25" s="16">
        <f t="shared" si="1"/>
        <v>45.96229676644009</v>
      </c>
      <c r="L25" s="22"/>
    </row>
    <row r="26" spans="2:12" ht="22.5" customHeight="1" outlineLevel="1" x14ac:dyDescent="0.2">
      <c r="B26" s="94" t="s">
        <v>9</v>
      </c>
      <c r="C26" s="69">
        <f>8625671827.35</f>
        <v>8625671827.3500004</v>
      </c>
      <c r="D26" s="72">
        <f>4218361242.37</f>
        <v>4218361242.3699999</v>
      </c>
      <c r="E26" s="17" t="s">
        <v>59</v>
      </c>
      <c r="F26" s="17" t="s">
        <v>59</v>
      </c>
      <c r="G26" s="17" t="s">
        <v>59</v>
      </c>
      <c r="H26" s="17" t="s">
        <v>59</v>
      </c>
      <c r="I26" s="17" t="s">
        <v>59</v>
      </c>
      <c r="J26" s="18">
        <f t="shared" si="0"/>
        <v>13.891303153730167</v>
      </c>
      <c r="K26" s="18">
        <f t="shared" si="1"/>
        <v>48.90472680625939</v>
      </c>
      <c r="L26" s="22"/>
    </row>
    <row r="27" spans="2:12" ht="12.95" customHeight="1" outlineLevel="1" x14ac:dyDescent="0.2">
      <c r="B27" s="96" t="s">
        <v>6</v>
      </c>
      <c r="C27" s="70">
        <f>1482231</f>
        <v>1482231</v>
      </c>
      <c r="D27" s="70">
        <f>0</f>
        <v>0</v>
      </c>
      <c r="E27" s="19" t="s">
        <v>59</v>
      </c>
      <c r="F27" s="19" t="s">
        <v>59</v>
      </c>
      <c r="G27" s="19" t="s">
        <v>59</v>
      </c>
      <c r="H27" s="19" t="s">
        <v>59</v>
      </c>
      <c r="I27" s="19" t="s">
        <v>59</v>
      </c>
      <c r="J27" s="18">
        <f t="shared" si="0"/>
        <v>0</v>
      </c>
      <c r="K27" s="18">
        <f t="shared" si="1"/>
        <v>0</v>
      </c>
      <c r="L27" s="22"/>
    </row>
    <row r="28" spans="2:12" ht="13.5" customHeight="1" outlineLevel="1" x14ac:dyDescent="0.2">
      <c r="B28" s="94" t="s">
        <v>7</v>
      </c>
      <c r="C28" s="70">
        <f>1247156746.7</f>
        <v>1247156746.7</v>
      </c>
      <c r="D28" s="71">
        <f>326585327.06</f>
        <v>326585327.06</v>
      </c>
      <c r="E28" s="19" t="s">
        <v>59</v>
      </c>
      <c r="F28" s="19" t="s">
        <v>59</v>
      </c>
      <c r="G28" s="19" t="s">
        <v>59</v>
      </c>
      <c r="H28" s="19" t="s">
        <v>59</v>
      </c>
      <c r="I28" s="19" t="s">
        <v>59</v>
      </c>
      <c r="J28" s="18">
        <f t="shared" si="0"/>
        <v>1.0754640304825402</v>
      </c>
      <c r="K28" s="18">
        <f t="shared" si="1"/>
        <v>26.18638979616242</v>
      </c>
      <c r="L28" s="22"/>
    </row>
    <row r="29" spans="2:12" ht="12.95" customHeight="1" outlineLevel="1" x14ac:dyDescent="0.2">
      <c r="B29" s="96" t="s">
        <v>6</v>
      </c>
      <c r="C29" s="70">
        <f>23444431.55</f>
        <v>23444431.550000001</v>
      </c>
      <c r="D29" s="70">
        <f>1179355.64</f>
        <v>1179355.6399999999</v>
      </c>
      <c r="E29" s="19" t="s">
        <v>59</v>
      </c>
      <c r="F29" s="19" t="s">
        <v>59</v>
      </c>
      <c r="G29" s="19" t="s">
        <v>59</v>
      </c>
      <c r="H29" s="19" t="s">
        <v>59</v>
      </c>
      <c r="I29" s="19" t="s">
        <v>59</v>
      </c>
      <c r="J29" s="18">
        <f t="shared" si="0"/>
        <v>3.8836851042413629E-3</v>
      </c>
      <c r="K29" s="18">
        <f t="shared" si="1"/>
        <v>5.0304296672102495</v>
      </c>
      <c r="L29" s="22"/>
    </row>
    <row r="30" spans="2:12" ht="33.75" outlineLevel="1" x14ac:dyDescent="0.2">
      <c r="B30" s="94" t="s">
        <v>10</v>
      </c>
      <c r="C30" s="70">
        <f>32931300.54</f>
        <v>32931300.539999999</v>
      </c>
      <c r="D30" s="71">
        <f>7968181.1</f>
        <v>7968181.0999999996</v>
      </c>
      <c r="E30" s="19" t="s">
        <v>59</v>
      </c>
      <c r="F30" s="19" t="s">
        <v>59</v>
      </c>
      <c r="G30" s="19" t="s">
        <v>59</v>
      </c>
      <c r="H30" s="19" t="s">
        <v>59</v>
      </c>
      <c r="I30" s="19" t="s">
        <v>59</v>
      </c>
      <c r="J30" s="18">
        <f t="shared" si="0"/>
        <v>2.6239672916617045E-2</v>
      </c>
      <c r="K30" s="18">
        <f t="shared" si="1"/>
        <v>24.196375391617011</v>
      </c>
      <c r="L30" s="22"/>
    </row>
    <row r="31" spans="2:12" ht="12.95" customHeight="1" outlineLevel="1" x14ac:dyDescent="0.2">
      <c r="B31" s="96" t="s">
        <v>6</v>
      </c>
      <c r="C31" s="70">
        <f>8911739.11</f>
        <v>8911739.1099999994</v>
      </c>
      <c r="D31" s="70">
        <f>0</f>
        <v>0</v>
      </c>
      <c r="E31" s="19" t="s">
        <v>59</v>
      </c>
      <c r="F31" s="19" t="s">
        <v>59</v>
      </c>
      <c r="G31" s="19" t="s">
        <v>59</v>
      </c>
      <c r="H31" s="19" t="s">
        <v>59</v>
      </c>
      <c r="I31" s="19" t="s">
        <v>59</v>
      </c>
      <c r="J31" s="18">
        <f t="shared" si="0"/>
        <v>0</v>
      </c>
      <c r="K31" s="18">
        <f t="shared" si="1"/>
        <v>0</v>
      </c>
      <c r="L31" s="22"/>
    </row>
    <row r="32" spans="2:12" ht="13.5" customHeight="1" outlineLevel="1" x14ac:dyDescent="0.2">
      <c r="B32" s="93" t="s">
        <v>57</v>
      </c>
      <c r="C32" s="68">
        <f>C33+C35+C37</f>
        <v>1969699658.1500001</v>
      </c>
      <c r="D32" s="68">
        <f>D33+D35+D37</f>
        <v>709300039.49000001</v>
      </c>
      <c r="E32" s="20" t="s">
        <v>59</v>
      </c>
      <c r="F32" s="20" t="s">
        <v>59</v>
      </c>
      <c r="G32" s="20" t="s">
        <v>59</v>
      </c>
      <c r="H32" s="20" t="s">
        <v>59</v>
      </c>
      <c r="I32" s="20" t="s">
        <v>59</v>
      </c>
      <c r="J32" s="16">
        <f t="shared" si="0"/>
        <v>2.3357653148672979</v>
      </c>
      <c r="K32" s="16">
        <f t="shared" si="1"/>
        <v>36.010568238418415</v>
      </c>
      <c r="L32" s="22"/>
    </row>
    <row r="33" spans="2:12" ht="22.5" outlineLevel="1" x14ac:dyDescent="0.2">
      <c r="B33" s="94" t="s">
        <v>9</v>
      </c>
      <c r="C33" s="70">
        <f>1770825861.75</f>
        <v>1770825861.75</v>
      </c>
      <c r="D33" s="70">
        <f>658163160.73</f>
        <v>658163160.73000002</v>
      </c>
      <c r="E33" s="19" t="s">
        <v>59</v>
      </c>
      <c r="F33" s="19" t="s">
        <v>59</v>
      </c>
      <c r="G33" s="19" t="s">
        <v>59</v>
      </c>
      <c r="H33" s="19" t="s">
        <v>59</v>
      </c>
      <c r="I33" s="19" t="s">
        <v>59</v>
      </c>
      <c r="J33" s="18">
        <f t="shared" si="0"/>
        <v>2.1673686687821454</v>
      </c>
      <c r="K33" s="18">
        <f t="shared" si="1"/>
        <v>37.167017658053467</v>
      </c>
      <c r="L33" s="22"/>
    </row>
    <row r="34" spans="2:12" ht="12.95" customHeight="1" outlineLevel="1" x14ac:dyDescent="0.2">
      <c r="B34" s="96" t="s">
        <v>6</v>
      </c>
      <c r="C34" s="70">
        <f>3200360</f>
        <v>3200360</v>
      </c>
      <c r="D34" s="71">
        <f>12395.82</f>
        <v>12395.82</v>
      </c>
      <c r="E34" s="19" t="s">
        <v>59</v>
      </c>
      <c r="F34" s="19" t="s">
        <v>59</v>
      </c>
      <c r="G34" s="19" t="s">
        <v>59</v>
      </c>
      <c r="H34" s="19" t="s">
        <v>59</v>
      </c>
      <c r="I34" s="19" t="s">
        <v>59</v>
      </c>
      <c r="J34" s="18">
        <f t="shared" si="0"/>
        <v>4.0820139282886012E-5</v>
      </c>
      <c r="K34" s="18">
        <f t="shared" si="1"/>
        <v>0.38732580084740464</v>
      </c>
      <c r="L34" s="22"/>
    </row>
    <row r="35" spans="2:12" ht="12.95" customHeight="1" outlineLevel="1" x14ac:dyDescent="0.2">
      <c r="B35" s="94" t="s">
        <v>7</v>
      </c>
      <c r="C35" s="70">
        <f>161438703</f>
        <v>161438703</v>
      </c>
      <c r="D35" s="70">
        <f>38757798.17</f>
        <v>38757798.170000002</v>
      </c>
      <c r="E35" s="19" t="s">
        <v>59</v>
      </c>
      <c r="F35" s="19" t="s">
        <v>59</v>
      </c>
      <c r="G35" s="19" t="s">
        <v>59</v>
      </c>
      <c r="H35" s="19" t="s">
        <v>59</v>
      </c>
      <c r="I35" s="19" t="s">
        <v>59</v>
      </c>
      <c r="J35" s="18">
        <f t="shared" si="0"/>
        <v>0.1276316306301144</v>
      </c>
      <c r="K35" s="18">
        <f t="shared" si="1"/>
        <v>24.007748730488746</v>
      </c>
      <c r="L35" s="22"/>
    </row>
    <row r="36" spans="2:12" ht="12.95" customHeight="1" outlineLevel="1" x14ac:dyDescent="0.2">
      <c r="B36" s="96" t="s">
        <v>6</v>
      </c>
      <c r="C36" s="70">
        <f>10428014</f>
        <v>10428014</v>
      </c>
      <c r="D36" s="71">
        <f>0</f>
        <v>0</v>
      </c>
      <c r="E36" s="19" t="s">
        <v>59</v>
      </c>
      <c r="F36" s="19" t="s">
        <v>59</v>
      </c>
      <c r="G36" s="19" t="s">
        <v>59</v>
      </c>
      <c r="H36" s="19" t="s">
        <v>59</v>
      </c>
      <c r="I36" s="19" t="s">
        <v>59</v>
      </c>
      <c r="J36" s="18">
        <f t="shared" si="0"/>
        <v>0</v>
      </c>
      <c r="K36" s="18">
        <f t="shared" si="1"/>
        <v>0</v>
      </c>
      <c r="L36" s="22"/>
    </row>
    <row r="37" spans="2:12" ht="33.75" outlineLevel="1" x14ac:dyDescent="0.2">
      <c r="B37" s="94" t="s">
        <v>10</v>
      </c>
      <c r="C37" s="70">
        <f>37435093.4</f>
        <v>37435093.399999999</v>
      </c>
      <c r="D37" s="70">
        <f>12379080.59</f>
        <v>12379080.59</v>
      </c>
      <c r="E37" s="19" t="s">
        <v>59</v>
      </c>
      <c r="F37" s="19" t="s">
        <v>59</v>
      </c>
      <c r="G37" s="19" t="s">
        <v>59</v>
      </c>
      <c r="H37" s="19" t="s">
        <v>59</v>
      </c>
      <c r="I37" s="19" t="s">
        <v>59</v>
      </c>
      <c r="J37" s="18">
        <f t="shared" si="0"/>
        <v>4.0765015455038134E-2</v>
      </c>
      <c r="K37" s="18">
        <f t="shared" si="1"/>
        <v>33.06811728163072</v>
      </c>
      <c r="L37" s="22"/>
    </row>
    <row r="38" spans="2:12" ht="12.95" customHeight="1" outlineLevel="1" x14ac:dyDescent="0.2">
      <c r="B38" s="96" t="s">
        <v>6</v>
      </c>
      <c r="C38" s="70">
        <f>0</f>
        <v>0</v>
      </c>
      <c r="D38" s="71">
        <f>0</f>
        <v>0</v>
      </c>
      <c r="E38" s="19" t="s">
        <v>59</v>
      </c>
      <c r="F38" s="19" t="s">
        <v>59</v>
      </c>
      <c r="G38" s="19" t="s">
        <v>59</v>
      </c>
      <c r="H38" s="19" t="s">
        <v>59</v>
      </c>
      <c r="I38" s="19" t="s">
        <v>59</v>
      </c>
      <c r="J38" s="18">
        <f t="shared" si="0"/>
        <v>0</v>
      </c>
      <c r="K38" s="18" t="str">
        <f t="shared" si="1"/>
        <v/>
      </c>
      <c r="L38" s="22"/>
    </row>
    <row r="39" spans="2:12" ht="13.5" customHeight="1" outlineLevel="1" x14ac:dyDescent="0.2">
      <c r="B39" s="92" t="s">
        <v>58</v>
      </c>
      <c r="C39" s="68">
        <f>C40+C44+C46+C42+C48</f>
        <v>1252110225.6199999</v>
      </c>
      <c r="D39" s="68">
        <f>D40+D44+D46+D42+D48</f>
        <v>184121144.54000002</v>
      </c>
      <c r="E39" s="20" t="s">
        <v>59</v>
      </c>
      <c r="F39" s="20" t="s">
        <v>59</v>
      </c>
      <c r="G39" s="20" t="s">
        <v>59</v>
      </c>
      <c r="H39" s="20" t="s">
        <v>59</v>
      </c>
      <c r="I39" s="20" t="s">
        <v>59</v>
      </c>
      <c r="J39" s="16">
        <f t="shared" si="0"/>
        <v>0.60632138616462561</v>
      </c>
      <c r="K39" s="16">
        <f t="shared" si="1"/>
        <v>14.704867093376693</v>
      </c>
      <c r="L39" s="22"/>
    </row>
    <row r="40" spans="2:12" ht="22.5" outlineLevel="1" x14ac:dyDescent="0.2">
      <c r="B40" s="94" t="s">
        <v>11</v>
      </c>
      <c r="C40" s="69">
        <f>503552147.92</f>
        <v>503552147.92000002</v>
      </c>
      <c r="D40" s="72">
        <f>125335504.16</f>
        <v>125335504.16</v>
      </c>
      <c r="E40" s="17" t="s">
        <v>59</v>
      </c>
      <c r="F40" s="17" t="s">
        <v>59</v>
      </c>
      <c r="G40" s="17" t="s">
        <v>59</v>
      </c>
      <c r="H40" s="17" t="s">
        <v>59</v>
      </c>
      <c r="I40" s="17" t="s">
        <v>59</v>
      </c>
      <c r="J40" s="18">
        <f t="shared" si="0"/>
        <v>0.41273693365198427</v>
      </c>
      <c r="K40" s="18">
        <f t="shared" si="1"/>
        <v>24.890272969287825</v>
      </c>
      <c r="L40" s="22"/>
    </row>
    <row r="41" spans="2:12" ht="12.95" customHeight="1" outlineLevel="1" x14ac:dyDescent="0.2">
      <c r="B41" s="96" t="s">
        <v>6</v>
      </c>
      <c r="C41" s="70">
        <f>5017881.87</f>
        <v>5017881.87</v>
      </c>
      <c r="D41" s="70">
        <f>2172910.33</f>
        <v>2172910.33</v>
      </c>
      <c r="E41" s="19" t="s">
        <v>59</v>
      </c>
      <c r="F41" s="19" t="s">
        <v>59</v>
      </c>
      <c r="G41" s="19" t="s">
        <v>59</v>
      </c>
      <c r="H41" s="19" t="s">
        <v>59</v>
      </c>
      <c r="I41" s="19" t="s">
        <v>59</v>
      </c>
      <c r="J41" s="18">
        <f t="shared" si="0"/>
        <v>7.1555171275334596E-3</v>
      </c>
      <c r="K41" s="18">
        <f t="shared" si="1"/>
        <v>43.303337669047195</v>
      </c>
      <c r="L41" s="22"/>
    </row>
    <row r="42" spans="2:12" ht="33.75" outlineLevel="1" x14ac:dyDescent="0.2">
      <c r="B42" s="94" t="s">
        <v>83</v>
      </c>
      <c r="C42" s="70">
        <f>70481916.75</f>
        <v>70481916.75</v>
      </c>
      <c r="D42" s="70">
        <f>12487524.52</f>
        <v>12487524.52</v>
      </c>
      <c r="E42" s="19" t="s">
        <v>59</v>
      </c>
      <c r="F42" s="19" t="s">
        <v>59</v>
      </c>
      <c r="G42" s="19" t="s">
        <v>59</v>
      </c>
      <c r="H42" s="19" t="s">
        <v>59</v>
      </c>
      <c r="I42" s="19" t="s">
        <v>59</v>
      </c>
      <c r="J42" s="18">
        <f>IF($D$5=0,"",100*$D42/$D$5)</f>
        <v>4.1122127475621162E-2</v>
      </c>
      <c r="K42" s="18">
        <f>IF(C42=0,"",100*D42/C42)</f>
        <v>17.717345236641851</v>
      </c>
      <c r="L42" s="22"/>
    </row>
    <row r="43" spans="2:12" ht="12.95" customHeight="1" outlineLevel="1" x14ac:dyDescent="0.2">
      <c r="B43" s="96" t="s">
        <v>6</v>
      </c>
      <c r="C43" s="70">
        <f>64368996.75</f>
        <v>64368996.75</v>
      </c>
      <c r="D43" s="70">
        <f>9414794.52</f>
        <v>9414794.5199999996</v>
      </c>
      <c r="E43" s="19" t="s">
        <v>59</v>
      </c>
      <c r="F43" s="19" t="s">
        <v>59</v>
      </c>
      <c r="G43" s="19" t="s">
        <v>59</v>
      </c>
      <c r="H43" s="19" t="s">
        <v>59</v>
      </c>
      <c r="I43" s="19" t="s">
        <v>59</v>
      </c>
      <c r="J43" s="18">
        <f>IF($D$5=0,"",100*$D43/$D$5)</f>
        <v>3.1003453069353377E-2</v>
      </c>
      <c r="K43" s="18">
        <f>IF(C43=0,"",100*D43/C43)</f>
        <v>14.626287491423424</v>
      </c>
      <c r="L43" s="22"/>
    </row>
    <row r="44" spans="2:12" ht="12.95" customHeight="1" outlineLevel="1" x14ac:dyDescent="0.2">
      <c r="B44" s="94" t="s">
        <v>8</v>
      </c>
      <c r="C44" s="70">
        <f>187220419.39</f>
        <v>187220419.38999999</v>
      </c>
      <c r="D44" s="71">
        <f>10941861.94</f>
        <v>10941861.939999999</v>
      </c>
      <c r="E44" s="19" t="s">
        <v>59</v>
      </c>
      <c r="F44" s="19" t="s">
        <v>59</v>
      </c>
      <c r="G44" s="19" t="s">
        <v>59</v>
      </c>
      <c r="H44" s="19" t="s">
        <v>59</v>
      </c>
      <c r="I44" s="19" t="s">
        <v>59</v>
      </c>
      <c r="J44" s="18">
        <f t="shared" si="0"/>
        <v>3.6032172813489499E-2</v>
      </c>
      <c r="K44" s="18">
        <f t="shared" si="1"/>
        <v>5.8443742277956021</v>
      </c>
      <c r="L44" s="22"/>
    </row>
    <row r="45" spans="2:12" ht="12.95" customHeight="1" outlineLevel="1" x14ac:dyDescent="0.2">
      <c r="B45" s="96" t="s">
        <v>6</v>
      </c>
      <c r="C45" s="70">
        <f>172412246.9</f>
        <v>172412246.90000001</v>
      </c>
      <c r="D45" s="70">
        <f>7403234</f>
        <v>7403234</v>
      </c>
      <c r="E45" s="19" t="s">
        <v>59</v>
      </c>
      <c r="F45" s="19" t="s">
        <v>59</v>
      </c>
      <c r="G45" s="19" t="s">
        <v>59</v>
      </c>
      <c r="H45" s="19" t="s">
        <v>59</v>
      </c>
      <c r="I45" s="19" t="s">
        <v>59</v>
      </c>
      <c r="J45" s="18">
        <f t="shared" si="0"/>
        <v>2.4379270030042172E-2</v>
      </c>
      <c r="K45" s="18">
        <f t="shared" si="1"/>
        <v>4.2939142277369156</v>
      </c>
      <c r="L45" s="22"/>
    </row>
    <row r="46" spans="2:12" ht="67.5" outlineLevel="1" x14ac:dyDescent="0.2">
      <c r="B46" s="94" t="s">
        <v>105</v>
      </c>
      <c r="C46" s="70">
        <f>0</f>
        <v>0</v>
      </c>
      <c r="D46" s="70">
        <f>236173.97</f>
        <v>236173.97</v>
      </c>
      <c r="E46" s="19" t="s">
        <v>59</v>
      </c>
      <c r="F46" s="19" t="s">
        <v>59</v>
      </c>
      <c r="G46" s="19" t="s">
        <v>59</v>
      </c>
      <c r="H46" s="19" t="s">
        <v>59</v>
      </c>
      <c r="I46" s="19" t="s">
        <v>59</v>
      </c>
      <c r="J46" s="18">
        <f t="shared" si="0"/>
        <v>7.7773429675423997E-4</v>
      </c>
      <c r="K46" s="18" t="str">
        <f>IF(C46=0,"",100*D46/C46)</f>
        <v/>
      </c>
      <c r="L46" s="22"/>
    </row>
    <row r="47" spans="2:12" ht="12.95" customHeight="1" outlineLevel="1" x14ac:dyDescent="0.2">
      <c r="B47" s="96" t="s">
        <v>104</v>
      </c>
      <c r="C47" s="70">
        <f>0</f>
        <v>0</v>
      </c>
      <c r="D47" s="70">
        <f>236173.97</f>
        <v>236173.97</v>
      </c>
      <c r="E47" s="19" t="s">
        <v>59</v>
      </c>
      <c r="F47" s="19" t="s">
        <v>59</v>
      </c>
      <c r="G47" s="19" t="s">
        <v>59</v>
      </c>
      <c r="H47" s="19" t="s">
        <v>59</v>
      </c>
      <c r="I47" s="19" t="s">
        <v>59</v>
      </c>
      <c r="J47" s="18">
        <f t="shared" si="0"/>
        <v>7.7773429675423997E-4</v>
      </c>
      <c r="K47" s="18" t="str">
        <f>IF(C47=0,"",100*D47/C47)</f>
        <v/>
      </c>
      <c r="L47" s="22"/>
    </row>
    <row r="48" spans="2:12" ht="32.25" customHeight="1" outlineLevel="1" x14ac:dyDescent="0.2">
      <c r="B48" s="95" t="s">
        <v>103</v>
      </c>
      <c r="C48" s="73">
        <f>490855741.56</f>
        <v>490855741.56</v>
      </c>
      <c r="D48" s="73">
        <f>35120079.95</f>
        <v>35120079.950000003</v>
      </c>
      <c r="E48" s="24" t="s">
        <v>59</v>
      </c>
      <c r="F48" s="24" t="s">
        <v>59</v>
      </c>
      <c r="G48" s="24" t="s">
        <v>59</v>
      </c>
      <c r="H48" s="24" t="s">
        <v>59</v>
      </c>
      <c r="I48" s="24" t="s">
        <v>59</v>
      </c>
      <c r="J48" s="25">
        <f>IF($D$5=0,"",100*$D48/$D$5)</f>
        <v>0.11565241792677634</v>
      </c>
      <c r="K48" s="25">
        <f>IF(C48=0,"",100*D48/C48)</f>
        <v>7.1548679125936401</v>
      </c>
      <c r="L48" s="22"/>
    </row>
    <row r="49" spans="2:12" ht="12.95" customHeight="1" outlineLevel="1" x14ac:dyDescent="0.2">
      <c r="B49" s="96" t="s">
        <v>104</v>
      </c>
      <c r="C49" s="70">
        <f>472914143.71</f>
        <v>472914143.70999998</v>
      </c>
      <c r="D49" s="70">
        <f>19039956.82</f>
        <v>19039956.82</v>
      </c>
      <c r="E49" s="19" t="s">
        <v>59</v>
      </c>
      <c r="F49" s="19" t="s">
        <v>59</v>
      </c>
      <c r="G49" s="19" t="s">
        <v>59</v>
      </c>
      <c r="H49" s="19" t="s">
        <v>59</v>
      </c>
      <c r="I49" s="19" t="s">
        <v>59</v>
      </c>
      <c r="J49" s="18">
        <f t="shared" si="0"/>
        <v>6.2699659186123663E-2</v>
      </c>
      <c r="K49" s="18">
        <f t="shared" ref="K49:K63" si="4">IF(C49=0,"",100*D49/C49)</f>
        <v>4.0260916433228244</v>
      </c>
      <c r="L49" s="22"/>
    </row>
    <row r="50" spans="2:12" ht="13.5" customHeight="1" outlineLevel="1" x14ac:dyDescent="0.2">
      <c r="B50" s="91" t="s">
        <v>90</v>
      </c>
      <c r="C50" s="68">
        <f>497381686.73</f>
        <v>497381686.73000002</v>
      </c>
      <c r="D50" s="68">
        <f>15593818.31</f>
        <v>15593818.310000001</v>
      </c>
      <c r="E50" s="20" t="s">
        <v>59</v>
      </c>
      <c r="F50" s="20" t="s">
        <v>59</v>
      </c>
      <c r="G50" s="20" t="s">
        <v>59</v>
      </c>
      <c r="H50" s="20" t="s">
        <v>59</v>
      </c>
      <c r="I50" s="20" t="s">
        <v>59</v>
      </c>
      <c r="J50" s="16">
        <f t="shared" si="0"/>
        <v>5.1351329348620599E-2</v>
      </c>
      <c r="K50" s="16">
        <f t="shared" si="4"/>
        <v>3.1351814363171333</v>
      </c>
      <c r="L50" s="22"/>
    </row>
    <row r="51" spans="2:12" ht="12.95" customHeight="1" outlineLevel="1" x14ac:dyDescent="0.2">
      <c r="B51" s="94" t="s">
        <v>91</v>
      </c>
      <c r="C51" s="70">
        <f>435219272.2</f>
        <v>435219272.19999999</v>
      </c>
      <c r="D51" s="70">
        <f>573199.48</f>
        <v>573199.48</v>
      </c>
      <c r="E51" s="19" t="s">
        <v>59</v>
      </c>
      <c r="F51" s="19" t="s">
        <v>59</v>
      </c>
      <c r="G51" s="19" t="s">
        <v>59</v>
      </c>
      <c r="H51" s="19" t="s">
        <v>59</v>
      </c>
      <c r="I51" s="19" t="s">
        <v>59</v>
      </c>
      <c r="J51" s="18">
        <f t="shared" si="0"/>
        <v>1.8875784426103184E-3</v>
      </c>
      <c r="K51" s="18">
        <f t="shared" si="4"/>
        <v>0.13170360703525849</v>
      </c>
      <c r="L51" s="22"/>
    </row>
    <row r="52" spans="2:12" ht="13.5" customHeight="1" outlineLevel="1" x14ac:dyDescent="0.2">
      <c r="B52" s="91" t="s">
        <v>92</v>
      </c>
      <c r="C52" s="74">
        <f>6019401866</f>
        <v>6019401866</v>
      </c>
      <c r="D52" s="74">
        <f>863841905.92</f>
        <v>863841905.91999996</v>
      </c>
      <c r="E52" s="20" t="s">
        <v>59</v>
      </c>
      <c r="F52" s="20" t="s">
        <v>59</v>
      </c>
      <c r="G52" s="20" t="s">
        <v>59</v>
      </c>
      <c r="H52" s="20" t="s">
        <v>59</v>
      </c>
      <c r="I52" s="20" t="s">
        <v>59</v>
      </c>
      <c r="J52" s="23">
        <f t="shared" si="0"/>
        <v>2.8446804582551311</v>
      </c>
      <c r="K52" s="23">
        <f t="shared" si="4"/>
        <v>14.350959200769202</v>
      </c>
      <c r="L52" s="22"/>
    </row>
    <row r="53" spans="2:12" ht="12.95" customHeight="1" outlineLevel="1" x14ac:dyDescent="0.2">
      <c r="B53" s="95" t="s">
        <v>93</v>
      </c>
      <c r="C53" s="73">
        <f>5466837430.44</f>
        <v>5466837430.4399996</v>
      </c>
      <c r="D53" s="73">
        <f>741468407.34</f>
        <v>741468407.34000003</v>
      </c>
      <c r="E53" s="24" t="s">
        <v>59</v>
      </c>
      <c r="F53" s="24" t="s">
        <v>59</v>
      </c>
      <c r="G53" s="24" t="s">
        <v>59</v>
      </c>
      <c r="H53" s="24" t="s">
        <v>59</v>
      </c>
      <c r="I53" s="24" t="s">
        <v>59</v>
      </c>
      <c r="J53" s="25">
        <f t="shared" si="0"/>
        <v>2.4416975772057405</v>
      </c>
      <c r="K53" s="25">
        <f t="shared" si="4"/>
        <v>13.563022803850282</v>
      </c>
      <c r="L53" s="22"/>
    </row>
    <row r="54" spans="2:12" s="26" customFormat="1" ht="25.5" customHeight="1" x14ac:dyDescent="0.2">
      <c r="B54" s="89" t="s">
        <v>66</v>
      </c>
      <c r="C54" s="68">
        <f>C55+C56+C57+C61</f>
        <v>20000463485</v>
      </c>
      <c r="D54" s="68">
        <f>D55+D56+D57+D61</f>
        <v>7546673808</v>
      </c>
      <c r="E54" s="20" t="s">
        <v>59</v>
      </c>
      <c r="F54" s="20" t="s">
        <v>59</v>
      </c>
      <c r="G54" s="20" t="s">
        <v>59</v>
      </c>
      <c r="H54" s="20" t="s">
        <v>59</v>
      </c>
      <c r="I54" s="20" t="s">
        <v>59</v>
      </c>
      <c r="J54" s="16">
        <f t="shared" si="0"/>
        <v>24.851625464476555</v>
      </c>
      <c r="K54" s="16">
        <f t="shared" si="4"/>
        <v>37.732494617736606</v>
      </c>
      <c r="L54" s="27"/>
    </row>
    <row r="55" spans="2:12" ht="12.95" customHeight="1" outlineLevel="1" x14ac:dyDescent="0.2">
      <c r="B55" s="10" t="s">
        <v>42</v>
      </c>
      <c r="C55" s="70">
        <f>18599235933</f>
        <v>18599235933</v>
      </c>
      <c r="D55" s="70">
        <f>7204225776</f>
        <v>7204225776</v>
      </c>
      <c r="E55" s="19" t="s">
        <v>59</v>
      </c>
      <c r="F55" s="19" t="s">
        <v>59</v>
      </c>
      <c r="G55" s="19" t="s">
        <v>59</v>
      </c>
      <c r="H55" s="19" t="s">
        <v>59</v>
      </c>
      <c r="I55" s="19" t="s">
        <v>59</v>
      </c>
      <c r="J55" s="18">
        <f t="shared" si="0"/>
        <v>23.723924645701338</v>
      </c>
      <c r="K55" s="18">
        <f t="shared" si="4"/>
        <v>38.733987793647934</v>
      </c>
      <c r="L55" s="22"/>
    </row>
    <row r="56" spans="2:12" s="26" customFormat="1" ht="12.95" customHeight="1" outlineLevel="1" x14ac:dyDescent="0.2">
      <c r="B56" s="10" t="s">
        <v>38</v>
      </c>
      <c r="C56" s="69">
        <f>28500000</f>
        <v>28500000</v>
      </c>
      <c r="D56" s="72">
        <f>0</f>
        <v>0</v>
      </c>
      <c r="E56" s="17" t="s">
        <v>59</v>
      </c>
      <c r="F56" s="17" t="s">
        <v>59</v>
      </c>
      <c r="G56" s="17" t="s">
        <v>59</v>
      </c>
      <c r="H56" s="17" t="s">
        <v>59</v>
      </c>
      <c r="I56" s="17" t="s">
        <v>59</v>
      </c>
      <c r="J56" s="18">
        <f t="shared" si="0"/>
        <v>0</v>
      </c>
      <c r="K56" s="18">
        <f t="shared" si="4"/>
        <v>0</v>
      </c>
      <c r="L56" s="27"/>
    </row>
    <row r="57" spans="2:12" s="26" customFormat="1" ht="25.5" customHeight="1" outlineLevel="1" x14ac:dyDescent="0.2">
      <c r="B57" s="91" t="s">
        <v>113</v>
      </c>
      <c r="C57" s="68">
        <f>C58+C59+C60</f>
        <v>385441121</v>
      </c>
      <c r="D57" s="68">
        <f>D58+D59+D60</f>
        <v>95590701</v>
      </c>
      <c r="E57" s="20" t="s">
        <v>59</v>
      </c>
      <c r="F57" s="20" t="s">
        <v>59</v>
      </c>
      <c r="G57" s="20" t="s">
        <v>59</v>
      </c>
      <c r="H57" s="20" t="s">
        <v>59</v>
      </c>
      <c r="I57" s="20" t="s">
        <v>59</v>
      </c>
      <c r="J57" s="16">
        <f t="shared" si="0"/>
        <v>0.31478560748451584</v>
      </c>
      <c r="K57" s="16">
        <f t="shared" si="4"/>
        <v>24.800338052150902</v>
      </c>
      <c r="L57" s="27"/>
    </row>
    <row r="58" spans="2:12" ht="12.95" customHeight="1" outlineLevel="1" x14ac:dyDescent="0.2">
      <c r="B58" s="94" t="s">
        <v>43</v>
      </c>
      <c r="C58" s="69">
        <f>286421192</f>
        <v>286421192</v>
      </c>
      <c r="D58" s="72">
        <f>71605308</f>
        <v>71605308</v>
      </c>
      <c r="E58" s="17" t="s">
        <v>59</v>
      </c>
      <c r="F58" s="17" t="s">
        <v>59</v>
      </c>
      <c r="G58" s="17" t="s">
        <v>59</v>
      </c>
      <c r="H58" s="17" t="s">
        <v>59</v>
      </c>
      <c r="I58" s="17" t="s">
        <v>59</v>
      </c>
      <c r="J58" s="18">
        <f t="shared" si="0"/>
        <v>0.23580034608069109</v>
      </c>
      <c r="K58" s="18">
        <f t="shared" si="4"/>
        <v>25.00000349136177</v>
      </c>
      <c r="L58" s="22"/>
    </row>
    <row r="59" spans="2:12" ht="12.95" customHeight="1" outlineLevel="1" x14ac:dyDescent="0.2">
      <c r="B59" s="94" t="s">
        <v>41</v>
      </c>
      <c r="C59" s="70">
        <f>3078384</f>
        <v>3078384</v>
      </c>
      <c r="D59" s="70">
        <f>0</f>
        <v>0</v>
      </c>
      <c r="E59" s="19" t="s">
        <v>59</v>
      </c>
      <c r="F59" s="19" t="s">
        <v>59</v>
      </c>
      <c r="G59" s="19" t="s">
        <v>59</v>
      </c>
      <c r="H59" s="19" t="s">
        <v>59</v>
      </c>
      <c r="I59" s="19" t="s">
        <v>59</v>
      </c>
      <c r="J59" s="18">
        <f t="shared" si="0"/>
        <v>0</v>
      </c>
      <c r="K59" s="18">
        <f t="shared" si="4"/>
        <v>0</v>
      </c>
      <c r="L59" s="22"/>
    </row>
    <row r="60" spans="2:12" ht="12.95" customHeight="1" outlineLevel="1" x14ac:dyDescent="0.2">
      <c r="B60" s="94" t="s">
        <v>40</v>
      </c>
      <c r="C60" s="69">
        <f>95941545</f>
        <v>95941545</v>
      </c>
      <c r="D60" s="72">
        <f>23985393</f>
        <v>23985393</v>
      </c>
      <c r="E60" s="17" t="s">
        <v>59</v>
      </c>
      <c r="F60" s="17" t="s">
        <v>59</v>
      </c>
      <c r="G60" s="17" t="s">
        <v>59</v>
      </c>
      <c r="H60" s="17" t="s">
        <v>59</v>
      </c>
      <c r="I60" s="17" t="s">
        <v>59</v>
      </c>
      <c r="J60" s="18">
        <f t="shared" si="0"/>
        <v>7.898526140382478E-2</v>
      </c>
      <c r="K60" s="18">
        <f t="shared" si="4"/>
        <v>25.000007035533979</v>
      </c>
      <c r="L60" s="22"/>
    </row>
    <row r="61" spans="2:12" s="26" customFormat="1" ht="40.5" customHeight="1" outlineLevel="1" x14ac:dyDescent="0.2">
      <c r="B61" s="91" t="s">
        <v>114</v>
      </c>
      <c r="C61" s="68">
        <f>C62+C63</f>
        <v>987286431</v>
      </c>
      <c r="D61" s="68">
        <f>D62+D63</f>
        <v>246857331</v>
      </c>
      <c r="E61" s="20" t="s">
        <v>59</v>
      </c>
      <c r="F61" s="20" t="s">
        <v>59</v>
      </c>
      <c r="G61" s="20" t="s">
        <v>59</v>
      </c>
      <c r="H61" s="20" t="s">
        <v>59</v>
      </c>
      <c r="I61" s="20" t="s">
        <v>59</v>
      </c>
      <c r="J61" s="16">
        <f t="shared" si="0"/>
        <v>0.81291521129070088</v>
      </c>
      <c r="K61" s="16">
        <f t="shared" si="4"/>
        <v>25.003618326848049</v>
      </c>
      <c r="L61" s="27"/>
    </row>
    <row r="62" spans="2:12" ht="12.95" customHeight="1" outlineLevel="1" x14ac:dyDescent="0.2">
      <c r="B62" s="94" t="s">
        <v>40</v>
      </c>
      <c r="C62" s="69">
        <f>840997241</f>
        <v>840997241</v>
      </c>
      <c r="D62" s="72">
        <f>210252537</f>
        <v>210252537</v>
      </c>
      <c r="E62" s="17" t="s">
        <v>59</v>
      </c>
      <c r="F62" s="17" t="s">
        <v>59</v>
      </c>
      <c r="G62" s="17" t="s">
        <v>59</v>
      </c>
      <c r="H62" s="17" t="s">
        <v>59</v>
      </c>
      <c r="I62" s="17" t="s">
        <v>59</v>
      </c>
      <c r="J62" s="18">
        <f t="shared" si="0"/>
        <v>0.69237354567266585</v>
      </c>
      <c r="K62" s="18">
        <f t="shared" si="4"/>
        <v>25.000383681401399</v>
      </c>
      <c r="L62" s="22"/>
    </row>
    <row r="63" spans="2:12" ht="12.95" customHeight="1" outlineLevel="1" x14ac:dyDescent="0.2">
      <c r="B63" s="94" t="s">
        <v>43</v>
      </c>
      <c r="C63" s="70">
        <f>146289190</f>
        <v>146289190</v>
      </c>
      <c r="D63" s="70">
        <f>36604794</f>
        <v>36604794</v>
      </c>
      <c r="E63" s="19" t="s">
        <v>59</v>
      </c>
      <c r="F63" s="19" t="s">
        <v>59</v>
      </c>
      <c r="G63" s="19" t="s">
        <v>59</v>
      </c>
      <c r="H63" s="19" t="s">
        <v>59</v>
      </c>
      <c r="I63" s="19" t="s">
        <v>59</v>
      </c>
      <c r="J63" s="18">
        <f t="shared" si="0"/>
        <v>0.12054166561803498</v>
      </c>
      <c r="K63" s="18">
        <f t="shared" si="4"/>
        <v>25.022213876500377</v>
      </c>
      <c r="L63" s="22"/>
    </row>
    <row r="64" spans="2:12" ht="11.25" customHeight="1" x14ac:dyDescent="0.2">
      <c r="B64" s="28"/>
      <c r="C64" s="29"/>
      <c r="D64" s="29"/>
      <c r="E64" s="29"/>
      <c r="F64" s="29"/>
      <c r="G64" s="29"/>
      <c r="H64" s="29"/>
      <c r="I64" s="29"/>
      <c r="J64" s="21"/>
      <c r="K64" s="21"/>
      <c r="L64" s="22"/>
    </row>
    <row r="65" spans="1:26" ht="13.5" customHeight="1" x14ac:dyDescent="0.2">
      <c r="B65" s="66" t="s">
        <v>5</v>
      </c>
      <c r="C65" s="20">
        <f t="shared" ref="C65:I65" si="5">+C5</f>
        <v>100578271741.96001</v>
      </c>
      <c r="D65" s="20">
        <f t="shared" si="5"/>
        <v>30366922351.970001</v>
      </c>
      <c r="E65" s="20">
        <f t="shared" si="5"/>
        <v>166669920.71000001</v>
      </c>
      <c r="F65" s="20">
        <f t="shared" si="5"/>
        <v>47576056.850000001</v>
      </c>
      <c r="G65" s="20">
        <f t="shared" si="5"/>
        <v>8298666.2699999996</v>
      </c>
      <c r="H65" s="20">
        <f t="shared" si="5"/>
        <v>43025348.579999998</v>
      </c>
      <c r="I65" s="20">
        <f t="shared" si="5"/>
        <v>13422.63</v>
      </c>
      <c r="J65" s="16">
        <f t="shared" si="0"/>
        <v>100</v>
      </c>
      <c r="K65" s="16">
        <f>IF(C65=0,"",100*D65/C65)</f>
        <v>30.192328647163755</v>
      </c>
      <c r="L65" s="22"/>
    </row>
    <row r="66" spans="1:26" x14ac:dyDescent="0.2">
      <c r="B66" s="101" t="s">
        <v>77</v>
      </c>
      <c r="C66" s="19">
        <f>10029922884.15</f>
        <v>10029922884.15</v>
      </c>
      <c r="D66" s="19">
        <f>1608987509.81</f>
        <v>1608987509.8099999</v>
      </c>
      <c r="E66" s="19">
        <f>0</f>
        <v>0</v>
      </c>
      <c r="F66" s="19">
        <f>0</f>
        <v>0</v>
      </c>
      <c r="G66" s="19">
        <f>0</f>
        <v>0</v>
      </c>
      <c r="H66" s="19">
        <f>0</f>
        <v>0</v>
      </c>
      <c r="I66" s="19">
        <f>0</f>
        <v>0</v>
      </c>
      <c r="J66" s="18">
        <f t="shared" si="0"/>
        <v>5.298487252547079</v>
      </c>
      <c r="K66" s="18">
        <f>IF(C66=0,"",100*D66/C66)</f>
        <v>16.041873186808214</v>
      </c>
      <c r="L66" s="22"/>
    </row>
    <row r="67" spans="1:26" s="26" customFormat="1" x14ac:dyDescent="0.2">
      <c r="A67" s="9"/>
      <c r="B67" s="101" t="s">
        <v>78</v>
      </c>
      <c r="C67" s="19">
        <f>C65-C66</f>
        <v>90548348857.810013</v>
      </c>
      <c r="D67" s="19">
        <f t="shared" ref="D67:I67" si="6">D65-D66</f>
        <v>28757934842.16</v>
      </c>
      <c r="E67" s="19">
        <f t="shared" si="6"/>
        <v>166669920.71000001</v>
      </c>
      <c r="F67" s="19">
        <f t="shared" si="6"/>
        <v>47576056.850000001</v>
      </c>
      <c r="G67" s="19">
        <f t="shared" si="6"/>
        <v>8298666.2699999996</v>
      </c>
      <c r="H67" s="19">
        <f t="shared" si="6"/>
        <v>43025348.579999998</v>
      </c>
      <c r="I67" s="19">
        <f t="shared" si="6"/>
        <v>13422.63</v>
      </c>
      <c r="J67" s="18">
        <f t="shared" si="0"/>
        <v>94.701512747452924</v>
      </c>
      <c r="K67" s="18">
        <f>IF(C67=0,"",100*D67/C67)</f>
        <v>31.759756201981322</v>
      </c>
      <c r="L67" s="30"/>
    </row>
    <row r="68" spans="1:26" ht="18" x14ac:dyDescent="0.2">
      <c r="B68" s="88" t="str">
        <f>CONCATENATE("Informacja z wykonania budżetów miast na prawach powiatu za ",$D$125," ",$C$126," rok    ",$C$128,"")</f>
        <v xml:space="preserve">Informacja z wykonania budżetów miast na prawach powiatu za I Kwartał 2022 rok    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</row>
    <row r="69" spans="1:26" s="26" customFormat="1" x14ac:dyDescent="0.2">
      <c r="B69" s="31"/>
      <c r="C69" s="32"/>
      <c r="D69" s="32"/>
      <c r="E69" s="32"/>
      <c r="F69" s="33"/>
      <c r="G69" s="33"/>
      <c r="H69" s="33"/>
      <c r="I69" s="33"/>
      <c r="J69" s="33"/>
      <c r="K69" s="1"/>
      <c r="L69" s="1"/>
      <c r="M69" s="34"/>
    </row>
    <row r="70" spans="1:26" ht="29.25" customHeight="1" x14ac:dyDescent="0.2">
      <c r="B70" s="108" t="s">
        <v>0</v>
      </c>
      <c r="C70" s="105" t="s">
        <v>49</v>
      </c>
      <c r="D70" s="105" t="s">
        <v>51</v>
      </c>
      <c r="E70" s="105" t="s">
        <v>50</v>
      </c>
      <c r="F70" s="105" t="s">
        <v>12</v>
      </c>
      <c r="G70" s="105"/>
      <c r="H70" s="105"/>
      <c r="I70" s="111" t="s">
        <v>89</v>
      </c>
      <c r="J70" s="105" t="s">
        <v>2</v>
      </c>
      <c r="K70" s="109" t="s">
        <v>18</v>
      </c>
      <c r="M70" s="35"/>
      <c r="N70" s="53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8" customHeight="1" x14ac:dyDescent="0.2">
      <c r="B71" s="108"/>
      <c r="C71" s="105"/>
      <c r="D71" s="105"/>
      <c r="E71" s="106"/>
      <c r="F71" s="110" t="s">
        <v>52</v>
      </c>
      <c r="G71" s="125" t="s">
        <v>30</v>
      </c>
      <c r="H71" s="106"/>
      <c r="I71" s="112"/>
      <c r="J71" s="105"/>
      <c r="K71" s="109"/>
      <c r="L71" s="2"/>
      <c r="M71" s="3"/>
      <c r="N71" s="53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58.5" customHeight="1" x14ac:dyDescent="0.2">
      <c r="B72" s="108"/>
      <c r="C72" s="105"/>
      <c r="D72" s="105"/>
      <c r="E72" s="106"/>
      <c r="F72" s="106"/>
      <c r="G72" s="7" t="s">
        <v>47</v>
      </c>
      <c r="H72" s="7" t="s">
        <v>48</v>
      </c>
      <c r="I72" s="113"/>
      <c r="J72" s="105"/>
      <c r="K72" s="109"/>
      <c r="L72" s="2"/>
      <c r="M72" s="35"/>
      <c r="N72" s="53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3.5" customHeight="1" x14ac:dyDescent="0.2">
      <c r="B73" s="108"/>
      <c r="C73" s="114" t="s">
        <v>82</v>
      </c>
      <c r="D73" s="115"/>
      <c r="E73" s="115"/>
      <c r="F73" s="115"/>
      <c r="G73" s="115"/>
      <c r="H73" s="115"/>
      <c r="I73" s="116"/>
      <c r="J73" s="122" t="s">
        <v>4</v>
      </c>
      <c r="K73" s="122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1.25" customHeight="1" x14ac:dyDescent="0.2">
      <c r="B74" s="6">
        <v>1</v>
      </c>
      <c r="C74" s="8">
        <v>2</v>
      </c>
      <c r="D74" s="8">
        <v>3</v>
      </c>
      <c r="E74" s="8">
        <v>4</v>
      </c>
      <c r="F74" s="6">
        <v>5</v>
      </c>
      <c r="G74" s="6">
        <v>6</v>
      </c>
      <c r="H74" s="8">
        <v>7</v>
      </c>
      <c r="I74" s="8">
        <v>8</v>
      </c>
      <c r="J74" s="6">
        <v>9</v>
      </c>
      <c r="K74" s="8">
        <v>10</v>
      </c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25.5" customHeight="1" x14ac:dyDescent="0.2">
      <c r="B75" s="66" t="s">
        <v>67</v>
      </c>
      <c r="C75" s="75">
        <f>114953436381.92</f>
        <v>114953436381.92</v>
      </c>
      <c r="D75" s="75">
        <f>25764835446.56</f>
        <v>25764835446.560001</v>
      </c>
      <c r="E75" s="75">
        <f>83087928673.31</f>
        <v>83087928673.309998</v>
      </c>
      <c r="F75" s="75">
        <f>3362949062.59</f>
        <v>3362949062.5900002</v>
      </c>
      <c r="G75" s="75">
        <f>930467.47</f>
        <v>930467.47</v>
      </c>
      <c r="H75" s="75">
        <f>258945.08</f>
        <v>258945.08</v>
      </c>
      <c r="I75" s="75">
        <f>0</f>
        <v>0</v>
      </c>
      <c r="J75" s="44">
        <f>IF($D$75=0,"",100*$D75/$D$75)</f>
        <v>100</v>
      </c>
      <c r="K75" s="44">
        <f>IF(C75=0,"",100*D75/C75)</f>
        <v>22.413279896182662</v>
      </c>
      <c r="N75" s="54"/>
      <c r="O75" s="55"/>
    </row>
    <row r="76" spans="1:26" x14ac:dyDescent="0.2">
      <c r="B76" s="89" t="s">
        <v>14</v>
      </c>
      <c r="C76" s="76">
        <f>24728908220</f>
        <v>24728908220</v>
      </c>
      <c r="D76" s="76">
        <f>1970780722.67</f>
        <v>1970780722.6700001</v>
      </c>
      <c r="E76" s="76">
        <f>12588407202.39</f>
        <v>12588407202.389999</v>
      </c>
      <c r="F76" s="76">
        <f>559406991.47</f>
        <v>559406991.47000003</v>
      </c>
      <c r="G76" s="76">
        <f>822.54</f>
        <v>822.54</v>
      </c>
      <c r="H76" s="76">
        <f>31216.99</f>
        <v>31216.99</v>
      </c>
      <c r="I76" s="76">
        <f>0</f>
        <v>0</v>
      </c>
      <c r="J76" s="44">
        <f t="shared" ref="J76:J84" si="7">IF($D$75=0,"",100*$D76/$D$75)</f>
        <v>7.6491104581579208</v>
      </c>
      <c r="K76" s="44">
        <f t="shared" ref="K76:K84" si="8">IF(C76=0,"",100*D76/C76)</f>
        <v>7.9695419835643682</v>
      </c>
      <c r="N76" s="56"/>
      <c r="O76" s="55"/>
    </row>
    <row r="77" spans="1:26" ht="12.95" customHeight="1" outlineLevel="1" x14ac:dyDescent="0.2">
      <c r="B77" s="10" t="s">
        <v>13</v>
      </c>
      <c r="C77" s="70">
        <f>22522036769.83</f>
        <v>22522036769.830002</v>
      </c>
      <c r="D77" s="70">
        <f>1562825520.61</f>
        <v>1562825520.6099999</v>
      </c>
      <c r="E77" s="70">
        <f>11913207924.87</f>
        <v>11913207924.870001</v>
      </c>
      <c r="F77" s="70">
        <f>511184347.07</f>
        <v>511184347.06999999</v>
      </c>
      <c r="G77" s="70">
        <f>822.54</f>
        <v>822.54</v>
      </c>
      <c r="H77" s="70">
        <f>31216.99</f>
        <v>31216.99</v>
      </c>
      <c r="I77" s="70">
        <f>0</f>
        <v>0</v>
      </c>
      <c r="J77" s="44">
        <f t="shared" si="7"/>
        <v>6.0657306500230765</v>
      </c>
      <c r="K77" s="44">
        <f t="shared" si="8"/>
        <v>6.9390949698808981</v>
      </c>
      <c r="N77" s="29"/>
      <c r="O77" s="55"/>
    </row>
    <row r="78" spans="1:26" ht="25.5" customHeight="1" x14ac:dyDescent="0.2">
      <c r="B78" s="89" t="s">
        <v>68</v>
      </c>
      <c r="C78" s="76">
        <f t="shared" ref="C78:I78" si="9">C75-C76</f>
        <v>90224528161.919998</v>
      </c>
      <c r="D78" s="76">
        <f t="shared" si="9"/>
        <v>23794054723.889999</v>
      </c>
      <c r="E78" s="76">
        <f>E75-E76</f>
        <v>70499521470.919998</v>
      </c>
      <c r="F78" s="76">
        <f t="shared" si="9"/>
        <v>2803542071.1199999</v>
      </c>
      <c r="G78" s="76">
        <f t="shared" si="9"/>
        <v>929644.92999999993</v>
      </c>
      <c r="H78" s="76">
        <f t="shared" si="9"/>
        <v>227728.09</v>
      </c>
      <c r="I78" s="76">
        <f t="shared" si="9"/>
        <v>0</v>
      </c>
      <c r="J78" s="44">
        <f t="shared" si="7"/>
        <v>92.350889541842079</v>
      </c>
      <c r="K78" s="44">
        <f t="shared" si="8"/>
        <v>26.372046724576251</v>
      </c>
      <c r="N78" s="56"/>
      <c r="O78" s="55"/>
    </row>
    <row r="79" spans="1:26" ht="24" customHeight="1" outlineLevel="1" x14ac:dyDescent="0.2">
      <c r="B79" s="10" t="s">
        <v>110</v>
      </c>
      <c r="C79" s="70">
        <f>35401863807.22</f>
        <v>35401863807.220001</v>
      </c>
      <c r="D79" s="70">
        <f>9935336227.36</f>
        <v>9935336227.3600006</v>
      </c>
      <c r="E79" s="70">
        <f>31246342243.57</f>
        <v>31246342243.57</v>
      </c>
      <c r="F79" s="70">
        <f>1250382072.48</f>
        <v>1250382072.48</v>
      </c>
      <c r="G79" s="70">
        <f>9459.33</f>
        <v>9459.33</v>
      </c>
      <c r="H79" s="70">
        <f>192.05</f>
        <v>192.05</v>
      </c>
      <c r="I79" s="70">
        <f>0</f>
        <v>0</v>
      </c>
      <c r="J79" s="44">
        <f t="shared" si="7"/>
        <v>38.561613358514656</v>
      </c>
      <c r="K79" s="44">
        <f t="shared" si="8"/>
        <v>28.064443955444364</v>
      </c>
      <c r="N79" s="29"/>
      <c r="O79" s="55"/>
    </row>
    <row r="80" spans="1:26" ht="12.95" customHeight="1" outlineLevel="1" x14ac:dyDescent="0.2">
      <c r="B80" s="10" t="s">
        <v>46</v>
      </c>
      <c r="C80" s="77">
        <f>10337187580.41</f>
        <v>10337187580.41</v>
      </c>
      <c r="D80" s="77">
        <f>2920854388.8</f>
        <v>2920854388.8000002</v>
      </c>
      <c r="E80" s="77">
        <f>7154840888.42</f>
        <v>7154840888.4200001</v>
      </c>
      <c r="F80" s="77">
        <f>132788443.1</f>
        <v>132788443.09999999</v>
      </c>
      <c r="G80" s="77">
        <f>0</f>
        <v>0</v>
      </c>
      <c r="H80" s="77">
        <f>0</f>
        <v>0</v>
      </c>
      <c r="I80" s="77">
        <f>0</f>
        <v>0</v>
      </c>
      <c r="J80" s="44">
        <f t="shared" si="7"/>
        <v>11.33659244538268</v>
      </c>
      <c r="K80" s="44">
        <f t="shared" si="8"/>
        <v>28.255793619681526</v>
      </c>
      <c r="N80" s="57"/>
      <c r="O80" s="55"/>
    </row>
    <row r="81" spans="2:15" ht="12.95" customHeight="1" outlineLevel="1" x14ac:dyDescent="0.2">
      <c r="B81" s="10" t="s">
        <v>45</v>
      </c>
      <c r="C81" s="70">
        <f>1253183137.41</f>
        <v>1253183137.4100001</v>
      </c>
      <c r="D81" s="70">
        <f>186269472.8</f>
        <v>186269472.80000001</v>
      </c>
      <c r="E81" s="70">
        <f>744462927.42</f>
        <v>744462927.41999996</v>
      </c>
      <c r="F81" s="70">
        <f>55458410.53</f>
        <v>55458410.530000001</v>
      </c>
      <c r="G81" s="70">
        <f>0</f>
        <v>0</v>
      </c>
      <c r="H81" s="70">
        <f>0</f>
        <v>0</v>
      </c>
      <c r="I81" s="70">
        <f>0</f>
        <v>0</v>
      </c>
      <c r="J81" s="44">
        <f t="shared" si="7"/>
        <v>0.72296007163076925</v>
      </c>
      <c r="K81" s="44">
        <f t="shared" si="8"/>
        <v>14.86370724593135</v>
      </c>
      <c r="N81" s="29"/>
      <c r="O81" s="55"/>
    </row>
    <row r="82" spans="2:15" ht="22.5" customHeight="1" outlineLevel="1" x14ac:dyDescent="0.2">
      <c r="B82" s="10" t="s">
        <v>74</v>
      </c>
      <c r="C82" s="77">
        <f>173193274.94</f>
        <v>173193274.94</v>
      </c>
      <c r="D82" s="77">
        <f>1518358.26</f>
        <v>1518358.26</v>
      </c>
      <c r="E82" s="77">
        <f>35603326.82</f>
        <v>35603326.82</v>
      </c>
      <c r="F82" s="77">
        <f>0</f>
        <v>0</v>
      </c>
      <c r="G82" s="77">
        <f>0</f>
        <v>0</v>
      </c>
      <c r="H82" s="77">
        <f>0</f>
        <v>0</v>
      </c>
      <c r="I82" s="77">
        <f>0</f>
        <v>0</v>
      </c>
      <c r="J82" s="44">
        <f t="shared" si="7"/>
        <v>5.8931416936440165E-3</v>
      </c>
      <c r="K82" s="44">
        <f t="shared" si="8"/>
        <v>0.87668430574224698</v>
      </c>
      <c r="N82" s="57"/>
      <c r="O82" s="55"/>
    </row>
    <row r="83" spans="2:15" ht="22.5" customHeight="1" outlineLevel="1" x14ac:dyDescent="0.2">
      <c r="B83" s="10" t="s">
        <v>75</v>
      </c>
      <c r="C83" s="77">
        <f>9894171435.75</f>
        <v>9894171435.75</v>
      </c>
      <c r="D83" s="77">
        <f>4362688282.81</f>
        <v>4362688282.8100004</v>
      </c>
      <c r="E83" s="77">
        <f>7919806204.34</f>
        <v>7919806204.3400002</v>
      </c>
      <c r="F83" s="77">
        <f>89338125.66</f>
        <v>89338125.659999996</v>
      </c>
      <c r="G83" s="77">
        <f>208888.83</f>
        <v>208888.83</v>
      </c>
      <c r="H83" s="77">
        <f>21486.74</f>
        <v>21486.74</v>
      </c>
      <c r="I83" s="78">
        <f>0</f>
        <v>0</v>
      </c>
      <c r="J83" s="44">
        <f t="shared" si="7"/>
        <v>16.932723253206284</v>
      </c>
      <c r="K83" s="44">
        <f t="shared" si="8"/>
        <v>44.093518200488901</v>
      </c>
      <c r="N83" s="57"/>
      <c r="O83" s="55"/>
    </row>
    <row r="84" spans="2:15" ht="12.95" customHeight="1" outlineLevel="1" x14ac:dyDescent="0.2">
      <c r="B84" s="10" t="s">
        <v>44</v>
      </c>
      <c r="C84" s="70">
        <f t="shared" ref="C84:I84" si="10">C78-C79-C80-C81-C82-C83</f>
        <v>33164928926.189987</v>
      </c>
      <c r="D84" s="70">
        <f t="shared" si="10"/>
        <v>6387387993.8599997</v>
      </c>
      <c r="E84" s="70">
        <f>E78-E79-E80-E81-E82-E83</f>
        <v>23398465880.350002</v>
      </c>
      <c r="F84" s="70">
        <f t="shared" si="10"/>
        <v>1275575019.3499999</v>
      </c>
      <c r="G84" s="70">
        <f t="shared" si="10"/>
        <v>711296.77</v>
      </c>
      <c r="H84" s="70">
        <f t="shared" si="10"/>
        <v>206049.30000000002</v>
      </c>
      <c r="I84" s="78">
        <f t="shared" si="10"/>
        <v>0</v>
      </c>
      <c r="J84" s="44">
        <f t="shared" si="7"/>
        <v>24.791107271414045</v>
      </c>
      <c r="K84" s="44">
        <f t="shared" si="8"/>
        <v>19.259465346889222</v>
      </c>
      <c r="N84" s="29"/>
      <c r="O84" s="55"/>
    </row>
    <row r="85" spans="2:15" x14ac:dyDescent="0.2">
      <c r="B85" s="66" t="s">
        <v>15</v>
      </c>
      <c r="C85" s="76">
        <f>C5-C75</f>
        <v>-14375164639.959991</v>
      </c>
      <c r="D85" s="76">
        <f>D5-D75</f>
        <v>4602086905.4099998</v>
      </c>
      <c r="E85" s="62"/>
      <c r="F85" s="56"/>
      <c r="G85" s="56"/>
      <c r="H85" s="56"/>
      <c r="I85" s="126"/>
      <c r="J85" s="126"/>
      <c r="K85" s="37"/>
      <c r="L85" s="37"/>
      <c r="M85" s="4"/>
      <c r="N85" s="55"/>
      <c r="O85" s="56"/>
    </row>
    <row r="86" spans="2:15" ht="38.25" x14ac:dyDescent="0.2">
      <c r="B86" s="97" t="s">
        <v>115</v>
      </c>
      <c r="C86" s="76">
        <f>+C67-C78</f>
        <v>323820695.89001465</v>
      </c>
      <c r="D86" s="76">
        <f>+D67-D78</f>
        <v>4963880118.2700005</v>
      </c>
      <c r="E86" s="62"/>
      <c r="F86" s="56"/>
      <c r="G86" s="56"/>
      <c r="H86" s="56"/>
      <c r="I86" s="56"/>
      <c r="J86" s="56"/>
      <c r="K86" s="37"/>
      <c r="L86" s="37"/>
      <c r="M86" s="4"/>
      <c r="N86" s="55"/>
      <c r="O86" s="56"/>
    </row>
    <row r="87" spans="2:15" ht="8.25" customHeight="1" x14ac:dyDescent="0.2">
      <c r="B87" s="38"/>
      <c r="C87" s="39"/>
      <c r="D87" s="39"/>
      <c r="E87" s="39"/>
      <c r="F87" s="40"/>
      <c r="G87" s="40"/>
      <c r="H87" s="40"/>
      <c r="I87" s="40"/>
      <c r="J87" s="41"/>
      <c r="K87" s="41"/>
      <c r="L87" s="42"/>
      <c r="M87" s="35"/>
    </row>
    <row r="88" spans="2:15" x14ac:dyDescent="0.2">
      <c r="B88" s="43" t="s">
        <v>79</v>
      </c>
      <c r="C88" s="58"/>
      <c r="D88" s="58"/>
      <c r="E88" s="58"/>
      <c r="F88" s="59"/>
      <c r="G88" s="59"/>
      <c r="H88" s="59"/>
      <c r="I88" s="59"/>
      <c r="J88" s="60"/>
      <c r="K88" s="60"/>
      <c r="L88" s="42"/>
      <c r="M88" s="35"/>
    </row>
    <row r="89" spans="2:15" ht="26.25" customHeight="1" x14ac:dyDescent="0.2">
      <c r="B89" s="66" t="s">
        <v>94</v>
      </c>
      <c r="C89" s="79">
        <f>9495164740.55</f>
        <v>9495164740.5499992</v>
      </c>
      <c r="D89" s="80">
        <f>860007787.149999</f>
        <v>860007787.14999902</v>
      </c>
      <c r="E89" s="80">
        <f>5897845202.93</f>
        <v>5897845202.9300003</v>
      </c>
      <c r="F89" s="80">
        <f>181214104.72</f>
        <v>181214104.72</v>
      </c>
      <c r="G89" s="80">
        <f>0</f>
        <v>0</v>
      </c>
      <c r="H89" s="80">
        <f>0</f>
        <v>0</v>
      </c>
      <c r="I89" s="80">
        <f>0</f>
        <v>0</v>
      </c>
      <c r="J89" s="63">
        <f>IF($D$89=0,"",100*$D89/$D$89)</f>
        <v>100.00000000000001</v>
      </c>
      <c r="K89" s="44">
        <f>IF(C89=0,"",100*D89/C89)</f>
        <v>9.0573234972665038</v>
      </c>
      <c r="L89" s="35"/>
    </row>
    <row r="90" spans="2:15" ht="15" customHeight="1" x14ac:dyDescent="0.2">
      <c r="B90" s="102" t="s">
        <v>80</v>
      </c>
      <c r="C90" s="81">
        <f>8593227083.74</f>
        <v>8593227083.7399998</v>
      </c>
      <c r="D90" s="77">
        <f>721822941.03</f>
        <v>721822941.02999997</v>
      </c>
      <c r="E90" s="77">
        <f>5543157255.96</f>
        <v>5543157255.96</v>
      </c>
      <c r="F90" s="77">
        <f>176443900.74</f>
        <v>176443900.74000001</v>
      </c>
      <c r="G90" s="77">
        <f>0</f>
        <v>0</v>
      </c>
      <c r="H90" s="77">
        <f>0</f>
        <v>0</v>
      </c>
      <c r="I90" s="77">
        <f>0</f>
        <v>0</v>
      </c>
      <c r="J90" s="63">
        <f>IF($D$89=0,"",100*$D90/$D$89)</f>
        <v>83.932140128878004</v>
      </c>
      <c r="K90" s="63">
        <f>IF(C90=0,"",100*D90/C90)</f>
        <v>8.3999053440101061</v>
      </c>
      <c r="L90" s="35"/>
    </row>
    <row r="91" spans="2:15" x14ac:dyDescent="0.2">
      <c r="B91" s="103" t="s">
        <v>81</v>
      </c>
      <c r="C91" s="81">
        <f>C89-C90</f>
        <v>901937656.80999947</v>
      </c>
      <c r="D91" s="77">
        <f t="shared" ref="D91:I91" si="11">D89-D90</f>
        <v>138184846.11999905</v>
      </c>
      <c r="E91" s="77">
        <f t="shared" si="11"/>
        <v>354687946.97000027</v>
      </c>
      <c r="F91" s="77">
        <f t="shared" si="11"/>
        <v>4770203.9799999893</v>
      </c>
      <c r="G91" s="77">
        <f t="shared" si="11"/>
        <v>0</v>
      </c>
      <c r="H91" s="77">
        <f t="shared" si="11"/>
        <v>0</v>
      </c>
      <c r="I91" s="77">
        <f t="shared" si="11"/>
        <v>0</v>
      </c>
      <c r="J91" s="63">
        <f>IF($D$89=0,"",100*$D91/$D$89)</f>
        <v>16.067859871122007</v>
      </c>
      <c r="K91" s="63">
        <f>IF(C91=0,"",100*D91/C91)</f>
        <v>15.320886657370025</v>
      </c>
    </row>
    <row r="92" spans="2:15" ht="6" customHeight="1" x14ac:dyDescent="0.2"/>
    <row r="93" spans="2:15" ht="18" x14ac:dyDescent="0.2">
      <c r="B93" s="88" t="str">
        <f>CONCATENATE("Informacja z wykonania budżetów miast na prawach powiatu za ",$D$125," ",$C$126," rok    ",$C$128,"")</f>
        <v xml:space="preserve">Informacja z wykonania budżetów miast na prawach powiatu za I Kwartał 2022 rok    </v>
      </c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</row>
    <row r="94" spans="2:15" ht="6.75" customHeight="1" x14ac:dyDescent="0.2"/>
    <row r="95" spans="2:15" x14ac:dyDescent="0.2">
      <c r="B95" s="13" t="s">
        <v>16</v>
      </c>
      <c r="C95" s="52" t="s">
        <v>17</v>
      </c>
      <c r="D95" s="8" t="s">
        <v>1</v>
      </c>
      <c r="E95" s="8" t="s">
        <v>25</v>
      </c>
      <c r="F95" s="8" t="s">
        <v>26</v>
      </c>
    </row>
    <row r="96" spans="2:15" x14ac:dyDescent="0.2">
      <c r="B96" s="13"/>
      <c r="C96" s="110" t="s">
        <v>82</v>
      </c>
      <c r="D96" s="117"/>
      <c r="E96" s="120" t="s">
        <v>4</v>
      </c>
      <c r="F96" s="121"/>
    </row>
    <row r="97" spans="2:8" x14ac:dyDescent="0.2">
      <c r="B97" s="11">
        <v>1</v>
      </c>
      <c r="C97" s="14">
        <v>2</v>
      </c>
      <c r="D97" s="12">
        <v>3</v>
      </c>
      <c r="E97" s="12">
        <v>4</v>
      </c>
      <c r="F97" s="12">
        <v>5</v>
      </c>
    </row>
    <row r="98" spans="2:8" ht="25.5" x14ac:dyDescent="0.2">
      <c r="B98" s="64" t="s">
        <v>69</v>
      </c>
      <c r="C98" s="82">
        <f>17551687299.5</f>
        <v>17551687299.5</v>
      </c>
      <c r="D98" s="75">
        <f>13567809196.3</f>
        <v>13567809196.299999</v>
      </c>
      <c r="E98" s="45">
        <f>IF($D$98=0,"",100*$D98/$D$98)</f>
        <v>100</v>
      </c>
      <c r="F98" s="36">
        <f t="shared" ref="F98:F105" si="12">IF(C98=0,"",100*D98/C98)</f>
        <v>77.302022106367573</v>
      </c>
    </row>
    <row r="99" spans="2:8" ht="22.5" x14ac:dyDescent="0.2">
      <c r="B99" s="98" t="s">
        <v>95</v>
      </c>
      <c r="C99" s="83">
        <f>9460429859.59</f>
        <v>9460429859.5900002</v>
      </c>
      <c r="D99" s="72">
        <f>3225902.1</f>
        <v>3225902.1</v>
      </c>
      <c r="E99" s="46">
        <f t="shared" ref="E99:E105" si="13">IF($D$98=0,"",100*$D99/$D$98)</f>
        <v>2.3776145826694833E-2</v>
      </c>
      <c r="F99" s="47">
        <f t="shared" si="12"/>
        <v>3.4098895588025695E-2</v>
      </c>
    </row>
    <row r="100" spans="2:8" ht="22.5" x14ac:dyDescent="0.2">
      <c r="B100" s="100" t="s">
        <v>96</v>
      </c>
      <c r="C100" s="84">
        <f>858000000</f>
        <v>858000000</v>
      </c>
      <c r="D100" s="71">
        <f>0</f>
        <v>0</v>
      </c>
      <c r="E100" s="48">
        <f t="shared" si="13"/>
        <v>0</v>
      </c>
      <c r="F100" s="44">
        <f t="shared" si="12"/>
        <v>0</v>
      </c>
    </row>
    <row r="101" spans="2:8" ht="12.95" customHeight="1" x14ac:dyDescent="0.2">
      <c r="B101" s="99" t="s">
        <v>97</v>
      </c>
      <c r="C101" s="84">
        <f>32570811.71</f>
        <v>32570811.710000001</v>
      </c>
      <c r="D101" s="71">
        <f>2517638.19</f>
        <v>2517638.19</v>
      </c>
      <c r="E101" s="48">
        <f t="shared" si="13"/>
        <v>1.8555966947755801E-2</v>
      </c>
      <c r="F101" s="44">
        <f t="shared" si="12"/>
        <v>7.7297373256037893</v>
      </c>
    </row>
    <row r="102" spans="2:8" ht="45.75" customHeight="1" x14ac:dyDescent="0.2">
      <c r="B102" s="99" t="s">
        <v>106</v>
      </c>
      <c r="C102" s="84">
        <f>162775999.59</f>
        <v>162775999.59</v>
      </c>
      <c r="D102" s="71">
        <f>115993975.16</f>
        <v>115993975.16</v>
      </c>
      <c r="E102" s="48">
        <f t="shared" si="13"/>
        <v>0.85492044796467259</v>
      </c>
      <c r="F102" s="44">
        <f t="shared" si="12"/>
        <v>71.259875812260702</v>
      </c>
    </row>
    <row r="103" spans="2:8" ht="35.25" customHeight="1" x14ac:dyDescent="0.2">
      <c r="B103" s="99" t="s">
        <v>102</v>
      </c>
      <c r="C103" s="84">
        <f>1345351857.45</f>
        <v>1345351857.45</v>
      </c>
      <c r="D103" s="71">
        <f>1716929951.73</f>
        <v>1716929951.73</v>
      </c>
      <c r="E103" s="48">
        <f t="shared" si="13"/>
        <v>12.654437624301307</v>
      </c>
      <c r="F103" s="44">
        <f t="shared" si="12"/>
        <v>127.61939876340563</v>
      </c>
    </row>
    <row r="104" spans="2:8" ht="12.95" customHeight="1" x14ac:dyDescent="0.2">
      <c r="B104" s="99" t="s">
        <v>98</v>
      </c>
      <c r="C104" s="84">
        <f>0</f>
        <v>0</v>
      </c>
      <c r="D104" s="71">
        <f>0</f>
        <v>0</v>
      </c>
      <c r="E104" s="48">
        <f t="shared" si="13"/>
        <v>0</v>
      </c>
      <c r="F104" s="44" t="str">
        <f t="shared" si="12"/>
        <v/>
      </c>
    </row>
    <row r="105" spans="2:8" ht="35.25" customHeight="1" x14ac:dyDescent="0.2">
      <c r="B105" s="99" t="s">
        <v>101</v>
      </c>
      <c r="C105" s="84">
        <f>6448389659.86</f>
        <v>6448389659.8599997</v>
      </c>
      <c r="D105" s="71">
        <f>11649949040.81</f>
        <v>11649949040.809999</v>
      </c>
      <c r="E105" s="48">
        <f t="shared" si="13"/>
        <v>85.864629080920395</v>
      </c>
      <c r="F105" s="44">
        <f t="shared" si="12"/>
        <v>180.66447059377816</v>
      </c>
    </row>
    <row r="106" spans="2:8" ht="12.95" customHeight="1" x14ac:dyDescent="0.2">
      <c r="B106" s="99" t="s">
        <v>84</v>
      </c>
      <c r="C106" s="84">
        <f>102169111.3</f>
        <v>102169111.3</v>
      </c>
      <c r="D106" s="71">
        <f>79192688.31</f>
        <v>79192688.310000002</v>
      </c>
      <c r="E106" s="48"/>
      <c r="F106" s="44"/>
    </row>
    <row r="107" spans="2:8" ht="25.5" x14ac:dyDescent="0.2">
      <c r="B107" s="67" t="s">
        <v>70</v>
      </c>
      <c r="C107" s="85">
        <f>3176522659.54</f>
        <v>3176522659.54</v>
      </c>
      <c r="D107" s="75">
        <f>1010774095.63</f>
        <v>1010774095.63</v>
      </c>
      <c r="E107" s="49">
        <f>IF($D$107=0,"",100*$D107/$D$107)</f>
        <v>100</v>
      </c>
      <c r="F107" s="36">
        <f>IF(C107=0,"",100*D107/C107)</f>
        <v>31.820144351697234</v>
      </c>
    </row>
    <row r="108" spans="2:8" ht="22.5" x14ac:dyDescent="0.2">
      <c r="B108" s="99" t="s">
        <v>99</v>
      </c>
      <c r="C108" s="84">
        <f>3056222125.54</f>
        <v>3056222125.54</v>
      </c>
      <c r="D108" s="71">
        <f>716765065.33</f>
        <v>716765065.33000004</v>
      </c>
      <c r="E108" s="48">
        <f>IF($D$107=0,"",100*$D108/$D$107)</f>
        <v>70.912488599468048</v>
      </c>
      <c r="F108" s="44">
        <f>IF(C108=0,"",100*D108/C108)</f>
        <v>23.4526495747869</v>
      </c>
    </row>
    <row r="109" spans="2:8" ht="12.95" customHeight="1" x14ac:dyDescent="0.2">
      <c r="B109" s="100" t="s">
        <v>100</v>
      </c>
      <c r="C109" s="84">
        <f>537307000</f>
        <v>537307000</v>
      </c>
      <c r="D109" s="71">
        <f>17000000</f>
        <v>17000000</v>
      </c>
      <c r="E109" s="48">
        <f>IF($D$107=0,"",100*$D109/$D$107)</f>
        <v>1.6818792718865792</v>
      </c>
      <c r="F109" s="44">
        <f>IF(C109=0,"",100*D109/C109)</f>
        <v>3.1639267681232517</v>
      </c>
    </row>
    <row r="110" spans="2:8" ht="12.95" customHeight="1" x14ac:dyDescent="0.2">
      <c r="B110" s="99" t="s">
        <v>116</v>
      </c>
      <c r="C110" s="84">
        <f>24759450</f>
        <v>24759450</v>
      </c>
      <c r="D110" s="71">
        <f>6659030.3</f>
        <v>6659030.2999999998</v>
      </c>
      <c r="E110" s="48">
        <f>IF($D$107=0,"",100*$D110/$D$107)</f>
        <v>0.65880500190792168</v>
      </c>
      <c r="F110" s="44">
        <f>IF(C110=0,"",100*D110/C110)</f>
        <v>26.89490396596047</v>
      </c>
    </row>
    <row r="111" spans="2:8" ht="12.95" customHeight="1" x14ac:dyDescent="0.2">
      <c r="B111" s="99" t="s">
        <v>29</v>
      </c>
      <c r="C111" s="84">
        <f>95541084</f>
        <v>95541084</v>
      </c>
      <c r="D111" s="71">
        <f>287350000</f>
        <v>287350000</v>
      </c>
      <c r="E111" s="48">
        <f>IF($D$107=0,"",100*$D111/$D$107)</f>
        <v>28.428706398624033</v>
      </c>
      <c r="F111" s="44">
        <f>IF(C111=0,"",100*D111/C111)</f>
        <v>300.76066543268445</v>
      </c>
    </row>
    <row r="112" spans="2:8" x14ac:dyDescent="0.2">
      <c r="B112" s="26"/>
      <c r="C112" s="26"/>
      <c r="D112" s="26"/>
      <c r="E112" s="26"/>
      <c r="F112" s="26"/>
      <c r="G112" s="26"/>
      <c r="H112" s="26"/>
    </row>
    <row r="113" spans="2:8" x14ac:dyDescent="0.2">
      <c r="B113" s="13" t="s">
        <v>16</v>
      </c>
      <c r="C113" s="11" t="s">
        <v>17</v>
      </c>
      <c r="D113" s="11" t="s">
        <v>1</v>
      </c>
      <c r="E113" s="61"/>
    </row>
    <row r="114" spans="2:8" x14ac:dyDescent="0.2">
      <c r="B114" s="13"/>
      <c r="C114" s="118" t="s">
        <v>82</v>
      </c>
      <c r="D114" s="119"/>
      <c r="E114" s="61"/>
    </row>
    <row r="115" spans="2:8" x14ac:dyDescent="0.2">
      <c r="B115" s="11">
        <v>1</v>
      </c>
      <c r="C115" s="11">
        <v>2</v>
      </c>
      <c r="D115" s="11">
        <v>3</v>
      </c>
      <c r="E115" s="61"/>
    </row>
    <row r="116" spans="2:8" ht="36" customHeight="1" x14ac:dyDescent="0.2">
      <c r="B116" s="65" t="s">
        <v>111</v>
      </c>
      <c r="C116" s="84">
        <f>14375164639.96</f>
        <v>14375164639.959999</v>
      </c>
      <c r="D116" s="71">
        <f>0</f>
        <v>0</v>
      </c>
      <c r="E116" s="61"/>
    </row>
    <row r="117" spans="2:8" ht="33.75" x14ac:dyDescent="0.2">
      <c r="B117" s="104" t="s">
        <v>85</v>
      </c>
      <c r="C117" s="84">
        <f>700286440</f>
        <v>700286440</v>
      </c>
      <c r="D117" s="71">
        <f>0</f>
        <v>0</v>
      </c>
      <c r="E117" s="61"/>
    </row>
    <row r="118" spans="2:8" ht="12.95" customHeight="1" x14ac:dyDescent="0.2">
      <c r="B118" s="104" t="s">
        <v>86</v>
      </c>
      <c r="C118" s="84">
        <f>6608052762.56</f>
        <v>6608052762.5600004</v>
      </c>
      <c r="D118" s="71">
        <f>0</f>
        <v>0</v>
      </c>
      <c r="E118" s="61"/>
    </row>
    <row r="119" spans="2:8" ht="22.5" x14ac:dyDescent="0.2">
      <c r="B119" s="104" t="s">
        <v>87</v>
      </c>
      <c r="C119" s="84">
        <f>0</f>
        <v>0</v>
      </c>
      <c r="D119" s="71">
        <f>0</f>
        <v>0</v>
      </c>
      <c r="E119" s="61"/>
    </row>
    <row r="120" spans="2:8" ht="58.5" customHeight="1" x14ac:dyDescent="0.2">
      <c r="B120" s="104" t="s">
        <v>109</v>
      </c>
      <c r="C120" s="84">
        <f>156473177.09</f>
        <v>156473177.09</v>
      </c>
      <c r="D120" s="71">
        <f>0</f>
        <v>0</v>
      </c>
      <c r="E120" s="61"/>
    </row>
    <row r="121" spans="2:8" ht="78.75" x14ac:dyDescent="0.2">
      <c r="B121" s="104" t="s">
        <v>88</v>
      </c>
      <c r="C121" s="84">
        <f>5567823519.99</f>
        <v>5567823519.9899998</v>
      </c>
      <c r="D121" s="71">
        <f>0</f>
        <v>0</v>
      </c>
      <c r="E121" s="61"/>
    </row>
    <row r="122" spans="2:8" ht="147" customHeight="1" x14ac:dyDescent="0.2">
      <c r="B122" s="104" t="s">
        <v>107</v>
      </c>
      <c r="C122" s="84">
        <f>1339340540.32</f>
        <v>1339340540.3199999</v>
      </c>
      <c r="D122" s="71">
        <f>0</f>
        <v>0</v>
      </c>
      <c r="E122" s="35"/>
    </row>
    <row r="123" spans="2:8" ht="22.5" x14ac:dyDescent="0.2">
      <c r="B123" s="104" t="s">
        <v>108</v>
      </c>
      <c r="C123" s="84">
        <f>3188200</f>
        <v>3188200</v>
      </c>
      <c r="D123" s="71">
        <f>0</f>
        <v>0</v>
      </c>
      <c r="E123" s="35"/>
    </row>
    <row r="124" spans="2:8" x14ac:dyDescent="0.2">
      <c r="B124" s="50"/>
      <c r="C124" s="41"/>
      <c r="D124" s="41"/>
      <c r="E124" s="41"/>
      <c r="F124" s="41"/>
      <c r="G124" s="41"/>
      <c r="H124" s="41"/>
    </row>
    <row r="125" spans="2:8" ht="12" customHeight="1" x14ac:dyDescent="0.2">
      <c r="B125" s="51" t="s">
        <v>71</v>
      </c>
      <c r="C125" s="51">
        <f>1</f>
        <v>1</v>
      </c>
      <c r="D125" s="51" t="str">
        <f>IF(C125=1,"I Kwartał",IF(C125=2,"II Kwartały",IF(C125=3,"III Kwartały",IF(C125=4,"IV Kwartały","-"))))</f>
        <v>I Kwartał</v>
      </c>
    </row>
    <row r="126" spans="2:8" x14ac:dyDescent="0.2">
      <c r="B126" s="51" t="s">
        <v>72</v>
      </c>
      <c r="C126" s="86">
        <f>2022</f>
        <v>2022</v>
      </c>
      <c r="D126" s="50"/>
    </row>
    <row r="127" spans="2:8" x14ac:dyDescent="0.2">
      <c r="B127" s="51" t="s">
        <v>73</v>
      </c>
      <c r="C127" s="123" t="str">
        <f>"May 19 2022 12:00AM"</f>
        <v>May 19 2022 12:00AM</v>
      </c>
      <c r="D127" s="124"/>
    </row>
    <row r="128" spans="2:8" hidden="1" x14ac:dyDescent="0.2">
      <c r="B128" s="51" t="s">
        <v>76</v>
      </c>
      <c r="C128" s="87" t="str">
        <f>""</f>
        <v/>
      </c>
      <c r="D128" s="50"/>
    </row>
  </sheetData>
  <mergeCells count="20">
    <mergeCell ref="C96:D96"/>
    <mergeCell ref="C114:D114"/>
    <mergeCell ref="E96:F96"/>
    <mergeCell ref="J73:K73"/>
    <mergeCell ref="C127:D127"/>
    <mergeCell ref="I85:J85"/>
    <mergeCell ref="K70:K72"/>
    <mergeCell ref="F71:F72"/>
    <mergeCell ref="F70:H70"/>
    <mergeCell ref="I70:I72"/>
    <mergeCell ref="C73:I73"/>
    <mergeCell ref="G71:H71"/>
    <mergeCell ref="D70:D72"/>
    <mergeCell ref="E70:E72"/>
    <mergeCell ref="B2:B3"/>
    <mergeCell ref="C70:C72"/>
    <mergeCell ref="B70:B73"/>
    <mergeCell ref="J70:J72"/>
    <mergeCell ref="J3:L3"/>
    <mergeCell ref="C3:I3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3" max="12" man="1"/>
    <brk id="67" max="16383" man="1"/>
    <brk id="92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2018-03-19T09:19:34Z</cp:lastPrinted>
  <dcterms:created xsi:type="dcterms:W3CDTF">2001-05-17T08:58:03Z</dcterms:created>
  <dcterms:modified xsi:type="dcterms:W3CDTF">2022-06-13T19:50:13Z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