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4220" windowHeight="8835" activeTab="0"/>
  </bookViews>
  <sheets>
    <sheet name="zob_nal" sheetId="1" r:id="rId1"/>
  </sheets>
  <definedNames/>
  <calcPr fullCalcOnLoad="1"/>
</workbook>
</file>

<file path=xl/sharedStrings.xml><?xml version="1.0" encoding="utf-8"?>
<sst xmlns="http://schemas.openxmlformats.org/spreadsheetml/2006/main" count="98" uniqueCount="79">
  <si>
    <t>Wyszczególnienie</t>
  </si>
  <si>
    <t>banku centralnego</t>
  </si>
  <si>
    <t>Poręczenia i gwarancje</t>
  </si>
  <si>
    <t>Liczba jednostek</t>
  </si>
  <si>
    <t>Wykonanie</t>
  </si>
  <si>
    <t>JST, których budżety zamknęły się nadwyżką</t>
  </si>
  <si>
    <t>JST, których budżety zamknęły się deficytem</t>
  </si>
  <si>
    <t>JST z budżetami zrównoważonymi</t>
  </si>
  <si>
    <t>A. Należności oraz wybrane aktywa finansowe</t>
  </si>
  <si>
    <t>kwota 
należności
ogółem
(kol. 3+15)</t>
  </si>
  <si>
    <t>ogółem 
(kol 4+9+10+11 +12+13+14)</t>
  </si>
  <si>
    <t>dłużnicy  krajowi</t>
  </si>
  <si>
    <t>sektor 
finansów 
publicznych 
ogółem 
(kol 5+6+7+8)</t>
  </si>
  <si>
    <t>banki</t>
  </si>
  <si>
    <t>pozostałe 
krajowe 
instytucje 
finansowe</t>
  </si>
  <si>
    <t>przedsiębiorstwa 
niefinansowe</t>
  </si>
  <si>
    <t>gospodarstwa 
domowe</t>
  </si>
  <si>
    <t>instytucje 
niekomercyjne 
działające
 na rzecz
gospodarstw
domowych</t>
  </si>
  <si>
    <t>ogółem
(kol. 16+17)</t>
  </si>
  <si>
    <t>podmioty 
należące 
do strefy 
euro</t>
  </si>
  <si>
    <t>pozostałe 
podmioty 
zagraniczne</t>
  </si>
  <si>
    <t xml:space="preserve">      dłużnicy zagraniczni</t>
  </si>
  <si>
    <t xml:space="preserve">grupa I </t>
  </si>
  <si>
    <t xml:space="preserve">grupa II </t>
  </si>
  <si>
    <t>grupa III</t>
  </si>
  <si>
    <t>grupa IV</t>
  </si>
  <si>
    <t>N. NALEŻNOŚCI ORAZ WYBRANE AKTYWA FINANSOWE  (N1+N2+N3+N4+N5)   z tego:</t>
  </si>
  <si>
    <t>N1.1 krótkotermionowe</t>
  </si>
  <si>
    <t>N1.2  długoterminowe</t>
  </si>
  <si>
    <t>N2.1 krótkotermionowe</t>
  </si>
  <si>
    <t>N2.2 długoterminowe</t>
  </si>
  <si>
    <t>N3.1 gotówka</t>
  </si>
  <si>
    <t>N3.2 depozyty na żądanie</t>
  </si>
  <si>
    <t>N3.3 depozyty terminowe</t>
  </si>
  <si>
    <t>N4.1 z tytułu dostaw towarów i usług</t>
  </si>
  <si>
    <t>N4.2 pozostałe</t>
  </si>
  <si>
    <t>N5.1 z tytułu dostaw towarów i usług</t>
  </si>
  <si>
    <t>N5.3 z tytułu innych niż wymienione powyżej</t>
  </si>
  <si>
    <t>N1 papiery wartościowe (N1.1+N1.2)</t>
  </si>
  <si>
    <t>N2  pożyczki (N2.1+N2.2)</t>
  </si>
  <si>
    <t>N3 gotówka i depozyty (N3.1+N3.2+N3.3)</t>
  </si>
  <si>
    <t>N4 należności wymagalne (N4.1+N4.2)</t>
  </si>
  <si>
    <t>N5 pozostałe należności  (N5.1+N5.2+N5.3)</t>
  </si>
  <si>
    <t>E  ZOBOWIĄZANIA WG TYTUŁÓW 
    DŁUŻNYCH (E1+E2+E3+E4)</t>
  </si>
  <si>
    <t>E1.1 krótkotermionowe</t>
  </si>
  <si>
    <t>E1.2 długoterminowe</t>
  </si>
  <si>
    <t>E2.1 krótkotermionowe</t>
  </si>
  <si>
    <t>E2.2 długoterminowe</t>
  </si>
  <si>
    <t>E3 przyjęte depozyty</t>
  </si>
  <si>
    <t>E4.1 z tytułu dostaw towarów i usług</t>
  </si>
  <si>
    <t>E4.2 pozostałe</t>
  </si>
  <si>
    <t>F1 wartość nominalna niewymagalnych zobowiązań z tytułu udzielonych poręczeń i gwarancji na koniec okresu sprawozdawczego</t>
  </si>
  <si>
    <t>F2 wartość nominalna wymagalnych zobowiązań z tytułu udzielonych poręczeń i gwarancji na koniec okresu sprawozdawczego</t>
  </si>
  <si>
    <t>F3 wartość poręczeń i gwarancji udzielonych w okresie sprawozdawczym</t>
  </si>
  <si>
    <t>B1 należność główna z tytułu udzielonych gwarancji i poręczeń</t>
  </si>
  <si>
    <t>B2 odsetki ustawowe od nalezności głównej z tytułu udzielonych gwarancji i poręczeń</t>
  </si>
  <si>
    <t>B3 wartość spłat dokonanych w okresie sprawozdawczym za dłużników z tytułu udzielonych poręczeń i gwarancji (wydatki)</t>
  </si>
  <si>
    <t>B4 kwota odzyskanych wierzytelności w okresie sprawozdawczym od dłużników z tytułu poręczeń lub gwarancji (dochody)</t>
  </si>
  <si>
    <t>Zobowiązania według tytułów dłużnych (wg wartości nominalnej)</t>
  </si>
  <si>
    <t>kwota 
zadłużenia
ogółem
(kol. 3+15)</t>
  </si>
  <si>
    <t>ogółem 
(kol. 4+9+10+11 +12+13+14)</t>
  </si>
  <si>
    <t>bank 
centralny</t>
  </si>
  <si>
    <t xml:space="preserve">      wierzyciele zagraniczni</t>
  </si>
  <si>
    <t>wierzyciele krajowi</t>
  </si>
  <si>
    <t>grupa I</t>
  </si>
  <si>
    <t>grupa II</t>
  </si>
  <si>
    <t>kwota 
zadłużenia
ogółem
(kol. 3+8)</t>
  </si>
  <si>
    <t>podmioty 
sektora finansów 
publicznych 
(kol.4+5+6+7)</t>
  </si>
  <si>
    <t xml:space="preserve">grupa III </t>
  </si>
  <si>
    <t xml:space="preserve">grupa IV </t>
  </si>
  <si>
    <t>pozostałe
podmioty</t>
  </si>
  <si>
    <t>sektora finansów publicznych (kol.5+6+7+8)</t>
  </si>
  <si>
    <t>wierzyciele i dłużnicy</t>
  </si>
  <si>
    <t>w złotych</t>
  </si>
  <si>
    <t>E1 papiery wartościowe  (E1.1+E1.2)</t>
  </si>
  <si>
    <t>E2 kredyty i pożyczki (E2.1+E2.2)</t>
  </si>
  <si>
    <t>E4  wymagalne zobowiązania (E4.1+E4.2)</t>
  </si>
  <si>
    <t>N5.2 z tytułu podatków i składek na ubezpieczenia społ.</t>
  </si>
  <si>
    <t xml:space="preserve">Informacja z wykonania budżetów powiatów za   III Kwartały 2019 roku    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</si>
</sst>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#,##0.000"/>
    <numFmt numFmtId="167" formatCode="#,##0.0000"/>
    <numFmt numFmtId="168" formatCode="0.000"/>
    <numFmt numFmtId="169" formatCode="dd/mm/yy\ h:mm;@"/>
  </numFmts>
  <fonts count="4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"/>
      <family val="2"/>
    </font>
    <font>
      <sz val="16"/>
      <name val="Arial"/>
      <family val="2"/>
    </font>
    <font>
      <sz val="10"/>
      <name val="Arial"/>
      <family val="0"/>
    </font>
    <font>
      <sz val="11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6"/>
      <name val="Arial"/>
      <family val="2"/>
    </font>
    <font>
      <b/>
      <sz val="7"/>
      <name val="Arial"/>
      <family val="2"/>
    </font>
    <font>
      <b/>
      <sz val="8"/>
      <name val="Arial CE"/>
      <family val="0"/>
    </font>
    <font>
      <sz val="8"/>
      <name val="Arial CE"/>
      <family val="0"/>
    </font>
    <font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51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3" borderId="0" applyNumberFormat="0" applyBorder="0" applyAlignment="0" applyProtection="0"/>
    <xf numFmtId="0" fontId="9" fillId="14" borderId="0" applyNumberFormat="0" applyBorder="0" applyAlignment="0" applyProtection="0"/>
    <xf numFmtId="0" fontId="9" fillId="13" borderId="0" applyNumberFormat="0" applyBorder="0" applyAlignment="0" applyProtection="0"/>
    <xf numFmtId="0" fontId="9" fillId="15" borderId="0" applyNumberFormat="0" applyBorder="0" applyAlignment="0" applyProtection="0"/>
    <xf numFmtId="0" fontId="9" fillId="6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3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10" fillId="22" borderId="0" applyNumberFormat="0" applyBorder="0" applyAlignment="0" applyProtection="0"/>
    <xf numFmtId="0" fontId="10" fillId="6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10" fillId="22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22" borderId="0" applyNumberFormat="0" applyBorder="0" applyAlignment="0" applyProtection="0"/>
    <xf numFmtId="0" fontId="10" fillId="32" borderId="0" applyNumberFormat="0" applyBorder="0" applyAlignment="0" applyProtection="0"/>
    <xf numFmtId="0" fontId="32" fillId="33" borderId="0" applyNumberFormat="0" applyBorder="0" applyAlignment="0" applyProtection="0"/>
    <xf numFmtId="0" fontId="32" fillId="34" borderId="0" applyNumberFormat="0" applyBorder="0" applyAlignment="0" applyProtection="0"/>
    <xf numFmtId="0" fontId="32" fillId="35" borderId="0" applyNumberFormat="0" applyBorder="0" applyAlignment="0" applyProtection="0"/>
    <xf numFmtId="0" fontId="32" fillId="36" borderId="0" applyNumberFormat="0" applyBorder="0" applyAlignment="0" applyProtection="0"/>
    <xf numFmtId="0" fontId="32" fillId="37" borderId="0" applyNumberFormat="0" applyBorder="0" applyAlignment="0" applyProtection="0"/>
    <xf numFmtId="0" fontId="32" fillId="38" borderId="0" applyNumberFormat="0" applyBorder="0" applyAlignment="0" applyProtection="0"/>
    <xf numFmtId="0" fontId="11" fillId="39" borderId="0" applyNumberFormat="0" applyBorder="0" applyAlignment="0" applyProtection="0"/>
    <xf numFmtId="0" fontId="12" fillId="40" borderId="1" applyNumberFormat="0" applyAlignment="0" applyProtection="0"/>
    <xf numFmtId="0" fontId="13" fillId="41" borderId="2" applyNumberFormat="0" applyAlignment="0" applyProtection="0"/>
    <xf numFmtId="0" fontId="33" fillId="42" borderId="3" applyNumberFormat="0" applyAlignment="0" applyProtection="0"/>
    <xf numFmtId="0" fontId="34" fillId="43" borderId="4" applyNumberFormat="0" applyAlignment="0" applyProtection="0"/>
    <xf numFmtId="0" fontId="35" fillId="4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45" borderId="0" applyNumberFormat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9" fillId="6" borderId="1" applyNumberFormat="0" applyAlignment="0" applyProtection="0"/>
    <xf numFmtId="0" fontId="36" fillId="0" borderId="8" applyNumberFormat="0" applyFill="0" applyAlignment="0" applyProtection="0"/>
    <xf numFmtId="0" fontId="37" fillId="46" borderId="9" applyNumberFormat="0" applyAlignment="0" applyProtection="0"/>
    <xf numFmtId="0" fontId="20" fillId="0" borderId="10" applyNumberFormat="0" applyFill="0" applyAlignment="0" applyProtection="0"/>
    <xf numFmtId="0" fontId="38" fillId="0" borderId="11" applyNumberFormat="0" applyFill="0" applyAlignment="0" applyProtection="0"/>
    <xf numFmtId="0" fontId="39" fillId="0" borderId="12" applyNumberFormat="0" applyFill="0" applyAlignment="0" applyProtection="0"/>
    <xf numFmtId="0" fontId="40" fillId="0" borderId="13" applyNumberFormat="0" applyFill="0" applyAlignment="0" applyProtection="0"/>
    <xf numFmtId="0" fontId="40" fillId="0" borderId="0" applyNumberFormat="0" applyFill="0" applyBorder="0" applyAlignment="0" applyProtection="0"/>
    <xf numFmtId="0" fontId="21" fillId="14" borderId="0" applyNumberFormat="0" applyBorder="0" applyAlignment="0" applyProtection="0"/>
    <xf numFmtId="0" fontId="41" fillId="47" borderId="0" applyNumberFormat="0" applyBorder="0" applyAlignment="0" applyProtection="0"/>
    <xf numFmtId="0" fontId="5" fillId="0" borderId="0">
      <alignment/>
      <protection/>
    </xf>
    <xf numFmtId="0" fontId="0" fillId="4" borderId="14" applyNumberFormat="0" applyFont="0" applyAlignment="0" applyProtection="0"/>
    <xf numFmtId="0" fontId="42" fillId="43" borderId="3" applyNumberFormat="0" applyAlignment="0" applyProtection="0"/>
    <xf numFmtId="0" fontId="2" fillId="0" borderId="0" applyNumberFormat="0" applyFill="0" applyBorder="0" applyAlignment="0" applyProtection="0"/>
    <xf numFmtId="0" fontId="22" fillId="40" borderId="15" applyNumberFormat="0" applyAlignment="0" applyProtection="0"/>
    <xf numFmtId="9" fontId="0" fillId="0" borderId="0" applyFont="0" applyFill="0" applyBorder="0" applyAlignment="0" applyProtection="0"/>
    <xf numFmtId="0" fontId="43" fillId="0" borderId="16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7" applyNumberFormat="0" applyFill="0" applyAlignment="0" applyProtection="0"/>
    <xf numFmtId="0" fontId="46" fillId="0" borderId="0" applyNumberFormat="0" applyFill="0" applyBorder="0" applyAlignment="0" applyProtection="0"/>
    <xf numFmtId="0" fontId="0" fillId="48" borderId="18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47" fillId="49" borderId="0" applyNumberFormat="0" applyBorder="0" applyAlignment="0" applyProtection="0"/>
  </cellStyleXfs>
  <cellXfs count="84">
    <xf numFmtId="0" fontId="0" fillId="0" borderId="0" xfId="0" applyAlignment="1">
      <alignment/>
    </xf>
    <xf numFmtId="0" fontId="4" fillId="0" borderId="0" xfId="88" applyFont="1" applyAlignment="1">
      <alignment horizontal="center" vertical="center" wrapText="1"/>
      <protection/>
    </xf>
    <xf numFmtId="0" fontId="5" fillId="0" borderId="0" xfId="88" applyAlignment="1">
      <alignment horizontal="center" vertical="center" wrapText="1"/>
      <protection/>
    </xf>
    <xf numFmtId="0" fontId="3" fillId="2" borderId="19" xfId="88" applyFont="1" applyFill="1" applyBorder="1" applyAlignment="1">
      <alignment horizontal="center" vertical="center" wrapText="1"/>
      <protection/>
    </xf>
    <xf numFmtId="0" fontId="5" fillId="0" borderId="0" xfId="88" applyFill="1" applyBorder="1" applyAlignment="1">
      <alignment horizontal="center" vertical="center" wrapText="1"/>
      <protection/>
    </xf>
    <xf numFmtId="0" fontId="3" fillId="0" borderId="0" xfId="88" applyFont="1" applyFill="1" applyBorder="1" applyAlignment="1">
      <alignment horizontal="center" vertical="center" wrapText="1"/>
      <protection/>
    </xf>
    <xf numFmtId="0" fontId="3" fillId="0" borderId="0" xfId="88" applyFont="1" applyFill="1" applyBorder="1" applyAlignment="1">
      <alignment horizontal="left" vertical="center" wrapText="1"/>
      <protection/>
    </xf>
    <xf numFmtId="0" fontId="3" fillId="0" borderId="0" xfId="88" applyFont="1" applyFill="1" applyBorder="1" applyAlignment="1">
      <alignment horizontal="center" vertical="center" wrapText="1"/>
      <protection/>
    </xf>
    <xf numFmtId="0" fontId="26" fillId="0" borderId="0" xfId="88" applyFont="1" applyAlignment="1">
      <alignment horizontal="center" vertical="center" wrapText="1"/>
      <protection/>
    </xf>
    <xf numFmtId="0" fontId="26" fillId="0" borderId="0" xfId="88" applyFont="1" applyFill="1" applyBorder="1" applyAlignment="1">
      <alignment horizontal="center" vertical="center" wrapText="1"/>
      <protection/>
    </xf>
    <xf numFmtId="0" fontId="7" fillId="2" borderId="19" xfId="88" applyFont="1" applyFill="1" applyBorder="1" applyAlignment="1">
      <alignment horizontal="center" vertical="center" wrapText="1"/>
      <protection/>
    </xf>
    <xf numFmtId="0" fontId="27" fillId="0" borderId="19" xfId="88" applyFont="1" applyBorder="1" applyAlignment="1">
      <alignment horizontal="left" vertical="center" wrapText="1"/>
      <protection/>
    </xf>
    <xf numFmtId="4" fontId="7" fillId="0" borderId="19" xfId="88" applyNumberFormat="1" applyFont="1" applyBorder="1" applyAlignment="1">
      <alignment vertical="center" wrapText="1"/>
      <protection/>
    </xf>
    <xf numFmtId="0" fontId="7" fillId="0" borderId="0" xfId="0" applyFont="1" applyFill="1" applyBorder="1" applyAlignment="1">
      <alignment horizontal="left" indent="1"/>
    </xf>
    <xf numFmtId="4" fontId="7" fillId="0" borderId="0" xfId="88" applyNumberFormat="1" applyFont="1" applyBorder="1" applyAlignment="1">
      <alignment horizontal="right" vertical="center" wrapText="1"/>
      <protection/>
    </xf>
    <xf numFmtId="0" fontId="3" fillId="0" borderId="19" xfId="88" applyFont="1" applyBorder="1" applyAlignment="1">
      <alignment horizontal="left" vertical="center" wrapText="1"/>
      <protection/>
    </xf>
    <xf numFmtId="0" fontId="29" fillId="0" borderId="20" xfId="0" applyFont="1" applyFill="1" applyBorder="1" applyAlignment="1">
      <alignment vertical="center" wrapText="1"/>
    </xf>
    <xf numFmtId="0" fontId="3" fillId="40" borderId="19" xfId="88" applyFont="1" applyFill="1" applyBorder="1" applyAlignment="1">
      <alignment horizontal="left" vertical="center" wrapText="1"/>
      <protection/>
    </xf>
    <xf numFmtId="0" fontId="8" fillId="40" borderId="19" xfId="88" applyFont="1" applyFill="1" applyBorder="1" applyAlignment="1">
      <alignment horizontal="left" vertical="center" wrapText="1"/>
      <protection/>
    </xf>
    <xf numFmtId="4" fontId="7" fillId="40" borderId="19" xfId="88" applyNumberFormat="1" applyFont="1" applyFill="1" applyBorder="1" applyAlignment="1">
      <alignment horizontal="right" vertical="center" wrapText="1"/>
      <protection/>
    </xf>
    <xf numFmtId="4" fontId="7" fillId="0" borderId="19" xfId="88" applyNumberFormat="1" applyFont="1" applyBorder="1" applyAlignment="1">
      <alignment horizontal="right" vertical="center" wrapText="1"/>
      <protection/>
    </xf>
    <xf numFmtId="4" fontId="7" fillId="40" borderId="19" xfId="88" applyNumberFormat="1" applyFont="1" applyFill="1" applyBorder="1" applyAlignment="1">
      <alignment vertical="center" wrapText="1"/>
      <protection/>
    </xf>
    <xf numFmtId="4" fontId="7" fillId="0" borderId="19" xfId="88" applyNumberFormat="1" applyFont="1" applyFill="1" applyBorder="1" applyAlignment="1">
      <alignment vertical="center" wrapText="1"/>
      <protection/>
    </xf>
    <xf numFmtId="0" fontId="28" fillId="50" borderId="20" xfId="0" applyFont="1" applyFill="1" applyBorder="1" applyAlignment="1">
      <alignment vertical="center" wrapText="1"/>
    </xf>
    <xf numFmtId="4" fontId="7" fillId="0" borderId="19" xfId="88" applyNumberFormat="1" applyFont="1" applyFill="1" applyBorder="1" applyAlignment="1">
      <alignment horizontal="right" vertical="center" wrapText="1"/>
      <protection/>
    </xf>
    <xf numFmtId="0" fontId="7" fillId="2" borderId="21" xfId="88" applyFont="1" applyFill="1" applyBorder="1" applyAlignment="1">
      <alignment horizontal="center" vertical="center" wrapText="1"/>
      <protection/>
    </xf>
    <xf numFmtId="0" fontId="7" fillId="2" borderId="22" xfId="88" applyFont="1" applyFill="1" applyBorder="1" applyAlignment="1">
      <alignment horizontal="center" vertical="center" wrapText="1"/>
      <protection/>
    </xf>
    <xf numFmtId="0" fontId="7" fillId="2" borderId="23" xfId="88" applyFont="1" applyFill="1" applyBorder="1" applyAlignment="1">
      <alignment horizontal="center" vertical="center" wrapText="1"/>
      <protection/>
    </xf>
    <xf numFmtId="0" fontId="7" fillId="2" borderId="19" xfId="88" applyFont="1" applyFill="1" applyBorder="1" applyAlignment="1">
      <alignment horizontal="center" vertical="center" wrapText="1"/>
      <protection/>
    </xf>
    <xf numFmtId="0" fontId="30" fillId="0" borderId="0" xfId="88" applyFont="1" applyAlignment="1">
      <alignment horizontal="center" vertical="center" wrapText="1"/>
      <protection/>
    </xf>
    <xf numFmtId="0" fontId="7" fillId="2" borderId="24" xfId="88" applyFont="1" applyFill="1" applyBorder="1" applyAlignment="1">
      <alignment horizontal="center" vertical="center" wrapText="1"/>
      <protection/>
    </xf>
    <xf numFmtId="0" fontId="7" fillId="2" borderId="25" xfId="88" applyFont="1" applyFill="1" applyBorder="1" applyAlignment="1">
      <alignment horizontal="center" vertical="center" wrapText="1"/>
      <protection/>
    </xf>
    <xf numFmtId="0" fontId="7" fillId="2" borderId="26" xfId="88" applyFont="1" applyFill="1" applyBorder="1" applyAlignment="1">
      <alignment horizontal="center" vertical="center" wrapText="1"/>
      <protection/>
    </xf>
    <xf numFmtId="0" fontId="7" fillId="2" borderId="19" xfId="88" applyNumberFormat="1" applyFont="1" applyFill="1" applyBorder="1" applyAlignment="1">
      <alignment horizontal="center" vertical="center" wrapText="1"/>
      <protection/>
    </xf>
    <xf numFmtId="0" fontId="3" fillId="0" borderId="21" xfId="88" applyFont="1" applyFill="1" applyBorder="1" applyAlignment="1">
      <alignment horizontal="left" vertical="center" wrapText="1"/>
      <protection/>
    </xf>
    <xf numFmtId="0" fontId="3" fillId="0" borderId="22" xfId="88" applyFont="1" applyFill="1" applyBorder="1" applyAlignment="1">
      <alignment horizontal="left" vertical="center" wrapText="1"/>
      <protection/>
    </xf>
    <xf numFmtId="0" fontId="3" fillId="0" borderId="23" xfId="88" applyFont="1" applyFill="1" applyBorder="1" applyAlignment="1">
      <alignment horizontal="left" vertical="center" wrapText="1"/>
      <protection/>
    </xf>
    <xf numFmtId="4" fontId="7" fillId="0" borderId="21" xfId="88" applyNumberFormat="1" applyFont="1" applyBorder="1" applyAlignment="1">
      <alignment horizontal="right" vertical="center" wrapText="1"/>
      <protection/>
    </xf>
    <xf numFmtId="4" fontId="7" fillId="0" borderId="23" xfId="88" applyNumberFormat="1" applyFont="1" applyBorder="1" applyAlignment="1">
      <alignment horizontal="right" vertical="center" wrapText="1"/>
      <protection/>
    </xf>
    <xf numFmtId="0" fontId="6" fillId="0" borderId="0" xfId="88" applyFont="1" applyAlignment="1">
      <alignment horizontal="left" vertical="center" wrapText="1"/>
      <protection/>
    </xf>
    <xf numFmtId="0" fontId="3" fillId="2" borderId="21" xfId="88" applyFont="1" applyFill="1" applyBorder="1" applyAlignment="1">
      <alignment horizontal="center" vertical="center" wrapText="1"/>
      <protection/>
    </xf>
    <xf numFmtId="0" fontId="3" fillId="2" borderId="23" xfId="88" applyFont="1" applyFill="1" applyBorder="1" applyAlignment="1">
      <alignment horizontal="center" vertical="center" wrapText="1"/>
      <protection/>
    </xf>
    <xf numFmtId="0" fontId="3" fillId="2" borderId="19" xfId="88" applyFont="1" applyFill="1" applyBorder="1" applyAlignment="1">
      <alignment horizontal="center" vertical="center" wrapText="1"/>
      <protection/>
    </xf>
    <xf numFmtId="0" fontId="8" fillId="2" borderId="27" xfId="88" applyFont="1" applyFill="1" applyBorder="1" applyAlignment="1">
      <alignment horizontal="center" vertical="center" wrapText="1"/>
      <protection/>
    </xf>
    <xf numFmtId="0" fontId="8" fillId="2" borderId="28" xfId="88" applyFont="1" applyFill="1" applyBorder="1" applyAlignment="1">
      <alignment horizontal="center" vertical="center" wrapText="1"/>
      <protection/>
    </xf>
    <xf numFmtId="0" fontId="8" fillId="2" borderId="29" xfId="88" applyFont="1" applyFill="1" applyBorder="1" applyAlignment="1">
      <alignment horizontal="center" vertical="center" wrapText="1"/>
      <protection/>
    </xf>
    <xf numFmtId="0" fontId="8" fillId="2" borderId="30" xfId="88" applyFont="1" applyFill="1" applyBorder="1" applyAlignment="1">
      <alignment horizontal="center" vertical="center" wrapText="1"/>
      <protection/>
    </xf>
    <xf numFmtId="0" fontId="8" fillId="2" borderId="0" xfId="88" applyFont="1" applyFill="1" applyBorder="1" applyAlignment="1">
      <alignment horizontal="center" vertical="center" wrapText="1"/>
      <protection/>
    </xf>
    <xf numFmtId="0" fontId="8" fillId="2" borderId="31" xfId="88" applyFont="1" applyFill="1" applyBorder="1" applyAlignment="1">
      <alignment horizontal="center" vertical="center" wrapText="1"/>
      <protection/>
    </xf>
    <xf numFmtId="0" fontId="8" fillId="2" borderId="32" xfId="88" applyFont="1" applyFill="1" applyBorder="1" applyAlignment="1">
      <alignment horizontal="center" vertical="center" wrapText="1"/>
      <protection/>
    </xf>
    <xf numFmtId="0" fontId="8" fillId="2" borderId="33" xfId="88" applyFont="1" applyFill="1" applyBorder="1" applyAlignment="1">
      <alignment horizontal="center" vertical="center" wrapText="1"/>
      <protection/>
    </xf>
    <xf numFmtId="0" fontId="8" fillId="2" borderId="34" xfId="88" applyFont="1" applyFill="1" applyBorder="1" applyAlignment="1">
      <alignment horizontal="center" vertical="center" wrapText="1"/>
      <protection/>
    </xf>
    <xf numFmtId="3" fontId="7" fillId="0" borderId="21" xfId="88" applyNumberFormat="1" applyFont="1" applyBorder="1" applyAlignment="1">
      <alignment horizontal="right" vertical="center" wrapText="1"/>
      <protection/>
    </xf>
    <xf numFmtId="3" fontId="7" fillId="0" borderId="23" xfId="88" applyNumberFormat="1" applyFont="1" applyBorder="1" applyAlignment="1">
      <alignment horizontal="right" vertical="center" wrapText="1"/>
      <protection/>
    </xf>
    <xf numFmtId="0" fontId="3" fillId="2" borderId="22" xfId="88" applyFont="1" applyFill="1" applyBorder="1" applyAlignment="1">
      <alignment horizontal="center" vertical="center" wrapText="1"/>
      <protection/>
    </xf>
    <xf numFmtId="0" fontId="3" fillId="0" borderId="21" xfId="88" applyFont="1" applyBorder="1" applyAlignment="1">
      <alignment horizontal="left" vertical="center" wrapText="1"/>
      <protection/>
    </xf>
    <xf numFmtId="0" fontId="3" fillId="0" borderId="22" xfId="88" applyFont="1" applyBorder="1" applyAlignment="1">
      <alignment horizontal="left" vertical="center" wrapText="1"/>
      <protection/>
    </xf>
    <xf numFmtId="0" fontId="3" fillId="0" borderId="23" xfId="88" applyFont="1" applyBorder="1" applyAlignment="1">
      <alignment horizontal="left" vertical="center" wrapText="1"/>
      <protection/>
    </xf>
    <xf numFmtId="0" fontId="3" fillId="40" borderId="21" xfId="88" applyFont="1" applyFill="1" applyBorder="1" applyAlignment="1">
      <alignment horizontal="left" vertical="center" wrapText="1"/>
      <protection/>
    </xf>
    <xf numFmtId="0" fontId="3" fillId="40" borderId="22" xfId="88" applyFont="1" applyFill="1" applyBorder="1" applyAlignment="1">
      <alignment horizontal="left" vertical="center" wrapText="1"/>
      <protection/>
    </xf>
    <xf numFmtId="0" fontId="3" fillId="40" borderId="23" xfId="88" applyFont="1" applyFill="1" applyBorder="1" applyAlignment="1">
      <alignment horizontal="left" vertical="center" wrapText="1"/>
      <protection/>
    </xf>
    <xf numFmtId="3" fontId="7" fillId="40" borderId="21" xfId="88" applyNumberFormat="1" applyFont="1" applyFill="1" applyBorder="1" applyAlignment="1">
      <alignment horizontal="right" vertical="center" wrapText="1"/>
      <protection/>
    </xf>
    <xf numFmtId="3" fontId="7" fillId="40" borderId="23" xfId="88" applyNumberFormat="1" applyFont="1" applyFill="1" applyBorder="1" applyAlignment="1">
      <alignment horizontal="right" vertical="center" wrapText="1"/>
      <protection/>
    </xf>
    <xf numFmtId="4" fontId="7" fillId="40" borderId="21" xfId="88" applyNumberFormat="1" applyFont="1" applyFill="1" applyBorder="1" applyAlignment="1">
      <alignment horizontal="right" vertical="center" wrapText="1"/>
      <protection/>
    </xf>
    <xf numFmtId="4" fontId="7" fillId="40" borderId="23" xfId="88" applyNumberFormat="1" applyFont="1" applyFill="1" applyBorder="1" applyAlignment="1">
      <alignment horizontal="right" vertical="center" wrapText="1"/>
      <protection/>
    </xf>
    <xf numFmtId="0" fontId="3" fillId="2" borderId="27" xfId="88" applyFont="1" applyFill="1" applyBorder="1" applyAlignment="1">
      <alignment horizontal="center" vertical="center" wrapText="1"/>
      <protection/>
    </xf>
    <xf numFmtId="0" fontId="3" fillId="2" borderId="30" xfId="88" applyFont="1" applyFill="1" applyBorder="1" applyAlignment="1">
      <alignment horizontal="center" vertical="center" wrapText="1"/>
      <protection/>
    </xf>
    <xf numFmtId="0" fontId="3" fillId="2" borderId="32" xfId="88" applyFont="1" applyFill="1" applyBorder="1" applyAlignment="1">
      <alignment horizontal="center" vertical="center" wrapText="1"/>
      <protection/>
    </xf>
    <xf numFmtId="0" fontId="7" fillId="2" borderId="19" xfId="88" applyFont="1" applyFill="1" applyBorder="1" applyAlignment="1">
      <alignment horizontal="center" vertical="center" wrapText="1"/>
      <protection/>
    </xf>
    <xf numFmtId="0" fontId="7" fillId="2" borderId="30" xfId="88" applyFont="1" applyFill="1" applyBorder="1" applyAlignment="1">
      <alignment horizontal="center" vertical="center" wrapText="1"/>
      <protection/>
    </xf>
    <xf numFmtId="0" fontId="7" fillId="2" borderId="32" xfId="88" applyFont="1" applyFill="1" applyBorder="1" applyAlignment="1">
      <alignment horizontal="center" vertical="center" wrapText="1"/>
      <protection/>
    </xf>
    <xf numFmtId="0" fontId="26" fillId="0" borderId="0" xfId="88" applyFont="1" applyFill="1" applyBorder="1" applyAlignment="1">
      <alignment horizontal="center" vertical="center" wrapText="1"/>
      <protection/>
    </xf>
    <xf numFmtId="0" fontId="27" fillId="2" borderId="24" xfId="88" applyFont="1" applyFill="1" applyBorder="1" applyAlignment="1">
      <alignment horizontal="center" vertical="center" wrapText="1"/>
      <protection/>
    </xf>
    <xf numFmtId="0" fontId="27" fillId="2" borderId="25" xfId="88" applyFont="1" applyFill="1" applyBorder="1" applyAlignment="1">
      <alignment horizontal="center" vertical="center" wrapText="1"/>
      <protection/>
    </xf>
    <xf numFmtId="0" fontId="27" fillId="2" borderId="26" xfId="88" applyFont="1" applyFill="1" applyBorder="1" applyAlignment="1">
      <alignment horizontal="center" vertical="center" wrapText="1"/>
      <protection/>
    </xf>
    <xf numFmtId="0" fontId="27" fillId="2" borderId="21" xfId="88" applyFont="1" applyFill="1" applyBorder="1" applyAlignment="1">
      <alignment horizontal="center" vertical="center" wrapText="1"/>
      <protection/>
    </xf>
    <xf numFmtId="0" fontId="27" fillId="2" borderId="22" xfId="88" applyFont="1" applyFill="1" applyBorder="1" applyAlignment="1">
      <alignment horizontal="center" vertical="center" wrapText="1"/>
      <protection/>
    </xf>
    <xf numFmtId="0" fontId="27" fillId="2" borderId="23" xfId="88" applyFont="1" applyFill="1" applyBorder="1" applyAlignment="1">
      <alignment horizontal="center" vertical="center" wrapText="1"/>
      <protection/>
    </xf>
    <xf numFmtId="0" fontId="3" fillId="2" borderId="21" xfId="88" applyFont="1" applyFill="1" applyBorder="1" applyAlignment="1">
      <alignment horizontal="center" vertical="center" wrapText="1"/>
      <protection/>
    </xf>
    <xf numFmtId="0" fontId="3" fillId="2" borderId="22" xfId="88" applyFont="1" applyFill="1" applyBorder="1" applyAlignment="1">
      <alignment horizontal="center" vertical="center" wrapText="1"/>
      <protection/>
    </xf>
    <xf numFmtId="0" fontId="3" fillId="2" borderId="23" xfId="88" applyFont="1" applyFill="1" applyBorder="1" applyAlignment="1">
      <alignment horizontal="center" vertical="center" wrapText="1"/>
      <protection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5" fillId="2" borderId="19" xfId="88" applyNumberFormat="1" applyFont="1" applyFill="1" applyBorder="1" applyAlignment="1">
      <alignment horizontal="center" vertical="center" wrapText="1"/>
      <protection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akcent 1" xfId="21"/>
    <cellStyle name="20% — akcent 2" xfId="22"/>
    <cellStyle name="20% — akcent 3" xfId="23"/>
    <cellStyle name="20% — akcent 4" xfId="24"/>
    <cellStyle name="20% — akcent 5" xfId="25"/>
    <cellStyle name="20% — akcent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akcent 1" xfId="33"/>
    <cellStyle name="40% — akcent 2" xfId="34"/>
    <cellStyle name="40% — akcent 3" xfId="35"/>
    <cellStyle name="40% — akcent 4" xfId="36"/>
    <cellStyle name="40% — akcent 5" xfId="37"/>
    <cellStyle name="40% — akcent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akcent 1" xfId="45"/>
    <cellStyle name="60% — akcent 2" xfId="46"/>
    <cellStyle name="60% — akcent 3" xfId="47"/>
    <cellStyle name="60% — akcent 4" xfId="48"/>
    <cellStyle name="60% — akcent 5" xfId="49"/>
    <cellStyle name="60% — akcent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kcent 1" xfId="57"/>
    <cellStyle name="Akcent 2" xfId="58"/>
    <cellStyle name="Akcent 3" xfId="59"/>
    <cellStyle name="Akcent 4" xfId="60"/>
    <cellStyle name="Akcent 5" xfId="61"/>
    <cellStyle name="Akcent 6" xfId="62"/>
    <cellStyle name="Bad" xfId="63"/>
    <cellStyle name="Calculation" xfId="64"/>
    <cellStyle name="Check Cell" xfId="65"/>
    <cellStyle name="Dane wejściowe" xfId="66"/>
    <cellStyle name="Dane wyjściowe" xfId="67"/>
    <cellStyle name="Dobry" xfId="68"/>
    <cellStyle name="Comma" xfId="69"/>
    <cellStyle name="Comma [0]" xfId="70"/>
    <cellStyle name="Explanatory Text" xfId="71"/>
    <cellStyle name="Good" xfId="72"/>
    <cellStyle name="Heading 1" xfId="73"/>
    <cellStyle name="Heading 2" xfId="74"/>
    <cellStyle name="Heading 3" xfId="75"/>
    <cellStyle name="Heading 4" xfId="76"/>
    <cellStyle name="Hyperlink" xfId="77"/>
    <cellStyle name="Input" xfId="78"/>
    <cellStyle name="Komórka połączona" xfId="79"/>
    <cellStyle name="Komórka zaznaczona" xfId="80"/>
    <cellStyle name="Linked Cell" xfId="81"/>
    <cellStyle name="Nagłówek 1" xfId="82"/>
    <cellStyle name="Nagłówek 2" xfId="83"/>
    <cellStyle name="Nagłówek 3" xfId="84"/>
    <cellStyle name="Nagłówek 4" xfId="85"/>
    <cellStyle name="Neutral" xfId="86"/>
    <cellStyle name="Neutralny" xfId="87"/>
    <cellStyle name="Normalny_Zeszyt1" xfId="88"/>
    <cellStyle name="Note" xfId="89"/>
    <cellStyle name="Obliczenia" xfId="90"/>
    <cellStyle name="Followed Hyperlink" xfId="91"/>
    <cellStyle name="Output" xfId="92"/>
    <cellStyle name="Percent" xfId="93"/>
    <cellStyle name="Suma" xfId="94"/>
    <cellStyle name="Tekst objaśnienia" xfId="95"/>
    <cellStyle name="Tekst ostrzeżenia" xfId="96"/>
    <cellStyle name="Title" xfId="97"/>
    <cellStyle name="Total" xfId="98"/>
    <cellStyle name="Tytuł" xfId="99"/>
    <cellStyle name="Uwaga" xfId="100"/>
    <cellStyle name="Currency" xfId="101"/>
    <cellStyle name="Currency [0]" xfId="102"/>
    <cellStyle name="Warning Text" xfId="103"/>
    <cellStyle name="Zły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5F5F5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CDCD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Q88"/>
  <sheetViews>
    <sheetView tabSelected="1" zoomScaleSheetLayoutView="75" workbookViewId="0" topLeftCell="A1">
      <selection activeCell="A13" sqref="A13"/>
    </sheetView>
  </sheetViews>
  <sheetFormatPr defaultColWidth="9.00390625" defaultRowHeight="13.5" customHeight="1"/>
  <cols>
    <col min="1" max="1" width="22.625" style="2" customWidth="1"/>
    <col min="2" max="3" width="13.75390625" style="2" customWidth="1"/>
    <col min="4" max="6" width="11.375" style="2" customWidth="1"/>
    <col min="7" max="7" width="12.125" style="2" customWidth="1"/>
    <col min="8" max="8" width="12.00390625" style="2" customWidth="1"/>
    <col min="9" max="9" width="12.625" style="2" customWidth="1"/>
    <col min="10" max="10" width="12.875" style="2" customWidth="1"/>
    <col min="11" max="11" width="12.125" style="2" customWidth="1"/>
    <col min="12" max="12" width="11.375" style="2" customWidth="1"/>
    <col min="13" max="13" width="10.00390625" style="2" customWidth="1"/>
    <col min="14" max="14" width="10.25390625" style="2" customWidth="1"/>
    <col min="15" max="15" width="9.125" style="2" customWidth="1"/>
    <col min="16" max="16" width="10.25390625" style="2" customWidth="1"/>
    <col min="17" max="16384" width="9.125" style="2" customWidth="1"/>
  </cols>
  <sheetData>
    <row r="1" spans="1:13" ht="39.75" customHeight="1">
      <c r="A1" s="29" t="s">
        <v>78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3" ht="13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3.5" customHeight="1">
      <c r="A3" s="39" t="s">
        <v>58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</row>
    <row r="5" spans="2:17" ht="13.5" customHeight="1">
      <c r="B5" s="9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8"/>
      <c r="O5" s="8"/>
      <c r="P5" s="8"/>
      <c r="Q5" s="8"/>
    </row>
    <row r="6" spans="1:17" ht="13.5" customHeight="1">
      <c r="A6" s="72" t="s">
        <v>0</v>
      </c>
      <c r="B6" s="30" t="s">
        <v>59</v>
      </c>
      <c r="C6" s="25" t="s">
        <v>63</v>
      </c>
      <c r="D6" s="26"/>
      <c r="E6" s="26"/>
      <c r="F6" s="26"/>
      <c r="G6" s="26"/>
      <c r="H6" s="26"/>
      <c r="I6" s="26"/>
      <c r="J6" s="26"/>
      <c r="K6" s="26"/>
      <c r="L6" s="26"/>
      <c r="M6" s="26"/>
      <c r="N6" s="27"/>
      <c r="O6" s="25" t="s">
        <v>62</v>
      </c>
      <c r="P6" s="26"/>
      <c r="Q6" s="27"/>
    </row>
    <row r="7" spans="1:17" ht="13.5" customHeight="1">
      <c r="A7" s="73"/>
      <c r="B7" s="31"/>
      <c r="C7" s="32" t="s">
        <v>60</v>
      </c>
      <c r="D7" s="32" t="s">
        <v>71</v>
      </c>
      <c r="E7" s="32" t="s">
        <v>64</v>
      </c>
      <c r="F7" s="32" t="s">
        <v>65</v>
      </c>
      <c r="G7" s="32" t="s">
        <v>24</v>
      </c>
      <c r="H7" s="32" t="s">
        <v>25</v>
      </c>
      <c r="I7" s="69" t="s">
        <v>61</v>
      </c>
      <c r="J7" s="32" t="s">
        <v>13</v>
      </c>
      <c r="K7" s="32" t="s">
        <v>14</v>
      </c>
      <c r="L7" s="32" t="s">
        <v>15</v>
      </c>
      <c r="M7" s="32" t="s">
        <v>16</v>
      </c>
      <c r="N7" s="31" t="s">
        <v>17</v>
      </c>
      <c r="O7" s="28" t="s">
        <v>18</v>
      </c>
      <c r="P7" s="28" t="s">
        <v>19</v>
      </c>
      <c r="Q7" s="28" t="s">
        <v>20</v>
      </c>
    </row>
    <row r="8" spans="1:17" ht="13.5" customHeight="1">
      <c r="A8" s="73"/>
      <c r="B8" s="31"/>
      <c r="C8" s="28"/>
      <c r="D8" s="28"/>
      <c r="E8" s="28"/>
      <c r="F8" s="28"/>
      <c r="G8" s="28"/>
      <c r="H8" s="28"/>
      <c r="I8" s="69"/>
      <c r="J8" s="28"/>
      <c r="K8" s="28"/>
      <c r="L8" s="28"/>
      <c r="M8" s="28"/>
      <c r="N8" s="31"/>
      <c r="O8" s="28"/>
      <c r="P8" s="28"/>
      <c r="Q8" s="28"/>
    </row>
    <row r="9" spans="1:17" ht="11.25" customHeight="1">
      <c r="A9" s="73"/>
      <c r="B9" s="31"/>
      <c r="C9" s="28"/>
      <c r="D9" s="28"/>
      <c r="E9" s="28"/>
      <c r="F9" s="28"/>
      <c r="G9" s="28"/>
      <c r="H9" s="28"/>
      <c r="I9" s="69"/>
      <c r="J9" s="28"/>
      <c r="K9" s="28"/>
      <c r="L9" s="28"/>
      <c r="M9" s="28"/>
      <c r="N9" s="31"/>
      <c r="O9" s="28"/>
      <c r="P9" s="28"/>
      <c r="Q9" s="28"/>
    </row>
    <row r="10" spans="1:17" ht="33.75" customHeight="1">
      <c r="A10" s="74"/>
      <c r="B10" s="32"/>
      <c r="C10" s="28"/>
      <c r="D10" s="28"/>
      <c r="E10" s="28"/>
      <c r="F10" s="28"/>
      <c r="G10" s="28"/>
      <c r="H10" s="28"/>
      <c r="I10" s="70"/>
      <c r="J10" s="28"/>
      <c r="K10" s="28"/>
      <c r="L10" s="28"/>
      <c r="M10" s="28"/>
      <c r="N10" s="32"/>
      <c r="O10" s="28"/>
      <c r="P10" s="28"/>
      <c r="Q10" s="28"/>
    </row>
    <row r="11" spans="1:17" ht="15.75" customHeight="1">
      <c r="A11" s="10">
        <v>1</v>
      </c>
      <c r="B11" s="10">
        <v>2</v>
      </c>
      <c r="C11" s="10">
        <v>3</v>
      </c>
      <c r="D11" s="10">
        <v>4</v>
      </c>
      <c r="E11" s="10">
        <v>5</v>
      </c>
      <c r="F11" s="10">
        <v>6</v>
      </c>
      <c r="G11" s="10">
        <v>7</v>
      </c>
      <c r="H11" s="10">
        <v>8</v>
      </c>
      <c r="I11" s="10">
        <v>9</v>
      </c>
      <c r="J11" s="10">
        <v>10</v>
      </c>
      <c r="K11" s="10">
        <v>11</v>
      </c>
      <c r="L11" s="10">
        <v>12</v>
      </c>
      <c r="M11" s="10">
        <v>13</v>
      </c>
      <c r="N11" s="10">
        <v>14</v>
      </c>
      <c r="O11" s="10">
        <v>15</v>
      </c>
      <c r="P11" s="10">
        <v>16</v>
      </c>
      <c r="Q11" s="10">
        <v>17</v>
      </c>
    </row>
    <row r="12" spans="1:17" ht="12" customHeight="1">
      <c r="A12" s="10"/>
      <c r="B12" s="78" t="s">
        <v>73</v>
      </c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80"/>
    </row>
    <row r="13" spans="1:17" ht="39.75" customHeight="1">
      <c r="A13" s="18" t="s">
        <v>43</v>
      </c>
      <c r="B13" s="19">
        <f>6299786544.75</f>
        <v>6299786544.75</v>
      </c>
      <c r="C13" s="19">
        <f>6299786544.75</f>
        <v>6299786544.75</v>
      </c>
      <c r="D13" s="19">
        <f>270453607.8</f>
        <v>270453607.8</v>
      </c>
      <c r="E13" s="19">
        <f>193811968.99</f>
        <v>193811968.99</v>
      </c>
      <c r="F13" s="19">
        <f>22809275.42</f>
        <v>22809275.42</v>
      </c>
      <c r="G13" s="19">
        <f>53115507</f>
        <v>53115507</v>
      </c>
      <c r="H13" s="19">
        <f>716856.39</f>
        <v>716856.39</v>
      </c>
      <c r="I13" s="19">
        <f>0</f>
        <v>0</v>
      </c>
      <c r="J13" s="19">
        <f>5853347378.54</f>
        <v>5853347378.54</v>
      </c>
      <c r="K13" s="19">
        <f>171551416.23</f>
        <v>171551416.23</v>
      </c>
      <c r="L13" s="19">
        <f>3730092.53</f>
        <v>3730092.53</v>
      </c>
      <c r="M13" s="19">
        <f>704049.65</f>
        <v>704049.65</v>
      </c>
      <c r="N13" s="19">
        <f>0</f>
        <v>0</v>
      </c>
      <c r="O13" s="19">
        <f>0</f>
        <v>0</v>
      </c>
      <c r="P13" s="19">
        <f>0</f>
        <v>0</v>
      </c>
      <c r="Q13" s="19">
        <f>0</f>
        <v>0</v>
      </c>
    </row>
    <row r="14" spans="1:17" ht="24.75" customHeight="1">
      <c r="A14" s="17" t="s">
        <v>74</v>
      </c>
      <c r="B14" s="19">
        <f>87305000</f>
        <v>87305000</v>
      </c>
      <c r="C14" s="19">
        <f>87305000</f>
        <v>87305000</v>
      </c>
      <c r="D14" s="19">
        <f>0</f>
        <v>0</v>
      </c>
      <c r="E14" s="19">
        <f>0</f>
        <v>0</v>
      </c>
      <c r="F14" s="19">
        <f>0</f>
        <v>0</v>
      </c>
      <c r="G14" s="19">
        <f>0</f>
        <v>0</v>
      </c>
      <c r="H14" s="19">
        <f>0</f>
        <v>0</v>
      </c>
      <c r="I14" s="19">
        <f>0</f>
        <v>0</v>
      </c>
      <c r="J14" s="19">
        <f>87305000</f>
        <v>87305000</v>
      </c>
      <c r="K14" s="19">
        <f>0</f>
        <v>0</v>
      </c>
      <c r="L14" s="19">
        <f>0</f>
        <v>0</v>
      </c>
      <c r="M14" s="19">
        <f>0</f>
        <v>0</v>
      </c>
      <c r="N14" s="19">
        <f>0</f>
        <v>0</v>
      </c>
      <c r="O14" s="19">
        <f>0</f>
        <v>0</v>
      </c>
      <c r="P14" s="19">
        <f>0</f>
        <v>0</v>
      </c>
      <c r="Q14" s="19">
        <f>0</f>
        <v>0</v>
      </c>
    </row>
    <row r="15" spans="1:17" ht="21" customHeight="1">
      <c r="A15" s="15" t="s">
        <v>44</v>
      </c>
      <c r="B15" s="20">
        <f>0</f>
        <v>0</v>
      </c>
      <c r="C15" s="20">
        <f>0</f>
        <v>0</v>
      </c>
      <c r="D15" s="20">
        <f>0</f>
        <v>0</v>
      </c>
      <c r="E15" s="20">
        <f>0</f>
        <v>0</v>
      </c>
      <c r="F15" s="20">
        <f>0</f>
        <v>0</v>
      </c>
      <c r="G15" s="20">
        <f>0</f>
        <v>0</v>
      </c>
      <c r="H15" s="20">
        <f>0</f>
        <v>0</v>
      </c>
      <c r="I15" s="20">
        <f>0</f>
        <v>0</v>
      </c>
      <c r="J15" s="20">
        <f>0</f>
        <v>0</v>
      </c>
      <c r="K15" s="20">
        <f>0</f>
        <v>0</v>
      </c>
      <c r="L15" s="20">
        <f>0</f>
        <v>0</v>
      </c>
      <c r="M15" s="20">
        <f>0</f>
        <v>0</v>
      </c>
      <c r="N15" s="20">
        <f>0</f>
        <v>0</v>
      </c>
      <c r="O15" s="20">
        <f>0</f>
        <v>0</v>
      </c>
      <c r="P15" s="20">
        <f>0</f>
        <v>0</v>
      </c>
      <c r="Q15" s="20">
        <f>0</f>
        <v>0</v>
      </c>
    </row>
    <row r="16" spans="1:17" ht="20.25" customHeight="1">
      <c r="A16" s="15" t="s">
        <v>45</v>
      </c>
      <c r="B16" s="20">
        <f>87305000</f>
        <v>87305000</v>
      </c>
      <c r="C16" s="20">
        <f>87305000</f>
        <v>87305000</v>
      </c>
      <c r="D16" s="20">
        <f>0</f>
        <v>0</v>
      </c>
      <c r="E16" s="20">
        <f>0</f>
        <v>0</v>
      </c>
      <c r="F16" s="20">
        <f>0</f>
        <v>0</v>
      </c>
      <c r="G16" s="20">
        <f>0</f>
        <v>0</v>
      </c>
      <c r="H16" s="20">
        <f>0</f>
        <v>0</v>
      </c>
      <c r="I16" s="20">
        <f>0</f>
        <v>0</v>
      </c>
      <c r="J16" s="20">
        <f>87305000</f>
        <v>87305000</v>
      </c>
      <c r="K16" s="20">
        <f>0</f>
        <v>0</v>
      </c>
      <c r="L16" s="20">
        <f>0</f>
        <v>0</v>
      </c>
      <c r="M16" s="20">
        <f>0</f>
        <v>0</v>
      </c>
      <c r="N16" s="20">
        <f>0</f>
        <v>0</v>
      </c>
      <c r="O16" s="20">
        <f>0</f>
        <v>0</v>
      </c>
      <c r="P16" s="20">
        <f>0</f>
        <v>0</v>
      </c>
      <c r="Q16" s="20">
        <f>0</f>
        <v>0</v>
      </c>
    </row>
    <row r="17" spans="1:17" ht="24" customHeight="1">
      <c r="A17" s="18" t="s">
        <v>75</v>
      </c>
      <c r="B17" s="19">
        <f>6209927765.43</f>
        <v>6209927765.43</v>
      </c>
      <c r="C17" s="19">
        <f>6209927765.43</f>
        <v>6209927765.43</v>
      </c>
      <c r="D17" s="19">
        <f>268333579.35</f>
        <v>268333579.35</v>
      </c>
      <c r="E17" s="19">
        <f>192481281.03</f>
        <v>192481281.03</v>
      </c>
      <c r="F17" s="19">
        <f>22809275.42</f>
        <v>22809275.42</v>
      </c>
      <c r="G17" s="19">
        <f>53043022.9</f>
        <v>53043022.9</v>
      </c>
      <c r="H17" s="19">
        <f>0</f>
        <v>0</v>
      </c>
      <c r="I17" s="19">
        <f>0</f>
        <v>0</v>
      </c>
      <c r="J17" s="19">
        <f>5766039888.54</f>
        <v>5766039888.54</v>
      </c>
      <c r="K17" s="19">
        <f>171551416.23</f>
        <v>171551416.23</v>
      </c>
      <c r="L17" s="19">
        <f>3671046.62</f>
        <v>3671046.62</v>
      </c>
      <c r="M17" s="19">
        <f>331834.69</f>
        <v>331834.69</v>
      </c>
      <c r="N17" s="19">
        <f>0</f>
        <v>0</v>
      </c>
      <c r="O17" s="19">
        <f>0</f>
        <v>0</v>
      </c>
      <c r="P17" s="19">
        <f>0</f>
        <v>0</v>
      </c>
      <c r="Q17" s="19">
        <f>0</f>
        <v>0</v>
      </c>
    </row>
    <row r="18" spans="1:17" ht="23.25" customHeight="1">
      <c r="A18" s="15" t="s">
        <v>46</v>
      </c>
      <c r="B18" s="20">
        <f>129962231.72</f>
        <v>129962231.72</v>
      </c>
      <c r="C18" s="20">
        <f>129962231.72</f>
        <v>129962231.72</v>
      </c>
      <c r="D18" s="20">
        <f>81518115.36</f>
        <v>81518115.36</v>
      </c>
      <c r="E18" s="20">
        <f>81446175.36</f>
        <v>81446175.36</v>
      </c>
      <c r="F18" s="20">
        <f>0</f>
        <v>0</v>
      </c>
      <c r="G18" s="20">
        <f>71940</f>
        <v>71940</v>
      </c>
      <c r="H18" s="20">
        <f>0</f>
        <v>0</v>
      </c>
      <c r="I18" s="20">
        <f>0</f>
        <v>0</v>
      </c>
      <c r="J18" s="20">
        <f>37037813.26</f>
        <v>37037813.26</v>
      </c>
      <c r="K18" s="20">
        <f>10921456.93</f>
        <v>10921456.93</v>
      </c>
      <c r="L18" s="20">
        <f>484846.17</f>
        <v>484846.17</v>
      </c>
      <c r="M18" s="20">
        <f>0</f>
        <v>0</v>
      </c>
      <c r="N18" s="20">
        <f>0</f>
        <v>0</v>
      </c>
      <c r="O18" s="20">
        <f>0</f>
        <v>0</v>
      </c>
      <c r="P18" s="20">
        <f>0</f>
        <v>0</v>
      </c>
      <c r="Q18" s="20">
        <f>0</f>
        <v>0</v>
      </c>
    </row>
    <row r="19" spans="1:17" ht="21.75" customHeight="1">
      <c r="A19" s="15" t="s">
        <v>47</v>
      </c>
      <c r="B19" s="20">
        <f>6079965533.71</f>
        <v>6079965533.71</v>
      </c>
      <c r="C19" s="20">
        <f>6079965533.71</f>
        <v>6079965533.71</v>
      </c>
      <c r="D19" s="20">
        <f>186815463.99</f>
        <v>186815463.99</v>
      </c>
      <c r="E19" s="20">
        <f>111035105.67</f>
        <v>111035105.67</v>
      </c>
      <c r="F19" s="20">
        <f>22809275.42</f>
        <v>22809275.42</v>
      </c>
      <c r="G19" s="20">
        <f>52971082.9</f>
        <v>52971082.9</v>
      </c>
      <c r="H19" s="20">
        <f>0</f>
        <v>0</v>
      </c>
      <c r="I19" s="20">
        <f>0</f>
        <v>0</v>
      </c>
      <c r="J19" s="20">
        <f>5729002075.28</f>
        <v>5729002075.28</v>
      </c>
      <c r="K19" s="20">
        <f>160629959.3</f>
        <v>160629959.3</v>
      </c>
      <c r="L19" s="20">
        <f>3186200.45</f>
        <v>3186200.45</v>
      </c>
      <c r="M19" s="20">
        <f>331834.69</f>
        <v>331834.69</v>
      </c>
      <c r="N19" s="20">
        <f>0</f>
        <v>0</v>
      </c>
      <c r="O19" s="20">
        <f>0</f>
        <v>0</v>
      </c>
      <c r="P19" s="20">
        <f>0</f>
        <v>0</v>
      </c>
      <c r="Q19" s="20">
        <f>0</f>
        <v>0</v>
      </c>
    </row>
    <row r="20" spans="1:17" ht="21.75" customHeight="1">
      <c r="A20" s="15" t="s">
        <v>48</v>
      </c>
      <c r="B20" s="20">
        <f>0</f>
        <v>0</v>
      </c>
      <c r="C20" s="20">
        <f>0</f>
        <v>0</v>
      </c>
      <c r="D20" s="20">
        <f>0</f>
        <v>0</v>
      </c>
      <c r="E20" s="20">
        <f>0</f>
        <v>0</v>
      </c>
      <c r="F20" s="20">
        <f>0</f>
        <v>0</v>
      </c>
      <c r="G20" s="20">
        <f>0</f>
        <v>0</v>
      </c>
      <c r="H20" s="20">
        <f>0</f>
        <v>0</v>
      </c>
      <c r="I20" s="20">
        <f>0</f>
        <v>0</v>
      </c>
      <c r="J20" s="20">
        <f>0</f>
        <v>0</v>
      </c>
      <c r="K20" s="20">
        <f>0</f>
        <v>0</v>
      </c>
      <c r="L20" s="20">
        <f>0</f>
        <v>0</v>
      </c>
      <c r="M20" s="20">
        <f>0</f>
        <v>0</v>
      </c>
      <c r="N20" s="20">
        <f>0</f>
        <v>0</v>
      </c>
      <c r="O20" s="20">
        <f>0</f>
        <v>0</v>
      </c>
      <c r="P20" s="20">
        <f>0</f>
        <v>0</v>
      </c>
      <c r="Q20" s="20">
        <f>0</f>
        <v>0</v>
      </c>
    </row>
    <row r="21" spans="1:17" ht="24.75" customHeight="1">
      <c r="A21" s="18" t="s">
        <v>76</v>
      </c>
      <c r="B21" s="19">
        <f>2553779.32</f>
        <v>2553779.32</v>
      </c>
      <c r="C21" s="19">
        <f>2553779.32</f>
        <v>2553779.32</v>
      </c>
      <c r="D21" s="19">
        <f>2120028.45</f>
        <v>2120028.45</v>
      </c>
      <c r="E21" s="19">
        <f>1330687.96</f>
        <v>1330687.96</v>
      </c>
      <c r="F21" s="19">
        <f>0</f>
        <v>0</v>
      </c>
      <c r="G21" s="19">
        <f>72484.1</f>
        <v>72484.1</v>
      </c>
      <c r="H21" s="19">
        <f>716856.39</f>
        <v>716856.39</v>
      </c>
      <c r="I21" s="19">
        <f>0</f>
        <v>0</v>
      </c>
      <c r="J21" s="19">
        <f>2490</f>
        <v>2490</v>
      </c>
      <c r="K21" s="19">
        <f>0</f>
        <v>0</v>
      </c>
      <c r="L21" s="19">
        <f>59045.91</f>
        <v>59045.91</v>
      </c>
      <c r="M21" s="19">
        <f>372214.96</f>
        <v>372214.96</v>
      </c>
      <c r="N21" s="19">
        <f>0</f>
        <v>0</v>
      </c>
      <c r="O21" s="19">
        <f>0</f>
        <v>0</v>
      </c>
      <c r="P21" s="19">
        <f>0</f>
        <v>0</v>
      </c>
      <c r="Q21" s="19">
        <f>0</f>
        <v>0</v>
      </c>
    </row>
    <row r="22" spans="1:17" ht="22.5">
      <c r="A22" s="15" t="s">
        <v>49</v>
      </c>
      <c r="B22" s="20">
        <f>61131.06</f>
        <v>61131.06</v>
      </c>
      <c r="C22" s="20">
        <f>61131.06</f>
        <v>61131.06</v>
      </c>
      <c r="D22" s="20">
        <f>3500</f>
        <v>3500</v>
      </c>
      <c r="E22" s="20">
        <f>0</f>
        <v>0</v>
      </c>
      <c r="F22" s="20">
        <f>0</f>
        <v>0</v>
      </c>
      <c r="G22" s="20">
        <f>3500</f>
        <v>3500</v>
      </c>
      <c r="H22" s="20">
        <f>0</f>
        <v>0</v>
      </c>
      <c r="I22" s="20">
        <f>0</f>
        <v>0</v>
      </c>
      <c r="J22" s="20">
        <f>0</f>
        <v>0</v>
      </c>
      <c r="K22" s="20">
        <f>0</f>
        <v>0</v>
      </c>
      <c r="L22" s="20">
        <f>57311.61</f>
        <v>57311.61</v>
      </c>
      <c r="M22" s="20">
        <f>319.45</f>
        <v>319.45</v>
      </c>
      <c r="N22" s="20">
        <f>0</f>
        <v>0</v>
      </c>
      <c r="O22" s="20">
        <f>0</f>
        <v>0</v>
      </c>
      <c r="P22" s="20">
        <f>0</f>
        <v>0</v>
      </c>
      <c r="Q22" s="20">
        <f>0</f>
        <v>0</v>
      </c>
    </row>
    <row r="23" spans="1:17" ht="23.25" customHeight="1">
      <c r="A23" s="15" t="s">
        <v>50</v>
      </c>
      <c r="B23" s="20">
        <f>2492648.26</f>
        <v>2492648.26</v>
      </c>
      <c r="C23" s="20">
        <f>2492648.26</f>
        <v>2492648.26</v>
      </c>
      <c r="D23" s="20">
        <f>2116528.45</f>
        <v>2116528.45</v>
      </c>
      <c r="E23" s="20">
        <f>1330687.96</f>
        <v>1330687.96</v>
      </c>
      <c r="F23" s="20">
        <f>0</f>
        <v>0</v>
      </c>
      <c r="G23" s="20">
        <f>68984.1</f>
        <v>68984.1</v>
      </c>
      <c r="H23" s="20">
        <f>716856.39</f>
        <v>716856.39</v>
      </c>
      <c r="I23" s="20">
        <f>0</f>
        <v>0</v>
      </c>
      <c r="J23" s="20">
        <f>2490</f>
        <v>2490</v>
      </c>
      <c r="K23" s="20">
        <f>0</f>
        <v>0</v>
      </c>
      <c r="L23" s="20">
        <f>1734.3</f>
        <v>1734.3</v>
      </c>
      <c r="M23" s="20">
        <f>371895.51</f>
        <v>371895.51</v>
      </c>
      <c r="N23" s="20">
        <f>0</f>
        <v>0</v>
      </c>
      <c r="O23" s="20">
        <f>0</f>
        <v>0</v>
      </c>
      <c r="P23" s="20">
        <f>0</f>
        <v>0</v>
      </c>
      <c r="Q23" s="20">
        <f>0</f>
        <v>0</v>
      </c>
    </row>
    <row r="24" spans="1:17" ht="19.5" customHeight="1">
      <c r="A24" s="13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</row>
    <row r="25" spans="1:17" ht="19.5" customHeight="1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</row>
    <row r="26" spans="1:17" ht="19.5" customHeight="1">
      <c r="A26" s="13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</row>
    <row r="27" spans="1:13" ht="45.75" customHeight="1">
      <c r="A27" s="29" t="s">
        <v>78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</row>
    <row r="29" spans="1:13" ht="13.5" customHeight="1">
      <c r="A29" s="39" t="s">
        <v>8</v>
      </c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</row>
    <row r="31" spans="1:17" ht="13.5" customHeight="1">
      <c r="A31" s="72" t="s">
        <v>0</v>
      </c>
      <c r="B31" s="30" t="s">
        <v>9</v>
      </c>
      <c r="C31" s="75" t="s">
        <v>11</v>
      </c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7"/>
      <c r="O31" s="75" t="s">
        <v>21</v>
      </c>
      <c r="P31" s="76"/>
      <c r="Q31" s="77"/>
    </row>
    <row r="32" spans="1:17" ht="13.5" customHeight="1">
      <c r="A32" s="73"/>
      <c r="B32" s="31"/>
      <c r="C32" s="31" t="s">
        <v>10</v>
      </c>
      <c r="D32" s="28" t="s">
        <v>12</v>
      </c>
      <c r="E32" s="28" t="s">
        <v>22</v>
      </c>
      <c r="F32" s="28" t="s">
        <v>23</v>
      </c>
      <c r="G32" s="28" t="s">
        <v>68</v>
      </c>
      <c r="H32" s="28" t="s">
        <v>25</v>
      </c>
      <c r="I32" s="28" t="s">
        <v>1</v>
      </c>
      <c r="J32" s="28" t="s">
        <v>13</v>
      </c>
      <c r="K32" s="28" t="s">
        <v>14</v>
      </c>
      <c r="L32" s="28" t="s">
        <v>15</v>
      </c>
      <c r="M32" s="28" t="s">
        <v>16</v>
      </c>
      <c r="N32" s="33" t="s">
        <v>17</v>
      </c>
      <c r="O32" s="28" t="s">
        <v>18</v>
      </c>
      <c r="P32" s="28" t="s">
        <v>19</v>
      </c>
      <c r="Q32" s="30" t="s">
        <v>20</v>
      </c>
    </row>
    <row r="33" spans="1:17" ht="13.5" customHeight="1">
      <c r="A33" s="73"/>
      <c r="B33" s="31"/>
      <c r="C33" s="31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33"/>
      <c r="O33" s="28"/>
      <c r="P33" s="28"/>
      <c r="Q33" s="31"/>
    </row>
    <row r="34" spans="1:17" ht="11.25" customHeight="1">
      <c r="A34" s="73"/>
      <c r="B34" s="31"/>
      <c r="C34" s="31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33"/>
      <c r="O34" s="28"/>
      <c r="P34" s="28"/>
      <c r="Q34" s="31"/>
    </row>
    <row r="35" spans="1:17" ht="41.25" customHeight="1">
      <c r="A35" s="74"/>
      <c r="B35" s="32"/>
      <c r="C35" s="32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33"/>
      <c r="O35" s="28"/>
      <c r="P35" s="28"/>
      <c r="Q35" s="32"/>
    </row>
    <row r="36" spans="1:17" ht="15.75" customHeight="1">
      <c r="A36" s="10">
        <v>1</v>
      </c>
      <c r="B36" s="10">
        <v>2</v>
      </c>
      <c r="C36" s="10">
        <v>3</v>
      </c>
      <c r="D36" s="10">
        <v>4</v>
      </c>
      <c r="E36" s="10">
        <v>5</v>
      </c>
      <c r="F36" s="10">
        <v>6</v>
      </c>
      <c r="G36" s="10">
        <v>7</v>
      </c>
      <c r="H36" s="10">
        <v>8</v>
      </c>
      <c r="I36" s="10">
        <v>9</v>
      </c>
      <c r="J36" s="10">
        <v>10</v>
      </c>
      <c r="K36" s="10">
        <v>11</v>
      </c>
      <c r="L36" s="10">
        <v>12</v>
      </c>
      <c r="M36" s="10">
        <v>13</v>
      </c>
      <c r="N36" s="10">
        <v>14</v>
      </c>
      <c r="O36" s="10">
        <v>15</v>
      </c>
      <c r="P36" s="10">
        <v>16</v>
      </c>
      <c r="Q36" s="10">
        <v>17</v>
      </c>
    </row>
    <row r="37" spans="1:17" ht="12" customHeight="1">
      <c r="A37" s="10"/>
      <c r="B37" s="78" t="s">
        <v>73</v>
      </c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7"/>
    </row>
    <row r="38" spans="1:17" ht="27.75" customHeight="1" hidden="1">
      <c r="A38" s="11" t="s">
        <v>26</v>
      </c>
      <c r="B38" s="12">
        <f>0</f>
        <v>0</v>
      </c>
      <c r="C38" s="12">
        <f>0</f>
        <v>0</v>
      </c>
      <c r="D38" s="12">
        <f>0</f>
        <v>0</v>
      </c>
      <c r="E38" s="12">
        <f>0</f>
        <v>0</v>
      </c>
      <c r="F38" s="12">
        <f>0</f>
        <v>0</v>
      </c>
      <c r="G38" s="12">
        <f>0</f>
        <v>0</v>
      </c>
      <c r="H38" s="12">
        <f>0</f>
        <v>0</v>
      </c>
      <c r="I38" s="12">
        <f>0</f>
        <v>0</v>
      </c>
      <c r="J38" s="12">
        <f>0</f>
        <v>0</v>
      </c>
      <c r="K38" s="12">
        <f>0</f>
        <v>0</v>
      </c>
      <c r="L38" s="12">
        <f>0</f>
        <v>0</v>
      </c>
      <c r="M38" s="12">
        <f>0</f>
        <v>0</v>
      </c>
      <c r="N38" s="12">
        <f>0</f>
        <v>0</v>
      </c>
      <c r="O38" s="12">
        <f>0</f>
        <v>0</v>
      </c>
      <c r="P38" s="12">
        <f>0</f>
        <v>0</v>
      </c>
      <c r="Q38" s="12">
        <f>0</f>
        <v>0</v>
      </c>
    </row>
    <row r="39" spans="1:17" ht="30" customHeight="1">
      <c r="A39" s="23" t="s">
        <v>38</v>
      </c>
      <c r="B39" s="21">
        <f>74245.75</f>
        <v>74245.75</v>
      </c>
      <c r="C39" s="21">
        <f>74245.75</f>
        <v>74245.75</v>
      </c>
      <c r="D39" s="21">
        <f>50000</f>
        <v>50000</v>
      </c>
      <c r="E39" s="21">
        <f>50000</f>
        <v>50000</v>
      </c>
      <c r="F39" s="21">
        <f>0</f>
        <v>0</v>
      </c>
      <c r="G39" s="21">
        <f>0</f>
        <v>0</v>
      </c>
      <c r="H39" s="21">
        <f>0</f>
        <v>0</v>
      </c>
      <c r="I39" s="21">
        <f>0</f>
        <v>0</v>
      </c>
      <c r="J39" s="21">
        <f>0</f>
        <v>0</v>
      </c>
      <c r="K39" s="21">
        <f>0</f>
        <v>0</v>
      </c>
      <c r="L39" s="21">
        <f>0</f>
        <v>0</v>
      </c>
      <c r="M39" s="21">
        <f>24245.75</f>
        <v>24245.75</v>
      </c>
      <c r="N39" s="21">
        <f>0</f>
        <v>0</v>
      </c>
      <c r="O39" s="21">
        <f>0</f>
        <v>0</v>
      </c>
      <c r="P39" s="21">
        <f>0</f>
        <v>0</v>
      </c>
      <c r="Q39" s="21">
        <f>0</f>
        <v>0</v>
      </c>
    </row>
    <row r="40" spans="1:17" ht="25.5" customHeight="1">
      <c r="A40" s="16" t="s">
        <v>27</v>
      </c>
      <c r="B40" s="22">
        <f>0</f>
        <v>0</v>
      </c>
      <c r="C40" s="22">
        <f>0</f>
        <v>0</v>
      </c>
      <c r="D40" s="22">
        <f>0</f>
        <v>0</v>
      </c>
      <c r="E40" s="22">
        <f>0</f>
        <v>0</v>
      </c>
      <c r="F40" s="22">
        <f>0</f>
        <v>0</v>
      </c>
      <c r="G40" s="22">
        <f>0</f>
        <v>0</v>
      </c>
      <c r="H40" s="22">
        <f>0</f>
        <v>0</v>
      </c>
      <c r="I40" s="22">
        <f>0</f>
        <v>0</v>
      </c>
      <c r="J40" s="22">
        <f>0</f>
        <v>0</v>
      </c>
      <c r="K40" s="22">
        <f>0</f>
        <v>0</v>
      </c>
      <c r="L40" s="22">
        <f>0</f>
        <v>0</v>
      </c>
      <c r="M40" s="22">
        <f>0</f>
        <v>0</v>
      </c>
      <c r="N40" s="22">
        <f>0</f>
        <v>0</v>
      </c>
      <c r="O40" s="22">
        <f>0</f>
        <v>0</v>
      </c>
      <c r="P40" s="22">
        <f>0</f>
        <v>0</v>
      </c>
      <c r="Q40" s="22">
        <f>0</f>
        <v>0</v>
      </c>
    </row>
    <row r="41" spans="1:17" ht="25.5" customHeight="1">
      <c r="A41" s="16" t="s">
        <v>28</v>
      </c>
      <c r="B41" s="22">
        <f>74245.75</f>
        <v>74245.75</v>
      </c>
      <c r="C41" s="22">
        <f>74245.75</f>
        <v>74245.75</v>
      </c>
      <c r="D41" s="22">
        <f>50000</f>
        <v>50000</v>
      </c>
      <c r="E41" s="22">
        <f>50000</f>
        <v>50000</v>
      </c>
      <c r="F41" s="22">
        <f>0</f>
        <v>0</v>
      </c>
      <c r="G41" s="22">
        <f>0</f>
        <v>0</v>
      </c>
      <c r="H41" s="22">
        <f>0</f>
        <v>0</v>
      </c>
      <c r="I41" s="22">
        <f>0</f>
        <v>0</v>
      </c>
      <c r="J41" s="22">
        <f>0</f>
        <v>0</v>
      </c>
      <c r="K41" s="22">
        <f>0</f>
        <v>0</v>
      </c>
      <c r="L41" s="22">
        <f>0</f>
        <v>0</v>
      </c>
      <c r="M41" s="22">
        <f>24245.75</f>
        <v>24245.75</v>
      </c>
      <c r="N41" s="22">
        <f>0</f>
        <v>0</v>
      </c>
      <c r="O41" s="22">
        <f>0</f>
        <v>0</v>
      </c>
      <c r="P41" s="22">
        <f>0</f>
        <v>0</v>
      </c>
      <c r="Q41" s="22">
        <f>0</f>
        <v>0</v>
      </c>
    </row>
    <row r="42" spans="1:17" ht="30" customHeight="1">
      <c r="A42" s="23" t="s">
        <v>39</v>
      </c>
      <c r="B42" s="21">
        <f>145991237.03</f>
        <v>145991237.03</v>
      </c>
      <c r="C42" s="21">
        <f>145728250.73</f>
        <v>145728250.73</v>
      </c>
      <c r="D42" s="21">
        <f>88024879.87</f>
        <v>88024879.87</v>
      </c>
      <c r="E42" s="21">
        <f>207019.26</f>
        <v>207019.26</v>
      </c>
      <c r="F42" s="21">
        <f>1501028.6</f>
        <v>1501028.6</v>
      </c>
      <c r="G42" s="21">
        <f>86316832.01</f>
        <v>86316832.01</v>
      </c>
      <c r="H42" s="21">
        <f>0</f>
        <v>0</v>
      </c>
      <c r="I42" s="21">
        <f>0</f>
        <v>0</v>
      </c>
      <c r="J42" s="21">
        <f>134335.03</f>
        <v>134335.03</v>
      </c>
      <c r="K42" s="21">
        <f>5149.55</f>
        <v>5149.55</v>
      </c>
      <c r="L42" s="21">
        <f>36895588.14</f>
        <v>36895588.14</v>
      </c>
      <c r="M42" s="21">
        <f>18820199.04</f>
        <v>18820199.04</v>
      </c>
      <c r="N42" s="21">
        <f>1848099.1</f>
        <v>1848099.1</v>
      </c>
      <c r="O42" s="21">
        <f>262986.3</f>
        <v>262986.3</v>
      </c>
      <c r="P42" s="21">
        <f>0</f>
        <v>0</v>
      </c>
      <c r="Q42" s="21">
        <f>262986.3</f>
        <v>262986.3</v>
      </c>
    </row>
    <row r="43" spans="1:17" ht="25.5" customHeight="1">
      <c r="A43" s="16" t="s">
        <v>29</v>
      </c>
      <c r="B43" s="22">
        <f>44117449.21</f>
        <v>44117449.21</v>
      </c>
      <c r="C43" s="22">
        <f>44117449.21</f>
        <v>44117449.21</v>
      </c>
      <c r="D43" s="22">
        <f>35796426.51</f>
        <v>35796426.51</v>
      </c>
      <c r="E43" s="22">
        <f>0</f>
        <v>0</v>
      </c>
      <c r="F43" s="22">
        <f>0</f>
        <v>0</v>
      </c>
      <c r="G43" s="22">
        <f>35796426.51</f>
        <v>35796426.51</v>
      </c>
      <c r="H43" s="22">
        <f>0</f>
        <v>0</v>
      </c>
      <c r="I43" s="22">
        <f>0</f>
        <v>0</v>
      </c>
      <c r="J43" s="22">
        <f>133655.88</f>
        <v>133655.88</v>
      </c>
      <c r="K43" s="22">
        <f>0</f>
        <v>0</v>
      </c>
      <c r="L43" s="22">
        <f>6947869.96</f>
        <v>6947869.96</v>
      </c>
      <c r="M43" s="22">
        <f>789496.86</f>
        <v>789496.86</v>
      </c>
      <c r="N43" s="22">
        <f>450000</f>
        <v>450000</v>
      </c>
      <c r="O43" s="22">
        <f>0</f>
        <v>0</v>
      </c>
      <c r="P43" s="22">
        <f>0</f>
        <v>0</v>
      </c>
      <c r="Q43" s="22">
        <f>0</f>
        <v>0</v>
      </c>
    </row>
    <row r="44" spans="1:17" ht="25.5" customHeight="1">
      <c r="A44" s="16" t="s">
        <v>30</v>
      </c>
      <c r="B44" s="22">
        <f>101873787.82</f>
        <v>101873787.82</v>
      </c>
      <c r="C44" s="22">
        <f>101610801.52</f>
        <v>101610801.52</v>
      </c>
      <c r="D44" s="22">
        <f>52228453.36</f>
        <v>52228453.36</v>
      </c>
      <c r="E44" s="22">
        <f>207019.26</f>
        <v>207019.26</v>
      </c>
      <c r="F44" s="22">
        <f>1501028.6</f>
        <v>1501028.6</v>
      </c>
      <c r="G44" s="22">
        <f>50520405.5</f>
        <v>50520405.5</v>
      </c>
      <c r="H44" s="22">
        <f>0</f>
        <v>0</v>
      </c>
      <c r="I44" s="22">
        <f>0</f>
        <v>0</v>
      </c>
      <c r="J44" s="22">
        <f>679.15</f>
        <v>679.15</v>
      </c>
      <c r="K44" s="22">
        <f>5149.55</f>
        <v>5149.55</v>
      </c>
      <c r="L44" s="22">
        <f>29947718.18</f>
        <v>29947718.18</v>
      </c>
      <c r="M44" s="22">
        <f>18030702.18</f>
        <v>18030702.18</v>
      </c>
      <c r="N44" s="22">
        <f>1398099.1</f>
        <v>1398099.1</v>
      </c>
      <c r="O44" s="22">
        <f>262986.3</f>
        <v>262986.3</v>
      </c>
      <c r="P44" s="22">
        <f>0</f>
        <v>0</v>
      </c>
      <c r="Q44" s="22">
        <f>262986.3</f>
        <v>262986.3</v>
      </c>
    </row>
    <row r="45" spans="1:17" ht="30" customHeight="1">
      <c r="A45" s="23" t="s">
        <v>40</v>
      </c>
      <c r="B45" s="21">
        <f>4153697889.7</f>
        <v>4153697889.7</v>
      </c>
      <c r="C45" s="21">
        <f>4153697889.7</f>
        <v>4153697889.7</v>
      </c>
      <c r="D45" s="21">
        <f>2929259.75</f>
        <v>2929259.75</v>
      </c>
      <c r="E45" s="21">
        <f>17929</f>
        <v>17929</v>
      </c>
      <c r="F45" s="21">
        <f>7309.35</f>
        <v>7309.35</v>
      </c>
      <c r="G45" s="21">
        <f>2904021.4</f>
        <v>2904021.4</v>
      </c>
      <c r="H45" s="21">
        <f>0</f>
        <v>0</v>
      </c>
      <c r="I45" s="21">
        <f>1311051.66</f>
        <v>1311051.66</v>
      </c>
      <c r="J45" s="21">
        <f>4149320461.22</f>
        <v>4149320461.22</v>
      </c>
      <c r="K45" s="21">
        <f>18234.17</f>
        <v>18234.17</v>
      </c>
      <c r="L45" s="21">
        <f>22599.78</f>
        <v>22599.78</v>
      </c>
      <c r="M45" s="21">
        <f>2000</f>
        <v>2000</v>
      </c>
      <c r="N45" s="21">
        <f>94283.12</f>
        <v>94283.12</v>
      </c>
      <c r="O45" s="21">
        <f>0</f>
        <v>0</v>
      </c>
      <c r="P45" s="21">
        <f>0</f>
        <v>0</v>
      </c>
      <c r="Q45" s="21">
        <f>0</f>
        <v>0</v>
      </c>
    </row>
    <row r="46" spans="1:17" ht="25.5" customHeight="1">
      <c r="A46" s="16" t="s">
        <v>31</v>
      </c>
      <c r="B46" s="22">
        <f>2904021.4</f>
        <v>2904021.4</v>
      </c>
      <c r="C46" s="22">
        <f>2904021.4</f>
        <v>2904021.4</v>
      </c>
      <c r="D46" s="22">
        <f>2904021.4</f>
        <v>2904021.4</v>
      </c>
      <c r="E46" s="22">
        <f>0</f>
        <v>0</v>
      </c>
      <c r="F46" s="22">
        <f>0</f>
        <v>0</v>
      </c>
      <c r="G46" s="22">
        <f>2904021.4</f>
        <v>2904021.4</v>
      </c>
      <c r="H46" s="22">
        <f>0</f>
        <v>0</v>
      </c>
      <c r="I46" s="22">
        <f>0</f>
        <v>0</v>
      </c>
      <c r="J46" s="22">
        <f>0</f>
        <v>0</v>
      </c>
      <c r="K46" s="22">
        <f>0</f>
        <v>0</v>
      </c>
      <c r="L46" s="22">
        <f>0</f>
        <v>0</v>
      </c>
      <c r="M46" s="22">
        <f>0</f>
        <v>0</v>
      </c>
      <c r="N46" s="22">
        <f>0</f>
        <v>0</v>
      </c>
      <c r="O46" s="22">
        <f>0</f>
        <v>0</v>
      </c>
      <c r="P46" s="22">
        <f>0</f>
        <v>0</v>
      </c>
      <c r="Q46" s="22">
        <f>0</f>
        <v>0</v>
      </c>
    </row>
    <row r="47" spans="1:17" ht="25.5" customHeight="1">
      <c r="A47" s="16" t="s">
        <v>32</v>
      </c>
      <c r="B47" s="22">
        <f>3569956901.5</f>
        <v>3569956901.5</v>
      </c>
      <c r="C47" s="22">
        <f>3569956901.5</f>
        <v>3569956901.5</v>
      </c>
      <c r="D47" s="22">
        <f>7429.35</f>
        <v>7429.35</v>
      </c>
      <c r="E47" s="22">
        <f>120</f>
        <v>120</v>
      </c>
      <c r="F47" s="22">
        <f>7309.35</f>
        <v>7309.35</v>
      </c>
      <c r="G47" s="22">
        <f>0</f>
        <v>0</v>
      </c>
      <c r="H47" s="22">
        <f>0</f>
        <v>0</v>
      </c>
      <c r="I47" s="22">
        <f>1311051.66</f>
        <v>1311051.66</v>
      </c>
      <c r="J47" s="22">
        <f>3568542449.57</f>
        <v>3568542449.57</v>
      </c>
      <c r="K47" s="22">
        <f>0</f>
        <v>0</v>
      </c>
      <c r="L47" s="22">
        <f>1687.8</f>
        <v>1687.8</v>
      </c>
      <c r="M47" s="22">
        <f>0</f>
        <v>0</v>
      </c>
      <c r="N47" s="22">
        <f>94283.12</f>
        <v>94283.12</v>
      </c>
      <c r="O47" s="22">
        <f>0</f>
        <v>0</v>
      </c>
      <c r="P47" s="22">
        <f>0</f>
        <v>0</v>
      </c>
      <c r="Q47" s="22">
        <f>0</f>
        <v>0</v>
      </c>
    </row>
    <row r="48" spans="1:17" ht="25.5" customHeight="1">
      <c r="A48" s="16" t="s">
        <v>33</v>
      </c>
      <c r="B48" s="22">
        <f>580836966.8</f>
        <v>580836966.8</v>
      </c>
      <c r="C48" s="22">
        <f>580836966.8</f>
        <v>580836966.8</v>
      </c>
      <c r="D48" s="22">
        <f>17809</f>
        <v>17809</v>
      </c>
      <c r="E48" s="22">
        <f>17809</f>
        <v>17809</v>
      </c>
      <c r="F48" s="22">
        <f>0</f>
        <v>0</v>
      </c>
      <c r="G48" s="22">
        <f>0</f>
        <v>0</v>
      </c>
      <c r="H48" s="22">
        <f>0</f>
        <v>0</v>
      </c>
      <c r="I48" s="22">
        <f>0</f>
        <v>0</v>
      </c>
      <c r="J48" s="22">
        <f>580778011.65</f>
        <v>580778011.65</v>
      </c>
      <c r="K48" s="22">
        <f>18234.17</f>
        <v>18234.17</v>
      </c>
      <c r="L48" s="22">
        <f>20911.98</f>
        <v>20911.98</v>
      </c>
      <c r="M48" s="22">
        <f>2000</f>
        <v>2000</v>
      </c>
      <c r="N48" s="22">
        <f>0</f>
        <v>0</v>
      </c>
      <c r="O48" s="22">
        <f>0</f>
        <v>0</v>
      </c>
      <c r="P48" s="22">
        <f>0</f>
        <v>0</v>
      </c>
      <c r="Q48" s="22">
        <f>0</f>
        <v>0</v>
      </c>
    </row>
    <row r="49" spans="1:17" ht="30" customHeight="1">
      <c r="A49" s="23" t="s">
        <v>41</v>
      </c>
      <c r="B49" s="21">
        <f>561178308.37</f>
        <v>561178308.37</v>
      </c>
      <c r="C49" s="21">
        <f>560249955.1</f>
        <v>560249955.1</v>
      </c>
      <c r="D49" s="21">
        <f>28838777.76</f>
        <v>28838777.76</v>
      </c>
      <c r="E49" s="21">
        <f>6181998.96</f>
        <v>6181998.96</v>
      </c>
      <c r="F49" s="21">
        <f>197072.47</f>
        <v>197072.47</v>
      </c>
      <c r="G49" s="21">
        <f>21872701.9</f>
        <v>21872701.9</v>
      </c>
      <c r="H49" s="21">
        <f>587004.43</f>
        <v>587004.43</v>
      </c>
      <c r="I49" s="21">
        <f>0</f>
        <v>0</v>
      </c>
      <c r="J49" s="21">
        <f>443782.42</f>
        <v>443782.42</v>
      </c>
      <c r="K49" s="21">
        <f>262568.61</f>
        <v>262568.61</v>
      </c>
      <c r="L49" s="21">
        <f>148933690.55</f>
        <v>148933690.55</v>
      </c>
      <c r="M49" s="21">
        <f>375598200.4</f>
        <v>375598200.4</v>
      </c>
      <c r="N49" s="21">
        <f>6172935.36</f>
        <v>6172935.36</v>
      </c>
      <c r="O49" s="21">
        <f>928353.27</f>
        <v>928353.27</v>
      </c>
      <c r="P49" s="21">
        <f>497741.88</f>
        <v>497741.88</v>
      </c>
      <c r="Q49" s="21">
        <f>430611.39</f>
        <v>430611.39</v>
      </c>
    </row>
    <row r="50" spans="1:17" ht="25.5" customHeight="1">
      <c r="A50" s="16" t="s">
        <v>34</v>
      </c>
      <c r="B50" s="22">
        <f>130925147.12</f>
        <v>130925147.12</v>
      </c>
      <c r="C50" s="22">
        <f>130886459.51</f>
        <v>130886459.51</v>
      </c>
      <c r="D50" s="22">
        <f>4570503.84</f>
        <v>4570503.84</v>
      </c>
      <c r="E50" s="22">
        <f>1812219.71</f>
        <v>1812219.71</v>
      </c>
      <c r="F50" s="22">
        <f>34830.62</f>
        <v>34830.62</v>
      </c>
      <c r="G50" s="22">
        <f>2649410.09</f>
        <v>2649410.09</v>
      </c>
      <c r="H50" s="22">
        <f>74043.42</f>
        <v>74043.42</v>
      </c>
      <c r="I50" s="22">
        <f>0</f>
        <v>0</v>
      </c>
      <c r="J50" s="22">
        <f>416127.69</f>
        <v>416127.69</v>
      </c>
      <c r="K50" s="22">
        <f>180765.03</f>
        <v>180765.03</v>
      </c>
      <c r="L50" s="22">
        <f>65897824.96</f>
        <v>65897824.96</v>
      </c>
      <c r="M50" s="22">
        <f>58604453.74</f>
        <v>58604453.74</v>
      </c>
      <c r="N50" s="22">
        <f>1216784.25</f>
        <v>1216784.25</v>
      </c>
      <c r="O50" s="22">
        <f>38687.61</f>
        <v>38687.61</v>
      </c>
      <c r="P50" s="22">
        <f>38329.61</f>
        <v>38329.61</v>
      </c>
      <c r="Q50" s="22">
        <f>358</f>
        <v>358</v>
      </c>
    </row>
    <row r="51" spans="1:17" ht="25.5" customHeight="1">
      <c r="A51" s="16" t="s">
        <v>35</v>
      </c>
      <c r="B51" s="22">
        <f>430253161.25</f>
        <v>430253161.25</v>
      </c>
      <c r="C51" s="22">
        <f>429363495.59</f>
        <v>429363495.59</v>
      </c>
      <c r="D51" s="22">
        <f>24268273.92</f>
        <v>24268273.92</v>
      </c>
      <c r="E51" s="22">
        <f>4369779.25</f>
        <v>4369779.25</v>
      </c>
      <c r="F51" s="22">
        <f>162241.85</f>
        <v>162241.85</v>
      </c>
      <c r="G51" s="22">
        <f>19223291.81</f>
        <v>19223291.81</v>
      </c>
      <c r="H51" s="22">
        <f>512961.01</f>
        <v>512961.01</v>
      </c>
      <c r="I51" s="22">
        <f>0</f>
        <v>0</v>
      </c>
      <c r="J51" s="22">
        <f>27654.73</f>
        <v>27654.73</v>
      </c>
      <c r="K51" s="22">
        <f>81803.58</f>
        <v>81803.58</v>
      </c>
      <c r="L51" s="22">
        <f>83035865.59</f>
        <v>83035865.59</v>
      </c>
      <c r="M51" s="22">
        <f>316993746.66</f>
        <v>316993746.66</v>
      </c>
      <c r="N51" s="22">
        <f>4956151.11</f>
        <v>4956151.11</v>
      </c>
      <c r="O51" s="22">
        <f>889665.66</f>
        <v>889665.66</v>
      </c>
      <c r="P51" s="22">
        <f>459412.27</f>
        <v>459412.27</v>
      </c>
      <c r="Q51" s="22">
        <f>430253.39</f>
        <v>430253.39</v>
      </c>
    </row>
    <row r="52" spans="1:17" ht="30" customHeight="1">
      <c r="A52" s="23" t="s">
        <v>42</v>
      </c>
      <c r="B52" s="21">
        <f>649502179.06</f>
        <v>649502179.06</v>
      </c>
      <c r="C52" s="21">
        <f>649384817.93</f>
        <v>649384817.93</v>
      </c>
      <c r="D52" s="21">
        <f>415718600.96</f>
        <v>415718600.96</v>
      </c>
      <c r="E52" s="21">
        <f>278229424.41</f>
        <v>278229424.41</v>
      </c>
      <c r="F52" s="21">
        <f>7545609.38</f>
        <v>7545609.38</v>
      </c>
      <c r="G52" s="21">
        <f>126226024.17</f>
        <v>126226024.17</v>
      </c>
      <c r="H52" s="21">
        <f>3717543</f>
        <v>3717543</v>
      </c>
      <c r="I52" s="21">
        <f>0</f>
        <v>0</v>
      </c>
      <c r="J52" s="21">
        <f>644725.25</f>
        <v>644725.25</v>
      </c>
      <c r="K52" s="21">
        <f>5062978</f>
        <v>5062978</v>
      </c>
      <c r="L52" s="21">
        <f>164436756.99</f>
        <v>164436756.99</v>
      </c>
      <c r="M52" s="21">
        <f>59813886.83</f>
        <v>59813886.83</v>
      </c>
      <c r="N52" s="21">
        <f>3707869.9</f>
        <v>3707869.9</v>
      </c>
      <c r="O52" s="21">
        <f>117361.13</f>
        <v>117361.13</v>
      </c>
      <c r="P52" s="21">
        <f>117304.84</f>
        <v>117304.84</v>
      </c>
      <c r="Q52" s="21">
        <f>56.29</f>
        <v>56.29</v>
      </c>
    </row>
    <row r="53" spans="1:17" ht="31.5" customHeight="1">
      <c r="A53" s="16" t="s">
        <v>36</v>
      </c>
      <c r="B53" s="22">
        <f>61000475.51</f>
        <v>61000475.51</v>
      </c>
      <c r="C53" s="22">
        <f>60904277.07</f>
        <v>60904277.07</v>
      </c>
      <c r="D53" s="22">
        <f>26768104.74</f>
        <v>26768104.74</v>
      </c>
      <c r="E53" s="22">
        <f>4714133.19</f>
        <v>4714133.19</v>
      </c>
      <c r="F53" s="22">
        <f>146098.04</f>
        <v>146098.04</v>
      </c>
      <c r="G53" s="22">
        <f>21148497.86</f>
        <v>21148497.86</v>
      </c>
      <c r="H53" s="22">
        <f>759375.65</f>
        <v>759375.65</v>
      </c>
      <c r="I53" s="22">
        <f>0</f>
        <v>0</v>
      </c>
      <c r="J53" s="22">
        <f>23002.06</f>
        <v>23002.06</v>
      </c>
      <c r="K53" s="22">
        <f>120721.02</f>
        <v>120721.02</v>
      </c>
      <c r="L53" s="22">
        <f>21404662.67</f>
        <v>21404662.67</v>
      </c>
      <c r="M53" s="22">
        <f>11648854.08</f>
        <v>11648854.08</v>
      </c>
      <c r="N53" s="22">
        <f>938932.5</f>
        <v>938932.5</v>
      </c>
      <c r="O53" s="22">
        <f>96198.44</f>
        <v>96198.44</v>
      </c>
      <c r="P53" s="22">
        <f>96198.44</f>
        <v>96198.44</v>
      </c>
      <c r="Q53" s="22">
        <f>0</f>
        <v>0</v>
      </c>
    </row>
    <row r="54" spans="1:17" ht="35.25" customHeight="1">
      <c r="A54" s="16" t="s">
        <v>77</v>
      </c>
      <c r="B54" s="22">
        <f>217794918.68</f>
        <v>217794918.68</v>
      </c>
      <c r="C54" s="22">
        <f>217794918.68</f>
        <v>217794918.68</v>
      </c>
      <c r="D54" s="22">
        <f>217386098.5</f>
        <v>217386098.5</v>
      </c>
      <c r="E54" s="22">
        <f>212197888.56</f>
        <v>212197888.56</v>
      </c>
      <c r="F54" s="22">
        <f>4721028.05</f>
        <v>4721028.05</v>
      </c>
      <c r="G54" s="22">
        <f>213884.07</f>
        <v>213884.07</v>
      </c>
      <c r="H54" s="22">
        <f>253297.82</f>
        <v>253297.82</v>
      </c>
      <c r="I54" s="22">
        <f>0</f>
        <v>0</v>
      </c>
      <c r="J54" s="22">
        <f>0</f>
        <v>0</v>
      </c>
      <c r="K54" s="22">
        <f>0</f>
        <v>0</v>
      </c>
      <c r="L54" s="22">
        <f>210156.47</f>
        <v>210156.47</v>
      </c>
      <c r="M54" s="22">
        <f>93886.43</f>
        <v>93886.43</v>
      </c>
      <c r="N54" s="22">
        <f>104777.28</f>
        <v>104777.28</v>
      </c>
      <c r="O54" s="22">
        <f>0</f>
        <v>0</v>
      </c>
      <c r="P54" s="22">
        <f>0</f>
        <v>0</v>
      </c>
      <c r="Q54" s="22">
        <f>0</f>
        <v>0</v>
      </c>
    </row>
    <row r="55" spans="1:17" ht="31.5" customHeight="1">
      <c r="A55" s="16" t="s">
        <v>37</v>
      </c>
      <c r="B55" s="22">
        <f>370706784.87</f>
        <v>370706784.87</v>
      </c>
      <c r="C55" s="22">
        <f>370685622.18</f>
        <v>370685622.18</v>
      </c>
      <c r="D55" s="22">
        <f>171564397.72</f>
        <v>171564397.72</v>
      </c>
      <c r="E55" s="22">
        <f>61317402.66</f>
        <v>61317402.66</v>
      </c>
      <c r="F55" s="22">
        <f>2678483.29</f>
        <v>2678483.29</v>
      </c>
      <c r="G55" s="22">
        <f>104863642.24</f>
        <v>104863642.24</v>
      </c>
      <c r="H55" s="22">
        <f>2704869.53</f>
        <v>2704869.53</v>
      </c>
      <c r="I55" s="22">
        <f>0</f>
        <v>0</v>
      </c>
      <c r="J55" s="22">
        <f>621723.19</f>
        <v>621723.19</v>
      </c>
      <c r="K55" s="22">
        <f>4942256.98</f>
        <v>4942256.98</v>
      </c>
      <c r="L55" s="22">
        <f>142821937.85</f>
        <v>142821937.85</v>
      </c>
      <c r="M55" s="22">
        <f>48071146.32</f>
        <v>48071146.32</v>
      </c>
      <c r="N55" s="22">
        <f>2664160.12</f>
        <v>2664160.12</v>
      </c>
      <c r="O55" s="22">
        <f>21162.69</f>
        <v>21162.69</v>
      </c>
      <c r="P55" s="22">
        <f>21106.4</f>
        <v>21106.4</v>
      </c>
      <c r="Q55" s="22">
        <f>56.29</f>
        <v>56.29</v>
      </c>
    </row>
    <row r="64" spans="1:13" ht="66" customHeight="1">
      <c r="A64" s="29" t="s">
        <v>78</v>
      </c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</row>
    <row r="65" spans="2:13" ht="13.5" customHeight="1">
      <c r="B65" s="39" t="s">
        <v>2</v>
      </c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</row>
    <row r="67" spans="2:12" ht="13.5" customHeight="1">
      <c r="B67" s="43" t="s">
        <v>0</v>
      </c>
      <c r="C67" s="44"/>
      <c r="D67" s="44"/>
      <c r="E67" s="45"/>
      <c r="F67" s="65" t="s">
        <v>66</v>
      </c>
      <c r="G67" s="40" t="s">
        <v>72</v>
      </c>
      <c r="H67" s="54"/>
      <c r="I67" s="54"/>
      <c r="J67" s="54"/>
      <c r="K67" s="54"/>
      <c r="L67" s="41"/>
    </row>
    <row r="68" spans="2:12" ht="13.5" customHeight="1">
      <c r="B68" s="46"/>
      <c r="C68" s="47"/>
      <c r="D68" s="47"/>
      <c r="E68" s="48"/>
      <c r="F68" s="66"/>
      <c r="G68" s="68" t="s">
        <v>67</v>
      </c>
      <c r="H68" s="42" t="s">
        <v>64</v>
      </c>
      <c r="I68" s="42" t="s">
        <v>65</v>
      </c>
      <c r="J68" s="42" t="s">
        <v>68</v>
      </c>
      <c r="K68" s="42" t="s">
        <v>69</v>
      </c>
      <c r="L68" s="83" t="s">
        <v>70</v>
      </c>
    </row>
    <row r="69" spans="2:12" ht="13.5" customHeight="1">
      <c r="B69" s="46"/>
      <c r="C69" s="47"/>
      <c r="D69" s="47"/>
      <c r="E69" s="48"/>
      <c r="F69" s="66"/>
      <c r="G69" s="68"/>
      <c r="H69" s="42"/>
      <c r="I69" s="42"/>
      <c r="J69" s="42"/>
      <c r="K69" s="42"/>
      <c r="L69" s="83"/>
    </row>
    <row r="70" spans="2:12" ht="11.25" customHeight="1">
      <c r="B70" s="46"/>
      <c r="C70" s="47"/>
      <c r="D70" s="47"/>
      <c r="E70" s="48"/>
      <c r="F70" s="66"/>
      <c r="G70" s="68"/>
      <c r="H70" s="42"/>
      <c r="I70" s="42"/>
      <c r="J70" s="42"/>
      <c r="K70" s="42"/>
      <c r="L70" s="83"/>
    </row>
    <row r="71" spans="2:12" ht="11.25" customHeight="1">
      <c r="B71" s="49"/>
      <c r="C71" s="50"/>
      <c r="D71" s="50"/>
      <c r="E71" s="51"/>
      <c r="F71" s="67"/>
      <c r="G71" s="68"/>
      <c r="H71" s="42"/>
      <c r="I71" s="42"/>
      <c r="J71" s="42"/>
      <c r="K71" s="42"/>
      <c r="L71" s="83"/>
    </row>
    <row r="72" spans="2:12" ht="11.25" customHeight="1">
      <c r="B72" s="42">
        <v>1</v>
      </c>
      <c r="C72" s="42"/>
      <c r="D72" s="42"/>
      <c r="E72" s="42"/>
      <c r="F72" s="3">
        <v>2</v>
      </c>
      <c r="G72" s="3">
        <v>3</v>
      </c>
      <c r="H72" s="3">
        <v>4</v>
      </c>
      <c r="I72" s="3">
        <v>5</v>
      </c>
      <c r="J72" s="3">
        <v>6</v>
      </c>
      <c r="K72" s="3">
        <v>7</v>
      </c>
      <c r="L72" s="3">
        <v>8</v>
      </c>
    </row>
    <row r="73" spans="2:12" ht="12.75" customHeight="1">
      <c r="B73" s="42"/>
      <c r="C73" s="42"/>
      <c r="D73" s="42"/>
      <c r="E73" s="42"/>
      <c r="F73" s="40" t="s">
        <v>73</v>
      </c>
      <c r="G73" s="81"/>
      <c r="H73" s="81"/>
      <c r="I73" s="81"/>
      <c r="J73" s="81"/>
      <c r="K73" s="81"/>
      <c r="L73" s="82"/>
    </row>
    <row r="74" spans="2:12" ht="33.75" customHeight="1">
      <c r="B74" s="34" t="s">
        <v>51</v>
      </c>
      <c r="C74" s="35"/>
      <c r="D74" s="35"/>
      <c r="E74" s="36"/>
      <c r="F74" s="24">
        <f>536980494.91</f>
        <v>536980494.91</v>
      </c>
      <c r="G74" s="24">
        <f>261050075.86</f>
        <v>261050075.86</v>
      </c>
      <c r="H74" s="24">
        <f>4731846.93</f>
        <v>4731846.93</v>
      </c>
      <c r="I74" s="24">
        <f>36451921.06</f>
        <v>36451921.06</v>
      </c>
      <c r="J74" s="24">
        <f>193347790.39</f>
        <v>193347790.39</v>
      </c>
      <c r="K74" s="24">
        <f>26518517.48</f>
        <v>26518517.48</v>
      </c>
      <c r="L74" s="24">
        <f>275930419.05</f>
        <v>275930419.05</v>
      </c>
    </row>
    <row r="75" spans="2:12" ht="33.75" customHeight="1">
      <c r="B75" s="34" t="s">
        <v>52</v>
      </c>
      <c r="C75" s="35"/>
      <c r="D75" s="35"/>
      <c r="E75" s="36"/>
      <c r="F75" s="24">
        <f>0</f>
        <v>0</v>
      </c>
      <c r="G75" s="24">
        <f>0</f>
        <v>0</v>
      </c>
      <c r="H75" s="24">
        <f>0</f>
        <v>0</v>
      </c>
      <c r="I75" s="24">
        <f>0</f>
        <v>0</v>
      </c>
      <c r="J75" s="24">
        <f>0</f>
        <v>0</v>
      </c>
      <c r="K75" s="24">
        <f>0</f>
        <v>0</v>
      </c>
      <c r="L75" s="24">
        <f>0</f>
        <v>0</v>
      </c>
    </row>
    <row r="76" spans="2:12" ht="33.75" customHeight="1">
      <c r="B76" s="34" t="s">
        <v>53</v>
      </c>
      <c r="C76" s="35"/>
      <c r="D76" s="35"/>
      <c r="E76" s="36"/>
      <c r="F76" s="24">
        <f>66519472.3</f>
        <v>66519472.3</v>
      </c>
      <c r="G76" s="24">
        <f>42647392.07</f>
        <v>42647392.07</v>
      </c>
      <c r="H76" s="24">
        <f>0</f>
        <v>0</v>
      </c>
      <c r="I76" s="24">
        <f>0</f>
        <v>0</v>
      </c>
      <c r="J76" s="24">
        <f>42647392.07</f>
        <v>42647392.07</v>
      </c>
      <c r="K76" s="24">
        <f>0</f>
        <v>0</v>
      </c>
      <c r="L76" s="24">
        <f>23872080.23</f>
        <v>23872080.23</v>
      </c>
    </row>
    <row r="77" spans="2:12" ht="22.5" customHeight="1">
      <c r="B77" s="34" t="s">
        <v>54</v>
      </c>
      <c r="C77" s="35"/>
      <c r="D77" s="35"/>
      <c r="E77" s="36"/>
      <c r="F77" s="24">
        <f>43989437.75</f>
        <v>43989437.75</v>
      </c>
      <c r="G77" s="24">
        <f>29638669.31</f>
        <v>29638669.31</v>
      </c>
      <c r="H77" s="24">
        <f>0</f>
        <v>0</v>
      </c>
      <c r="I77" s="24">
        <f>3059503.74</f>
        <v>3059503.74</v>
      </c>
      <c r="J77" s="24">
        <f>26579165.57</f>
        <v>26579165.57</v>
      </c>
      <c r="K77" s="24">
        <f>0</f>
        <v>0</v>
      </c>
      <c r="L77" s="24">
        <f>14350768.44</f>
        <v>14350768.44</v>
      </c>
    </row>
    <row r="78" spans="2:12" ht="33.75" customHeight="1">
      <c r="B78" s="34" t="s">
        <v>55</v>
      </c>
      <c r="C78" s="35"/>
      <c r="D78" s="35"/>
      <c r="E78" s="36"/>
      <c r="F78" s="24">
        <f>9829788.55</f>
        <v>9829788.55</v>
      </c>
      <c r="G78" s="24">
        <f>9774786.97</f>
        <v>9774786.97</v>
      </c>
      <c r="H78" s="24">
        <f>0</f>
        <v>0</v>
      </c>
      <c r="I78" s="24">
        <f>0</f>
        <v>0</v>
      </c>
      <c r="J78" s="24">
        <f>9774786.97</f>
        <v>9774786.97</v>
      </c>
      <c r="K78" s="24">
        <f>0</f>
        <v>0</v>
      </c>
      <c r="L78" s="24">
        <f>55001.58</f>
        <v>55001.58</v>
      </c>
    </row>
    <row r="79" spans="2:12" ht="33.75" customHeight="1">
      <c r="B79" s="34" t="s">
        <v>56</v>
      </c>
      <c r="C79" s="35"/>
      <c r="D79" s="35"/>
      <c r="E79" s="36"/>
      <c r="F79" s="24">
        <f>5172206.21</f>
        <v>5172206.21</v>
      </c>
      <c r="G79" s="24">
        <f>3087081.52</f>
        <v>3087081.52</v>
      </c>
      <c r="H79" s="24">
        <f>0</f>
        <v>0</v>
      </c>
      <c r="I79" s="24">
        <f>0</f>
        <v>0</v>
      </c>
      <c r="J79" s="24">
        <f>3087081.52</f>
        <v>3087081.52</v>
      </c>
      <c r="K79" s="24">
        <f>0</f>
        <v>0</v>
      </c>
      <c r="L79" s="24">
        <f>2085124.69</f>
        <v>2085124.69</v>
      </c>
    </row>
    <row r="80" spans="2:12" ht="22.5" customHeight="1">
      <c r="B80" s="34" t="s">
        <v>57</v>
      </c>
      <c r="C80" s="35"/>
      <c r="D80" s="35"/>
      <c r="E80" s="36"/>
      <c r="F80" s="24">
        <f>967000</f>
        <v>967000</v>
      </c>
      <c r="G80" s="24">
        <f>800000</f>
        <v>800000</v>
      </c>
      <c r="H80" s="24">
        <f>0</f>
        <v>0</v>
      </c>
      <c r="I80" s="24">
        <f>0</f>
        <v>0</v>
      </c>
      <c r="J80" s="24">
        <f>800000</f>
        <v>800000</v>
      </c>
      <c r="K80" s="24">
        <f>0</f>
        <v>0</v>
      </c>
      <c r="L80" s="24">
        <f>167000</f>
        <v>167000</v>
      </c>
    </row>
    <row r="83" spans="1:13" ht="75" customHeight="1">
      <c r="A83" s="29" t="s">
        <v>78</v>
      </c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</row>
    <row r="84" ht="13.5" customHeight="1">
      <c r="B84" s="4"/>
    </row>
    <row r="85" spans="2:11" ht="13.5" customHeight="1">
      <c r="B85" s="5"/>
      <c r="C85" s="40"/>
      <c r="D85" s="54"/>
      <c r="E85" s="54"/>
      <c r="F85" s="41"/>
      <c r="G85" s="40" t="s">
        <v>3</v>
      </c>
      <c r="H85" s="41"/>
      <c r="I85" s="40" t="s">
        <v>4</v>
      </c>
      <c r="J85" s="41"/>
      <c r="K85" s="5"/>
    </row>
    <row r="86" spans="2:11" ht="13.5" customHeight="1">
      <c r="B86" s="6"/>
      <c r="C86" s="55" t="s">
        <v>5</v>
      </c>
      <c r="D86" s="56"/>
      <c r="E86" s="56"/>
      <c r="F86" s="57"/>
      <c r="G86" s="52">
        <f>302</f>
        <v>302</v>
      </c>
      <c r="H86" s="53"/>
      <c r="I86" s="37">
        <f>2703471747.8</f>
        <v>2703471747.8</v>
      </c>
      <c r="J86" s="38"/>
      <c r="K86" s="7"/>
    </row>
    <row r="87" spans="2:11" ht="13.5" customHeight="1">
      <c r="B87" s="6"/>
      <c r="C87" s="58" t="s">
        <v>6</v>
      </c>
      <c r="D87" s="59"/>
      <c r="E87" s="59"/>
      <c r="F87" s="60"/>
      <c r="G87" s="61">
        <f>12</f>
        <v>12</v>
      </c>
      <c r="H87" s="62"/>
      <c r="I87" s="63">
        <f>-42837136.09</f>
        <v>-42837136.09</v>
      </c>
      <c r="J87" s="64"/>
      <c r="K87" s="7"/>
    </row>
    <row r="88" spans="2:11" ht="13.5" customHeight="1">
      <c r="B88" s="6"/>
      <c r="C88" s="55" t="s">
        <v>7</v>
      </c>
      <c r="D88" s="56"/>
      <c r="E88" s="56"/>
      <c r="F88" s="57"/>
      <c r="G88" s="52">
        <f>0</f>
        <v>0</v>
      </c>
      <c r="H88" s="53"/>
      <c r="I88" s="37">
        <f>0</f>
        <v>0</v>
      </c>
      <c r="J88" s="38"/>
      <c r="K88" s="7"/>
    </row>
  </sheetData>
  <sheetProtection/>
  <mergeCells count="79">
    <mergeCell ref="B12:Q12"/>
    <mergeCell ref="B37:Q37"/>
    <mergeCell ref="B72:E72"/>
    <mergeCell ref="F73:L73"/>
    <mergeCell ref="L68:L71"/>
    <mergeCell ref="F32:F35"/>
    <mergeCell ref="G32:G35"/>
    <mergeCell ref="H32:H35"/>
    <mergeCell ref="K32:K35"/>
    <mergeCell ref="I32:I35"/>
    <mergeCell ref="J32:J35"/>
    <mergeCell ref="A31:A35"/>
    <mergeCell ref="C32:C35"/>
    <mergeCell ref="E32:E35"/>
    <mergeCell ref="B31:B35"/>
    <mergeCell ref="K68:K71"/>
    <mergeCell ref="H68:H71"/>
    <mergeCell ref="I68:I71"/>
    <mergeCell ref="J68:J71"/>
    <mergeCell ref="Q7:Q10"/>
    <mergeCell ref="C31:N31"/>
    <mergeCell ref="L7:L10"/>
    <mergeCell ref="M7:M10"/>
    <mergeCell ref="N7:N10"/>
    <mergeCell ref="P7:P10"/>
    <mergeCell ref="A27:M27"/>
    <mergeCell ref="O31:Q31"/>
    <mergeCell ref="A29:M29"/>
    <mergeCell ref="G7:G10"/>
    <mergeCell ref="F7:F10"/>
    <mergeCell ref="I7:I10"/>
    <mergeCell ref="J7:J10"/>
    <mergeCell ref="A1:M1"/>
    <mergeCell ref="C5:M5"/>
    <mergeCell ref="A3:M3"/>
    <mergeCell ref="K7:K10"/>
    <mergeCell ref="C7:C10"/>
    <mergeCell ref="B6:B10"/>
    <mergeCell ref="A6:A10"/>
    <mergeCell ref="C6:N6"/>
    <mergeCell ref="D7:D10"/>
    <mergeCell ref="E7:E10"/>
    <mergeCell ref="B78:E78"/>
    <mergeCell ref="B75:E75"/>
    <mergeCell ref="M32:M35"/>
    <mergeCell ref="B74:E74"/>
    <mergeCell ref="F67:F71"/>
    <mergeCell ref="G68:G71"/>
    <mergeCell ref="G67:L67"/>
    <mergeCell ref="G88:H88"/>
    <mergeCell ref="I88:J88"/>
    <mergeCell ref="C85:F85"/>
    <mergeCell ref="C86:F86"/>
    <mergeCell ref="C87:F87"/>
    <mergeCell ref="C88:F88"/>
    <mergeCell ref="G86:H86"/>
    <mergeCell ref="G85:H85"/>
    <mergeCell ref="G87:H87"/>
    <mergeCell ref="I87:J87"/>
    <mergeCell ref="B79:E79"/>
    <mergeCell ref="I86:J86"/>
    <mergeCell ref="B65:M65"/>
    <mergeCell ref="I85:J85"/>
    <mergeCell ref="B73:E73"/>
    <mergeCell ref="B67:E71"/>
    <mergeCell ref="B80:E80"/>
    <mergeCell ref="A83:M83"/>
    <mergeCell ref="B76:E76"/>
    <mergeCell ref="B77:E77"/>
    <mergeCell ref="O6:Q6"/>
    <mergeCell ref="O7:O10"/>
    <mergeCell ref="A64:M64"/>
    <mergeCell ref="L32:L35"/>
    <mergeCell ref="P32:P35"/>
    <mergeCell ref="Q32:Q35"/>
    <mergeCell ref="N32:N35"/>
    <mergeCell ref="O32:O35"/>
    <mergeCell ref="D32:D35"/>
    <mergeCell ref="H7:H10"/>
  </mergeCells>
  <printOptions/>
  <pageMargins left="0.1968503937007874" right="0.1968503937007874" top="0.1968503937007874" bottom="0.1968503937007874" header="0" footer="0"/>
  <pageSetup firstPageNumber="1" useFirstPageNumber="1" horizontalDpi="300" verticalDpi="300" orientation="landscape" paperSize="9" scale="69" r:id="rId1"/>
  <headerFooter alignWithMargins="0">
    <oddFooter>&amp;L&amp;D&amp;Rstrona &amp;P z 3</oddFooter>
  </headerFooter>
  <rowBreaks count="2" manualBreakCount="2">
    <brk id="26" max="255" man="1"/>
    <brk id="6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Min. Fin.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2009-11-20T13:10:55Z</cp:lastPrinted>
  <dcterms:created xsi:type="dcterms:W3CDTF">2001-05-17T08:58:03Z</dcterms:created>
  <dcterms:modified xsi:type="dcterms:W3CDTF">2019-11-21T09:43:59Z</dcterms:modified>
  <cp:category/>
  <cp:version/>
  <cp:contentType/>
  <cp:contentStatus/>
</cp:coreProperties>
</file>