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HHCY\Documents\```ST7\Besti@\2024\IV kwartał\2025.03.18 dane ostateczne\Zbiorówki_2024_k4_2025.03.18\Publikacja\"/>
    </mc:Choice>
  </mc:AlternateContent>
  <xr:revisionPtr revIDLastSave="0" documentId="13_ncr:1_{71D951F6-F33A-44F7-86E3-13DB5183E14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och_wyd" sheetId="4" r:id="rId1"/>
  </sheets>
  <definedNames>
    <definedName name="_xlnm.Print_Area" localSheetId="0">doch_wyd!$A$1:$M$141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41" i="4" l="1"/>
  <c r="C140" i="4"/>
  <c r="C139" i="4"/>
  <c r="C138" i="4"/>
  <c r="D136" i="4"/>
  <c r="C136" i="4"/>
  <c r="D135" i="4"/>
  <c r="C135" i="4"/>
  <c r="D134" i="4"/>
  <c r="C134" i="4"/>
  <c r="D133" i="4"/>
  <c r="C133" i="4"/>
  <c r="D132" i="4"/>
  <c r="C132" i="4"/>
  <c r="D131" i="4"/>
  <c r="C131" i="4"/>
  <c r="D130" i="4"/>
  <c r="C130" i="4"/>
  <c r="D129" i="4"/>
  <c r="C129" i="4"/>
  <c r="D128" i="4"/>
  <c r="C128" i="4"/>
  <c r="D123" i="4"/>
  <c r="C123" i="4"/>
  <c r="D122" i="4"/>
  <c r="C122" i="4"/>
  <c r="D121" i="4"/>
  <c r="C121" i="4"/>
  <c r="D120" i="4"/>
  <c r="C120" i="4"/>
  <c r="D119" i="4"/>
  <c r="C119" i="4"/>
  <c r="D118" i="4"/>
  <c r="C118" i="4"/>
  <c r="D117" i="4"/>
  <c r="C117" i="4"/>
  <c r="D116" i="4"/>
  <c r="C116" i="4"/>
  <c r="D115" i="4"/>
  <c r="C115" i="4"/>
  <c r="D114" i="4"/>
  <c r="C114" i="4"/>
  <c r="D113" i="4"/>
  <c r="C113" i="4"/>
  <c r="D112" i="4"/>
  <c r="C112" i="4"/>
  <c r="D111" i="4"/>
  <c r="C111" i="4"/>
  <c r="D110" i="4"/>
  <c r="C110" i="4"/>
  <c r="D109" i="4"/>
  <c r="C109" i="4"/>
  <c r="D108" i="4"/>
  <c r="C108" i="4"/>
  <c r="D107" i="4"/>
  <c r="C107" i="4"/>
  <c r="I99" i="4"/>
  <c r="H99" i="4"/>
  <c r="G99" i="4"/>
  <c r="F99" i="4"/>
  <c r="E99" i="4"/>
  <c r="D99" i="4"/>
  <c r="C99" i="4"/>
  <c r="I98" i="4"/>
  <c r="H98" i="4"/>
  <c r="G98" i="4"/>
  <c r="F98" i="4"/>
  <c r="E98" i="4"/>
  <c r="D98" i="4"/>
  <c r="C98" i="4"/>
  <c r="I92" i="4"/>
  <c r="H92" i="4"/>
  <c r="G92" i="4"/>
  <c r="F92" i="4"/>
  <c r="E92" i="4"/>
  <c r="D92" i="4"/>
  <c r="C92" i="4"/>
  <c r="I91" i="4"/>
  <c r="H91" i="4"/>
  <c r="G91" i="4"/>
  <c r="F91" i="4"/>
  <c r="E91" i="4"/>
  <c r="D91" i="4"/>
  <c r="C91" i="4"/>
  <c r="I90" i="4"/>
  <c r="H90" i="4"/>
  <c r="G90" i="4"/>
  <c r="F90" i="4"/>
  <c r="E90" i="4"/>
  <c r="D90" i="4"/>
  <c r="C90" i="4"/>
  <c r="I89" i="4"/>
  <c r="H89" i="4"/>
  <c r="G89" i="4"/>
  <c r="F89" i="4"/>
  <c r="E89" i="4"/>
  <c r="D89" i="4"/>
  <c r="C89" i="4"/>
  <c r="I88" i="4"/>
  <c r="H88" i="4"/>
  <c r="G88" i="4"/>
  <c r="F88" i="4"/>
  <c r="F93" i="4" s="1"/>
  <c r="E88" i="4"/>
  <c r="D88" i="4"/>
  <c r="C88" i="4"/>
  <c r="I86" i="4"/>
  <c r="H86" i="4"/>
  <c r="G86" i="4"/>
  <c r="F86" i="4"/>
  <c r="E86" i="4"/>
  <c r="D86" i="4"/>
  <c r="C86" i="4"/>
  <c r="I85" i="4"/>
  <c r="H85" i="4"/>
  <c r="G85" i="4"/>
  <c r="F85" i="4"/>
  <c r="E85" i="4"/>
  <c r="D85" i="4"/>
  <c r="C85" i="4"/>
  <c r="I84" i="4"/>
  <c r="H84" i="4"/>
  <c r="G84" i="4"/>
  <c r="G87" i="4" s="1"/>
  <c r="F84" i="4"/>
  <c r="E84" i="4"/>
  <c r="D84" i="4"/>
  <c r="C84" i="4"/>
  <c r="I73" i="4"/>
  <c r="H73" i="4"/>
  <c r="G73" i="4"/>
  <c r="F73" i="4"/>
  <c r="E73" i="4"/>
  <c r="D73" i="4"/>
  <c r="C73" i="4"/>
  <c r="D70" i="4"/>
  <c r="C70" i="4"/>
  <c r="D69" i="4"/>
  <c r="C69" i="4"/>
  <c r="D67" i="4"/>
  <c r="C67" i="4"/>
  <c r="D66" i="4"/>
  <c r="C66" i="4"/>
  <c r="D65" i="4"/>
  <c r="C65" i="4"/>
  <c r="D63" i="4"/>
  <c r="C63" i="4"/>
  <c r="D62" i="4"/>
  <c r="C62" i="4"/>
  <c r="D61" i="4"/>
  <c r="C61" i="4"/>
  <c r="D59" i="4"/>
  <c r="C59" i="4"/>
  <c r="D58" i="4"/>
  <c r="C58" i="4"/>
  <c r="D57" i="4"/>
  <c r="C57" i="4"/>
  <c r="D56" i="4"/>
  <c r="C56" i="4"/>
  <c r="D55" i="4"/>
  <c r="C55" i="4"/>
  <c r="D54" i="4"/>
  <c r="C54" i="4"/>
  <c r="D53" i="4"/>
  <c r="C53" i="4"/>
  <c r="D52" i="4"/>
  <c r="J52" i="4" s="1"/>
  <c r="C52" i="4"/>
  <c r="D51" i="4"/>
  <c r="C51" i="4"/>
  <c r="D50" i="4"/>
  <c r="C50" i="4"/>
  <c r="D49" i="4"/>
  <c r="C49" i="4"/>
  <c r="D48" i="4"/>
  <c r="C48" i="4"/>
  <c r="D47" i="4"/>
  <c r="C47" i="4"/>
  <c r="D46" i="4"/>
  <c r="D39" i="4" s="1"/>
  <c r="C46" i="4"/>
  <c r="D45" i="4"/>
  <c r="C45" i="4"/>
  <c r="D44" i="4"/>
  <c r="C44" i="4"/>
  <c r="D43" i="4"/>
  <c r="C43" i="4"/>
  <c r="D42" i="4"/>
  <c r="C42" i="4"/>
  <c r="D41" i="4"/>
  <c r="C41" i="4"/>
  <c r="D40" i="4"/>
  <c r="C40" i="4"/>
  <c r="D38" i="4"/>
  <c r="C38" i="4"/>
  <c r="D37" i="4"/>
  <c r="C37" i="4"/>
  <c r="D36" i="4"/>
  <c r="C36" i="4"/>
  <c r="D35" i="4"/>
  <c r="C35" i="4"/>
  <c r="D34" i="4"/>
  <c r="C34" i="4"/>
  <c r="D33" i="4"/>
  <c r="C33" i="4"/>
  <c r="K33" i="4" s="1"/>
  <c r="D31" i="4"/>
  <c r="K31" i="4" s="1"/>
  <c r="C31" i="4"/>
  <c r="D30" i="4"/>
  <c r="C30" i="4"/>
  <c r="D29" i="4"/>
  <c r="C29" i="4"/>
  <c r="D28" i="4"/>
  <c r="C28" i="4"/>
  <c r="D27" i="4"/>
  <c r="C27" i="4"/>
  <c r="K27" i="4" s="1"/>
  <c r="D26" i="4"/>
  <c r="C26" i="4"/>
  <c r="I21" i="4"/>
  <c r="H21" i="4"/>
  <c r="G21" i="4"/>
  <c r="F21" i="4"/>
  <c r="E21" i="4"/>
  <c r="D21" i="4"/>
  <c r="J21" i="4" s="1"/>
  <c r="C21" i="4"/>
  <c r="I20" i="4"/>
  <c r="H20" i="4"/>
  <c r="G20" i="4"/>
  <c r="F20" i="4"/>
  <c r="E20" i="4"/>
  <c r="D20" i="4"/>
  <c r="C20" i="4"/>
  <c r="I19" i="4"/>
  <c r="H19" i="4"/>
  <c r="G19" i="4"/>
  <c r="F19" i="4"/>
  <c r="E19" i="4"/>
  <c r="D19" i="4"/>
  <c r="C19" i="4"/>
  <c r="K19" i="4" s="1"/>
  <c r="I18" i="4"/>
  <c r="H18" i="4"/>
  <c r="G18" i="4"/>
  <c r="F18" i="4"/>
  <c r="E18" i="4"/>
  <c r="D18" i="4"/>
  <c r="C18" i="4"/>
  <c r="I17" i="4"/>
  <c r="H17" i="4"/>
  <c r="G17" i="4"/>
  <c r="F17" i="4"/>
  <c r="E17" i="4"/>
  <c r="D17" i="4"/>
  <c r="K17" i="4" s="1"/>
  <c r="C17" i="4"/>
  <c r="I16" i="4"/>
  <c r="H16" i="4"/>
  <c r="G16" i="4"/>
  <c r="F16" i="4"/>
  <c r="E16" i="4"/>
  <c r="D16" i="4"/>
  <c r="C16" i="4"/>
  <c r="I15" i="4"/>
  <c r="H15" i="4"/>
  <c r="G15" i="4"/>
  <c r="F15" i="4"/>
  <c r="E15" i="4"/>
  <c r="D15" i="4"/>
  <c r="C15" i="4"/>
  <c r="I14" i="4"/>
  <c r="H14" i="4"/>
  <c r="G14" i="4"/>
  <c r="F14" i="4"/>
  <c r="E14" i="4"/>
  <c r="D14" i="4"/>
  <c r="C14" i="4"/>
  <c r="I13" i="4"/>
  <c r="H13" i="4"/>
  <c r="G13" i="4"/>
  <c r="F13" i="4"/>
  <c r="E13" i="4"/>
  <c r="D13" i="4"/>
  <c r="C13" i="4"/>
  <c r="I12" i="4"/>
  <c r="H12" i="4"/>
  <c r="G12" i="4"/>
  <c r="F12" i="4"/>
  <c r="E12" i="4"/>
  <c r="D12" i="4"/>
  <c r="C12" i="4"/>
  <c r="I11" i="4"/>
  <c r="H11" i="4"/>
  <c r="G11" i="4"/>
  <c r="F11" i="4"/>
  <c r="E11" i="4"/>
  <c r="D11" i="4"/>
  <c r="C11" i="4"/>
  <c r="I10" i="4"/>
  <c r="H10" i="4"/>
  <c r="G10" i="4"/>
  <c r="F10" i="4"/>
  <c r="E10" i="4"/>
  <c r="D10" i="4"/>
  <c r="C10" i="4"/>
  <c r="I9" i="4"/>
  <c r="H9" i="4"/>
  <c r="G9" i="4"/>
  <c r="F9" i="4"/>
  <c r="E9" i="4"/>
  <c r="D9" i="4"/>
  <c r="C9" i="4"/>
  <c r="I8" i="4"/>
  <c r="H8" i="4"/>
  <c r="G8" i="4"/>
  <c r="F8" i="4"/>
  <c r="E8" i="4"/>
  <c r="D8" i="4"/>
  <c r="C8" i="4"/>
  <c r="I7" i="4"/>
  <c r="H7" i="4"/>
  <c r="G7" i="4"/>
  <c r="F7" i="4"/>
  <c r="E7" i="4"/>
  <c r="D7" i="4"/>
  <c r="C7" i="4"/>
  <c r="I5" i="4"/>
  <c r="H5" i="4"/>
  <c r="H6" i="4" s="1"/>
  <c r="G5" i="4"/>
  <c r="F5" i="4"/>
  <c r="E5" i="4"/>
  <c r="E72" i="4" s="1"/>
  <c r="E74" i="4" s="1"/>
  <c r="D5" i="4"/>
  <c r="C5" i="4"/>
  <c r="C72" i="4" s="1"/>
  <c r="K10" i="4"/>
  <c r="K85" i="4"/>
  <c r="K38" i="4"/>
  <c r="F109" i="4"/>
  <c r="K13" i="4"/>
  <c r="K20" i="4"/>
  <c r="K40" i="4"/>
  <c r="D68" i="4"/>
  <c r="J68" i="4" s="1"/>
  <c r="F110" i="4"/>
  <c r="K70" i="4"/>
  <c r="F118" i="4"/>
  <c r="K57" i="4"/>
  <c r="K58" i="4"/>
  <c r="K15" i="4"/>
  <c r="K49" i="4"/>
  <c r="K73" i="4"/>
  <c r="F121" i="4"/>
  <c r="K30" i="4"/>
  <c r="K18" i="4"/>
  <c r="K86" i="4"/>
  <c r="K89" i="4"/>
  <c r="E123" i="4"/>
  <c r="E120" i="4"/>
  <c r="E119" i="4"/>
  <c r="E121" i="4"/>
  <c r="E122" i="4"/>
  <c r="E118" i="4"/>
  <c r="K29" i="4"/>
  <c r="K50" i="4"/>
  <c r="I87" i="4"/>
  <c r="I93" i="4"/>
  <c r="F122" i="4"/>
  <c r="K16" i="4"/>
  <c r="K43" i="4"/>
  <c r="K51" i="4"/>
  <c r="F111" i="4"/>
  <c r="F123" i="4"/>
  <c r="K11" i="4"/>
  <c r="K98" i="4"/>
  <c r="C100" i="4"/>
  <c r="K100" i="4"/>
  <c r="F112" i="4"/>
  <c r="J54" i="4"/>
  <c r="J12" i="4"/>
  <c r="J8" i="4"/>
  <c r="J7" i="4"/>
  <c r="J38" i="4"/>
  <c r="J5" i="4"/>
  <c r="J66" i="4"/>
  <c r="J13" i="4"/>
  <c r="J44" i="4"/>
  <c r="J37" i="4"/>
  <c r="J70" i="4"/>
  <c r="J58" i="4"/>
  <c r="J19" i="4"/>
  <c r="J18" i="4"/>
  <c r="J65" i="4"/>
  <c r="J62" i="4"/>
  <c r="J30" i="4"/>
  <c r="J35" i="4"/>
  <c r="J16" i="4"/>
  <c r="J33" i="4"/>
  <c r="D94" i="4"/>
  <c r="J43" i="4"/>
  <c r="J63" i="4"/>
  <c r="J42" i="4"/>
  <c r="J49" i="4"/>
  <c r="J36" i="4"/>
  <c r="J14" i="4"/>
  <c r="J34" i="4"/>
  <c r="J59" i="4"/>
  <c r="J10" i="4"/>
  <c r="J56" i="4"/>
  <c r="J53" i="4"/>
  <c r="J47" i="4"/>
  <c r="J72" i="4"/>
  <c r="J11" i="4"/>
  <c r="J73" i="4"/>
  <c r="J41" i="4"/>
  <c r="J26" i="4"/>
  <c r="J40" i="4"/>
  <c r="J51" i="4"/>
  <c r="D72" i="4"/>
  <c r="D74" i="4"/>
  <c r="D95" i="4" s="1"/>
  <c r="J74" i="4"/>
  <c r="J57" i="4"/>
  <c r="J67" i="4"/>
  <c r="J50" i="4"/>
  <c r="J55" i="4"/>
  <c r="J45" i="4"/>
  <c r="J20" i="4"/>
  <c r="J9" i="4"/>
  <c r="J28" i="4"/>
  <c r="J27" i="4"/>
  <c r="J48" i="4"/>
  <c r="J61" i="4"/>
  <c r="J69" i="4"/>
  <c r="J29" i="4"/>
  <c r="J15" i="4"/>
  <c r="K44" i="4"/>
  <c r="K63" i="4"/>
  <c r="J99" i="4"/>
  <c r="J98" i="4"/>
  <c r="D100" i="4"/>
  <c r="J100" i="4"/>
  <c r="K9" i="4"/>
  <c r="F115" i="4"/>
  <c r="F72" i="4"/>
  <c r="F74" i="4"/>
  <c r="F6" i="4"/>
  <c r="K36" i="4"/>
  <c r="K45" i="4"/>
  <c r="K55" i="4"/>
  <c r="K65" i="4"/>
  <c r="C64" i="4"/>
  <c r="C60" i="4" s="1"/>
  <c r="K64" i="4"/>
  <c r="F87" i="4"/>
  <c r="K99" i="4"/>
  <c r="K62" i="4"/>
  <c r="E87" i="4"/>
  <c r="E93" i="4"/>
  <c r="I100" i="4"/>
  <c r="G6" i="4"/>
  <c r="G72" i="4"/>
  <c r="G74" i="4"/>
  <c r="D64" i="4"/>
  <c r="J64" i="4" s="1"/>
  <c r="K88" i="4"/>
  <c r="K91" i="4"/>
  <c r="F116" i="4"/>
  <c r="K26" i="4"/>
  <c r="C25" i="4"/>
  <c r="K37" i="4"/>
  <c r="K56" i="4"/>
  <c r="K66" i="4"/>
  <c r="H87" i="4"/>
  <c r="H93" i="4" s="1"/>
  <c r="F117" i="4"/>
  <c r="D25" i="4"/>
  <c r="J25" i="4" s="1"/>
  <c r="D32" i="4"/>
  <c r="J32" i="4" s="1"/>
  <c r="E100" i="4"/>
  <c r="F107" i="4"/>
  <c r="F113" i="4"/>
  <c r="F119" i="4"/>
  <c r="K34" i="4"/>
  <c r="K53" i="4"/>
  <c r="K90" i="4"/>
  <c r="F100" i="4"/>
  <c r="E116" i="4"/>
  <c r="E111" i="4"/>
  <c r="E112" i="4"/>
  <c r="E108" i="4"/>
  <c r="E110" i="4"/>
  <c r="E113" i="4"/>
  <c r="E107" i="4"/>
  <c r="E109" i="4"/>
  <c r="E117" i="4"/>
  <c r="E114" i="4"/>
  <c r="E115" i="4"/>
  <c r="K84" i="4"/>
  <c r="C87" i="4"/>
  <c r="C93" i="4" s="1"/>
  <c r="G100" i="4"/>
  <c r="F108" i="4"/>
  <c r="F114" i="4"/>
  <c r="F120" i="4"/>
  <c r="I72" i="4"/>
  <c r="I74" i="4"/>
  <c r="I6" i="4"/>
  <c r="K12" i="4"/>
  <c r="K41" i="4"/>
  <c r="K47" i="4"/>
  <c r="K59" i="4"/>
  <c r="K67" i="4"/>
  <c r="D138" i="4"/>
  <c r="B77" i="4" s="1"/>
  <c r="K7" i="4"/>
  <c r="K14" i="4"/>
  <c r="K28" i="4"/>
  <c r="K35" i="4"/>
  <c r="K42" i="4"/>
  <c r="K48" i="4"/>
  <c r="K54" i="4"/>
  <c r="K61" i="4"/>
  <c r="K69" i="4"/>
  <c r="C68" i="4"/>
  <c r="K68" i="4" s="1"/>
  <c r="J91" i="4"/>
  <c r="J88" i="4"/>
  <c r="D87" i="4"/>
  <c r="J87" i="4" s="1"/>
  <c r="D93" i="4"/>
  <c r="J93" i="4"/>
  <c r="J84" i="4"/>
  <c r="J90" i="4"/>
  <c r="J85" i="4"/>
  <c r="J92" i="4"/>
  <c r="J86" i="4"/>
  <c r="J89" i="4"/>
  <c r="K92" i="4"/>
  <c r="H100" i="4"/>
  <c r="D60" i="4" l="1"/>
  <c r="J60" i="4" s="1"/>
  <c r="B102" i="4"/>
  <c r="B1" i="4"/>
  <c r="G93" i="4"/>
  <c r="K87" i="4"/>
  <c r="K93" i="4"/>
  <c r="K52" i="4"/>
  <c r="C39" i="4"/>
  <c r="K39" i="4" s="1"/>
  <c r="D24" i="4"/>
  <c r="D23" i="4" s="1"/>
  <c r="J39" i="4"/>
  <c r="J46" i="4"/>
  <c r="K46" i="4"/>
  <c r="C32" i="4"/>
  <c r="K32" i="4" s="1"/>
  <c r="J31" i="4"/>
  <c r="K25" i="4"/>
  <c r="F22" i="4"/>
  <c r="K21" i="4"/>
  <c r="I22" i="4"/>
  <c r="J17" i="4"/>
  <c r="H22" i="4"/>
  <c r="G22" i="4"/>
  <c r="K8" i="4"/>
  <c r="H72" i="4"/>
  <c r="H74" i="4" s="1"/>
  <c r="E6" i="4"/>
  <c r="E22" i="4" s="1"/>
  <c r="K72" i="4"/>
  <c r="C74" i="4"/>
  <c r="K5" i="4"/>
  <c r="C94" i="4"/>
  <c r="K60" i="4" l="1"/>
  <c r="D6" i="4"/>
  <c r="L8" i="4" s="1"/>
  <c r="J24" i="4"/>
  <c r="J23" i="4"/>
  <c r="L19" i="4"/>
  <c r="L13" i="4"/>
  <c r="L18" i="4"/>
  <c r="L14" i="4"/>
  <c r="L12" i="4"/>
  <c r="L20" i="4"/>
  <c r="D22" i="4"/>
  <c r="J22" i="4" s="1"/>
  <c r="L16" i="4"/>
  <c r="L21" i="4"/>
  <c r="C24" i="4"/>
  <c r="L7" i="4"/>
  <c r="J6" i="4"/>
  <c r="L6" i="4"/>
  <c r="L11" i="4"/>
  <c r="L10" i="4"/>
  <c r="C95" i="4"/>
  <c r="K74" i="4"/>
  <c r="L9" i="4" l="1"/>
  <c r="L17" i="4"/>
  <c r="L15" i="4"/>
  <c r="L22" i="4"/>
  <c r="C23" i="4"/>
  <c r="K24" i="4"/>
  <c r="K23" i="4" l="1"/>
  <c r="C6" i="4"/>
  <c r="C22" i="4" l="1"/>
  <c r="K22" i="4" s="1"/>
  <c r="K6" i="4"/>
</calcChain>
</file>

<file path=xl/sharedStrings.xml><?xml version="1.0" encoding="utf-8"?>
<sst xmlns="http://schemas.openxmlformats.org/spreadsheetml/2006/main" count="395" uniqueCount="126">
  <si>
    <t xml:space="preserve">Wyszczególnienie </t>
  </si>
  <si>
    <t xml:space="preserve">Wykonanie </t>
  </si>
  <si>
    <t xml:space="preserve">Struktura </t>
  </si>
  <si>
    <t>Struktura dochodów  własnych</t>
  </si>
  <si>
    <t>w %%</t>
  </si>
  <si>
    <t>DOCHODY OGÓŁEM</t>
  </si>
  <si>
    <t>w tym:   inwestycyjne</t>
  </si>
  <si>
    <t>otrzymane z funduszy celowych</t>
  </si>
  <si>
    <t xml:space="preserve">na zadania realizowane na podstawie porozumień  z org. adm. rządowej </t>
  </si>
  <si>
    <t>na zadania realizowane na podstawie porozumień między jst</t>
  </si>
  <si>
    <t>Zobowiązania wg stanu na koniec 
okresu sprawozdawczego</t>
  </si>
  <si>
    <t>w tym:   wydatki na inwestycje</t>
  </si>
  <si>
    <t xml:space="preserve">wydatki majątkowe      </t>
  </si>
  <si>
    <t xml:space="preserve">WYNIK  </t>
  </si>
  <si>
    <t>Wyszczególnienie</t>
  </si>
  <si>
    <t>Plan (po zmianach)</t>
  </si>
  <si>
    <t>Wskaźnik 
(3:2)</t>
  </si>
  <si>
    <t xml:space="preserve">podatek rolny  </t>
  </si>
  <si>
    <t xml:space="preserve">podatek od nieruchomości </t>
  </si>
  <si>
    <t xml:space="preserve">podatek leśny        </t>
  </si>
  <si>
    <t>podatek od środków transportowych</t>
  </si>
  <si>
    <t>dochody z majątku</t>
  </si>
  <si>
    <t xml:space="preserve">pozostałe dochody </t>
  </si>
  <si>
    <t>Struktura</t>
  </si>
  <si>
    <t>Wskaźnik</t>
  </si>
  <si>
    <t xml:space="preserve">podatek od spadków i darowizn       </t>
  </si>
  <si>
    <t>podatek od czynności cywilnoprawnych</t>
  </si>
  <si>
    <t>w tym wymagalne:</t>
  </si>
  <si>
    <r>
      <t xml:space="preserve">Plan 
(po zmianach)
</t>
    </r>
    <r>
      <rPr>
        <b/>
        <sz val="10"/>
        <color indexed="8"/>
        <rFont val="Arial"/>
        <family val="2"/>
        <charset val="238"/>
      </rPr>
      <t>R1</t>
    </r>
  </si>
  <si>
    <r>
      <t xml:space="preserve">Dochody 
wykonane
(wpływy minus zwroty) 
</t>
    </r>
    <r>
      <rPr>
        <b/>
        <sz val="10"/>
        <color indexed="8"/>
        <rFont val="Arial"/>
        <family val="2"/>
        <charset val="238"/>
      </rPr>
      <t>R4</t>
    </r>
  </si>
  <si>
    <r>
      <t xml:space="preserve">Obniżenie górnych stawek podatkowych
</t>
    </r>
    <r>
      <rPr>
        <b/>
        <sz val="10"/>
        <color indexed="8"/>
        <rFont val="Arial"/>
        <family val="2"/>
        <charset val="238"/>
      </rPr>
      <t>R7</t>
    </r>
  </si>
  <si>
    <r>
      <t xml:space="preserve">Ulgi i zwolnienia
</t>
    </r>
    <r>
      <rPr>
        <b/>
        <sz val="10"/>
        <color indexed="8"/>
        <rFont val="Arial"/>
        <family val="2"/>
        <charset val="238"/>
      </rPr>
      <t>R8</t>
    </r>
  </si>
  <si>
    <r>
      <t xml:space="preserve">Umorzenie zaległości podatkowych
</t>
    </r>
    <r>
      <rPr>
        <b/>
        <sz val="10"/>
        <color indexed="8"/>
        <rFont val="Arial"/>
        <family val="2"/>
        <charset val="238"/>
      </rPr>
      <t>R11Z</t>
    </r>
  </si>
  <si>
    <r>
      <t xml:space="preserve">Rozłożenie na raty, odroczenie terminu płatności
</t>
    </r>
    <r>
      <rPr>
        <b/>
        <sz val="10"/>
        <color indexed="8"/>
        <rFont val="Arial"/>
        <family val="2"/>
        <charset val="238"/>
      </rPr>
      <t>R11R</t>
    </r>
  </si>
  <si>
    <r>
      <t xml:space="preserve">Potrącenia 
</t>
    </r>
    <r>
      <rPr>
        <b/>
        <sz val="10"/>
        <color indexed="8"/>
        <rFont val="Arial"/>
        <family val="2"/>
        <charset val="238"/>
      </rPr>
      <t>R3</t>
    </r>
  </si>
  <si>
    <t>uzupełnienie subwencji ogólnej</t>
  </si>
  <si>
    <t xml:space="preserve">podatek od dział. gosp. osób fizycznych, opłacany w formie karty podatkowej </t>
  </si>
  <si>
    <t>część równoważąca</t>
  </si>
  <si>
    <t>część rekompensująca</t>
  </si>
  <si>
    <t>część oświatowa</t>
  </si>
  <si>
    <t>część wyrównawcza</t>
  </si>
  <si>
    <t>pozostałe wydatki</t>
  </si>
  <si>
    <t>wydatki na obsługę długu</t>
  </si>
  <si>
    <t>dotacje</t>
  </si>
  <si>
    <r>
      <t xml:space="preserve">powstałe w latach ubiegłych
</t>
    </r>
    <r>
      <rPr>
        <b/>
        <sz val="10"/>
        <rFont val="Arial"/>
        <family val="2"/>
        <charset val="238"/>
      </rPr>
      <t>R12U</t>
    </r>
  </si>
  <si>
    <r>
      <t xml:space="preserve">powstałe w roku bieżącym
</t>
    </r>
    <r>
      <rPr>
        <b/>
        <sz val="10"/>
        <rFont val="Arial"/>
        <family val="2"/>
        <charset val="238"/>
      </rPr>
      <t>R12B</t>
    </r>
  </si>
  <si>
    <r>
      <t xml:space="preserve">Plan 
(po zmianach)
</t>
    </r>
    <r>
      <rPr>
        <b/>
        <sz val="10"/>
        <rFont val="Arial"/>
        <family val="2"/>
        <charset val="238"/>
      </rPr>
      <t>R1</t>
    </r>
  </si>
  <si>
    <r>
      <t xml:space="preserve">Zaangażowanie
</t>
    </r>
    <r>
      <rPr>
        <b/>
        <sz val="10"/>
        <rFont val="Arial"/>
        <family val="2"/>
        <charset val="238"/>
      </rPr>
      <t>R10</t>
    </r>
  </si>
  <si>
    <r>
      <t xml:space="preserve">Wydatki
 wykonane
</t>
    </r>
    <r>
      <rPr>
        <b/>
        <sz val="10"/>
        <rFont val="Arial"/>
        <family val="2"/>
        <charset val="238"/>
      </rPr>
      <t>R4</t>
    </r>
  </si>
  <si>
    <r>
      <t xml:space="preserve">ogółem
</t>
    </r>
    <r>
      <rPr>
        <b/>
        <sz val="10"/>
        <rFont val="Arial"/>
        <family val="2"/>
        <charset val="238"/>
      </rPr>
      <t>R11</t>
    </r>
  </si>
  <si>
    <t>opłata skarbowa</t>
  </si>
  <si>
    <t>opłata eksploatacyjna</t>
  </si>
  <si>
    <t>opłata targowa</t>
  </si>
  <si>
    <t>- część gminna</t>
  </si>
  <si>
    <t>- część powiatowa</t>
  </si>
  <si>
    <t>- pozostałe</t>
  </si>
  <si>
    <t>#</t>
  </si>
  <si>
    <t>Razem dochody własne 
z tego:</t>
  </si>
  <si>
    <t>podatek dochodowy od osób prawnych - 
część gminna</t>
  </si>
  <si>
    <t>podatek dochodowy od osób prawnych - 
część powiatowa</t>
  </si>
  <si>
    <t>podatek dochodowy od osób fizycznych - 
część gminna</t>
  </si>
  <si>
    <t>podatek dochodowy od osób fizycznych - 
część powiatowa</t>
  </si>
  <si>
    <t>Dotacje celowe 
z tego:</t>
  </si>
  <si>
    <t>Subwencja ogólna 
z tego:</t>
  </si>
  <si>
    <t>WYDATKI OGÓŁEM 
z tego:</t>
  </si>
  <si>
    <t>wydatki bieżące 
z tego:</t>
  </si>
  <si>
    <t>Przychody ogółem 
z tego:</t>
  </si>
  <si>
    <t>Rozchody ogółem 
z tego:</t>
  </si>
  <si>
    <t>kwartał</t>
  </si>
  <si>
    <t>rok</t>
  </si>
  <si>
    <t>stanNa</t>
  </si>
  <si>
    <t>wydatki z tytułu udzielania poręczeń i gwarancji</t>
  </si>
  <si>
    <t>świadczenia na rzecz osób fizycznych</t>
  </si>
  <si>
    <t>tytul</t>
  </si>
  <si>
    <t>majątkowe</t>
  </si>
  <si>
    <t>bieżące</t>
  </si>
  <si>
    <t>wydatki majątkowe</t>
  </si>
  <si>
    <t>wydatki bieżące</t>
  </si>
  <si>
    <t>w złotych</t>
  </si>
  <si>
    <t>z tytułu pomocy finansowej udzielanej między jst na dofinansowanie własnych zadań</t>
  </si>
  <si>
    <t>sprzedaż papierów wartościowych wyemitowanych przez jednostkę samorządu terytorialnego</t>
  </si>
  <si>
    <t>kredyty i pożyczki</t>
  </si>
  <si>
    <t>prywatyzacja majątku jednostki samorządu terytorialnego</t>
  </si>
  <si>
    <t>wolne środki jako nadwyżka środków pieniężnych na rachunku  bieżącym budżetu jednostki samorządu terytorialnego, wynikających  z rozliczeń wyemitowanych papierów wartościowych, kredytów i  pożyczek z lat ubiegłych</t>
  </si>
  <si>
    <r>
      <t xml:space="preserve">Wydatki, które nie wygasły 
z upływem roku budżetowego) 
(art.263 ust. 2 ustawy 
o finansach publicznych) 
</t>
    </r>
    <r>
      <rPr>
        <b/>
        <sz val="10"/>
        <rFont val="Arial"/>
        <family val="2"/>
        <charset val="238"/>
      </rPr>
      <t>R9</t>
    </r>
  </si>
  <si>
    <t>Dotacje §§ 200 i 620</t>
  </si>
  <si>
    <t>w tym: inwestycyjne § 620</t>
  </si>
  <si>
    <t>Dotacje §§ 205 i 625</t>
  </si>
  <si>
    <t>w tym: inwestycyjne § 625</t>
  </si>
  <si>
    <t>WYDATKI OGÓŁEM UE                    z tego:</t>
  </si>
  <si>
    <t>kredyty, pożyczki, emisja papierów wartościowych w tym:</t>
  </si>
  <si>
    <t>ze sprzedaży papierów wartościowych</t>
  </si>
  <si>
    <t>spłata  udzielonych pożyczek</t>
  </si>
  <si>
    <t>prywatyzacja majątku JST</t>
  </si>
  <si>
    <t>spłaty kredytów i pożyczek, wykup papierów wartościowych w tym:</t>
  </si>
  <si>
    <t>wykup papierów wartościowych</t>
  </si>
  <si>
    <t>wolne środki, o których mowa w art. 217 ust. 2 pkt 6 ustawy o finansach publicznych</t>
  </si>
  <si>
    <t>niewykorzystane środki pieniężne o których mowa w art.217 ust.2 pkt.8 ustawy o finansach publicznych</t>
  </si>
  <si>
    <t xml:space="preserve">otrzymane ze środków z Funduszu Przeciwdziałania COVID-19 (m.in. z Rządowego Funduszu Inwestycji Lokalnych) </t>
  </si>
  <si>
    <t>w tym: inwestycyjne</t>
  </si>
  <si>
    <t>na finansowanie lub dofinansowanie zadań inwestycyjnych obiektów zabytkowych oraz prac remontowych i konserwatorskich przy zabytkach</t>
  </si>
  <si>
    <t>nadwyżka z lat ubiegłych, pomniejszona o niewykorzystane środki pieniężne, o których mowa w art. 217 ust. 2 pkt 8 ustawy o finansach publicznych</t>
  </si>
  <si>
    <t>niewykorzystane środki pieniężne na rachunku bieżącym budżetu, wynikające z rozliczenia dochodów i wydatków nimi finansowanych związanych ze szczególnymi zasadami wykonywania budżetu określonymi w odrębnych ustawach oraz wynikających z rozliczenia środków określonych w art. 5 ust. 1 pkt 2 ustawy o finansach publicznych i dotacji na realizację programu, projektu lub zadania finansowanego z udziałem tych środków</t>
  </si>
  <si>
    <t>spłaty udzielonych pożyczek w latach ubiegłych</t>
  </si>
  <si>
    <t>nadwyżka budżetu jednostki samorządu terytorialnego z lat ubiegłych, pomniejszona o środki określone w art. 217 ust. 2 pkt 8 ustawy o finansach publicznych</t>
  </si>
  <si>
    <t>wynagrodzenia i składki od nich naliczane</t>
  </si>
  <si>
    <t>Dotacje ogółem 
z tego:</t>
  </si>
  <si>
    <t>Subwencja ogólna dla gmin 
z tego:</t>
  </si>
  <si>
    <t>Subwencja ogólna dla powiatów 
z tego:</t>
  </si>
  <si>
    <t>Dochody bieżące 
minus 
Wydatki bieżące</t>
  </si>
  <si>
    <t>udzielone pożyczki</t>
  </si>
  <si>
    <t>WYDATKI Z UDZIAŁEM ŚRODKÓW, O KTÓRYCH MOWA W ART. 5 UST. 1 pkt 2</t>
  </si>
  <si>
    <t>na zadania z zakresu adm. Rządowej (*)</t>
  </si>
  <si>
    <t>na zadania własne (*)</t>
  </si>
  <si>
    <t>otrzymane z Funduszu Pomocy lub z innych środków (**)</t>
  </si>
  <si>
    <t>(**) na finansowanie lub dofinansowanie realizacji zadań w zakresie pomocy obywatelom Ukrainy</t>
  </si>
  <si>
    <t xml:space="preserve">(*) nie obejmuje zadań w zakresie pomocy obywatelom Ukrainy </t>
  </si>
  <si>
    <t>na zadania z zakresu adm. rządowej w zakresie pomocy obywatelom Ukrainy</t>
  </si>
  <si>
    <t>na zadania własne w zakresie pomocy obywatelom Ukrainy</t>
  </si>
  <si>
    <t>inne źródła, w tym:</t>
  </si>
  <si>
    <t>środki z lokat dokonanych w latach ubiegłych</t>
  </si>
  <si>
    <t>inne cele, w tym:</t>
  </si>
  <si>
    <t>lokaty na okres wykraczający poza rok budżetowy</t>
  </si>
  <si>
    <t>stan niespłaconych na koniec okresu sprawozdawczego zobowiązań przeznaczonych na cel , o którym mowa w art. 89 ust. 1 pkt 1 ustawy o finansach publicznych</t>
  </si>
  <si>
    <t>FINANSOWANIE DEFICYTU (E1+E2+E3+E4+E5+E6+E7+E8) 
z tego:</t>
  </si>
  <si>
    <t>część rozwojowa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</si>
</sst>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z_ł_-;\-* #,##0.00\ _z_ł_-;_-* &quot;-&quot;??\ _z_ł_-;_-@_-"/>
    <numFmt numFmtId="165" formatCode="#,##0.0"/>
    <numFmt numFmtId="166" formatCode="dd/mm/yy\ h:mm;@"/>
  </numFmts>
  <fonts count="38" x14ac:knownFonts="1">
    <font>
      <sz val="10"/>
      <name val="Arial CE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sz val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9"/>
      <name val="Arial"/>
      <family val="2"/>
      <charset val="238"/>
    </font>
    <font>
      <sz val="9.5"/>
      <name val="Arial"/>
      <family val="2"/>
      <charset val="238"/>
    </font>
    <font>
      <b/>
      <sz val="10"/>
      <name val="Arial"/>
      <family val="2"/>
      <charset val="238"/>
    </font>
    <font>
      <b/>
      <sz val="8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10"/>
      <name val="Arial CE"/>
      <charset val="238"/>
    </font>
    <font>
      <sz val="14"/>
      <name val="Arial"/>
      <family val="2"/>
      <charset val="238"/>
    </font>
    <font>
      <b/>
      <sz val="7"/>
      <color indexed="8"/>
      <name val="Arial"/>
      <family val="2"/>
      <charset val="238"/>
    </font>
    <font>
      <sz val="7"/>
      <color indexed="8"/>
      <name val="Arial"/>
      <family val="2"/>
      <charset val="238"/>
    </font>
    <font>
      <sz val="7"/>
      <name val="Arial"/>
      <family val="2"/>
      <charset val="238"/>
    </font>
    <font>
      <b/>
      <sz val="7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sz val="8"/>
      <color rgb="FF242424"/>
      <name val="Arial"/>
      <family val="2"/>
      <charset val="238"/>
    </font>
  </fonts>
  <fills count="23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6"/>
      </patternFill>
    </fill>
    <fill>
      <patternFill patternType="solid">
        <fgColor indexed="14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indexed="45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3">
    <xf numFmtId="0" fontId="0" fillId="0" borderId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2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3" borderId="0" applyNumberFormat="0" applyBorder="0" applyAlignment="0" applyProtection="0"/>
    <xf numFmtId="0" fontId="12" fillId="8" borderId="0" applyNumberFormat="0" applyBorder="0" applyAlignment="0" applyProtection="0"/>
    <xf numFmtId="0" fontId="12" fillId="7" borderId="0" applyNumberFormat="0" applyBorder="0" applyAlignment="0" applyProtection="0"/>
    <xf numFmtId="0" fontId="12" fillId="9" borderId="0" applyNumberFormat="0" applyBorder="0" applyAlignment="0" applyProtection="0"/>
    <xf numFmtId="0" fontId="12" fillId="6" borderId="0" applyNumberFormat="0" applyBorder="0" applyAlignment="0" applyProtection="0"/>
    <xf numFmtId="0" fontId="13" fillId="10" borderId="0" applyNumberFormat="0" applyBorder="0" applyAlignment="0" applyProtection="0"/>
    <xf numFmtId="0" fontId="13" fillId="3" borderId="0" applyNumberFormat="0" applyBorder="0" applyAlignment="0" applyProtection="0"/>
    <xf numFmtId="0" fontId="13" fillId="8" borderId="0" applyNumberFormat="0" applyBorder="0" applyAlignment="0" applyProtection="0"/>
    <xf numFmtId="0" fontId="13" fillId="7" borderId="0" applyNumberFormat="0" applyBorder="0" applyAlignment="0" applyProtection="0"/>
    <xf numFmtId="0" fontId="13" fillId="10" borderId="0" applyNumberFormat="0" applyBorder="0" applyAlignment="0" applyProtection="0"/>
    <xf numFmtId="0" fontId="13" fillId="6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0" borderId="0" applyNumberFormat="0" applyBorder="0" applyAlignment="0" applyProtection="0"/>
    <xf numFmtId="0" fontId="13" fillId="14" borderId="0" applyNumberFormat="0" applyBorder="0" applyAlignment="0" applyProtection="0"/>
    <xf numFmtId="0" fontId="14" fillId="15" borderId="0" applyNumberFormat="0" applyBorder="0" applyAlignment="0" applyProtection="0"/>
    <xf numFmtId="0" fontId="15" fillId="16" borderId="1" applyNumberFormat="0" applyAlignment="0" applyProtection="0"/>
    <xf numFmtId="0" fontId="16" fillId="17" borderId="2" applyNumberFormat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18" borderId="0" applyNumberFormat="0" applyBorder="0" applyAlignment="0" applyProtection="0"/>
    <xf numFmtId="0" fontId="19" fillId="0" borderId="4" applyNumberFormat="0" applyFill="0" applyAlignment="0" applyProtection="0"/>
    <xf numFmtId="0" fontId="20" fillId="0" borderId="5" applyNumberFormat="0" applyFill="0" applyAlignment="0" applyProtection="0"/>
    <xf numFmtId="0" fontId="21" fillId="0" borderId="6" applyNumberFormat="0" applyFill="0" applyAlignment="0" applyProtection="0"/>
    <xf numFmtId="0" fontId="21" fillId="0" borderId="0" applyNumberFormat="0" applyFill="0" applyBorder="0" applyAlignment="0" applyProtection="0"/>
    <xf numFmtId="0" fontId="22" fillId="6" borderId="1" applyNumberFormat="0" applyAlignment="0" applyProtection="0"/>
    <xf numFmtId="0" fontId="23" fillId="0" borderId="7" applyNumberFormat="0" applyFill="0" applyAlignment="0" applyProtection="0"/>
    <xf numFmtId="0" fontId="24" fillId="8" borderId="0" applyNumberFormat="0" applyBorder="0" applyAlignment="0" applyProtection="0"/>
    <xf numFmtId="0" fontId="35" fillId="0" borderId="0"/>
    <xf numFmtId="0" fontId="35" fillId="0" borderId="0"/>
    <xf numFmtId="0" fontId="1" fillId="4" borderId="8" applyNumberFormat="0" applyFont="0" applyAlignment="0" applyProtection="0"/>
    <xf numFmtId="0" fontId="29" fillId="4" borderId="8" applyNumberFormat="0" applyFont="0" applyAlignment="0" applyProtection="0"/>
    <xf numFmtId="0" fontId="25" fillId="16" borderId="3" applyNumberFormat="0" applyAlignment="0" applyProtection="0"/>
    <xf numFmtId="0" fontId="26" fillId="0" borderId="0" applyNumberFormat="0" applyFill="0" applyBorder="0" applyAlignment="0" applyProtection="0"/>
    <xf numFmtId="0" fontId="27" fillId="0" borderId="9" applyNumberFormat="0" applyFill="0" applyAlignment="0" applyProtection="0"/>
    <xf numFmtId="0" fontId="28" fillId="0" borderId="0" applyNumberFormat="0" applyFill="0" applyBorder="0" applyAlignment="0" applyProtection="0"/>
  </cellStyleXfs>
  <cellXfs count="132">
    <xf numFmtId="0" fontId="0" fillId="0" borderId="0" xfId="0"/>
    <xf numFmtId="165" fontId="5" fillId="0" borderId="0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4" fillId="19" borderId="10" xfId="0" applyFont="1" applyFill="1" applyBorder="1" applyAlignment="1">
      <alignment horizontal="center" vertical="center" wrapText="1"/>
    </xf>
    <xf numFmtId="0" fontId="4" fillId="19" borderId="10" xfId="0" applyFont="1" applyFill="1" applyBorder="1" applyAlignment="1">
      <alignment horizontal="center" vertical="center"/>
    </xf>
    <xf numFmtId="0" fontId="6" fillId="19" borderId="10" xfId="0" applyFont="1" applyFill="1" applyBorder="1" applyAlignment="1">
      <alignment horizontal="center" vertical="center" wrapText="1"/>
    </xf>
    <xf numFmtId="0" fontId="6" fillId="19" borderId="10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4" fillId="0" borderId="10" xfId="0" applyFont="1" applyFill="1" applyBorder="1" applyAlignment="1">
      <alignment horizontal="left" vertical="center" wrapText="1" indent="2"/>
    </xf>
    <xf numFmtId="0" fontId="6" fillId="19" borderId="10" xfId="0" applyNumberFormat="1" applyFont="1" applyFill="1" applyBorder="1" applyAlignment="1">
      <alignment horizontal="center" vertical="center" wrapText="1"/>
    </xf>
    <xf numFmtId="0" fontId="6" fillId="19" borderId="10" xfId="0" applyFont="1" applyFill="1" applyBorder="1" applyAlignment="1">
      <alignment horizontal="center"/>
    </xf>
    <xf numFmtId="0" fontId="10" fillId="19" borderId="10" xfId="0" applyFont="1" applyFill="1" applyBorder="1" applyAlignment="1">
      <alignment horizontal="center" vertical="center" wrapText="1"/>
    </xf>
    <xf numFmtId="0" fontId="6" fillId="19" borderId="13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65" fontId="31" fillId="21" borderId="10" xfId="0" applyNumberFormat="1" applyFont="1" applyFill="1" applyBorder="1" applyAlignment="1">
      <alignment horizontal="center" vertical="center"/>
    </xf>
    <xf numFmtId="4" fontId="32" fillId="0" borderId="10" xfId="0" applyNumberFormat="1" applyFont="1" applyBorder="1" applyAlignment="1">
      <alignment horizontal="center" vertical="center"/>
    </xf>
    <xf numFmtId="165" fontId="32" fillId="0" borderId="10" xfId="0" applyNumberFormat="1" applyFont="1" applyFill="1" applyBorder="1" applyAlignment="1">
      <alignment horizontal="center" vertical="center"/>
    </xf>
    <xf numFmtId="4" fontId="32" fillId="0" borderId="10" xfId="0" applyNumberFormat="1" applyFont="1" applyFill="1" applyBorder="1" applyAlignment="1">
      <alignment horizontal="center" vertical="center"/>
    </xf>
    <xf numFmtId="4" fontId="32" fillId="21" borderId="10" xfId="0" applyNumberFormat="1" applyFont="1" applyFill="1" applyBorder="1" applyAlignment="1">
      <alignment horizontal="center" vertical="center"/>
    </xf>
    <xf numFmtId="165" fontId="32" fillId="0" borderId="0" xfId="0" applyNumberFormat="1" applyFont="1" applyFill="1" applyBorder="1" applyAlignment="1">
      <alignment horizontal="center" vertical="center"/>
    </xf>
    <xf numFmtId="165" fontId="33" fillId="0" borderId="0" xfId="0" applyNumberFormat="1" applyFont="1" applyAlignment="1">
      <alignment horizontal="center" vertical="center"/>
    </xf>
    <xf numFmtId="165" fontId="32" fillId="20" borderId="10" xfId="0" applyNumberFormat="1" applyFont="1" applyFill="1" applyBorder="1" applyAlignment="1">
      <alignment horizontal="center" vertical="center"/>
    </xf>
    <xf numFmtId="4" fontId="32" fillId="22" borderId="10" xfId="0" applyNumberFormat="1" applyFont="1" applyFill="1" applyBorder="1" applyAlignment="1">
      <alignment horizontal="center" vertical="center"/>
    </xf>
    <xf numFmtId="165" fontId="32" fillId="22" borderId="10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/>
    </xf>
    <xf numFmtId="165" fontId="33" fillId="0" borderId="0" xfId="0" applyNumberFormat="1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4" fontId="32" fillId="0" borderId="0" xfId="0" applyNumberFormat="1" applyFont="1" applyFill="1" applyBorder="1" applyAlignment="1">
      <alignment horizontal="center" vertical="center"/>
    </xf>
    <xf numFmtId="165" fontId="33" fillId="0" borderId="0" xfId="0" applyNumberFormat="1" applyFont="1" applyFill="1" applyAlignment="1">
      <alignment horizontal="center"/>
    </xf>
    <xf numFmtId="0" fontId="5" fillId="0" borderId="0" xfId="0" applyFont="1" applyFill="1" applyBorder="1" applyAlignment="1">
      <alignment horizontal="center" vertical="center"/>
    </xf>
    <xf numFmtId="3" fontId="5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65" fontId="2" fillId="0" borderId="0" xfId="0" applyNumberFormat="1" applyFont="1" applyFill="1" applyAlignment="1">
      <alignment horizontal="center"/>
    </xf>
    <xf numFmtId="0" fontId="2" fillId="0" borderId="0" xfId="0" applyFont="1" applyBorder="1" applyAlignment="1">
      <alignment horizontal="center"/>
    </xf>
    <xf numFmtId="165" fontId="34" fillId="21" borderId="10" xfId="0" applyNumberFormat="1" applyFont="1" applyFill="1" applyBorder="1" applyAlignment="1">
      <alignment horizontal="center" vertical="center"/>
    </xf>
    <xf numFmtId="4" fontId="33" fillId="0" borderId="0" xfId="0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3" fontId="31" fillId="0" borderId="0" xfId="0" applyNumberFormat="1" applyFont="1" applyBorder="1" applyAlignment="1">
      <alignment horizontal="center" vertical="center"/>
    </xf>
    <xf numFmtId="165" fontId="33" fillId="0" borderId="0" xfId="0" applyNumberFormat="1" applyFont="1" applyAlignment="1">
      <alignment horizontal="center"/>
    </xf>
    <xf numFmtId="0" fontId="33" fillId="0" borderId="0" xfId="0" applyFont="1" applyAlignment="1">
      <alignment horizontal="center"/>
    </xf>
    <xf numFmtId="0" fontId="33" fillId="0" borderId="0" xfId="0" applyFont="1" applyBorder="1" applyAlignment="1">
      <alignment horizontal="center"/>
    </xf>
    <xf numFmtId="165" fontId="34" fillId="0" borderId="10" xfId="0" applyNumberFormat="1" applyFont="1" applyFill="1" applyBorder="1" applyAlignment="1">
      <alignment horizontal="center" vertical="center"/>
    </xf>
    <xf numFmtId="165" fontId="34" fillId="20" borderId="10" xfId="28" applyNumberFormat="1" applyFont="1" applyFill="1" applyBorder="1" applyAlignment="1">
      <alignment horizontal="center" vertical="center"/>
    </xf>
    <xf numFmtId="165" fontId="34" fillId="22" borderId="10" xfId="28" applyNumberFormat="1" applyFont="1" applyFill="1" applyBorder="1" applyAlignment="1">
      <alignment horizontal="center" vertical="center"/>
    </xf>
    <xf numFmtId="165" fontId="34" fillId="22" borderId="10" xfId="0" applyNumberFormat="1" applyFont="1" applyFill="1" applyBorder="1" applyAlignment="1">
      <alignment horizontal="center" vertical="center"/>
    </xf>
    <xf numFmtId="165" fontId="34" fillId="0" borderId="10" xfId="28" applyNumberFormat="1" applyFont="1" applyFill="1" applyBorder="1" applyAlignment="1">
      <alignment horizontal="center" vertical="center"/>
    </xf>
    <xf numFmtId="165" fontId="34" fillId="21" borderId="10" xfId="28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10" xfId="0" applyFont="1" applyBorder="1" applyAlignment="1">
      <alignment horizontal="center"/>
    </xf>
    <xf numFmtId="0" fontId="6" fillId="19" borderId="13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4" fontId="34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/>
    </xf>
    <xf numFmtId="4" fontId="31" fillId="0" borderId="0" xfId="0" applyNumberFormat="1" applyFont="1" applyFill="1" applyBorder="1" applyAlignment="1">
      <alignment horizontal="center" vertical="center" wrapText="1"/>
    </xf>
    <xf numFmtId="4" fontId="32" fillId="0" borderId="0" xfId="0" applyNumberFormat="1" applyFont="1" applyFill="1" applyBorder="1" applyAlignment="1">
      <alignment horizontal="center" vertical="center" wrapText="1"/>
    </xf>
    <xf numFmtId="3" fontId="31" fillId="0" borderId="14" xfId="0" applyNumberFormat="1" applyFont="1" applyBorder="1" applyAlignment="1">
      <alignment horizontal="center" vertical="center"/>
    </xf>
    <xf numFmtId="165" fontId="33" fillId="0" borderId="14" xfId="0" applyNumberFormat="1" applyFont="1" applyBorder="1" applyAlignment="1">
      <alignment horizontal="center"/>
    </xf>
    <xf numFmtId="0" fontId="33" fillId="0" borderId="14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4" fontId="31" fillId="0" borderId="12" xfId="0" applyNumberFormat="1" applyFont="1" applyFill="1" applyBorder="1" applyAlignment="1">
      <alignment horizontal="center" vertical="center" wrapText="1"/>
    </xf>
    <xf numFmtId="165" fontId="34" fillId="0" borderId="11" xfId="0" applyNumberFormat="1" applyFont="1" applyFill="1" applyBorder="1" applyAlignment="1">
      <alignment horizontal="center" vertical="center"/>
    </xf>
    <xf numFmtId="0" fontId="10" fillId="20" borderId="10" xfId="0" applyFont="1" applyFill="1" applyBorder="1" applyAlignment="1">
      <alignment horizontal="left" vertical="center" wrapText="1"/>
    </xf>
    <xf numFmtId="0" fontId="36" fillId="0" borderId="10" xfId="45" applyFont="1" applyFill="1" applyBorder="1" applyAlignment="1">
      <alignment horizontal="left" vertical="center" wrapText="1"/>
    </xf>
    <xf numFmtId="0" fontId="7" fillId="21" borderId="10" xfId="0" applyFont="1" applyFill="1" applyBorder="1" applyAlignment="1">
      <alignment horizontal="left" vertical="center" wrapText="1"/>
    </xf>
    <xf numFmtId="0" fontId="10" fillId="21" borderId="10" xfId="0" applyFont="1" applyFill="1" applyBorder="1" applyAlignment="1">
      <alignment horizontal="left" vertical="center" wrapText="1"/>
    </xf>
    <xf numFmtId="4" fontId="31" fillId="21" borderId="10" xfId="0" applyNumberFormat="1" applyFont="1" applyFill="1" applyBorder="1" applyAlignment="1">
      <alignment horizontal="right" vertical="center"/>
    </xf>
    <xf numFmtId="4" fontId="32" fillId="0" borderId="10" xfId="0" applyNumberFormat="1" applyFont="1" applyBorder="1" applyAlignment="1">
      <alignment horizontal="right" vertical="center"/>
    </xf>
    <xf numFmtId="4" fontId="32" fillId="0" borderId="10" xfId="0" applyNumberFormat="1" applyFont="1" applyFill="1" applyBorder="1" applyAlignment="1">
      <alignment horizontal="right" vertical="center"/>
    </xf>
    <xf numFmtId="4" fontId="33" fillId="0" borderId="10" xfId="0" applyNumberFormat="1" applyFont="1" applyFill="1" applyBorder="1" applyAlignment="1">
      <alignment horizontal="right" vertical="center"/>
    </xf>
    <xf numFmtId="4" fontId="33" fillId="0" borderId="10" xfId="0" applyNumberFormat="1" applyFont="1" applyBorder="1" applyAlignment="1">
      <alignment horizontal="right" vertical="center"/>
    </xf>
    <xf numFmtId="4" fontId="32" fillId="22" borderId="10" xfId="0" applyNumberFormat="1" applyFont="1" applyFill="1" applyBorder="1" applyAlignment="1">
      <alignment horizontal="right" vertical="center"/>
    </xf>
    <xf numFmtId="4" fontId="32" fillId="21" borderId="10" xfId="0" applyNumberFormat="1" applyFont="1" applyFill="1" applyBorder="1" applyAlignment="1">
      <alignment horizontal="right" vertical="center"/>
    </xf>
    <xf numFmtId="4" fontId="34" fillId="21" borderId="10" xfId="0" applyNumberFormat="1" applyFont="1" applyFill="1" applyBorder="1" applyAlignment="1">
      <alignment horizontal="right" vertical="center"/>
    </xf>
    <xf numFmtId="4" fontId="31" fillId="21" borderId="10" xfId="0" applyNumberFormat="1" applyFont="1" applyFill="1" applyBorder="1" applyAlignment="1">
      <alignment horizontal="right" vertical="center" wrapText="1"/>
    </xf>
    <xf numFmtId="4" fontId="32" fillId="0" borderId="10" xfId="0" applyNumberFormat="1" applyFont="1" applyFill="1" applyBorder="1" applyAlignment="1">
      <alignment horizontal="right" vertical="center" wrapText="1"/>
    </xf>
    <xf numFmtId="4" fontId="32" fillId="0" borderId="13" xfId="0" applyNumberFormat="1" applyFont="1" applyFill="1" applyBorder="1" applyAlignment="1">
      <alignment horizontal="right" vertical="center" wrapText="1"/>
    </xf>
    <xf numFmtId="4" fontId="32" fillId="21" borderId="15" xfId="0" applyNumberFormat="1" applyFont="1" applyFill="1" applyBorder="1" applyAlignment="1">
      <alignment horizontal="right" vertical="center" wrapText="1"/>
    </xf>
    <xf numFmtId="4" fontId="32" fillId="21" borderId="11" xfId="0" applyNumberFormat="1" applyFont="1" applyFill="1" applyBorder="1" applyAlignment="1">
      <alignment horizontal="right" vertical="center" wrapText="1"/>
    </xf>
    <xf numFmtId="4" fontId="32" fillId="0" borderId="16" xfId="0" applyNumberFormat="1" applyFont="1" applyFill="1" applyBorder="1" applyAlignment="1">
      <alignment horizontal="right" vertical="center" wrapText="1"/>
    </xf>
    <xf numFmtId="4" fontId="34" fillId="20" borderId="13" xfId="0" applyNumberFormat="1" applyFont="1" applyFill="1" applyBorder="1" applyAlignment="1">
      <alignment horizontal="right" vertical="center"/>
    </xf>
    <xf numFmtId="4" fontId="33" fillId="0" borderId="13" xfId="0" applyNumberFormat="1" applyFont="1" applyBorder="1" applyAlignment="1">
      <alignment horizontal="right" vertical="center"/>
    </xf>
    <xf numFmtId="4" fontId="33" fillId="0" borderId="13" xfId="0" applyNumberFormat="1" applyFont="1" applyFill="1" applyBorder="1" applyAlignment="1">
      <alignment horizontal="right" vertical="center"/>
    </xf>
    <xf numFmtId="4" fontId="34" fillId="21" borderId="13" xfId="0" applyNumberFormat="1" applyFont="1" applyFill="1" applyBorder="1" applyAlignment="1">
      <alignment horizontal="right" vertical="center"/>
    </xf>
    <xf numFmtId="0" fontId="6" fillId="0" borderId="17" xfId="0" applyFont="1" applyBorder="1" applyAlignment="1">
      <alignment horizontal="center"/>
    </xf>
    <xf numFmtId="166" fontId="6" fillId="0" borderId="11" xfId="0" applyNumberFormat="1" applyFont="1" applyBorder="1" applyAlignment="1">
      <alignment horizontal="center"/>
    </xf>
    <xf numFmtId="0" fontId="30" fillId="0" borderId="0" xfId="0" applyFont="1" applyAlignment="1">
      <alignment vertical="center"/>
    </xf>
    <xf numFmtId="0" fontId="7" fillId="21" borderId="10" xfId="0" applyFont="1" applyFill="1" applyBorder="1" applyAlignment="1">
      <alignment horizontal="left" vertical="center" wrapText="1" indent="1"/>
    </xf>
    <xf numFmtId="0" fontId="4" fillId="0" borderId="10" xfId="0" applyFont="1" applyBorder="1" applyAlignment="1">
      <alignment horizontal="left" vertical="center" wrapText="1" indent="2"/>
    </xf>
    <xf numFmtId="0" fontId="7" fillId="21" borderId="10" xfId="0" applyFont="1" applyFill="1" applyBorder="1" applyAlignment="1">
      <alignment horizontal="left" vertical="center" wrapText="1" indent="2"/>
    </xf>
    <xf numFmtId="0" fontId="7" fillId="20" borderId="10" xfId="0" quotePrefix="1" applyFont="1" applyFill="1" applyBorder="1" applyAlignment="1">
      <alignment horizontal="left" vertical="center" wrapText="1" indent="2"/>
    </xf>
    <xf numFmtId="0" fontId="7" fillId="21" borderId="10" xfId="0" quotePrefix="1" applyFont="1" applyFill="1" applyBorder="1" applyAlignment="1">
      <alignment horizontal="left" vertical="center" wrapText="1" indent="2"/>
    </xf>
    <xf numFmtId="0" fontId="4" fillId="0" borderId="10" xfId="0" applyFont="1" applyFill="1" applyBorder="1" applyAlignment="1">
      <alignment horizontal="left" vertical="center" wrapText="1" indent="3"/>
    </xf>
    <xf numFmtId="0" fontId="4" fillId="22" borderId="10" xfId="0" applyFont="1" applyFill="1" applyBorder="1" applyAlignment="1">
      <alignment horizontal="left" vertical="center" wrapText="1" indent="3"/>
    </xf>
    <xf numFmtId="0" fontId="4" fillId="0" borderId="10" xfId="0" applyFont="1" applyFill="1" applyBorder="1" applyAlignment="1">
      <alignment horizontal="left" vertical="center" wrapText="1" indent="4"/>
    </xf>
    <xf numFmtId="0" fontId="7" fillId="21" borderId="10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left" vertical="top" wrapText="1" indent="1"/>
    </xf>
    <xf numFmtId="0" fontId="6" fillId="0" borderId="10" xfId="0" applyFont="1" applyFill="1" applyBorder="1" applyAlignment="1">
      <alignment horizontal="left" vertical="top" wrapText="1" indent="1"/>
    </xf>
    <xf numFmtId="0" fontId="6" fillId="0" borderId="10" xfId="0" applyFont="1" applyFill="1" applyBorder="1" applyAlignment="1">
      <alignment horizontal="left" vertical="top" wrapText="1" indent="2"/>
    </xf>
    <xf numFmtId="0" fontId="7" fillId="0" borderId="10" xfId="0" applyFont="1" applyFill="1" applyBorder="1" applyAlignment="1">
      <alignment horizontal="right" vertical="center" wrapText="1"/>
    </xf>
    <xf numFmtId="0" fontId="7" fillId="0" borderId="10" xfId="0" applyFont="1" applyFill="1" applyBorder="1" applyAlignment="1">
      <alignment horizontal="right" vertical="center"/>
    </xf>
    <xf numFmtId="0" fontId="10" fillId="0" borderId="10" xfId="0" applyFont="1" applyFill="1" applyBorder="1" applyAlignment="1">
      <alignment horizontal="right"/>
    </xf>
    <xf numFmtId="0" fontId="36" fillId="0" borderId="10" xfId="45" applyFont="1" applyFill="1" applyBorder="1" applyAlignment="1">
      <alignment horizontal="left" vertical="center" wrapText="1" indent="1"/>
    </xf>
    <xf numFmtId="0" fontId="10" fillId="0" borderId="14" xfId="45" applyFont="1" applyFill="1" applyBorder="1" applyAlignment="1">
      <alignment horizontal="left" vertical="center"/>
    </xf>
    <xf numFmtId="0" fontId="37" fillId="0" borderId="0" xfId="0" applyFont="1"/>
    <xf numFmtId="0" fontId="37" fillId="0" borderId="0" xfId="0" applyFont="1"/>
    <xf numFmtId="0" fontId="6" fillId="0" borderId="10" xfId="0" applyFont="1" applyFill="1" applyBorder="1" applyAlignment="1">
      <alignment horizontal="left" vertical="center" wrapText="1" indent="1"/>
    </xf>
    <xf numFmtId="0" fontId="6" fillId="0" borderId="10" xfId="0" applyFont="1" applyFill="1" applyBorder="1" applyAlignment="1">
      <alignment horizontal="left" vertical="center" wrapText="1" indent="2"/>
    </xf>
    <xf numFmtId="0" fontId="36" fillId="0" borderId="10" xfId="46" applyFont="1" applyBorder="1" applyAlignment="1">
      <alignment horizontal="left" vertical="center" wrapText="1" indent="1"/>
    </xf>
    <xf numFmtId="0" fontId="6" fillId="19" borderId="10" xfId="0" applyFont="1" applyFill="1" applyBorder="1" applyAlignment="1">
      <alignment horizontal="center" vertical="center" wrapText="1"/>
    </xf>
    <xf numFmtId="0" fontId="6" fillId="19" borderId="10" xfId="0" applyFont="1" applyFill="1" applyBorder="1" applyAlignment="1">
      <alignment horizontal="center" vertical="center"/>
    </xf>
    <xf numFmtId="0" fontId="7" fillId="19" borderId="10" xfId="0" applyFont="1" applyFill="1" applyBorder="1" applyAlignment="1">
      <alignment horizontal="center" vertical="center"/>
    </xf>
    <xf numFmtId="0" fontId="11" fillId="19" borderId="10" xfId="0" applyFont="1" applyFill="1" applyBorder="1" applyAlignment="1">
      <alignment horizontal="center" vertical="center"/>
    </xf>
    <xf numFmtId="0" fontId="4" fillId="19" borderId="10" xfId="0" applyFont="1" applyFill="1" applyBorder="1" applyAlignment="1">
      <alignment horizontal="center" vertical="center" wrapText="1"/>
    </xf>
    <xf numFmtId="0" fontId="6" fillId="19" borderId="13" xfId="0" applyFont="1" applyFill="1" applyBorder="1" applyAlignment="1">
      <alignment horizontal="center" vertical="center" wrapText="1"/>
    </xf>
    <xf numFmtId="0" fontId="6" fillId="19" borderId="17" xfId="0" applyFont="1" applyFill="1" applyBorder="1" applyAlignment="1">
      <alignment horizontal="center" vertical="center" wrapText="1"/>
    </xf>
    <xf numFmtId="0" fontId="6" fillId="19" borderId="18" xfId="0" applyFont="1" applyFill="1" applyBorder="1" applyAlignment="1">
      <alignment horizontal="center" vertical="center" wrapText="1"/>
    </xf>
    <xf numFmtId="0" fontId="6" fillId="19" borderId="11" xfId="0" applyFont="1" applyFill="1" applyBorder="1" applyAlignment="1">
      <alignment horizontal="center" vertical="center" wrapText="1"/>
    </xf>
    <xf numFmtId="0" fontId="4" fillId="19" borderId="13" xfId="0" applyFont="1" applyFill="1" applyBorder="1" applyAlignment="1">
      <alignment horizontal="center" vertical="center"/>
    </xf>
    <xf numFmtId="0" fontId="4" fillId="19" borderId="19" xfId="0" applyFont="1" applyFill="1" applyBorder="1" applyAlignment="1">
      <alignment horizontal="center" vertical="center"/>
    </xf>
    <xf numFmtId="0" fontId="4" fillId="19" borderId="16" xfId="0" applyFont="1" applyFill="1" applyBorder="1" applyAlignment="1">
      <alignment horizontal="center" vertical="center"/>
    </xf>
    <xf numFmtId="0" fontId="6" fillId="19" borderId="16" xfId="0" applyFont="1" applyFill="1" applyBorder="1" applyAlignment="1">
      <alignment horizontal="center" vertical="center" wrapText="1"/>
    </xf>
    <xf numFmtId="0" fontId="6" fillId="19" borderId="13" xfId="0" applyNumberFormat="1" applyFont="1" applyFill="1" applyBorder="1" applyAlignment="1">
      <alignment horizontal="center" vertical="center" wrapText="1"/>
    </xf>
    <xf numFmtId="0" fontId="6" fillId="19" borderId="16" xfId="0" applyNumberFormat="1" applyFont="1" applyFill="1" applyBorder="1" applyAlignment="1">
      <alignment horizontal="center" vertical="center" wrapText="1"/>
    </xf>
    <xf numFmtId="0" fontId="6" fillId="19" borderId="13" xfId="0" applyFont="1" applyFill="1" applyBorder="1" applyAlignment="1">
      <alignment horizontal="center" vertical="top" wrapText="1"/>
    </xf>
    <xf numFmtId="0" fontId="0" fillId="0" borderId="16" xfId="0" applyBorder="1" applyAlignment="1">
      <alignment horizontal="center" vertical="top" wrapText="1"/>
    </xf>
    <xf numFmtId="0" fontId="4" fillId="19" borderId="10" xfId="0" applyFont="1" applyFill="1" applyBorder="1" applyAlignment="1">
      <alignment horizontal="center" vertical="center"/>
    </xf>
    <xf numFmtId="166" fontId="6" fillId="0" borderId="13" xfId="0" applyNumberFormat="1" applyFont="1" applyBorder="1" applyAlignment="1">
      <alignment horizontal="center"/>
    </xf>
    <xf numFmtId="166" fontId="6" fillId="0" borderId="16" xfId="0" applyNumberFormat="1" applyFont="1" applyBorder="1" applyAlignment="1">
      <alignment horizontal="center"/>
    </xf>
    <xf numFmtId="0" fontId="6" fillId="19" borderId="16" xfId="0" applyFont="1" applyFill="1" applyBorder="1" applyAlignment="1">
      <alignment horizontal="center" vertical="center"/>
    </xf>
    <xf numFmtId="4" fontId="31" fillId="0" borderId="0" xfId="0" applyNumberFormat="1" applyFont="1" applyFill="1" applyBorder="1" applyAlignment="1">
      <alignment horizontal="center" vertical="center" wrapText="1"/>
    </xf>
  </cellXfs>
  <cellStyles count="53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40% - Accent1" xfId="7" xr:uid="{00000000-0005-0000-0000-000006000000}"/>
    <cellStyle name="40% - Accent2" xfId="8" xr:uid="{00000000-0005-0000-0000-000007000000}"/>
    <cellStyle name="40% - Accent3" xfId="9" xr:uid="{00000000-0005-0000-0000-000008000000}"/>
    <cellStyle name="40% - Accent4" xfId="10" xr:uid="{00000000-0005-0000-0000-000009000000}"/>
    <cellStyle name="40% - Accent5" xfId="11" xr:uid="{00000000-0005-0000-0000-00000A000000}"/>
    <cellStyle name="40% - Accent6" xfId="12" xr:uid="{00000000-0005-0000-0000-00000B000000}"/>
    <cellStyle name="60% - Accent1" xfId="13" xr:uid="{00000000-0005-0000-0000-00000C000000}"/>
    <cellStyle name="60% - Accent2" xfId="14" xr:uid="{00000000-0005-0000-0000-00000D000000}"/>
    <cellStyle name="60% - Accent3" xfId="15" xr:uid="{00000000-0005-0000-0000-00000E000000}"/>
    <cellStyle name="60% - Accent4" xfId="16" xr:uid="{00000000-0005-0000-0000-00000F000000}"/>
    <cellStyle name="60% - Accent5" xfId="17" xr:uid="{00000000-0005-0000-0000-000010000000}"/>
    <cellStyle name="60% - Accent6" xfId="18" xr:uid="{00000000-0005-0000-0000-000011000000}"/>
    <cellStyle name="Accent1" xfId="19" xr:uid="{00000000-0005-0000-0000-000012000000}"/>
    <cellStyle name="Accent2" xfId="20" xr:uid="{00000000-0005-0000-0000-000013000000}"/>
    <cellStyle name="Accent3" xfId="21" xr:uid="{00000000-0005-0000-0000-000014000000}"/>
    <cellStyle name="Accent4" xfId="22" xr:uid="{00000000-0005-0000-0000-000015000000}"/>
    <cellStyle name="Accent5" xfId="23" xr:uid="{00000000-0005-0000-0000-000016000000}"/>
    <cellStyle name="Accent6" xfId="24" xr:uid="{00000000-0005-0000-0000-000017000000}"/>
    <cellStyle name="Bad" xfId="25" xr:uid="{00000000-0005-0000-0000-000018000000}"/>
    <cellStyle name="Calculation" xfId="26" xr:uid="{00000000-0005-0000-0000-000019000000}"/>
    <cellStyle name="Check Cell" xfId="27" xr:uid="{00000000-0005-0000-0000-00001A000000}"/>
    <cellStyle name="Dziesiętny 2" xfId="28" xr:uid="{00000000-0005-0000-0000-00001B000000}"/>
    <cellStyle name="Dziesiętny 2 2" xfId="29" xr:uid="{00000000-0005-0000-0000-00001C000000}"/>
    <cellStyle name="Dziesiętny 3" xfId="30" xr:uid="{00000000-0005-0000-0000-00001D000000}"/>
    <cellStyle name="Dziesiętny 3 2" xfId="31" xr:uid="{00000000-0005-0000-0000-00001E000000}"/>
    <cellStyle name="Dziesiętny 3 3" xfId="32" xr:uid="{00000000-0005-0000-0000-00001F000000}"/>
    <cellStyle name="Dziesiętny 3 4" xfId="33" xr:uid="{00000000-0005-0000-0000-000020000000}"/>
    <cellStyle name="Dziesiętny 4" xfId="34" xr:uid="{00000000-0005-0000-0000-000021000000}"/>
    <cellStyle name="Dziesiętny 5" xfId="35" xr:uid="{00000000-0005-0000-0000-000022000000}"/>
    <cellStyle name="Explanatory Text" xfId="36" xr:uid="{00000000-0005-0000-0000-000023000000}"/>
    <cellStyle name="Good" xfId="37" xr:uid="{00000000-0005-0000-0000-000024000000}"/>
    <cellStyle name="Heading 1" xfId="38" xr:uid="{00000000-0005-0000-0000-000025000000}"/>
    <cellStyle name="Heading 2" xfId="39" xr:uid="{00000000-0005-0000-0000-000026000000}"/>
    <cellStyle name="Heading 3" xfId="40" xr:uid="{00000000-0005-0000-0000-000027000000}"/>
    <cellStyle name="Heading 4" xfId="41" xr:uid="{00000000-0005-0000-0000-000028000000}"/>
    <cellStyle name="Input" xfId="42" xr:uid="{00000000-0005-0000-0000-000029000000}"/>
    <cellStyle name="Linked Cell" xfId="43" xr:uid="{00000000-0005-0000-0000-00002A000000}"/>
    <cellStyle name="Neutral" xfId="44" xr:uid="{00000000-0005-0000-0000-00002B000000}"/>
    <cellStyle name="Normalny" xfId="0" builtinId="0"/>
    <cellStyle name="Normalny 2" xfId="45" xr:uid="{00000000-0005-0000-0000-00002D000000}"/>
    <cellStyle name="Normalny 2 2" xfId="46" xr:uid="{00000000-0005-0000-0000-00002E000000}"/>
    <cellStyle name="Note" xfId="47" xr:uid="{00000000-0005-0000-0000-00002F000000}"/>
    <cellStyle name="Note 2" xfId="48" xr:uid="{00000000-0005-0000-0000-000030000000}"/>
    <cellStyle name="Output" xfId="49" xr:uid="{00000000-0005-0000-0000-000031000000}"/>
    <cellStyle name="Title" xfId="50" xr:uid="{00000000-0005-0000-0000-000032000000}"/>
    <cellStyle name="Total" xfId="51" xr:uid="{00000000-0005-0000-0000-000033000000}"/>
    <cellStyle name="Warning Text" xfId="52" xr:uid="{00000000-0005-0000-0000-000034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5F5F5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CDCD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outlinePr summaryBelow="0"/>
  </sheetPr>
  <dimension ref="A1:Z141"/>
  <sheetViews>
    <sheetView tabSelected="1" topLeftCell="B1" zoomScaleNormal="100" workbookViewId="0"/>
  </sheetViews>
  <sheetFormatPr defaultRowHeight="12.75" outlineLevelRow="1" outlineLevelCol="1" x14ac:dyDescent="0.2"/>
  <cols>
    <col min="1" max="1" width="5.7109375" style="15" hidden="1" customWidth="1"/>
    <col min="2" max="2" width="30.7109375" style="15" customWidth="1"/>
    <col min="3" max="4" width="14.5703125" style="15" customWidth="1"/>
    <col min="5" max="5" width="14.5703125" style="15" customWidth="1" outlineLevel="1"/>
    <col min="6" max="6" width="13.85546875" style="15" customWidth="1" outlineLevel="1"/>
    <col min="7" max="7" width="13" style="15" customWidth="1" outlineLevel="1"/>
    <col min="8" max="9" width="12.28515625" style="15" customWidth="1" outlineLevel="1"/>
    <col min="10" max="10" width="13" style="15" customWidth="1"/>
    <col min="11" max="11" width="7.42578125" style="15" customWidth="1"/>
    <col min="12" max="12" width="8.85546875" style="15" customWidth="1"/>
    <col min="13" max="13" width="8.140625" style="15" customWidth="1"/>
    <col min="14" max="16384" width="9.140625" style="15"/>
  </cols>
  <sheetData>
    <row r="1" spans="2:13" ht="27.75" customHeight="1" x14ac:dyDescent="0.2">
      <c r="B1" s="87" t="str">
        <f>CONCATENATE("Informacja z wykonania budżetów miast na prawach powiatu za ",$D$138," ",$C$139," rok    ",$C$141,"")</f>
        <v xml:space="preserve">Informacja z wykonania budżetów miast na prawach powiatu za IV Kwartały 2024 rok    </v>
      </c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</row>
    <row r="2" spans="2:13" ht="63" customHeight="1" x14ac:dyDescent="0.2">
      <c r="B2" s="112" t="s">
        <v>0</v>
      </c>
      <c r="C2" s="5" t="s">
        <v>28</v>
      </c>
      <c r="D2" s="5" t="s">
        <v>29</v>
      </c>
      <c r="E2" s="5" t="s">
        <v>30</v>
      </c>
      <c r="F2" s="5" t="s">
        <v>31</v>
      </c>
      <c r="G2" s="5" t="s">
        <v>32</v>
      </c>
      <c r="H2" s="5" t="s">
        <v>33</v>
      </c>
      <c r="I2" s="5" t="s">
        <v>34</v>
      </c>
      <c r="J2" s="6" t="s">
        <v>2</v>
      </c>
      <c r="K2" s="5" t="s">
        <v>16</v>
      </c>
      <c r="L2" s="5" t="s">
        <v>3</v>
      </c>
    </row>
    <row r="3" spans="2:13" x14ac:dyDescent="0.2">
      <c r="B3" s="112"/>
      <c r="C3" s="119" t="s">
        <v>78</v>
      </c>
      <c r="D3" s="120"/>
      <c r="E3" s="120"/>
      <c r="F3" s="120"/>
      <c r="G3" s="120"/>
      <c r="H3" s="120"/>
      <c r="I3" s="121"/>
      <c r="J3" s="127" t="s">
        <v>4</v>
      </c>
      <c r="K3" s="127"/>
      <c r="L3" s="127"/>
    </row>
    <row r="4" spans="2:13" x14ac:dyDescent="0.2">
      <c r="B4" s="6">
        <v>1</v>
      </c>
      <c r="C4" s="8">
        <v>2</v>
      </c>
      <c r="D4" s="8">
        <v>3</v>
      </c>
      <c r="E4" s="8">
        <v>4</v>
      </c>
      <c r="F4" s="8">
        <v>5</v>
      </c>
      <c r="G4" s="8">
        <v>6</v>
      </c>
      <c r="H4" s="8">
        <v>7</v>
      </c>
      <c r="I4" s="8">
        <v>8</v>
      </c>
      <c r="J4" s="8">
        <v>9</v>
      </c>
      <c r="K4" s="8">
        <v>10</v>
      </c>
      <c r="L4" s="8">
        <v>11</v>
      </c>
    </row>
    <row r="5" spans="2:13" ht="12.95" customHeight="1" x14ac:dyDescent="0.2">
      <c r="B5" s="65" t="s">
        <v>5</v>
      </c>
      <c r="C5" s="67">
        <f>138301469764.42</f>
        <v>138301469764.42001</v>
      </c>
      <c r="D5" s="67">
        <f>138229645404.22</f>
        <v>138229645404.22</v>
      </c>
      <c r="E5" s="67">
        <f>927801126.61</f>
        <v>927801126.61000001</v>
      </c>
      <c r="F5" s="67">
        <f>221088495.27</f>
        <v>221088495.27000001</v>
      </c>
      <c r="G5" s="67">
        <f>24357979.17</f>
        <v>24357979.170000002</v>
      </c>
      <c r="H5" s="67">
        <f>66889771.02</f>
        <v>66889771.020000003</v>
      </c>
      <c r="I5" s="67">
        <f>3318218.64</f>
        <v>3318218.64</v>
      </c>
      <c r="J5" s="16">
        <f t="shared" ref="J5:J74" si="0">IF($D$5=0,"",100*$D5/$D$5)</f>
        <v>100</v>
      </c>
      <c r="K5" s="16">
        <f t="shared" ref="K5:K49" si="1">IF(C5=0,"",100*D5/C5)</f>
        <v>99.948066813518068</v>
      </c>
      <c r="L5" s="16"/>
    </row>
    <row r="6" spans="2:13" ht="25.5" customHeight="1" x14ac:dyDescent="0.2">
      <c r="B6" s="88" t="s">
        <v>57</v>
      </c>
      <c r="C6" s="67">
        <f>C5-C23-C60</f>
        <v>83844423144.380005</v>
      </c>
      <c r="D6" s="67">
        <f>D5-D23-D60</f>
        <v>84389507294.820007</v>
      </c>
      <c r="E6" s="67">
        <f>E5</f>
        <v>927801126.61000001</v>
      </c>
      <c r="F6" s="67">
        <f>F5</f>
        <v>221088495.27000001</v>
      </c>
      <c r="G6" s="67">
        <f>G5</f>
        <v>24357979.170000002</v>
      </c>
      <c r="H6" s="67">
        <f>H5</f>
        <v>66889771.020000003</v>
      </c>
      <c r="I6" s="67">
        <f>I5</f>
        <v>3318218.64</v>
      </c>
      <c r="J6" s="16">
        <f t="shared" si="0"/>
        <v>61.050223378670182</v>
      </c>
      <c r="K6" s="16">
        <f t="shared" si="1"/>
        <v>100.65011378216697</v>
      </c>
      <c r="L6" s="16">
        <f t="shared" ref="L6:L22" si="2">IF($D$6=0,"",100*$D6/$D$6)</f>
        <v>100</v>
      </c>
    </row>
    <row r="7" spans="2:13" ht="33.75" outlineLevel="1" x14ac:dyDescent="0.2">
      <c r="B7" s="89" t="s">
        <v>58</v>
      </c>
      <c r="C7" s="68">
        <f>5294432179</f>
        <v>5294432179</v>
      </c>
      <c r="D7" s="68">
        <f>5294432179</f>
        <v>5294432179</v>
      </c>
      <c r="E7" s="68">
        <f>0</f>
        <v>0</v>
      </c>
      <c r="F7" s="68">
        <f>0</f>
        <v>0</v>
      </c>
      <c r="G7" s="68">
        <f>0</f>
        <v>0</v>
      </c>
      <c r="H7" s="68">
        <f>0</f>
        <v>0</v>
      </c>
      <c r="I7" s="68">
        <f>0</f>
        <v>0</v>
      </c>
      <c r="J7" s="18">
        <f t="shared" si="0"/>
        <v>3.8301712802038099</v>
      </c>
      <c r="K7" s="18">
        <f t="shared" si="1"/>
        <v>100</v>
      </c>
      <c r="L7" s="18">
        <f t="shared" si="2"/>
        <v>6.2738038752893424</v>
      </c>
    </row>
    <row r="8" spans="2:13" ht="33.75" outlineLevel="1" x14ac:dyDescent="0.2">
      <c r="B8" s="10" t="s">
        <v>59</v>
      </c>
      <c r="C8" s="69">
        <f>1105433584</f>
        <v>1105433584</v>
      </c>
      <c r="D8" s="69">
        <f>1105433584</f>
        <v>1105433584</v>
      </c>
      <c r="E8" s="69">
        <f>0</f>
        <v>0</v>
      </c>
      <c r="F8" s="69">
        <f>0</f>
        <v>0</v>
      </c>
      <c r="G8" s="69">
        <f>0</f>
        <v>0</v>
      </c>
      <c r="H8" s="69">
        <f>0</f>
        <v>0</v>
      </c>
      <c r="I8" s="69">
        <f>0</f>
        <v>0</v>
      </c>
      <c r="J8" s="18">
        <f t="shared" si="0"/>
        <v>0.79970803713445127</v>
      </c>
      <c r="K8" s="18">
        <f t="shared" si="1"/>
        <v>100</v>
      </c>
      <c r="L8" s="18">
        <f t="shared" si="2"/>
        <v>1.3099182818286861</v>
      </c>
    </row>
    <row r="9" spans="2:13" ht="33.75" outlineLevel="1" x14ac:dyDescent="0.2">
      <c r="B9" s="10" t="s">
        <v>60</v>
      </c>
      <c r="C9" s="69">
        <f>27944588774</f>
        <v>27944588774</v>
      </c>
      <c r="D9" s="69">
        <f>28152343282</f>
        <v>28152343282</v>
      </c>
      <c r="E9" s="69">
        <f>0</f>
        <v>0</v>
      </c>
      <c r="F9" s="69">
        <f>0</f>
        <v>0</v>
      </c>
      <c r="G9" s="69">
        <f>0</f>
        <v>0</v>
      </c>
      <c r="H9" s="69">
        <f>0</f>
        <v>0</v>
      </c>
      <c r="I9" s="69">
        <f>0</f>
        <v>0</v>
      </c>
      <c r="J9" s="18">
        <f t="shared" si="0"/>
        <v>20.366357158535067</v>
      </c>
      <c r="K9" s="18">
        <f t="shared" si="1"/>
        <v>100.74345165599036</v>
      </c>
      <c r="L9" s="18">
        <f t="shared" si="2"/>
        <v>33.360004323343226</v>
      </c>
    </row>
    <row r="10" spans="2:13" ht="33.75" outlineLevel="1" x14ac:dyDescent="0.2">
      <c r="B10" s="10" t="s">
        <v>61</v>
      </c>
      <c r="C10" s="69">
        <f>7427496817</f>
        <v>7427496817</v>
      </c>
      <c r="D10" s="69">
        <f>7503400550</f>
        <v>7503400550</v>
      </c>
      <c r="E10" s="69">
        <f>0</f>
        <v>0</v>
      </c>
      <c r="F10" s="69">
        <f>0</f>
        <v>0</v>
      </c>
      <c r="G10" s="69">
        <f>0</f>
        <v>0</v>
      </c>
      <c r="H10" s="69">
        <f>0</f>
        <v>0</v>
      </c>
      <c r="I10" s="69">
        <f>0</f>
        <v>0</v>
      </c>
      <c r="J10" s="18">
        <f t="shared" si="0"/>
        <v>5.4282137005112574</v>
      </c>
      <c r="K10" s="18">
        <f t="shared" si="1"/>
        <v>101.02192885261522</v>
      </c>
      <c r="L10" s="18">
        <f t="shared" si="2"/>
        <v>8.8913903997405761</v>
      </c>
    </row>
    <row r="11" spans="2:13" ht="12.95" customHeight="1" outlineLevel="1" x14ac:dyDescent="0.2">
      <c r="B11" s="10" t="s">
        <v>17</v>
      </c>
      <c r="C11" s="69">
        <f>31271616</f>
        <v>31271616</v>
      </c>
      <c r="D11" s="69">
        <f>33941739.96</f>
        <v>33941739.960000001</v>
      </c>
      <c r="E11" s="69">
        <f>1086083.39</f>
        <v>1086083.3899999999</v>
      </c>
      <c r="F11" s="69">
        <f>12931.32</f>
        <v>12931.32</v>
      </c>
      <c r="G11" s="69">
        <f>16285.62</f>
        <v>16285.62</v>
      </c>
      <c r="H11" s="69">
        <f>31050.43</f>
        <v>31050.43</v>
      </c>
      <c r="I11" s="69">
        <f>0</f>
        <v>0</v>
      </c>
      <c r="J11" s="18">
        <f t="shared" si="0"/>
        <v>2.4554602495539497E-2</v>
      </c>
      <c r="K11" s="18">
        <f t="shared" si="1"/>
        <v>108.53849049566226</v>
      </c>
      <c r="L11" s="18">
        <f t="shared" si="2"/>
        <v>4.0220331944138994E-2</v>
      </c>
    </row>
    <row r="12" spans="2:13" ht="12.95" customHeight="1" outlineLevel="1" x14ac:dyDescent="0.2">
      <c r="B12" s="10" t="s">
        <v>18</v>
      </c>
      <c r="C12" s="69">
        <f>12980758838.92</f>
        <v>12980758838.92</v>
      </c>
      <c r="D12" s="70">
        <f>13174330614.7</f>
        <v>13174330614.700001</v>
      </c>
      <c r="E12" s="69">
        <f>428664428.16</f>
        <v>428664428.16000003</v>
      </c>
      <c r="F12" s="69">
        <f>220522403.08</f>
        <v>220522403.08000001</v>
      </c>
      <c r="G12" s="69">
        <f>18184165.44</f>
        <v>18184165.440000001</v>
      </c>
      <c r="H12" s="69">
        <f>51524030.73</f>
        <v>51524030.729999997</v>
      </c>
      <c r="I12" s="69">
        <f>3230514.13</f>
        <v>3230514.13</v>
      </c>
      <c r="J12" s="18">
        <f t="shared" si="0"/>
        <v>9.530756283266717</v>
      </c>
      <c r="K12" s="18">
        <f t="shared" si="1"/>
        <v>101.49122079981655</v>
      </c>
      <c r="L12" s="18">
        <f t="shared" si="2"/>
        <v>15.611337282340866</v>
      </c>
    </row>
    <row r="13" spans="2:13" ht="12.95" customHeight="1" outlineLevel="1" x14ac:dyDescent="0.2">
      <c r="B13" s="10" t="s">
        <v>19</v>
      </c>
      <c r="C13" s="69">
        <f>7670442</f>
        <v>7670442</v>
      </c>
      <c r="D13" s="70">
        <f>7741961.47</f>
        <v>7741961.4699999997</v>
      </c>
      <c r="E13" s="69">
        <f>0</f>
        <v>0</v>
      </c>
      <c r="F13" s="69">
        <f>43448.87</f>
        <v>43448.87</v>
      </c>
      <c r="G13" s="69">
        <f>205.59</f>
        <v>205.59</v>
      </c>
      <c r="H13" s="69">
        <f>435.13</f>
        <v>435.13</v>
      </c>
      <c r="I13" s="69">
        <f>0</f>
        <v>0</v>
      </c>
      <c r="J13" s="18">
        <f t="shared" si="0"/>
        <v>5.6007967374584952E-3</v>
      </c>
      <c r="K13" s="18">
        <f t="shared" si="1"/>
        <v>100.932403504257</v>
      </c>
      <c r="L13" s="18">
        <f t="shared" si="2"/>
        <v>9.1740806626029632E-3</v>
      </c>
    </row>
    <row r="14" spans="2:13" ht="12.95" customHeight="1" outlineLevel="1" x14ac:dyDescent="0.2">
      <c r="B14" s="10" t="s">
        <v>20</v>
      </c>
      <c r="C14" s="69">
        <f>416561688</f>
        <v>416561688</v>
      </c>
      <c r="D14" s="70">
        <f>406251039.05</f>
        <v>406251039.05000001</v>
      </c>
      <c r="E14" s="69">
        <f>497803948.15</f>
        <v>497803948.14999998</v>
      </c>
      <c r="F14" s="69">
        <f>509712</f>
        <v>509712</v>
      </c>
      <c r="G14" s="69">
        <f>229499.5</f>
        <v>229499.5</v>
      </c>
      <c r="H14" s="69">
        <f>1049533.27</f>
        <v>1049533.27</v>
      </c>
      <c r="I14" s="69">
        <f>0</f>
        <v>0</v>
      </c>
      <c r="J14" s="18">
        <f t="shared" si="0"/>
        <v>0.29389573984800049</v>
      </c>
      <c r="K14" s="18">
        <f t="shared" si="1"/>
        <v>97.524820633528833</v>
      </c>
      <c r="L14" s="18">
        <f t="shared" si="2"/>
        <v>0.48139994185620333</v>
      </c>
    </row>
    <row r="15" spans="2:13" ht="33.75" outlineLevel="1" x14ac:dyDescent="0.2">
      <c r="B15" s="10" t="s">
        <v>36</v>
      </c>
      <c r="C15" s="69">
        <f>92790139</f>
        <v>92790139</v>
      </c>
      <c r="D15" s="70">
        <f>92431593.96</f>
        <v>92431593.959999993</v>
      </c>
      <c r="E15" s="69">
        <f>0</f>
        <v>0</v>
      </c>
      <c r="F15" s="69">
        <f>0</f>
        <v>0</v>
      </c>
      <c r="G15" s="69">
        <f>39673.31</f>
        <v>39673.31</v>
      </c>
      <c r="H15" s="69">
        <f>199134.57</f>
        <v>199134.57</v>
      </c>
      <c r="I15" s="69">
        <f>0</f>
        <v>0</v>
      </c>
      <c r="J15" s="18">
        <f t="shared" si="0"/>
        <v>6.6868140831661399E-2</v>
      </c>
      <c r="K15" s="18">
        <f t="shared" si="1"/>
        <v>99.613595750729502</v>
      </c>
      <c r="L15" s="18">
        <f t="shared" si="2"/>
        <v>0.10952972344901181</v>
      </c>
    </row>
    <row r="16" spans="2:13" ht="12.95" customHeight="1" outlineLevel="1" x14ac:dyDescent="0.2">
      <c r="B16" s="10" t="s">
        <v>25</v>
      </c>
      <c r="C16" s="69">
        <f>276768665</f>
        <v>276768665</v>
      </c>
      <c r="D16" s="70">
        <f>333551960.75</f>
        <v>333551960.75</v>
      </c>
      <c r="E16" s="69">
        <f>0</f>
        <v>0</v>
      </c>
      <c r="F16" s="69">
        <f>0</f>
        <v>0</v>
      </c>
      <c r="G16" s="69">
        <f>1379753.82</f>
        <v>1379753.82</v>
      </c>
      <c r="H16" s="69">
        <f>7194227.31</f>
        <v>7194227.3099999996</v>
      </c>
      <c r="I16" s="69">
        <f>0</f>
        <v>0</v>
      </c>
      <c r="J16" s="18">
        <f t="shared" si="0"/>
        <v>0.24130276813964613</v>
      </c>
      <c r="K16" s="18">
        <f t="shared" si="1"/>
        <v>120.51651900333442</v>
      </c>
      <c r="L16" s="18">
        <f t="shared" si="2"/>
        <v>0.39525288325800434</v>
      </c>
    </row>
    <row r="17" spans="2:12" ht="22.5" customHeight="1" outlineLevel="1" x14ac:dyDescent="0.2">
      <c r="B17" s="10" t="s">
        <v>26</v>
      </c>
      <c r="C17" s="69">
        <f>1877221791.07</f>
        <v>1877221791.0699999</v>
      </c>
      <c r="D17" s="70">
        <f>2072057094.26</f>
        <v>2072057094.26</v>
      </c>
      <c r="E17" s="69">
        <f>0</f>
        <v>0</v>
      </c>
      <c r="F17" s="69">
        <f>0</f>
        <v>0</v>
      </c>
      <c r="G17" s="69">
        <f>15708.51</f>
        <v>15708.51</v>
      </c>
      <c r="H17" s="69">
        <f>367862.95</f>
        <v>367862.95</v>
      </c>
      <c r="I17" s="69">
        <f>0</f>
        <v>0</v>
      </c>
      <c r="J17" s="18">
        <f t="shared" si="0"/>
        <v>1.498996172782443</v>
      </c>
      <c r="K17" s="18">
        <f t="shared" si="1"/>
        <v>110.37891761734481</v>
      </c>
      <c r="L17" s="18">
        <f t="shared" si="2"/>
        <v>2.4553492023850065</v>
      </c>
    </row>
    <row r="18" spans="2:12" ht="12.95" customHeight="1" outlineLevel="1" x14ac:dyDescent="0.2">
      <c r="B18" s="10" t="s">
        <v>50</v>
      </c>
      <c r="C18" s="69">
        <f>413322132</f>
        <v>413322132</v>
      </c>
      <c r="D18" s="70">
        <f>466976781.38</f>
        <v>466976781.38</v>
      </c>
      <c r="E18" s="69">
        <f>0</f>
        <v>0</v>
      </c>
      <c r="F18" s="69">
        <f>0</f>
        <v>0</v>
      </c>
      <c r="G18" s="69">
        <f>3606.64</f>
        <v>3606.64</v>
      </c>
      <c r="H18" s="69">
        <f>111</f>
        <v>111</v>
      </c>
      <c r="I18" s="69">
        <f>0</f>
        <v>0</v>
      </c>
      <c r="J18" s="18">
        <f t="shared" si="0"/>
        <v>0.33782679541312322</v>
      </c>
      <c r="K18" s="18">
        <f t="shared" si="1"/>
        <v>112.9813153533235</v>
      </c>
      <c r="L18" s="18">
        <f t="shared" si="2"/>
        <v>0.55335881953734778</v>
      </c>
    </row>
    <row r="19" spans="2:12" ht="12.95" customHeight="1" outlineLevel="1" x14ac:dyDescent="0.2">
      <c r="B19" s="10" t="s">
        <v>51</v>
      </c>
      <c r="C19" s="69">
        <f>9936004</f>
        <v>9936004</v>
      </c>
      <c r="D19" s="70">
        <f>9900075.88</f>
        <v>9900075.8800000008</v>
      </c>
      <c r="E19" s="69">
        <f>0</f>
        <v>0</v>
      </c>
      <c r="F19" s="69">
        <f>0</f>
        <v>0</v>
      </c>
      <c r="G19" s="69">
        <f>0</f>
        <v>0</v>
      </c>
      <c r="H19" s="69">
        <f>0</f>
        <v>0</v>
      </c>
      <c r="I19" s="69">
        <f>0</f>
        <v>0</v>
      </c>
      <c r="J19" s="18">
        <f t="shared" si="0"/>
        <v>7.1620496826491622E-3</v>
      </c>
      <c r="K19" s="18">
        <f t="shared" si="1"/>
        <v>99.638404734941744</v>
      </c>
      <c r="L19" s="18">
        <f t="shared" si="2"/>
        <v>1.1731406187043453E-2</v>
      </c>
    </row>
    <row r="20" spans="2:12" ht="12.95" customHeight="1" outlineLevel="1" x14ac:dyDescent="0.2">
      <c r="B20" s="10" t="s">
        <v>52</v>
      </c>
      <c r="C20" s="69">
        <f>13409000</f>
        <v>13409000</v>
      </c>
      <c r="D20" s="70">
        <f>13083737.86</f>
        <v>13083737.859999999</v>
      </c>
      <c r="E20" s="69">
        <f>0</f>
        <v>0</v>
      </c>
      <c r="F20" s="69">
        <f>0</f>
        <v>0</v>
      </c>
      <c r="G20" s="69">
        <f>0</f>
        <v>0</v>
      </c>
      <c r="H20" s="69">
        <f>0</f>
        <v>0</v>
      </c>
      <c r="I20" s="69">
        <f>0</f>
        <v>0</v>
      </c>
      <c r="J20" s="18">
        <f t="shared" si="0"/>
        <v>9.4652184209398013E-3</v>
      </c>
      <c r="K20" s="18">
        <f t="shared" si="1"/>
        <v>97.574299798642699</v>
      </c>
      <c r="L20" s="18">
        <f t="shared" si="2"/>
        <v>1.5503986549288818E-2</v>
      </c>
    </row>
    <row r="21" spans="2:12" ht="12.95" customHeight="1" outlineLevel="1" x14ac:dyDescent="0.2">
      <c r="B21" s="10" t="s">
        <v>21</v>
      </c>
      <c r="C21" s="69">
        <f>5609872139.17</f>
        <v>5609872139.1700001</v>
      </c>
      <c r="D21" s="70">
        <f>5340903072.9</f>
        <v>5340903072.8999996</v>
      </c>
      <c r="E21" s="69">
        <f>0</f>
        <v>0</v>
      </c>
      <c r="F21" s="69">
        <f>0</f>
        <v>0</v>
      </c>
      <c r="G21" s="69">
        <f>0</f>
        <v>0</v>
      </c>
      <c r="H21" s="69">
        <f>0</f>
        <v>0</v>
      </c>
      <c r="I21" s="69">
        <f>0</f>
        <v>0</v>
      </c>
      <c r="J21" s="18">
        <f t="shared" si="0"/>
        <v>3.8637898963581856</v>
      </c>
      <c r="K21" s="18">
        <f t="shared" si="1"/>
        <v>95.205433214921797</v>
      </c>
      <c r="L21" s="18">
        <f t="shared" si="2"/>
        <v>6.3288710221298263</v>
      </c>
    </row>
    <row r="22" spans="2:12" ht="12.95" customHeight="1" outlineLevel="1" x14ac:dyDescent="0.2">
      <c r="B22" s="10" t="s">
        <v>22</v>
      </c>
      <c r="C22" s="69">
        <f>C6-SUM(C7:C21)</f>
        <v>20342889335.220009</v>
      </c>
      <c r="D22" s="69">
        <f t="shared" ref="D22:I22" si="3">D6-SUM(D7:D21)</f>
        <v>20382728027.650002</v>
      </c>
      <c r="E22" s="69">
        <f t="shared" si="3"/>
        <v>246666.90999996662</v>
      </c>
      <c r="F22" s="69">
        <f t="shared" si="3"/>
        <v>0</v>
      </c>
      <c r="G22" s="69">
        <f t="shared" si="3"/>
        <v>4489080.7399999984</v>
      </c>
      <c r="H22" s="69">
        <f t="shared" si="3"/>
        <v>6523385.6299999952</v>
      </c>
      <c r="I22" s="69">
        <f t="shared" si="3"/>
        <v>87704.510000000242</v>
      </c>
      <c r="J22" s="18">
        <f t="shared" si="0"/>
        <v>14.745554738309226</v>
      </c>
      <c r="K22" s="18">
        <f t="shared" si="1"/>
        <v>100.19583595905927</v>
      </c>
      <c r="L22" s="18">
        <f t="shared" si="2"/>
        <v>24.153154439498824</v>
      </c>
    </row>
    <row r="23" spans="2:12" ht="26.25" customHeight="1" x14ac:dyDescent="0.2">
      <c r="B23" s="88" t="s">
        <v>106</v>
      </c>
      <c r="C23" s="67">
        <f>C24+C56+C58</f>
        <v>19778219789.040001</v>
      </c>
      <c r="D23" s="67">
        <f>D24+D56+D58</f>
        <v>19122124537.399998</v>
      </c>
      <c r="E23" s="20" t="s">
        <v>56</v>
      </c>
      <c r="F23" s="20" t="s">
        <v>56</v>
      </c>
      <c r="G23" s="20" t="s">
        <v>56</v>
      </c>
      <c r="H23" s="20" t="s">
        <v>56</v>
      </c>
      <c r="I23" s="20" t="s">
        <v>56</v>
      </c>
      <c r="J23" s="16">
        <f t="shared" si="0"/>
        <v>13.833591543609804</v>
      </c>
      <c r="K23" s="16">
        <f t="shared" si="1"/>
        <v>96.68273859509047</v>
      </c>
      <c r="L23" s="21"/>
    </row>
    <row r="24" spans="2:12" ht="25.5" customHeight="1" outlineLevel="1" x14ac:dyDescent="0.2">
      <c r="B24" s="90" t="s">
        <v>62</v>
      </c>
      <c r="C24" s="67">
        <f>C25+C32+C39</f>
        <v>16907033787.029999</v>
      </c>
      <c r="D24" s="67">
        <f>D25+D32+D39</f>
        <v>16322332299.699999</v>
      </c>
      <c r="E24" s="20" t="s">
        <v>56</v>
      </c>
      <c r="F24" s="20" t="s">
        <v>56</v>
      </c>
      <c r="G24" s="20" t="s">
        <v>56</v>
      </c>
      <c r="H24" s="20" t="s">
        <v>56</v>
      </c>
      <c r="I24" s="20" t="s">
        <v>56</v>
      </c>
      <c r="J24" s="16">
        <f t="shared" si="0"/>
        <v>11.808127158229473</v>
      </c>
      <c r="K24" s="16">
        <f t="shared" si="1"/>
        <v>96.541667245152468</v>
      </c>
      <c r="L24" s="22"/>
    </row>
    <row r="25" spans="2:12" ht="13.5" customHeight="1" outlineLevel="1" x14ac:dyDescent="0.2">
      <c r="B25" s="91" t="s">
        <v>53</v>
      </c>
      <c r="C25" s="67">
        <f>C26+C28+C30</f>
        <v>8414387345.8500004</v>
      </c>
      <c r="D25" s="67">
        <f>D26+D28+D30</f>
        <v>8234664191.7199993</v>
      </c>
      <c r="E25" s="20" t="s">
        <v>56</v>
      </c>
      <c r="F25" s="20" t="s">
        <v>56</v>
      </c>
      <c r="G25" s="20" t="s">
        <v>56</v>
      </c>
      <c r="H25" s="20" t="s">
        <v>56</v>
      </c>
      <c r="I25" s="20" t="s">
        <v>56</v>
      </c>
      <c r="J25" s="16">
        <f t="shared" si="0"/>
        <v>5.9572345480881941</v>
      </c>
      <c r="K25" s="16">
        <f t="shared" si="1"/>
        <v>97.864096971734469</v>
      </c>
      <c r="L25" s="22"/>
    </row>
    <row r="26" spans="2:12" ht="22.5" customHeight="1" outlineLevel="1" x14ac:dyDescent="0.2">
      <c r="B26" s="93" t="s">
        <v>112</v>
      </c>
      <c r="C26" s="68">
        <f>5641636082.75</f>
        <v>5641636082.75</v>
      </c>
      <c r="D26" s="71">
        <f>5535361585.91</f>
        <v>5535361585.9099998</v>
      </c>
      <c r="E26" s="17" t="s">
        <v>56</v>
      </c>
      <c r="F26" s="17" t="s">
        <v>56</v>
      </c>
      <c r="G26" s="17" t="s">
        <v>56</v>
      </c>
      <c r="H26" s="17" t="s">
        <v>56</v>
      </c>
      <c r="I26" s="17" t="s">
        <v>56</v>
      </c>
      <c r="J26" s="18">
        <f t="shared" si="0"/>
        <v>4.004467760676909</v>
      </c>
      <c r="K26" s="18">
        <f t="shared" si="1"/>
        <v>98.116246860286722</v>
      </c>
      <c r="L26" s="22"/>
    </row>
    <row r="27" spans="2:12" ht="12.95" customHeight="1" outlineLevel="1" x14ac:dyDescent="0.2">
      <c r="B27" s="95" t="s">
        <v>6</v>
      </c>
      <c r="C27" s="69">
        <f>3594413.5</f>
        <v>3594413.5</v>
      </c>
      <c r="D27" s="69">
        <f>3468358.24</f>
        <v>3468358.24</v>
      </c>
      <c r="E27" s="19" t="s">
        <v>56</v>
      </c>
      <c r="F27" s="19" t="s">
        <v>56</v>
      </c>
      <c r="G27" s="19" t="s">
        <v>56</v>
      </c>
      <c r="H27" s="19" t="s">
        <v>56</v>
      </c>
      <c r="I27" s="19" t="s">
        <v>56</v>
      </c>
      <c r="J27" s="18">
        <f t="shared" si="0"/>
        <v>2.5091276403535609E-3</v>
      </c>
      <c r="K27" s="18">
        <f t="shared" si="1"/>
        <v>96.493022853380666</v>
      </c>
      <c r="L27" s="22"/>
    </row>
    <row r="28" spans="2:12" ht="13.5" customHeight="1" outlineLevel="1" x14ac:dyDescent="0.2">
      <c r="B28" s="93" t="s">
        <v>113</v>
      </c>
      <c r="C28" s="69">
        <f>2744397163.18</f>
        <v>2744397163.1799998</v>
      </c>
      <c r="D28" s="70">
        <f>2676036383.87</f>
        <v>2676036383.8699999</v>
      </c>
      <c r="E28" s="19" t="s">
        <v>56</v>
      </c>
      <c r="F28" s="19" t="s">
        <v>56</v>
      </c>
      <c r="G28" s="19" t="s">
        <v>56</v>
      </c>
      <c r="H28" s="19" t="s">
        <v>56</v>
      </c>
      <c r="I28" s="19" t="s">
        <v>56</v>
      </c>
      <c r="J28" s="18">
        <f t="shared" si="0"/>
        <v>1.935935215665614</v>
      </c>
      <c r="K28" s="18">
        <f t="shared" si="1"/>
        <v>97.509078488086303</v>
      </c>
      <c r="L28" s="22"/>
    </row>
    <row r="29" spans="2:12" ht="12.95" customHeight="1" outlineLevel="1" x14ac:dyDescent="0.2">
      <c r="B29" s="95" t="s">
        <v>6</v>
      </c>
      <c r="C29" s="69">
        <f>162243429.86</f>
        <v>162243429.86000001</v>
      </c>
      <c r="D29" s="69">
        <f>156994280.34</f>
        <v>156994280.34</v>
      </c>
      <c r="E29" s="19" t="s">
        <v>56</v>
      </c>
      <c r="F29" s="19" t="s">
        <v>56</v>
      </c>
      <c r="G29" s="19" t="s">
        <v>56</v>
      </c>
      <c r="H29" s="19" t="s">
        <v>56</v>
      </c>
      <c r="I29" s="19" t="s">
        <v>56</v>
      </c>
      <c r="J29" s="18">
        <f t="shared" si="0"/>
        <v>0.11357497147656515</v>
      </c>
      <c r="K29" s="18">
        <f t="shared" si="1"/>
        <v>96.764645862991486</v>
      </c>
      <c r="L29" s="22"/>
    </row>
    <row r="30" spans="2:12" ht="33.75" outlineLevel="1" x14ac:dyDescent="0.2">
      <c r="B30" s="93" t="s">
        <v>8</v>
      </c>
      <c r="C30" s="69">
        <f>28354099.92</f>
        <v>28354099.920000002</v>
      </c>
      <c r="D30" s="70">
        <f>23266221.94</f>
        <v>23266221.940000001</v>
      </c>
      <c r="E30" s="19" t="s">
        <v>56</v>
      </c>
      <c r="F30" s="19" t="s">
        <v>56</v>
      </c>
      <c r="G30" s="19" t="s">
        <v>56</v>
      </c>
      <c r="H30" s="19" t="s">
        <v>56</v>
      </c>
      <c r="I30" s="19" t="s">
        <v>56</v>
      </c>
      <c r="J30" s="18">
        <f t="shared" si="0"/>
        <v>1.6831571745672517E-2</v>
      </c>
      <c r="K30" s="18">
        <f t="shared" si="1"/>
        <v>82.05593549308476</v>
      </c>
      <c r="L30" s="22"/>
    </row>
    <row r="31" spans="2:12" ht="12.95" customHeight="1" outlineLevel="1" x14ac:dyDescent="0.2">
      <c r="B31" s="95" t="s">
        <v>6</v>
      </c>
      <c r="C31" s="69">
        <f>8897291</f>
        <v>8897291</v>
      </c>
      <c r="D31" s="69">
        <f>5000123.61</f>
        <v>5000123.6100000003</v>
      </c>
      <c r="E31" s="19" t="s">
        <v>56</v>
      </c>
      <c r="F31" s="19" t="s">
        <v>56</v>
      </c>
      <c r="G31" s="19" t="s">
        <v>56</v>
      </c>
      <c r="H31" s="19" t="s">
        <v>56</v>
      </c>
      <c r="I31" s="19" t="s">
        <v>56</v>
      </c>
      <c r="J31" s="18">
        <f t="shared" si="0"/>
        <v>3.6172585087506505E-3</v>
      </c>
      <c r="K31" s="18">
        <f t="shared" si="1"/>
        <v>56.198269900355072</v>
      </c>
      <c r="L31" s="22"/>
    </row>
    <row r="32" spans="2:12" ht="13.5" customHeight="1" outlineLevel="1" x14ac:dyDescent="0.2">
      <c r="B32" s="92" t="s">
        <v>54</v>
      </c>
      <c r="C32" s="67">
        <f>C33+C35+C37</f>
        <v>2895046180.79</v>
      </c>
      <c r="D32" s="67">
        <f>D33+D35+D37</f>
        <v>2857045437.0700002</v>
      </c>
      <c r="E32" s="20" t="s">
        <v>56</v>
      </c>
      <c r="F32" s="20" t="s">
        <v>56</v>
      </c>
      <c r="G32" s="20" t="s">
        <v>56</v>
      </c>
      <c r="H32" s="20" t="s">
        <v>56</v>
      </c>
      <c r="I32" s="20" t="s">
        <v>56</v>
      </c>
      <c r="J32" s="16">
        <f t="shared" si="0"/>
        <v>2.0668832859371404</v>
      </c>
      <c r="K32" s="16">
        <f t="shared" si="1"/>
        <v>98.687387304142064</v>
      </c>
      <c r="L32" s="22"/>
    </row>
    <row r="33" spans="2:12" ht="22.5" outlineLevel="1" x14ac:dyDescent="0.2">
      <c r="B33" s="93" t="s">
        <v>112</v>
      </c>
      <c r="C33" s="69">
        <f>2471870863.47</f>
        <v>2471870863.4699998</v>
      </c>
      <c r="D33" s="69">
        <f>2458884414.5</f>
        <v>2458884414.5</v>
      </c>
      <c r="E33" s="19" t="s">
        <v>56</v>
      </c>
      <c r="F33" s="19" t="s">
        <v>56</v>
      </c>
      <c r="G33" s="19" t="s">
        <v>56</v>
      </c>
      <c r="H33" s="19" t="s">
        <v>56</v>
      </c>
      <c r="I33" s="19" t="s">
        <v>56</v>
      </c>
      <c r="J33" s="18">
        <f t="shared" si="0"/>
        <v>1.7788401375910157</v>
      </c>
      <c r="K33" s="18">
        <f t="shared" si="1"/>
        <v>99.474630768058432</v>
      </c>
      <c r="L33" s="22"/>
    </row>
    <row r="34" spans="2:12" ht="12.95" customHeight="1" outlineLevel="1" x14ac:dyDescent="0.2">
      <c r="B34" s="95" t="s">
        <v>6</v>
      </c>
      <c r="C34" s="69">
        <f>103996489.31</f>
        <v>103996489.31</v>
      </c>
      <c r="D34" s="70">
        <f>101642266.44</f>
        <v>101642266.44</v>
      </c>
      <c r="E34" s="19" t="s">
        <v>56</v>
      </c>
      <c r="F34" s="19" t="s">
        <v>56</v>
      </c>
      <c r="G34" s="19" t="s">
        <v>56</v>
      </c>
      <c r="H34" s="19" t="s">
        <v>56</v>
      </c>
      <c r="I34" s="19" t="s">
        <v>56</v>
      </c>
      <c r="J34" s="18">
        <f t="shared" si="0"/>
        <v>7.3531452781182477E-2</v>
      </c>
      <c r="K34" s="18">
        <f t="shared" si="1"/>
        <v>97.736247746803869</v>
      </c>
      <c r="L34" s="22"/>
    </row>
    <row r="35" spans="2:12" ht="12.95" customHeight="1" outlineLevel="1" x14ac:dyDescent="0.2">
      <c r="B35" s="93" t="s">
        <v>113</v>
      </c>
      <c r="C35" s="69">
        <f>342338902.29</f>
        <v>342338902.29000002</v>
      </c>
      <c r="D35" s="69">
        <f>327418441.05</f>
        <v>327418441.05000001</v>
      </c>
      <c r="E35" s="19" t="s">
        <v>56</v>
      </c>
      <c r="F35" s="19" t="s">
        <v>56</v>
      </c>
      <c r="G35" s="19" t="s">
        <v>56</v>
      </c>
      <c r="H35" s="19" t="s">
        <v>56</v>
      </c>
      <c r="I35" s="19" t="s">
        <v>56</v>
      </c>
      <c r="J35" s="18">
        <f t="shared" si="0"/>
        <v>0.23686557257131202</v>
      </c>
      <c r="K35" s="18">
        <f t="shared" si="1"/>
        <v>95.641610947457934</v>
      </c>
      <c r="L35" s="22"/>
    </row>
    <row r="36" spans="2:12" ht="12.95" customHeight="1" outlineLevel="1" x14ac:dyDescent="0.2">
      <c r="B36" s="95" t="s">
        <v>6</v>
      </c>
      <c r="C36" s="69">
        <f>21323391.34</f>
        <v>21323391.34</v>
      </c>
      <c r="D36" s="70">
        <f>20852250.32</f>
        <v>20852250.32</v>
      </c>
      <c r="E36" s="19" t="s">
        <v>56</v>
      </c>
      <c r="F36" s="19" t="s">
        <v>56</v>
      </c>
      <c r="G36" s="19" t="s">
        <v>56</v>
      </c>
      <c r="H36" s="19" t="s">
        <v>56</v>
      </c>
      <c r="I36" s="19" t="s">
        <v>56</v>
      </c>
      <c r="J36" s="18">
        <f t="shared" si="0"/>
        <v>1.5085223042439639E-2</v>
      </c>
      <c r="K36" s="18">
        <f t="shared" si="1"/>
        <v>97.790496771889195</v>
      </c>
      <c r="L36" s="22"/>
    </row>
    <row r="37" spans="2:12" ht="33.75" outlineLevel="1" x14ac:dyDescent="0.2">
      <c r="B37" s="93" t="s">
        <v>8</v>
      </c>
      <c r="C37" s="69">
        <f>80836415.03</f>
        <v>80836415.030000001</v>
      </c>
      <c r="D37" s="69">
        <f>70742581.52</f>
        <v>70742581.519999996</v>
      </c>
      <c r="E37" s="19" t="s">
        <v>56</v>
      </c>
      <c r="F37" s="19" t="s">
        <v>56</v>
      </c>
      <c r="G37" s="19" t="s">
        <v>56</v>
      </c>
      <c r="H37" s="19" t="s">
        <v>56</v>
      </c>
      <c r="I37" s="19" t="s">
        <v>56</v>
      </c>
      <c r="J37" s="18">
        <f t="shared" si="0"/>
        <v>5.1177575774812994E-2</v>
      </c>
      <c r="K37" s="18">
        <f t="shared" si="1"/>
        <v>87.513259332128996</v>
      </c>
      <c r="L37" s="22"/>
    </row>
    <row r="38" spans="2:12" ht="12.95" customHeight="1" outlineLevel="1" x14ac:dyDescent="0.2">
      <c r="B38" s="95" t="s">
        <v>6</v>
      </c>
      <c r="C38" s="69">
        <f>6187542.38</f>
        <v>6187542.3799999999</v>
      </c>
      <c r="D38" s="70">
        <f>5970697.98</f>
        <v>5970697.9800000004</v>
      </c>
      <c r="E38" s="19" t="s">
        <v>56</v>
      </c>
      <c r="F38" s="19" t="s">
        <v>56</v>
      </c>
      <c r="G38" s="19" t="s">
        <v>56</v>
      </c>
      <c r="H38" s="19" t="s">
        <v>56</v>
      </c>
      <c r="I38" s="19" t="s">
        <v>56</v>
      </c>
      <c r="J38" s="18">
        <f t="shared" si="0"/>
        <v>4.319404829940858E-3</v>
      </c>
      <c r="K38" s="18">
        <f t="shared" si="1"/>
        <v>96.495468043969993</v>
      </c>
      <c r="L38" s="22"/>
    </row>
    <row r="39" spans="2:12" ht="13.5" customHeight="1" outlineLevel="1" x14ac:dyDescent="0.2">
      <c r="B39" s="91" t="s">
        <v>55</v>
      </c>
      <c r="C39" s="67">
        <f>C40+C42+C44+C48+C50+C46+C52+C54</f>
        <v>5597600260.3899994</v>
      </c>
      <c r="D39" s="67">
        <f>D40+D42+D44+D48+D50+D46+D52+D54</f>
        <v>5230622670.9099998</v>
      </c>
      <c r="E39" s="20" t="s">
        <v>56</v>
      </c>
      <c r="F39" s="20" t="s">
        <v>56</v>
      </c>
      <c r="G39" s="20" t="s">
        <v>56</v>
      </c>
      <c r="H39" s="20" t="s">
        <v>56</v>
      </c>
      <c r="I39" s="20" t="s">
        <v>56</v>
      </c>
      <c r="J39" s="16">
        <f t="shared" si="0"/>
        <v>3.784009324204137</v>
      </c>
      <c r="K39" s="16">
        <f t="shared" si="1"/>
        <v>93.444019358137751</v>
      </c>
      <c r="L39" s="22"/>
    </row>
    <row r="40" spans="2:12" ht="33.75" outlineLevel="1" x14ac:dyDescent="0.2">
      <c r="B40" s="93" t="s">
        <v>117</v>
      </c>
      <c r="C40" s="68">
        <f>0</f>
        <v>0</v>
      </c>
      <c r="D40" s="71">
        <f>0</f>
        <v>0</v>
      </c>
      <c r="E40" s="19" t="s">
        <v>56</v>
      </c>
      <c r="F40" s="19" t="s">
        <v>56</v>
      </c>
      <c r="G40" s="19" t="s">
        <v>56</v>
      </c>
      <c r="H40" s="19" t="s">
        <v>56</v>
      </c>
      <c r="I40" s="19" t="s">
        <v>56</v>
      </c>
      <c r="J40" s="18">
        <f t="shared" si="0"/>
        <v>0</v>
      </c>
      <c r="K40" s="18" t="str">
        <f t="shared" si="1"/>
        <v/>
      </c>
      <c r="L40" s="22"/>
    </row>
    <row r="41" spans="2:12" ht="13.5" customHeight="1" outlineLevel="1" x14ac:dyDescent="0.2">
      <c r="B41" s="95" t="s">
        <v>6</v>
      </c>
      <c r="C41" s="68">
        <f>0</f>
        <v>0</v>
      </c>
      <c r="D41" s="71">
        <f>0</f>
        <v>0</v>
      </c>
      <c r="E41" s="19" t="s">
        <v>56</v>
      </c>
      <c r="F41" s="19" t="s">
        <v>56</v>
      </c>
      <c r="G41" s="19" t="s">
        <v>56</v>
      </c>
      <c r="H41" s="19" t="s">
        <v>56</v>
      </c>
      <c r="I41" s="19" t="s">
        <v>56</v>
      </c>
      <c r="J41" s="18">
        <f t="shared" si="0"/>
        <v>0</v>
      </c>
      <c r="K41" s="18" t="str">
        <f t="shared" si="1"/>
        <v/>
      </c>
      <c r="L41" s="22"/>
    </row>
    <row r="42" spans="2:12" ht="22.5" outlineLevel="1" x14ac:dyDescent="0.2">
      <c r="B42" s="93" t="s">
        <v>118</v>
      </c>
      <c r="C42" s="68">
        <f>0</f>
        <v>0</v>
      </c>
      <c r="D42" s="71">
        <f>232200.08</f>
        <v>232200.08</v>
      </c>
      <c r="E42" s="19" t="s">
        <v>56</v>
      </c>
      <c r="F42" s="19" t="s">
        <v>56</v>
      </c>
      <c r="G42" s="19" t="s">
        <v>56</v>
      </c>
      <c r="H42" s="19" t="s">
        <v>56</v>
      </c>
      <c r="I42" s="19" t="s">
        <v>56</v>
      </c>
      <c r="J42" s="18">
        <f t="shared" si="0"/>
        <v>1.6798139018658813E-4</v>
      </c>
      <c r="K42" s="18" t="str">
        <f t="shared" si="1"/>
        <v/>
      </c>
      <c r="L42" s="22"/>
    </row>
    <row r="43" spans="2:12" ht="13.5" customHeight="1" outlineLevel="1" x14ac:dyDescent="0.2">
      <c r="B43" s="95" t="s">
        <v>6</v>
      </c>
      <c r="C43" s="68">
        <f>0</f>
        <v>0</v>
      </c>
      <c r="D43" s="71">
        <f>0</f>
        <v>0</v>
      </c>
      <c r="E43" s="19" t="s">
        <v>56</v>
      </c>
      <c r="F43" s="19" t="s">
        <v>56</v>
      </c>
      <c r="G43" s="19" t="s">
        <v>56</v>
      </c>
      <c r="H43" s="19" t="s">
        <v>56</v>
      </c>
      <c r="I43" s="19" t="s">
        <v>56</v>
      </c>
      <c r="J43" s="18">
        <f t="shared" si="0"/>
        <v>0</v>
      </c>
      <c r="K43" s="18" t="str">
        <f t="shared" si="1"/>
        <v/>
      </c>
      <c r="L43" s="22"/>
    </row>
    <row r="44" spans="2:12" ht="22.5" outlineLevel="1" x14ac:dyDescent="0.2">
      <c r="B44" s="93" t="s">
        <v>9</v>
      </c>
      <c r="C44" s="68">
        <f>818097507.81</f>
        <v>818097507.80999994</v>
      </c>
      <c r="D44" s="71">
        <f>810307529.75</f>
        <v>810307529.75</v>
      </c>
      <c r="E44" s="17" t="s">
        <v>56</v>
      </c>
      <c r="F44" s="17" t="s">
        <v>56</v>
      </c>
      <c r="G44" s="17" t="s">
        <v>56</v>
      </c>
      <c r="H44" s="17" t="s">
        <v>56</v>
      </c>
      <c r="I44" s="17" t="s">
        <v>56</v>
      </c>
      <c r="J44" s="18">
        <f t="shared" si="0"/>
        <v>0.58620386920652712</v>
      </c>
      <c r="K44" s="18">
        <f t="shared" si="1"/>
        <v>99.047793449358707</v>
      </c>
      <c r="L44" s="22"/>
    </row>
    <row r="45" spans="2:12" ht="12.95" customHeight="1" outlineLevel="1" x14ac:dyDescent="0.2">
      <c r="B45" s="95" t="s">
        <v>6</v>
      </c>
      <c r="C45" s="69">
        <f>3298067.96</f>
        <v>3298067.96</v>
      </c>
      <c r="D45" s="69">
        <f>3509695.7</f>
        <v>3509695.7</v>
      </c>
      <c r="E45" s="19" t="s">
        <v>56</v>
      </c>
      <c r="F45" s="19" t="s">
        <v>56</v>
      </c>
      <c r="G45" s="19" t="s">
        <v>56</v>
      </c>
      <c r="H45" s="19" t="s">
        <v>56</v>
      </c>
      <c r="I45" s="19" t="s">
        <v>56</v>
      </c>
      <c r="J45" s="18">
        <f t="shared" si="0"/>
        <v>2.5390325568272441E-3</v>
      </c>
      <c r="K45" s="18">
        <f t="shared" si="1"/>
        <v>106.41671859302741</v>
      </c>
      <c r="L45" s="22"/>
    </row>
    <row r="46" spans="2:12" ht="33.75" outlineLevel="1" x14ac:dyDescent="0.2">
      <c r="B46" s="93" t="s">
        <v>79</v>
      </c>
      <c r="C46" s="69">
        <f>462546750.58</f>
        <v>462546750.57999998</v>
      </c>
      <c r="D46" s="69">
        <f>430210959.04</f>
        <v>430210959.04000002</v>
      </c>
      <c r="E46" s="19" t="s">
        <v>56</v>
      </c>
      <c r="F46" s="19" t="s">
        <v>56</v>
      </c>
      <c r="G46" s="19" t="s">
        <v>56</v>
      </c>
      <c r="H46" s="19" t="s">
        <v>56</v>
      </c>
      <c r="I46" s="19" t="s">
        <v>56</v>
      </c>
      <c r="J46" s="18">
        <f>IF($D$5=0,"",100*$D46/$D$5)</f>
        <v>0.31122915622184338</v>
      </c>
      <c r="K46" s="18">
        <f>IF(C46=0,"",100*D46/C46)</f>
        <v>93.009184152855198</v>
      </c>
      <c r="L46" s="22"/>
    </row>
    <row r="47" spans="2:12" ht="12.95" customHeight="1" outlineLevel="1" x14ac:dyDescent="0.2">
      <c r="B47" s="95" t="s">
        <v>6</v>
      </c>
      <c r="C47" s="69">
        <f>323985472.73</f>
        <v>323985472.73000002</v>
      </c>
      <c r="D47" s="69">
        <f>292034190.8</f>
        <v>292034190.80000001</v>
      </c>
      <c r="E47" s="19" t="s">
        <v>56</v>
      </c>
      <c r="F47" s="19" t="s">
        <v>56</v>
      </c>
      <c r="G47" s="19" t="s">
        <v>56</v>
      </c>
      <c r="H47" s="19" t="s">
        <v>56</v>
      </c>
      <c r="I47" s="19" t="s">
        <v>56</v>
      </c>
      <c r="J47" s="18">
        <f>IF($D$5=0,"",100*$D47/$D$5)</f>
        <v>0.21126740935058821</v>
      </c>
      <c r="K47" s="18">
        <f>IF(C47=0,"",100*D47/C47)</f>
        <v>90.138051048780426</v>
      </c>
      <c r="L47" s="22"/>
    </row>
    <row r="48" spans="2:12" ht="12.95" customHeight="1" outlineLevel="1" x14ac:dyDescent="0.2">
      <c r="B48" s="93" t="s">
        <v>7</v>
      </c>
      <c r="C48" s="69">
        <f>205584417.88</f>
        <v>205584417.88</v>
      </c>
      <c r="D48" s="70">
        <f>128450517.98</f>
        <v>128450517.98</v>
      </c>
      <c r="E48" s="19" t="s">
        <v>56</v>
      </c>
      <c r="F48" s="19" t="s">
        <v>56</v>
      </c>
      <c r="G48" s="19" t="s">
        <v>56</v>
      </c>
      <c r="H48" s="19" t="s">
        <v>56</v>
      </c>
      <c r="I48" s="19" t="s">
        <v>56</v>
      </c>
      <c r="J48" s="18">
        <f t="shared" si="0"/>
        <v>9.2925448520378359E-2</v>
      </c>
      <c r="K48" s="18">
        <f t="shared" si="1"/>
        <v>62.480668187107838</v>
      </c>
      <c r="L48" s="22"/>
    </row>
    <row r="49" spans="2:12" ht="12.95" customHeight="1" outlineLevel="1" x14ac:dyDescent="0.2">
      <c r="B49" s="95" t="s">
        <v>6</v>
      </c>
      <c r="C49" s="69">
        <f>179957547.62</f>
        <v>179957547.62</v>
      </c>
      <c r="D49" s="69">
        <f>103724406.84</f>
        <v>103724406.84</v>
      </c>
      <c r="E49" s="19" t="s">
        <v>56</v>
      </c>
      <c r="F49" s="19" t="s">
        <v>56</v>
      </c>
      <c r="G49" s="19" t="s">
        <v>56</v>
      </c>
      <c r="H49" s="19" t="s">
        <v>56</v>
      </c>
      <c r="I49" s="19" t="s">
        <v>56</v>
      </c>
      <c r="J49" s="18">
        <f t="shared" si="0"/>
        <v>7.5037743558324571E-2</v>
      </c>
      <c r="K49" s="18">
        <f t="shared" si="1"/>
        <v>57.63826425275888</v>
      </c>
      <c r="L49" s="22"/>
    </row>
    <row r="50" spans="2:12" ht="67.5" outlineLevel="1" x14ac:dyDescent="0.2">
      <c r="B50" s="93" t="s">
        <v>100</v>
      </c>
      <c r="C50" s="69">
        <f>1798000</f>
        <v>1798000</v>
      </c>
      <c r="D50" s="69">
        <f>1116194.2</f>
        <v>1116194.2</v>
      </c>
      <c r="E50" s="19" t="s">
        <v>56</v>
      </c>
      <c r="F50" s="19" t="s">
        <v>56</v>
      </c>
      <c r="G50" s="19" t="s">
        <v>56</v>
      </c>
      <c r="H50" s="19" t="s">
        <v>56</v>
      </c>
      <c r="I50" s="19" t="s">
        <v>56</v>
      </c>
      <c r="J50" s="18">
        <f t="shared" si="0"/>
        <v>8.0749263064081023E-4</v>
      </c>
      <c r="K50" s="18">
        <f>IF(C50=0,"",100*D50/C50)</f>
        <v>62.079766407119024</v>
      </c>
      <c r="L50" s="22"/>
    </row>
    <row r="51" spans="2:12" ht="12.95" customHeight="1" outlineLevel="1" x14ac:dyDescent="0.2">
      <c r="B51" s="95" t="s">
        <v>99</v>
      </c>
      <c r="C51" s="69">
        <f>1444000</f>
        <v>1444000</v>
      </c>
      <c r="D51" s="69">
        <f>764901.2</f>
        <v>764901.2</v>
      </c>
      <c r="E51" s="19" t="s">
        <v>56</v>
      </c>
      <c r="F51" s="19" t="s">
        <v>56</v>
      </c>
      <c r="G51" s="19" t="s">
        <v>56</v>
      </c>
      <c r="H51" s="19" t="s">
        <v>56</v>
      </c>
      <c r="I51" s="19" t="s">
        <v>56</v>
      </c>
      <c r="J51" s="18">
        <f t="shared" si="0"/>
        <v>5.5335539475864738E-4</v>
      </c>
      <c r="K51" s="18">
        <f>IF(C51=0,"",100*D51/C51)</f>
        <v>52.970997229916897</v>
      </c>
      <c r="L51" s="22"/>
    </row>
    <row r="52" spans="2:12" ht="45" outlineLevel="1" x14ac:dyDescent="0.2">
      <c r="B52" s="94" t="s">
        <v>98</v>
      </c>
      <c r="C52" s="72">
        <f>2147083611.3</f>
        <v>2147083611.3</v>
      </c>
      <c r="D52" s="72">
        <f>1900451923.84</f>
        <v>1900451923.8399999</v>
      </c>
      <c r="E52" s="24" t="s">
        <v>56</v>
      </c>
      <c r="F52" s="24" t="s">
        <v>56</v>
      </c>
      <c r="G52" s="24" t="s">
        <v>56</v>
      </c>
      <c r="H52" s="24" t="s">
        <v>56</v>
      </c>
      <c r="I52" s="24" t="s">
        <v>56</v>
      </c>
      <c r="J52" s="25">
        <f>IF($D$5=0,"",100*$D52/$D$5)</f>
        <v>1.374851189325254</v>
      </c>
      <c r="K52" s="25">
        <f>IF(C52=0,"",100*D52/C52)</f>
        <v>88.513177308885929</v>
      </c>
      <c r="L52" s="22"/>
    </row>
    <row r="53" spans="2:12" ht="12.95" customHeight="1" outlineLevel="1" x14ac:dyDescent="0.2">
      <c r="B53" s="95" t="s">
        <v>99</v>
      </c>
      <c r="C53" s="69">
        <f>2096663987.09</f>
        <v>2096663987.0899999</v>
      </c>
      <c r="D53" s="69">
        <f>1856782081.97</f>
        <v>1856782081.97</v>
      </c>
      <c r="E53" s="19" t="s">
        <v>56</v>
      </c>
      <c r="F53" s="19" t="s">
        <v>56</v>
      </c>
      <c r="G53" s="19" t="s">
        <v>56</v>
      </c>
      <c r="H53" s="19" t="s">
        <v>56</v>
      </c>
      <c r="I53" s="19" t="s">
        <v>56</v>
      </c>
      <c r="J53" s="18">
        <f t="shared" si="0"/>
        <v>1.3432589489326103</v>
      </c>
      <c r="K53" s="18">
        <f t="shared" ref="K53:K69" si="4">IF(C53=0,"",100*D53/C53)</f>
        <v>88.55887702573952</v>
      </c>
      <c r="L53" s="22"/>
    </row>
    <row r="54" spans="2:12" ht="22.5" outlineLevel="1" x14ac:dyDescent="0.2">
      <c r="B54" s="94" t="s">
        <v>114</v>
      </c>
      <c r="C54" s="69">
        <f>1962489972.82</f>
        <v>1962489972.8199999</v>
      </c>
      <c r="D54" s="69">
        <f>1959853346.02</f>
        <v>1959853346.02</v>
      </c>
      <c r="E54" s="19" t="s">
        <v>56</v>
      </c>
      <c r="F54" s="19" t="s">
        <v>56</v>
      </c>
      <c r="G54" s="19" t="s">
        <v>56</v>
      </c>
      <c r="H54" s="19" t="s">
        <v>56</v>
      </c>
      <c r="I54" s="19" t="s">
        <v>56</v>
      </c>
      <c r="J54" s="18">
        <f t="shared" si="0"/>
        <v>1.4178241869093067</v>
      </c>
      <c r="K54" s="18">
        <f t="shared" si="4"/>
        <v>99.865648903356629</v>
      </c>
      <c r="L54" s="22"/>
    </row>
    <row r="55" spans="2:12" ht="12.95" customHeight="1" outlineLevel="1" x14ac:dyDescent="0.2">
      <c r="B55" s="95" t="s">
        <v>6</v>
      </c>
      <c r="C55" s="69">
        <f>862000</f>
        <v>862000</v>
      </c>
      <c r="D55" s="69">
        <f>3250401.03</f>
        <v>3250401.03</v>
      </c>
      <c r="E55" s="19" t="s">
        <v>56</v>
      </c>
      <c r="F55" s="19" t="s">
        <v>56</v>
      </c>
      <c r="G55" s="19" t="s">
        <v>56</v>
      </c>
      <c r="H55" s="19" t="s">
        <v>56</v>
      </c>
      <c r="I55" s="19" t="s">
        <v>56</v>
      </c>
      <c r="J55" s="18">
        <f t="shared" si="0"/>
        <v>2.3514500239763827E-3</v>
      </c>
      <c r="K55" s="18">
        <f t="shared" si="4"/>
        <v>377.07668561484917</v>
      </c>
      <c r="L55" s="22"/>
    </row>
    <row r="56" spans="2:12" ht="13.5" customHeight="1" outlineLevel="1" x14ac:dyDescent="0.2">
      <c r="B56" s="90" t="s">
        <v>85</v>
      </c>
      <c r="C56" s="67">
        <f>119593450.76</f>
        <v>119593450.76000001</v>
      </c>
      <c r="D56" s="67">
        <f>83298217.2600001</f>
        <v>83298217.260000095</v>
      </c>
      <c r="E56" s="20" t="s">
        <v>56</v>
      </c>
      <c r="F56" s="20" t="s">
        <v>56</v>
      </c>
      <c r="G56" s="20" t="s">
        <v>56</v>
      </c>
      <c r="H56" s="20" t="s">
        <v>56</v>
      </c>
      <c r="I56" s="20" t="s">
        <v>56</v>
      </c>
      <c r="J56" s="16">
        <f t="shared" si="0"/>
        <v>6.0260747263305277E-2</v>
      </c>
      <c r="K56" s="16">
        <f t="shared" si="4"/>
        <v>69.651152910674725</v>
      </c>
      <c r="L56" s="22"/>
    </row>
    <row r="57" spans="2:12" ht="12.95" customHeight="1" outlineLevel="1" x14ac:dyDescent="0.2">
      <c r="B57" s="93" t="s">
        <v>86</v>
      </c>
      <c r="C57" s="69">
        <f>74757093.34</f>
        <v>74757093.340000004</v>
      </c>
      <c r="D57" s="69">
        <f>41471903.36</f>
        <v>41471903.359999999</v>
      </c>
      <c r="E57" s="19" t="s">
        <v>56</v>
      </c>
      <c r="F57" s="19" t="s">
        <v>56</v>
      </c>
      <c r="G57" s="19" t="s">
        <v>56</v>
      </c>
      <c r="H57" s="19" t="s">
        <v>56</v>
      </c>
      <c r="I57" s="19" t="s">
        <v>56</v>
      </c>
      <c r="J57" s="18">
        <f t="shared" si="0"/>
        <v>3.0002177346780567E-2</v>
      </c>
      <c r="K57" s="18">
        <f t="shared" si="4"/>
        <v>55.475542864384991</v>
      </c>
      <c r="L57" s="22"/>
    </row>
    <row r="58" spans="2:12" ht="13.5" customHeight="1" outlineLevel="1" x14ac:dyDescent="0.2">
      <c r="B58" s="90" t="s">
        <v>87</v>
      </c>
      <c r="C58" s="73">
        <f>2751592551.25</f>
        <v>2751592551.25</v>
      </c>
      <c r="D58" s="73">
        <f>2716494020.44</f>
        <v>2716494020.4400001</v>
      </c>
      <c r="E58" s="20" t="s">
        <v>56</v>
      </c>
      <c r="F58" s="20" t="s">
        <v>56</v>
      </c>
      <c r="G58" s="20" t="s">
        <v>56</v>
      </c>
      <c r="H58" s="20" t="s">
        <v>56</v>
      </c>
      <c r="I58" s="20" t="s">
        <v>56</v>
      </c>
      <c r="J58" s="23">
        <f t="shared" si="0"/>
        <v>1.965203638117029</v>
      </c>
      <c r="K58" s="23">
        <f t="shared" si="4"/>
        <v>98.724428484367891</v>
      </c>
      <c r="L58" s="22"/>
    </row>
    <row r="59" spans="2:12" ht="12.95" customHeight="1" outlineLevel="1" x14ac:dyDescent="0.2">
      <c r="B59" s="94" t="s">
        <v>88</v>
      </c>
      <c r="C59" s="72">
        <f>2322493187.31</f>
        <v>2322493187.3099999</v>
      </c>
      <c r="D59" s="72">
        <f>2358216389.46</f>
        <v>2358216389.46</v>
      </c>
      <c r="E59" s="24" t="s">
        <v>56</v>
      </c>
      <c r="F59" s="24" t="s">
        <v>56</v>
      </c>
      <c r="G59" s="24" t="s">
        <v>56</v>
      </c>
      <c r="H59" s="24" t="s">
        <v>56</v>
      </c>
      <c r="I59" s="24" t="s">
        <v>56</v>
      </c>
      <c r="J59" s="25">
        <f t="shared" si="0"/>
        <v>1.7060134839845333</v>
      </c>
      <c r="K59" s="25">
        <f t="shared" si="4"/>
        <v>101.5381402341755</v>
      </c>
      <c r="L59" s="22"/>
    </row>
    <row r="60" spans="2:12" s="26" customFormat="1" ht="25.5" customHeight="1" x14ac:dyDescent="0.2">
      <c r="B60" s="88" t="s">
        <v>63</v>
      </c>
      <c r="C60" s="67">
        <f>C61+C62+C63+C64+C68</f>
        <v>34678826831</v>
      </c>
      <c r="D60" s="67">
        <f>D61+D62+D63+D64+D68</f>
        <v>34718013572</v>
      </c>
      <c r="E60" s="20" t="s">
        <v>56</v>
      </c>
      <c r="F60" s="20" t="s">
        <v>56</v>
      </c>
      <c r="G60" s="20" t="s">
        <v>56</v>
      </c>
      <c r="H60" s="20" t="s">
        <v>56</v>
      </c>
      <c r="I60" s="20" t="s">
        <v>56</v>
      </c>
      <c r="J60" s="16">
        <f t="shared" si="0"/>
        <v>25.116185077720019</v>
      </c>
      <c r="K60" s="16">
        <f t="shared" si="4"/>
        <v>100.11299903883994</v>
      </c>
      <c r="L60" s="27"/>
    </row>
    <row r="61" spans="2:12" ht="12.95" customHeight="1" outlineLevel="1" x14ac:dyDescent="0.2">
      <c r="B61" s="10" t="s">
        <v>39</v>
      </c>
      <c r="C61" s="69">
        <f>31342180302</f>
        <v>31342180302</v>
      </c>
      <c r="D61" s="69">
        <f>31358180126</f>
        <v>31358180126</v>
      </c>
      <c r="E61" s="19" t="s">
        <v>56</v>
      </c>
      <c r="F61" s="19" t="s">
        <v>56</v>
      </c>
      <c r="G61" s="19" t="s">
        <v>56</v>
      </c>
      <c r="H61" s="19" t="s">
        <v>56</v>
      </c>
      <c r="I61" s="19" t="s">
        <v>56</v>
      </c>
      <c r="J61" s="18">
        <f t="shared" si="0"/>
        <v>22.685567943331112</v>
      </c>
      <c r="K61" s="18">
        <f t="shared" si="4"/>
        <v>100.05104885443779</v>
      </c>
      <c r="L61" s="22"/>
    </row>
    <row r="62" spans="2:12" ht="12.95" customHeight="1" outlineLevel="1" x14ac:dyDescent="0.2">
      <c r="B62" s="10" t="s">
        <v>125</v>
      </c>
      <c r="C62" s="69">
        <f>1129506760</f>
        <v>1129506760</v>
      </c>
      <c r="D62" s="69">
        <f>1131562576</f>
        <v>1131562576</v>
      </c>
      <c r="E62" s="19" t="s">
        <v>56</v>
      </c>
      <c r="F62" s="19" t="s">
        <v>56</v>
      </c>
      <c r="G62" s="19" t="s">
        <v>56</v>
      </c>
      <c r="H62" s="19" t="s">
        <v>56</v>
      </c>
      <c r="I62" s="19" t="s">
        <v>56</v>
      </c>
      <c r="J62" s="18">
        <f t="shared" si="0"/>
        <v>0.81861063355187813</v>
      </c>
      <c r="K62" s="18">
        <f>IF(C62=0,"",100*D62/C62)</f>
        <v>100.1820100660575</v>
      </c>
      <c r="L62" s="22"/>
    </row>
    <row r="63" spans="2:12" s="26" customFormat="1" ht="12.95" customHeight="1" outlineLevel="1" x14ac:dyDescent="0.2">
      <c r="B63" s="10" t="s">
        <v>35</v>
      </c>
      <c r="C63" s="69">
        <f>141429088</f>
        <v>141429088</v>
      </c>
      <c r="D63" s="69">
        <f>162560189</f>
        <v>162560189</v>
      </c>
      <c r="E63" s="19" t="s">
        <v>56</v>
      </c>
      <c r="F63" s="19" t="s">
        <v>56</v>
      </c>
      <c r="G63" s="19" t="s">
        <v>56</v>
      </c>
      <c r="H63" s="19" t="s">
        <v>56</v>
      </c>
      <c r="I63" s="19" t="s">
        <v>56</v>
      </c>
      <c r="J63" s="18">
        <f t="shared" si="0"/>
        <v>0.11760153802364974</v>
      </c>
      <c r="K63" s="18">
        <f>IF(C63=0,"",100*D63/C63)</f>
        <v>114.94112795240538</v>
      </c>
      <c r="L63" s="27"/>
    </row>
    <row r="64" spans="2:12" s="26" customFormat="1" ht="25.5" customHeight="1" outlineLevel="1" x14ac:dyDescent="0.2">
      <c r="B64" s="90" t="s">
        <v>107</v>
      </c>
      <c r="C64" s="67">
        <f>C65+C66+C67</f>
        <v>497770866</v>
      </c>
      <c r="D64" s="67">
        <f>D65+D66+D67</f>
        <v>497770866</v>
      </c>
      <c r="E64" s="20" t="s">
        <v>56</v>
      </c>
      <c r="F64" s="20" t="s">
        <v>56</v>
      </c>
      <c r="G64" s="20" t="s">
        <v>56</v>
      </c>
      <c r="H64" s="20" t="s">
        <v>56</v>
      </c>
      <c r="I64" s="20" t="s">
        <v>56</v>
      </c>
      <c r="J64" s="16">
        <f t="shared" si="0"/>
        <v>0.3601042775913853</v>
      </c>
      <c r="K64" s="16">
        <f t="shared" si="4"/>
        <v>100</v>
      </c>
      <c r="L64" s="27"/>
    </row>
    <row r="65" spans="1:26" ht="12.95" customHeight="1" outlineLevel="1" x14ac:dyDescent="0.2">
      <c r="B65" s="93" t="s">
        <v>40</v>
      </c>
      <c r="C65" s="68">
        <f>381048734</f>
        <v>381048734</v>
      </c>
      <c r="D65" s="71">
        <f>381048734</f>
        <v>381048734</v>
      </c>
      <c r="E65" s="17" t="s">
        <v>56</v>
      </c>
      <c r="F65" s="17" t="s">
        <v>56</v>
      </c>
      <c r="G65" s="17" t="s">
        <v>56</v>
      </c>
      <c r="H65" s="17" t="s">
        <v>56</v>
      </c>
      <c r="I65" s="17" t="s">
        <v>56</v>
      </c>
      <c r="J65" s="18">
        <f t="shared" si="0"/>
        <v>0.2756635401079941</v>
      </c>
      <c r="K65" s="18">
        <f t="shared" si="4"/>
        <v>100</v>
      </c>
      <c r="L65" s="22"/>
    </row>
    <row r="66" spans="1:26" ht="12.95" customHeight="1" outlineLevel="1" x14ac:dyDescent="0.2">
      <c r="B66" s="93" t="s">
        <v>38</v>
      </c>
      <c r="C66" s="69">
        <f>5432371</f>
        <v>5432371</v>
      </c>
      <c r="D66" s="69">
        <f>5432371</f>
        <v>5432371</v>
      </c>
      <c r="E66" s="19" t="s">
        <v>56</v>
      </c>
      <c r="F66" s="19" t="s">
        <v>56</v>
      </c>
      <c r="G66" s="19" t="s">
        <v>56</v>
      </c>
      <c r="H66" s="19" t="s">
        <v>56</v>
      </c>
      <c r="I66" s="19" t="s">
        <v>56</v>
      </c>
      <c r="J66" s="18">
        <f t="shared" si="0"/>
        <v>3.9299608879949828E-3</v>
      </c>
      <c r="K66" s="18">
        <f t="shared" si="4"/>
        <v>100</v>
      </c>
      <c r="L66" s="22"/>
    </row>
    <row r="67" spans="1:26" ht="12.95" customHeight="1" outlineLevel="1" x14ac:dyDescent="0.2">
      <c r="B67" s="93" t="s">
        <v>37</v>
      </c>
      <c r="C67" s="69">
        <f>111289761</f>
        <v>111289761</v>
      </c>
      <c r="D67" s="69">
        <f>111289761</f>
        <v>111289761</v>
      </c>
      <c r="E67" s="19" t="s">
        <v>56</v>
      </c>
      <c r="F67" s="19" t="s">
        <v>56</v>
      </c>
      <c r="G67" s="19" t="s">
        <v>56</v>
      </c>
      <c r="H67" s="19" t="s">
        <v>56</v>
      </c>
      <c r="I67" s="19" t="s">
        <v>56</v>
      </c>
      <c r="J67" s="18">
        <f t="shared" si="0"/>
        <v>8.0510776595396266E-2</v>
      </c>
      <c r="K67" s="18">
        <f>IF(C67=0,"",100*D67/C67)</f>
        <v>100</v>
      </c>
      <c r="L67" s="22"/>
    </row>
    <row r="68" spans="1:26" s="26" customFormat="1" ht="40.5" customHeight="1" outlineLevel="1" x14ac:dyDescent="0.2">
      <c r="B68" s="90" t="s">
        <v>108</v>
      </c>
      <c r="C68" s="67">
        <f>C69+C70</f>
        <v>1567939815</v>
      </c>
      <c r="D68" s="67">
        <f>D69+D70</f>
        <v>1567939815</v>
      </c>
      <c r="E68" s="20" t="s">
        <v>56</v>
      </c>
      <c r="F68" s="20" t="s">
        <v>56</v>
      </c>
      <c r="G68" s="20" t="s">
        <v>56</v>
      </c>
      <c r="H68" s="20" t="s">
        <v>56</v>
      </c>
      <c r="I68" s="20" t="s">
        <v>56</v>
      </c>
      <c r="J68" s="16">
        <f t="shared" si="0"/>
        <v>1.1343006852219939</v>
      </c>
      <c r="K68" s="16">
        <f t="shared" si="4"/>
        <v>100</v>
      </c>
      <c r="L68" s="27"/>
    </row>
    <row r="69" spans="1:26" ht="12.95" customHeight="1" outlineLevel="1" x14ac:dyDescent="0.2">
      <c r="B69" s="93" t="s">
        <v>37</v>
      </c>
      <c r="C69" s="68">
        <f>1380938821</f>
        <v>1380938821</v>
      </c>
      <c r="D69" s="71">
        <f>1380938821</f>
        <v>1380938821</v>
      </c>
      <c r="E69" s="17" t="s">
        <v>56</v>
      </c>
      <c r="F69" s="17" t="s">
        <v>56</v>
      </c>
      <c r="G69" s="17" t="s">
        <v>56</v>
      </c>
      <c r="H69" s="17" t="s">
        <v>56</v>
      </c>
      <c r="I69" s="17" t="s">
        <v>56</v>
      </c>
      <c r="J69" s="18">
        <f t="shared" si="0"/>
        <v>0.99901784234616975</v>
      </c>
      <c r="K69" s="18">
        <f t="shared" si="4"/>
        <v>100</v>
      </c>
      <c r="L69" s="22"/>
    </row>
    <row r="70" spans="1:26" ht="12.95" customHeight="1" outlineLevel="1" x14ac:dyDescent="0.2">
      <c r="B70" s="93" t="s">
        <v>40</v>
      </c>
      <c r="C70" s="68">
        <f>187000994</f>
        <v>187000994</v>
      </c>
      <c r="D70" s="71">
        <f>187000994</f>
        <v>187000994</v>
      </c>
      <c r="E70" s="17" t="s">
        <v>56</v>
      </c>
      <c r="F70" s="17" t="s">
        <v>56</v>
      </c>
      <c r="G70" s="17" t="s">
        <v>56</v>
      </c>
      <c r="H70" s="17" t="s">
        <v>56</v>
      </c>
      <c r="I70" s="17" t="s">
        <v>56</v>
      </c>
      <c r="J70" s="18">
        <f t="shared" si="0"/>
        <v>0.13528284287582429</v>
      </c>
      <c r="K70" s="18">
        <f>IF(C70=0,"",100*D70/C70)</f>
        <v>100</v>
      </c>
      <c r="L70" s="22"/>
    </row>
    <row r="71" spans="1:26" ht="11.25" customHeight="1" x14ac:dyDescent="0.2">
      <c r="B71" s="28"/>
      <c r="C71" s="29"/>
      <c r="D71" s="29"/>
      <c r="E71" s="29"/>
      <c r="F71" s="29"/>
      <c r="G71" s="29"/>
      <c r="H71" s="29"/>
      <c r="I71" s="29"/>
      <c r="J71" s="21"/>
      <c r="K71" s="21"/>
      <c r="L71" s="22"/>
    </row>
    <row r="72" spans="1:26" ht="13.5" customHeight="1" x14ac:dyDescent="0.2">
      <c r="B72" s="65" t="s">
        <v>5</v>
      </c>
      <c r="C72" s="20">
        <f t="shared" ref="C72:I72" si="5">+C5</f>
        <v>138301469764.42001</v>
      </c>
      <c r="D72" s="20">
        <f t="shared" si="5"/>
        <v>138229645404.22</v>
      </c>
      <c r="E72" s="20">
        <f t="shared" si="5"/>
        <v>927801126.61000001</v>
      </c>
      <c r="F72" s="20">
        <f t="shared" si="5"/>
        <v>221088495.27000001</v>
      </c>
      <c r="G72" s="20">
        <f t="shared" si="5"/>
        <v>24357979.170000002</v>
      </c>
      <c r="H72" s="20">
        <f t="shared" si="5"/>
        <v>66889771.020000003</v>
      </c>
      <c r="I72" s="20">
        <f t="shared" si="5"/>
        <v>3318218.64</v>
      </c>
      <c r="J72" s="16">
        <f t="shared" si="0"/>
        <v>100</v>
      </c>
      <c r="K72" s="16">
        <f>IF(C72=0,"",100*D72/C72)</f>
        <v>99.948066813518068</v>
      </c>
      <c r="L72" s="22"/>
    </row>
    <row r="73" spans="1:26" x14ac:dyDescent="0.2">
      <c r="B73" s="100" t="s">
        <v>74</v>
      </c>
      <c r="C73" s="19">
        <f>9311803531.42</f>
        <v>9311803531.4200001</v>
      </c>
      <c r="D73" s="19">
        <f>8562695420.43</f>
        <v>8562695420.4300003</v>
      </c>
      <c r="E73" s="19">
        <f>0</f>
        <v>0</v>
      </c>
      <c r="F73" s="19">
        <f>0</f>
        <v>0</v>
      </c>
      <c r="G73" s="19">
        <f>0</f>
        <v>0</v>
      </c>
      <c r="H73" s="19">
        <f>0</f>
        <v>0</v>
      </c>
      <c r="I73" s="19">
        <f>0</f>
        <v>0</v>
      </c>
      <c r="J73" s="18">
        <f t="shared" si="0"/>
        <v>6.1945434319754034</v>
      </c>
      <c r="K73" s="18">
        <f>IF(C73=0,"",100*D73/C73)</f>
        <v>91.955284403688822</v>
      </c>
      <c r="L73" s="22"/>
    </row>
    <row r="74" spans="1:26" s="26" customFormat="1" x14ac:dyDescent="0.2">
      <c r="A74" s="9"/>
      <c r="B74" s="100" t="s">
        <v>75</v>
      </c>
      <c r="C74" s="19">
        <f>C72-C73</f>
        <v>128989666233.00002</v>
      </c>
      <c r="D74" s="19">
        <f t="shared" ref="D74:I74" si="6">D72-D73</f>
        <v>129666949983.79001</v>
      </c>
      <c r="E74" s="19">
        <f t="shared" si="6"/>
        <v>927801126.61000001</v>
      </c>
      <c r="F74" s="19">
        <f t="shared" si="6"/>
        <v>221088495.27000001</v>
      </c>
      <c r="G74" s="19">
        <f t="shared" si="6"/>
        <v>24357979.170000002</v>
      </c>
      <c r="H74" s="19">
        <f t="shared" si="6"/>
        <v>66889771.020000003</v>
      </c>
      <c r="I74" s="19">
        <f t="shared" si="6"/>
        <v>3318218.64</v>
      </c>
      <c r="J74" s="18">
        <f t="shared" si="0"/>
        <v>93.805456568024596</v>
      </c>
      <c r="K74" s="18">
        <f>IF(C74=0,"",100*D74/C74)</f>
        <v>100.52506822489686</v>
      </c>
      <c r="L74" s="30"/>
    </row>
    <row r="75" spans="1:26" s="26" customFormat="1" x14ac:dyDescent="0.2">
      <c r="A75" s="9"/>
      <c r="B75" s="106" t="s">
        <v>116</v>
      </c>
      <c r="C75" s="29"/>
      <c r="D75" s="29"/>
      <c r="E75" s="29"/>
      <c r="F75" s="29"/>
      <c r="G75" s="29"/>
      <c r="H75" s="29"/>
      <c r="I75" s="29"/>
      <c r="J75" s="21"/>
      <c r="K75" s="21"/>
      <c r="L75" s="30"/>
    </row>
    <row r="76" spans="1:26" s="26" customFormat="1" x14ac:dyDescent="0.2">
      <c r="A76" s="9"/>
      <c r="B76" s="105" t="s">
        <v>115</v>
      </c>
      <c r="C76" s="29"/>
      <c r="D76" s="29"/>
      <c r="E76" s="29"/>
      <c r="F76" s="29"/>
      <c r="G76" s="29"/>
      <c r="H76" s="29"/>
      <c r="I76" s="29"/>
      <c r="J76" s="21"/>
      <c r="K76" s="21"/>
      <c r="L76" s="30"/>
    </row>
    <row r="77" spans="1:26" ht="18" x14ac:dyDescent="0.2">
      <c r="B77" s="87" t="str">
        <f>CONCATENATE("Informacja z wykonania budżetów miast na prawach powiatu za ",$D$138," ",$C$139," rok    ",$C$141,"")</f>
        <v xml:space="preserve">Informacja z wykonania budżetów miast na prawach powiatu za IV Kwartały 2024 rok    </v>
      </c>
      <c r="C77" s="87"/>
      <c r="D77" s="87"/>
      <c r="E77" s="87"/>
      <c r="F77" s="87"/>
      <c r="G77" s="87"/>
      <c r="H77" s="87"/>
      <c r="I77" s="87"/>
      <c r="J77" s="87"/>
      <c r="K77" s="87"/>
      <c r="L77" s="87"/>
      <c r="M77" s="87"/>
    </row>
    <row r="78" spans="1:26" s="26" customFormat="1" x14ac:dyDescent="0.2">
      <c r="B78" s="31"/>
      <c r="C78" s="32"/>
      <c r="D78" s="32"/>
      <c r="E78" s="32"/>
      <c r="F78" s="33"/>
      <c r="G78" s="33"/>
      <c r="H78" s="33"/>
      <c r="I78" s="33"/>
      <c r="J78" s="33"/>
      <c r="K78" s="1"/>
      <c r="L78" s="1"/>
      <c r="M78" s="34"/>
    </row>
    <row r="79" spans="1:26" ht="29.25" customHeight="1" x14ac:dyDescent="0.2">
      <c r="B79" s="113" t="s">
        <v>0</v>
      </c>
      <c r="C79" s="110" t="s">
        <v>46</v>
      </c>
      <c r="D79" s="110" t="s">
        <v>48</v>
      </c>
      <c r="E79" s="110" t="s">
        <v>47</v>
      </c>
      <c r="F79" s="110" t="s">
        <v>10</v>
      </c>
      <c r="G79" s="110"/>
      <c r="H79" s="110"/>
      <c r="I79" s="116" t="s">
        <v>84</v>
      </c>
      <c r="J79" s="110" t="s">
        <v>2</v>
      </c>
      <c r="K79" s="114" t="s">
        <v>16</v>
      </c>
      <c r="M79" s="35"/>
      <c r="N79" s="52"/>
      <c r="O79" s="35"/>
      <c r="P79" s="35"/>
      <c r="Q79" s="35"/>
      <c r="R79" s="35"/>
      <c r="S79" s="35"/>
      <c r="T79" s="35"/>
      <c r="U79" s="35"/>
      <c r="V79" s="35"/>
      <c r="W79" s="35"/>
      <c r="X79" s="35"/>
      <c r="Y79" s="35"/>
      <c r="Z79" s="35"/>
    </row>
    <row r="80" spans="1:26" ht="18" customHeight="1" x14ac:dyDescent="0.2">
      <c r="B80" s="113"/>
      <c r="C80" s="110"/>
      <c r="D80" s="110"/>
      <c r="E80" s="111"/>
      <c r="F80" s="115" t="s">
        <v>49</v>
      </c>
      <c r="G80" s="130" t="s">
        <v>27</v>
      </c>
      <c r="H80" s="111"/>
      <c r="I80" s="117"/>
      <c r="J80" s="110"/>
      <c r="K80" s="114"/>
      <c r="L80" s="2"/>
      <c r="M80" s="3"/>
      <c r="N80" s="52"/>
      <c r="O80" s="35"/>
      <c r="P80" s="35"/>
      <c r="Q80" s="35"/>
      <c r="R80" s="35"/>
      <c r="S80" s="35"/>
      <c r="T80" s="35"/>
      <c r="U80" s="35"/>
      <c r="V80" s="35"/>
      <c r="W80" s="35"/>
      <c r="X80" s="35"/>
      <c r="Y80" s="35"/>
      <c r="Z80" s="35"/>
    </row>
    <row r="81" spans="2:26" ht="58.5" customHeight="1" x14ac:dyDescent="0.2">
      <c r="B81" s="113"/>
      <c r="C81" s="110"/>
      <c r="D81" s="110"/>
      <c r="E81" s="111"/>
      <c r="F81" s="111"/>
      <c r="G81" s="7" t="s">
        <v>44</v>
      </c>
      <c r="H81" s="7" t="s">
        <v>45</v>
      </c>
      <c r="I81" s="118"/>
      <c r="J81" s="110"/>
      <c r="K81" s="114"/>
      <c r="L81" s="2"/>
      <c r="M81" s="35"/>
      <c r="N81" s="52"/>
      <c r="O81" s="35"/>
      <c r="P81" s="35"/>
      <c r="Q81" s="35"/>
      <c r="R81" s="35"/>
      <c r="S81" s="35"/>
      <c r="T81" s="35"/>
      <c r="U81" s="35"/>
      <c r="V81" s="35"/>
      <c r="W81" s="35"/>
      <c r="X81" s="35"/>
      <c r="Y81" s="35"/>
      <c r="Z81" s="35"/>
    </row>
    <row r="82" spans="2:26" ht="13.5" customHeight="1" x14ac:dyDescent="0.2">
      <c r="B82" s="113"/>
      <c r="C82" s="119" t="s">
        <v>78</v>
      </c>
      <c r="D82" s="120"/>
      <c r="E82" s="120"/>
      <c r="F82" s="120"/>
      <c r="G82" s="120"/>
      <c r="H82" s="120"/>
      <c r="I82" s="121"/>
      <c r="J82" s="127" t="s">
        <v>4</v>
      </c>
      <c r="K82" s="127"/>
      <c r="N82" s="35"/>
      <c r="O82" s="35"/>
      <c r="P82" s="35"/>
      <c r="Q82" s="35"/>
      <c r="R82" s="35"/>
      <c r="S82" s="35"/>
      <c r="T82" s="35"/>
      <c r="U82" s="35"/>
      <c r="V82" s="35"/>
      <c r="W82" s="35"/>
      <c r="X82" s="35"/>
      <c r="Y82" s="35"/>
      <c r="Z82" s="35"/>
    </row>
    <row r="83" spans="2:26" ht="11.25" customHeight="1" x14ac:dyDescent="0.2">
      <c r="B83" s="6">
        <v>1</v>
      </c>
      <c r="C83" s="8">
        <v>2</v>
      </c>
      <c r="D83" s="8">
        <v>3</v>
      </c>
      <c r="E83" s="8">
        <v>4</v>
      </c>
      <c r="F83" s="6">
        <v>5</v>
      </c>
      <c r="G83" s="6">
        <v>6</v>
      </c>
      <c r="H83" s="8">
        <v>7</v>
      </c>
      <c r="I83" s="8">
        <v>8</v>
      </c>
      <c r="J83" s="6">
        <v>9</v>
      </c>
      <c r="K83" s="8">
        <v>10</v>
      </c>
      <c r="M83" s="35"/>
      <c r="N83" s="35"/>
      <c r="O83" s="35"/>
      <c r="P83" s="35"/>
      <c r="Q83" s="35"/>
      <c r="R83" s="35"/>
      <c r="S83" s="35"/>
      <c r="T83" s="35"/>
      <c r="U83" s="35"/>
      <c r="V83" s="35"/>
      <c r="W83" s="35"/>
      <c r="X83" s="35"/>
      <c r="Y83" s="35"/>
      <c r="Z83" s="35"/>
    </row>
    <row r="84" spans="2:26" ht="25.5" customHeight="1" x14ac:dyDescent="0.2">
      <c r="B84" s="65" t="s">
        <v>64</v>
      </c>
      <c r="C84" s="74">
        <f>147932432307.62</f>
        <v>147932432307.62</v>
      </c>
      <c r="D84" s="74">
        <f>140364460726.86</f>
        <v>140364460726.85999</v>
      </c>
      <c r="E84" s="74">
        <f>140380589041.14</f>
        <v>140380589041.14001</v>
      </c>
      <c r="F84" s="74">
        <f>7349714546.88</f>
        <v>7349714546.8800001</v>
      </c>
      <c r="G84" s="74">
        <f>742908.45</f>
        <v>742908.45</v>
      </c>
      <c r="H84" s="74">
        <f>1871249.48</f>
        <v>1871249.48</v>
      </c>
      <c r="I84" s="74">
        <f>243779705.11</f>
        <v>243779705.11000001</v>
      </c>
      <c r="J84" s="43">
        <f>IF($D$84=0,"",100*$D84/$D$84)</f>
        <v>100</v>
      </c>
      <c r="K84" s="43">
        <f>IF(C84=0,"",100*D84/C84)</f>
        <v>94.884170115568239</v>
      </c>
      <c r="N84" s="53"/>
      <c r="O84" s="54"/>
    </row>
    <row r="85" spans="2:26" x14ac:dyDescent="0.2">
      <c r="B85" s="88" t="s">
        <v>12</v>
      </c>
      <c r="C85" s="75">
        <f>19469118419.46</f>
        <v>19469118419.459999</v>
      </c>
      <c r="D85" s="75">
        <f>16639361266.62</f>
        <v>16639361266.620001</v>
      </c>
      <c r="E85" s="75">
        <f>16647233233.18</f>
        <v>16647233233.18</v>
      </c>
      <c r="F85" s="75">
        <f>476774688.7</f>
        <v>476774688.69999999</v>
      </c>
      <c r="G85" s="75">
        <f>567.01</f>
        <v>567.01</v>
      </c>
      <c r="H85" s="75">
        <f>733888.57</f>
        <v>733888.57</v>
      </c>
      <c r="I85" s="75">
        <f>220701349.34</f>
        <v>220701349.34</v>
      </c>
      <c r="J85" s="43">
        <f t="shared" ref="J85:J93" si="7">IF($D$84=0,"",100*$D85/$D$84)</f>
        <v>11.854397602110341</v>
      </c>
      <c r="K85" s="43">
        <f t="shared" ref="K85:K93" si="8">IF(C85=0,"",100*D85/C85)</f>
        <v>85.465406846508429</v>
      </c>
      <c r="N85" s="55"/>
      <c r="O85" s="54"/>
    </row>
    <row r="86" spans="2:26" ht="12.95" customHeight="1" outlineLevel="1" x14ac:dyDescent="0.2">
      <c r="B86" s="10" t="s">
        <v>11</v>
      </c>
      <c r="C86" s="69">
        <f>17071661658.81</f>
        <v>17071661658.809999</v>
      </c>
      <c r="D86" s="69">
        <f>14392719685.73</f>
        <v>14392719685.73</v>
      </c>
      <c r="E86" s="69">
        <f>14400591652.29</f>
        <v>14400591652.290001</v>
      </c>
      <c r="F86" s="69">
        <f>455372089.23</f>
        <v>455372089.23000002</v>
      </c>
      <c r="G86" s="69">
        <f>567.01</f>
        <v>567.01</v>
      </c>
      <c r="H86" s="69">
        <f>733888.57</f>
        <v>733888.57</v>
      </c>
      <c r="I86" s="69">
        <f>220701349.34</f>
        <v>220701349.34</v>
      </c>
      <c r="J86" s="43">
        <f t="shared" si="7"/>
        <v>10.253820383877146</v>
      </c>
      <c r="K86" s="43">
        <f t="shared" si="8"/>
        <v>84.307667135041271</v>
      </c>
      <c r="N86" s="29"/>
      <c r="O86" s="54"/>
    </row>
    <row r="87" spans="2:26" ht="25.5" customHeight="1" x14ac:dyDescent="0.2">
      <c r="B87" s="88" t="s">
        <v>65</v>
      </c>
      <c r="C87" s="75">
        <f t="shared" ref="C87:I87" si="9">C84-C85</f>
        <v>128463313888.16</v>
      </c>
      <c r="D87" s="75">
        <f t="shared" si="9"/>
        <v>123725099460.23999</v>
      </c>
      <c r="E87" s="75">
        <f>E84-E85</f>
        <v>123733355807.96002</v>
      </c>
      <c r="F87" s="75">
        <f t="shared" si="9"/>
        <v>6872939858.1800003</v>
      </c>
      <c r="G87" s="75">
        <f t="shared" si="9"/>
        <v>742341.44</v>
      </c>
      <c r="H87" s="75">
        <f t="shared" si="9"/>
        <v>1137360.9100000001</v>
      </c>
      <c r="I87" s="75">
        <f t="shared" si="9"/>
        <v>23078355.770000011</v>
      </c>
      <c r="J87" s="43">
        <f t="shared" si="7"/>
        <v>88.145602397889675</v>
      </c>
      <c r="K87" s="43">
        <f t="shared" si="8"/>
        <v>96.311620582943164</v>
      </c>
      <c r="N87" s="55"/>
      <c r="O87" s="54"/>
    </row>
    <row r="88" spans="2:26" ht="24" customHeight="1" outlineLevel="1" x14ac:dyDescent="0.2">
      <c r="B88" s="10" t="s">
        <v>105</v>
      </c>
      <c r="C88" s="69">
        <f>53730837017.28</f>
        <v>53730837017.279999</v>
      </c>
      <c r="D88" s="69">
        <f>52910748119.1399</f>
        <v>52910748119.1399</v>
      </c>
      <c r="E88" s="69">
        <f>52912711413.8599</f>
        <v>52912711413.859901</v>
      </c>
      <c r="F88" s="69">
        <f>4849937918.92</f>
        <v>4849937918.9200001</v>
      </c>
      <c r="G88" s="69">
        <f>12211.88</f>
        <v>12211.88</v>
      </c>
      <c r="H88" s="69">
        <f>126.12</f>
        <v>126.12</v>
      </c>
      <c r="I88" s="69">
        <f>32100</f>
        <v>32100</v>
      </c>
      <c r="J88" s="43">
        <f t="shared" si="7"/>
        <v>37.695259786664046</v>
      </c>
      <c r="K88" s="43">
        <f t="shared" si="8"/>
        <v>98.473709058587062</v>
      </c>
      <c r="N88" s="29"/>
      <c r="O88" s="54"/>
    </row>
    <row r="89" spans="2:26" ht="12.95" customHeight="1" outlineLevel="1" x14ac:dyDescent="0.2">
      <c r="B89" s="10" t="s">
        <v>43</v>
      </c>
      <c r="C89" s="76">
        <f>18673960209.12</f>
        <v>18673960209.119999</v>
      </c>
      <c r="D89" s="76">
        <f>18462625659.79</f>
        <v>18462625659.790001</v>
      </c>
      <c r="E89" s="76">
        <f>18465072838</f>
        <v>18465072838</v>
      </c>
      <c r="F89" s="76">
        <f>47975649.93</f>
        <v>47975649.93</v>
      </c>
      <c r="G89" s="76">
        <f>0</f>
        <v>0</v>
      </c>
      <c r="H89" s="76">
        <f>351.87</f>
        <v>351.87</v>
      </c>
      <c r="I89" s="76">
        <f>0</f>
        <v>0</v>
      </c>
      <c r="J89" s="43">
        <f t="shared" si="7"/>
        <v>13.153347766367339</v>
      </c>
      <c r="K89" s="43">
        <f t="shared" si="8"/>
        <v>98.8682928154319</v>
      </c>
      <c r="N89" s="56"/>
      <c r="O89" s="54"/>
    </row>
    <row r="90" spans="2:26" ht="12.95" customHeight="1" outlineLevel="1" x14ac:dyDescent="0.2">
      <c r="B90" s="10" t="s">
        <v>42</v>
      </c>
      <c r="C90" s="69">
        <f>3212775653.76</f>
        <v>3212775653.7600002</v>
      </c>
      <c r="D90" s="69">
        <f>3035549351.78</f>
        <v>3035549351.7800002</v>
      </c>
      <c r="E90" s="69">
        <f>3035549351.78</f>
        <v>3035549351.7800002</v>
      </c>
      <c r="F90" s="69">
        <f>95859517.73</f>
        <v>95859517.730000004</v>
      </c>
      <c r="G90" s="69">
        <f>0</f>
        <v>0</v>
      </c>
      <c r="H90" s="69">
        <f>0</f>
        <v>0</v>
      </c>
      <c r="I90" s="69">
        <f>0</f>
        <v>0</v>
      </c>
      <c r="J90" s="43">
        <f t="shared" si="7"/>
        <v>2.1626196090240959</v>
      </c>
      <c r="K90" s="43">
        <f t="shared" si="8"/>
        <v>94.483701288865674</v>
      </c>
      <c r="N90" s="29"/>
      <c r="O90" s="54"/>
    </row>
    <row r="91" spans="2:26" ht="22.5" customHeight="1" outlineLevel="1" x14ac:dyDescent="0.2">
      <c r="B91" s="10" t="s">
        <v>71</v>
      </c>
      <c r="C91" s="76">
        <f>162013627.86</f>
        <v>162013627.86000001</v>
      </c>
      <c r="D91" s="76">
        <f>18408025.06</f>
        <v>18408025.059999999</v>
      </c>
      <c r="E91" s="76">
        <f>18408025.06</f>
        <v>18408025.059999999</v>
      </c>
      <c r="F91" s="76">
        <f>76192.32</f>
        <v>76192.320000000007</v>
      </c>
      <c r="G91" s="76">
        <f>0</f>
        <v>0</v>
      </c>
      <c r="H91" s="76">
        <f>0</f>
        <v>0</v>
      </c>
      <c r="I91" s="76">
        <f>0</f>
        <v>0</v>
      </c>
      <c r="J91" s="43">
        <f t="shared" si="7"/>
        <v>1.3114448603782124E-2</v>
      </c>
      <c r="K91" s="43">
        <f t="shared" si="8"/>
        <v>11.362022629298091</v>
      </c>
      <c r="N91" s="56"/>
      <c r="O91" s="54"/>
    </row>
    <row r="92" spans="2:26" ht="22.5" customHeight="1" outlineLevel="1" x14ac:dyDescent="0.2">
      <c r="B92" s="10" t="s">
        <v>72</v>
      </c>
      <c r="C92" s="76">
        <f>7135717019.58</f>
        <v>7135717019.5799999</v>
      </c>
      <c r="D92" s="76">
        <f>6952053121.76</f>
        <v>6952053121.7600002</v>
      </c>
      <c r="E92" s="76">
        <f>6952739176.64999</f>
        <v>6952739176.6499901</v>
      </c>
      <c r="F92" s="76">
        <f>86846028.18</f>
        <v>86846028.180000007</v>
      </c>
      <c r="G92" s="76">
        <f>29003.84</f>
        <v>29003.84</v>
      </c>
      <c r="H92" s="76">
        <f>628092.54</f>
        <v>628092.54</v>
      </c>
      <c r="I92" s="77">
        <f>0</f>
        <v>0</v>
      </c>
      <c r="J92" s="43">
        <f t="shared" si="7"/>
        <v>4.9528584983404302</v>
      </c>
      <c r="K92" s="43">
        <f t="shared" si="8"/>
        <v>97.426132548193308</v>
      </c>
      <c r="N92" s="56"/>
      <c r="O92" s="54"/>
    </row>
    <row r="93" spans="2:26" ht="12.95" customHeight="1" outlineLevel="1" x14ac:dyDescent="0.2">
      <c r="B93" s="10" t="s">
        <v>41</v>
      </c>
      <c r="C93" s="69">
        <f t="shared" ref="C93:I93" si="10">C87-C88-C89-C90-C91-C92</f>
        <v>45548010360.560005</v>
      </c>
      <c r="D93" s="69">
        <f t="shared" si="10"/>
        <v>42345715182.710098</v>
      </c>
      <c r="E93" s="69">
        <f>E87-E88-E89-E90-E91-E92</f>
        <v>42348875002.610138</v>
      </c>
      <c r="F93" s="69">
        <f t="shared" si="10"/>
        <v>1792244551.1000001</v>
      </c>
      <c r="G93" s="69">
        <f t="shared" si="10"/>
        <v>701125.72</v>
      </c>
      <c r="H93" s="69">
        <f t="shared" si="10"/>
        <v>508790.37999999989</v>
      </c>
      <c r="I93" s="77">
        <f t="shared" si="10"/>
        <v>23046255.770000011</v>
      </c>
      <c r="J93" s="43">
        <f t="shared" si="7"/>
        <v>30.168402288889975</v>
      </c>
      <c r="K93" s="43">
        <f t="shared" si="8"/>
        <v>92.969407110210952</v>
      </c>
      <c r="N93" s="29"/>
      <c r="O93" s="54"/>
    </row>
    <row r="94" spans="2:26" x14ac:dyDescent="0.2">
      <c r="B94" s="65" t="s">
        <v>13</v>
      </c>
      <c r="C94" s="75">
        <f>C5-C84</f>
        <v>-9630962543.1999817</v>
      </c>
      <c r="D94" s="75">
        <f>D5-D84</f>
        <v>-2134815322.6399841</v>
      </c>
      <c r="E94" s="61"/>
      <c r="F94" s="55"/>
      <c r="G94" s="55"/>
      <c r="H94" s="55"/>
      <c r="I94" s="131"/>
      <c r="J94" s="131"/>
      <c r="K94" s="37"/>
      <c r="L94" s="37"/>
      <c r="M94" s="4"/>
      <c r="N94" s="54"/>
      <c r="O94" s="55"/>
    </row>
    <row r="95" spans="2:26" ht="38.25" x14ac:dyDescent="0.2">
      <c r="B95" s="96" t="s">
        <v>109</v>
      </c>
      <c r="C95" s="75">
        <f>+C74-C87</f>
        <v>526352344.8400116</v>
      </c>
      <c r="D95" s="75">
        <f>+D74-D87</f>
        <v>5941850523.5500183</v>
      </c>
      <c r="E95" s="61"/>
      <c r="F95" s="55"/>
      <c r="G95" s="55"/>
      <c r="H95" s="55"/>
      <c r="I95" s="55"/>
      <c r="J95" s="55"/>
      <c r="K95" s="37"/>
      <c r="L95" s="37"/>
      <c r="M95" s="4"/>
      <c r="N95" s="54"/>
      <c r="O95" s="55"/>
    </row>
    <row r="96" spans="2:26" ht="8.25" customHeight="1" x14ac:dyDescent="0.2">
      <c r="B96" s="38"/>
      <c r="C96" s="39"/>
      <c r="D96" s="39"/>
      <c r="E96" s="39"/>
      <c r="F96" s="40"/>
      <c r="G96" s="40"/>
      <c r="H96" s="40"/>
      <c r="I96" s="40"/>
      <c r="J96" s="41"/>
      <c r="K96" s="41"/>
      <c r="L96" s="42"/>
      <c r="M96" s="35"/>
    </row>
    <row r="97" spans="2:13" x14ac:dyDescent="0.2">
      <c r="B97" s="104" t="s">
        <v>111</v>
      </c>
      <c r="C97" s="57"/>
      <c r="D97" s="57"/>
      <c r="E97" s="57"/>
      <c r="F97" s="58"/>
      <c r="G97" s="58"/>
      <c r="H97" s="58"/>
      <c r="I97" s="58"/>
      <c r="J97" s="59"/>
      <c r="K97" s="59"/>
      <c r="L97" s="42"/>
      <c r="M97" s="35"/>
    </row>
    <row r="98" spans="2:13" ht="26.25" customHeight="1" x14ac:dyDescent="0.2">
      <c r="B98" s="65" t="s">
        <v>89</v>
      </c>
      <c r="C98" s="78">
        <f>2548007539.09999</f>
        <v>2548007539.0999899</v>
      </c>
      <c r="D98" s="79">
        <f>2001232600.14</f>
        <v>2001232600.1400001</v>
      </c>
      <c r="E98" s="79">
        <f>2001371230.93</f>
        <v>2001371230.9300001</v>
      </c>
      <c r="F98" s="79">
        <f>110158018.69</f>
        <v>110158018.69</v>
      </c>
      <c r="G98" s="79">
        <f>0</f>
        <v>0</v>
      </c>
      <c r="H98" s="79">
        <f>0</f>
        <v>0</v>
      </c>
      <c r="I98" s="79">
        <f>2827614.99</f>
        <v>2827614.99</v>
      </c>
      <c r="J98" s="62">
        <f>IF($D$98=0,"",100*$D98/$D$98)</f>
        <v>100</v>
      </c>
      <c r="K98" s="43">
        <f>IF(C98=0,"",100*D98/C98)</f>
        <v>78.54107844778504</v>
      </c>
      <c r="L98" s="35"/>
    </row>
    <row r="99" spans="2:13" ht="15" customHeight="1" x14ac:dyDescent="0.2">
      <c r="B99" s="101" t="s">
        <v>76</v>
      </c>
      <c r="C99" s="80">
        <f>2002359846.12</f>
        <v>2002359846.1199999</v>
      </c>
      <c r="D99" s="76">
        <f>1672061631.53</f>
        <v>1672061631.53</v>
      </c>
      <c r="E99" s="76">
        <f>1672127147.46</f>
        <v>1672127147.46</v>
      </c>
      <c r="F99" s="76">
        <f>105472623.37</f>
        <v>105472623.37</v>
      </c>
      <c r="G99" s="76">
        <f>0</f>
        <v>0</v>
      </c>
      <c r="H99" s="76">
        <f>0</f>
        <v>0</v>
      </c>
      <c r="I99" s="76">
        <f>2581514.99</f>
        <v>2581514.9900000002</v>
      </c>
      <c r="J99" s="62">
        <f>IF($D$98=0,"",100*$D99/$D$98)</f>
        <v>83.551588726519228</v>
      </c>
      <c r="K99" s="62">
        <f>IF(C99=0,"",100*D99/C99)</f>
        <v>83.504552629237779</v>
      </c>
      <c r="L99" s="35"/>
    </row>
    <row r="100" spans="2:13" x14ac:dyDescent="0.2">
      <c r="B100" s="102" t="s">
        <v>77</v>
      </c>
      <c r="C100" s="80">
        <f>C98-C99</f>
        <v>545647692.97999001</v>
      </c>
      <c r="D100" s="76">
        <f t="shared" ref="D100:I100" si="11">D98-D99</f>
        <v>329170968.61000013</v>
      </c>
      <c r="E100" s="76">
        <f t="shared" si="11"/>
        <v>329244083.47000003</v>
      </c>
      <c r="F100" s="76">
        <f t="shared" si="11"/>
        <v>4685395.3199999928</v>
      </c>
      <c r="G100" s="76">
        <f t="shared" si="11"/>
        <v>0</v>
      </c>
      <c r="H100" s="76">
        <f t="shared" si="11"/>
        <v>0</v>
      </c>
      <c r="I100" s="76">
        <f t="shared" si="11"/>
        <v>246100</v>
      </c>
      <c r="J100" s="62">
        <f>IF($D$98=0,"",100*$D100/$D$98)</f>
        <v>16.448411273480772</v>
      </c>
      <c r="K100" s="62">
        <f>IF(C100=0,"",100*D100/C100)</f>
        <v>60.326649016377587</v>
      </c>
    </row>
    <row r="101" spans="2:13" ht="6" customHeight="1" x14ac:dyDescent="0.2"/>
    <row r="102" spans="2:13" ht="18" x14ac:dyDescent="0.2">
      <c r="B102" s="87" t="str">
        <f>CONCATENATE("Informacja z wykonania budżetów miast na prawach powiatu za ",$D$138," ",$C$139," rok    ",$C$141,"")</f>
        <v xml:space="preserve">Informacja z wykonania budżetów miast na prawach powiatu za IV Kwartały 2024 rok    </v>
      </c>
      <c r="C102" s="87"/>
      <c r="D102" s="87"/>
      <c r="E102" s="87"/>
      <c r="F102" s="87"/>
      <c r="G102" s="87"/>
      <c r="H102" s="87"/>
      <c r="I102" s="87"/>
      <c r="J102" s="87"/>
      <c r="K102" s="87"/>
      <c r="L102" s="87"/>
      <c r="M102" s="87"/>
    </row>
    <row r="103" spans="2:13" ht="6.75" customHeight="1" x14ac:dyDescent="0.2"/>
    <row r="104" spans="2:13" x14ac:dyDescent="0.2">
      <c r="B104" s="13" t="s">
        <v>14</v>
      </c>
      <c r="C104" s="51" t="s">
        <v>15</v>
      </c>
      <c r="D104" s="8" t="s">
        <v>1</v>
      </c>
      <c r="E104" s="8" t="s">
        <v>23</v>
      </c>
      <c r="F104" s="8" t="s">
        <v>24</v>
      </c>
    </row>
    <row r="105" spans="2:13" x14ac:dyDescent="0.2">
      <c r="B105" s="13"/>
      <c r="C105" s="115" t="s">
        <v>78</v>
      </c>
      <c r="D105" s="122"/>
      <c r="E105" s="125" t="s">
        <v>4</v>
      </c>
      <c r="F105" s="126"/>
    </row>
    <row r="106" spans="2:13" x14ac:dyDescent="0.2">
      <c r="B106" s="11">
        <v>1</v>
      </c>
      <c r="C106" s="14">
        <v>2</v>
      </c>
      <c r="D106" s="12">
        <v>3</v>
      </c>
      <c r="E106" s="12">
        <v>4</v>
      </c>
      <c r="F106" s="12">
        <v>5</v>
      </c>
    </row>
    <row r="107" spans="2:13" ht="25.5" x14ac:dyDescent="0.2">
      <c r="B107" s="63" t="s">
        <v>66</v>
      </c>
      <c r="C107" s="81">
        <f>14782608681.23</f>
        <v>14782608681.23</v>
      </c>
      <c r="D107" s="74">
        <f>14982520248.37</f>
        <v>14982520248.370001</v>
      </c>
      <c r="E107" s="44">
        <f>IF($D$107=0,"",100*$D107/$D$107)</f>
        <v>100</v>
      </c>
      <c r="F107" s="36">
        <f t="shared" ref="F107:F114" si="12">IF(C107=0,"",100*D107/C107)</f>
        <v>101.35234295550173</v>
      </c>
    </row>
    <row r="108" spans="2:13" ht="22.5" x14ac:dyDescent="0.2">
      <c r="B108" s="97" t="s">
        <v>90</v>
      </c>
      <c r="C108" s="82">
        <f>10662938962.69</f>
        <v>10662938962.690001</v>
      </c>
      <c r="D108" s="71">
        <f>9047070488.68</f>
        <v>9047070488.6800003</v>
      </c>
      <c r="E108" s="45">
        <f t="shared" ref="E108:E117" si="13">IF($D$107=0,"",100*$D108/$D$107)</f>
        <v>60.384169944067061</v>
      </c>
      <c r="F108" s="46">
        <f t="shared" si="12"/>
        <v>84.84593713174219</v>
      </c>
    </row>
    <row r="109" spans="2:13" ht="11.25" customHeight="1" x14ac:dyDescent="0.2">
      <c r="B109" s="99" t="s">
        <v>91</v>
      </c>
      <c r="C109" s="83">
        <f>1199830000</f>
        <v>1199830000</v>
      </c>
      <c r="D109" s="70">
        <f>1199830000</f>
        <v>1199830000</v>
      </c>
      <c r="E109" s="47">
        <f t="shared" si="13"/>
        <v>8.0081987550160907</v>
      </c>
      <c r="F109" s="43">
        <f t="shared" si="12"/>
        <v>100</v>
      </c>
    </row>
    <row r="110" spans="2:13" ht="12.95" customHeight="1" x14ac:dyDescent="0.2">
      <c r="B110" s="98" t="s">
        <v>92</v>
      </c>
      <c r="C110" s="83">
        <f>44486169.68</f>
        <v>44486169.68</v>
      </c>
      <c r="D110" s="70">
        <f>38556770.71</f>
        <v>38556770.710000001</v>
      </c>
      <c r="E110" s="47">
        <f t="shared" si="13"/>
        <v>0.257345026543146</v>
      </c>
      <c r="F110" s="43">
        <f t="shared" si="12"/>
        <v>86.671365476840037</v>
      </c>
    </row>
    <row r="111" spans="2:13" ht="45.75" customHeight="1" x14ac:dyDescent="0.2">
      <c r="B111" s="98" t="s">
        <v>101</v>
      </c>
      <c r="C111" s="83">
        <f>33223677.47</f>
        <v>33223677.469999999</v>
      </c>
      <c r="D111" s="70">
        <f>87293865.46</f>
        <v>87293865.459999993</v>
      </c>
      <c r="E111" s="47">
        <f t="shared" si="13"/>
        <v>0.58263806097306625</v>
      </c>
      <c r="F111" s="43">
        <f t="shared" si="12"/>
        <v>262.74594538435366</v>
      </c>
    </row>
    <row r="112" spans="2:13" ht="35.25" customHeight="1" x14ac:dyDescent="0.2">
      <c r="B112" s="98" t="s">
        <v>97</v>
      </c>
      <c r="C112" s="83">
        <f>675170482.14</f>
        <v>675170482.13999999</v>
      </c>
      <c r="D112" s="70">
        <f>1273506274.42</f>
        <v>1273506274.4200001</v>
      </c>
      <c r="E112" s="47">
        <f t="shared" si="13"/>
        <v>8.499946960248888</v>
      </c>
      <c r="F112" s="43">
        <f t="shared" si="12"/>
        <v>188.6199571971116</v>
      </c>
    </row>
    <row r="113" spans="2:8" ht="12.95" customHeight="1" x14ac:dyDescent="0.2">
      <c r="B113" s="98" t="s">
        <v>93</v>
      </c>
      <c r="C113" s="83">
        <f>0</f>
        <v>0</v>
      </c>
      <c r="D113" s="70">
        <f>0</f>
        <v>0</v>
      </c>
      <c r="E113" s="47">
        <f t="shared" si="13"/>
        <v>0</v>
      </c>
      <c r="F113" s="43" t="str">
        <f t="shared" si="12"/>
        <v/>
      </c>
    </row>
    <row r="114" spans="2:8" ht="35.25" customHeight="1" x14ac:dyDescent="0.2">
      <c r="B114" s="98" t="s">
        <v>96</v>
      </c>
      <c r="C114" s="83">
        <f>3182004484.5</f>
        <v>3182004484.5</v>
      </c>
      <c r="D114" s="70">
        <f>4117055571.59</f>
        <v>4117055571.5900002</v>
      </c>
      <c r="E114" s="47">
        <f t="shared" si="13"/>
        <v>27.479058952300822</v>
      </c>
      <c r="F114" s="43">
        <f t="shared" si="12"/>
        <v>129.38559928638591</v>
      </c>
    </row>
    <row r="115" spans="2:8" ht="56.25" x14ac:dyDescent="0.2">
      <c r="B115" s="107" t="s">
        <v>123</v>
      </c>
      <c r="C115" s="83">
        <f>0</f>
        <v>0</v>
      </c>
      <c r="D115" s="70">
        <f>0</f>
        <v>0</v>
      </c>
      <c r="E115" s="47">
        <f t="shared" si="13"/>
        <v>0</v>
      </c>
      <c r="F115" s="43" t="str">
        <f t="shared" ref="F115:F123" si="14">IF(C115=0,"",100*D115/C115)</f>
        <v/>
      </c>
    </row>
    <row r="116" spans="2:8" x14ac:dyDescent="0.2">
      <c r="B116" s="107" t="s">
        <v>119</v>
      </c>
      <c r="C116" s="83">
        <f>184784904.75</f>
        <v>184784904.75</v>
      </c>
      <c r="D116" s="70">
        <f>419037277.51</f>
        <v>419037277.50999999</v>
      </c>
      <c r="E116" s="47">
        <f t="shared" si="13"/>
        <v>2.7968410558670094</v>
      </c>
      <c r="F116" s="43">
        <f t="shared" si="14"/>
        <v>226.77029710675001</v>
      </c>
    </row>
    <row r="117" spans="2:8" ht="22.5" x14ac:dyDescent="0.2">
      <c r="B117" s="108" t="s">
        <v>120</v>
      </c>
      <c r="C117" s="83">
        <f>164795971.96</f>
        <v>164795971.96000001</v>
      </c>
      <c r="D117" s="70">
        <f>164795971.96</f>
        <v>164795971.96000001</v>
      </c>
      <c r="E117" s="47">
        <f t="shared" si="13"/>
        <v>1.0999215701238829</v>
      </c>
      <c r="F117" s="43">
        <f t="shared" si="14"/>
        <v>100</v>
      </c>
    </row>
    <row r="118" spans="2:8" ht="25.5" x14ac:dyDescent="0.2">
      <c r="B118" s="66" t="s">
        <v>67</v>
      </c>
      <c r="C118" s="84">
        <f>5093335441.03</f>
        <v>5093335441.0299997</v>
      </c>
      <c r="D118" s="74">
        <f>5131670833.61</f>
        <v>5131670833.6099997</v>
      </c>
      <c r="E118" s="48">
        <f t="shared" ref="E118:E123" si="15">IF($D$118=0,"",100*$D118/$D$118)</f>
        <v>100</v>
      </c>
      <c r="F118" s="36">
        <f t="shared" si="14"/>
        <v>100.75265791982174</v>
      </c>
    </row>
    <row r="119" spans="2:8" ht="22.5" x14ac:dyDescent="0.2">
      <c r="B119" s="98" t="s">
        <v>94</v>
      </c>
      <c r="C119" s="83">
        <f>4139950605.67</f>
        <v>4139950605.6700001</v>
      </c>
      <c r="D119" s="70">
        <f>4106710289.91</f>
        <v>4106710289.9099998</v>
      </c>
      <c r="E119" s="47">
        <f t="shared" si="15"/>
        <v>80.026767559076546</v>
      </c>
      <c r="F119" s="43">
        <f t="shared" si="14"/>
        <v>99.197084242636265</v>
      </c>
    </row>
    <row r="120" spans="2:8" ht="12.95" customHeight="1" x14ac:dyDescent="0.2">
      <c r="B120" s="99" t="s">
        <v>95</v>
      </c>
      <c r="C120" s="83">
        <f>327245000</f>
        <v>327245000</v>
      </c>
      <c r="D120" s="70">
        <f>327245000</f>
        <v>327245000</v>
      </c>
      <c r="E120" s="47">
        <f t="shared" si="15"/>
        <v>6.3769678650606565</v>
      </c>
      <c r="F120" s="43">
        <f t="shared" si="14"/>
        <v>100</v>
      </c>
    </row>
    <row r="121" spans="2:8" ht="12.95" customHeight="1" x14ac:dyDescent="0.2">
      <c r="B121" s="98" t="s">
        <v>110</v>
      </c>
      <c r="C121" s="83">
        <f>78249312.22</f>
        <v>78249312.219999999</v>
      </c>
      <c r="D121" s="70">
        <f>58588560.94</f>
        <v>58588560.939999998</v>
      </c>
      <c r="E121" s="47">
        <f t="shared" si="15"/>
        <v>1.1417053595151279</v>
      </c>
      <c r="F121" s="43">
        <f t="shared" si="14"/>
        <v>74.874218415206926</v>
      </c>
    </row>
    <row r="122" spans="2:8" ht="12.95" customHeight="1" x14ac:dyDescent="0.2">
      <c r="B122" s="98" t="s">
        <v>121</v>
      </c>
      <c r="C122" s="83">
        <f>875135523.14</f>
        <v>875135523.13999999</v>
      </c>
      <c r="D122" s="70">
        <f>966371982.76</f>
        <v>966371982.75999999</v>
      </c>
      <c r="E122" s="47">
        <f t="shared" si="15"/>
        <v>18.831527081408336</v>
      </c>
      <c r="F122" s="43">
        <f t="shared" si="14"/>
        <v>110.42540923177728</v>
      </c>
    </row>
    <row r="123" spans="2:8" ht="22.5" x14ac:dyDescent="0.2">
      <c r="B123" s="108" t="s">
        <v>122</v>
      </c>
      <c r="C123" s="83">
        <f>859758090.35</f>
        <v>859758090.35000002</v>
      </c>
      <c r="D123" s="70">
        <f>722736025.57</f>
        <v>722736025.57000005</v>
      </c>
      <c r="E123" s="47">
        <f t="shared" si="15"/>
        <v>14.083834466474803</v>
      </c>
      <c r="F123" s="43">
        <f t="shared" si="14"/>
        <v>84.062718767296559</v>
      </c>
    </row>
    <row r="124" spans="2:8" x14ac:dyDescent="0.2">
      <c r="B124" s="26"/>
      <c r="C124" s="26"/>
      <c r="D124" s="26"/>
      <c r="E124" s="26"/>
      <c r="F124" s="26"/>
      <c r="G124" s="26"/>
      <c r="H124" s="26"/>
    </row>
    <row r="125" spans="2:8" x14ac:dyDescent="0.2">
      <c r="B125" s="13" t="s">
        <v>14</v>
      </c>
      <c r="C125" s="11" t="s">
        <v>15</v>
      </c>
      <c r="D125" s="11" t="s">
        <v>1</v>
      </c>
      <c r="E125" s="60"/>
    </row>
    <row r="126" spans="2:8" x14ac:dyDescent="0.2">
      <c r="B126" s="13"/>
      <c r="C126" s="123" t="s">
        <v>78</v>
      </c>
      <c r="D126" s="124"/>
      <c r="E126" s="60"/>
    </row>
    <row r="127" spans="2:8" x14ac:dyDescent="0.2">
      <c r="B127" s="11">
        <v>1</v>
      </c>
      <c r="C127" s="11">
        <v>2</v>
      </c>
      <c r="D127" s="11">
        <v>3</v>
      </c>
      <c r="E127" s="60"/>
    </row>
    <row r="128" spans="2:8" ht="36" customHeight="1" x14ac:dyDescent="0.2">
      <c r="B128" s="64" t="s">
        <v>124</v>
      </c>
      <c r="C128" s="83">
        <f>9681959277.2</f>
        <v>9681959277.2000008</v>
      </c>
      <c r="D128" s="70">
        <f>3607460511.82</f>
        <v>3607460511.8200002</v>
      </c>
      <c r="E128" s="60"/>
    </row>
    <row r="129" spans="2:8" ht="33.75" x14ac:dyDescent="0.2">
      <c r="B129" s="103" t="s">
        <v>80</v>
      </c>
      <c r="C129" s="83">
        <f>689159245.89</f>
        <v>689159245.88999999</v>
      </c>
      <c r="D129" s="70">
        <f>367751922.41</f>
        <v>367751922.41000003</v>
      </c>
      <c r="E129" s="60"/>
    </row>
    <row r="130" spans="2:8" ht="12.95" customHeight="1" x14ac:dyDescent="0.2">
      <c r="B130" s="103" t="s">
        <v>81</v>
      </c>
      <c r="C130" s="83">
        <f>6460947147.34</f>
        <v>6460947147.3400002</v>
      </c>
      <c r="D130" s="70">
        <f>2478963504.84</f>
        <v>2478963504.8400002</v>
      </c>
      <c r="E130" s="60"/>
    </row>
    <row r="131" spans="2:8" ht="22.5" x14ac:dyDescent="0.2">
      <c r="B131" s="103" t="s">
        <v>82</v>
      </c>
      <c r="C131" s="83">
        <f>0</f>
        <v>0</v>
      </c>
      <c r="D131" s="70">
        <f>0</f>
        <v>0</v>
      </c>
      <c r="E131" s="60"/>
    </row>
    <row r="132" spans="2:8" ht="58.5" customHeight="1" x14ac:dyDescent="0.2">
      <c r="B132" s="103" t="s">
        <v>104</v>
      </c>
      <c r="C132" s="83">
        <f>32575677.47</f>
        <v>32575677.469999999</v>
      </c>
      <c r="D132" s="70">
        <f>2330421.88</f>
        <v>2330421.88</v>
      </c>
      <c r="E132" s="60"/>
    </row>
    <row r="133" spans="2:8" ht="78.75" x14ac:dyDescent="0.2">
      <c r="B133" s="103" t="s">
        <v>83</v>
      </c>
      <c r="C133" s="83">
        <f>1697462146.07</f>
        <v>1697462146.0699999</v>
      </c>
      <c r="D133" s="70">
        <f>320518251.8</f>
        <v>320518251.80000001</v>
      </c>
      <c r="E133" s="60"/>
    </row>
    <row r="134" spans="2:8" ht="147" customHeight="1" x14ac:dyDescent="0.2">
      <c r="B134" s="103" t="s">
        <v>102</v>
      </c>
      <c r="C134" s="83">
        <f>661618547.62</f>
        <v>661618547.62</v>
      </c>
      <c r="D134" s="70">
        <f>358159827.71</f>
        <v>358159827.70999998</v>
      </c>
      <c r="E134" s="35"/>
    </row>
    <row r="135" spans="2:8" ht="22.5" x14ac:dyDescent="0.2">
      <c r="B135" s="103" t="s">
        <v>103</v>
      </c>
      <c r="C135" s="83">
        <f>9268543.84</f>
        <v>9268543.8399999999</v>
      </c>
      <c r="D135" s="70">
        <f>942043.84</f>
        <v>942043.84</v>
      </c>
      <c r="E135" s="35"/>
    </row>
    <row r="136" spans="2:8" ht="22.5" x14ac:dyDescent="0.2">
      <c r="B136" s="109" t="s">
        <v>120</v>
      </c>
      <c r="C136" s="83">
        <f>130927968.97</f>
        <v>130927968.97</v>
      </c>
      <c r="D136" s="70">
        <f>78794539.34</f>
        <v>78794539.340000004</v>
      </c>
      <c r="E136" s="35"/>
    </row>
    <row r="137" spans="2:8" x14ac:dyDescent="0.2">
      <c r="B137" s="49"/>
      <c r="C137" s="41"/>
      <c r="D137" s="41"/>
      <c r="E137" s="41"/>
      <c r="F137" s="41"/>
      <c r="G137" s="41"/>
      <c r="H137" s="41"/>
    </row>
    <row r="138" spans="2:8" ht="12" customHeight="1" x14ac:dyDescent="0.2">
      <c r="B138" s="50" t="s">
        <v>68</v>
      </c>
      <c r="C138" s="50">
        <f>4</f>
        <v>4</v>
      </c>
      <c r="D138" s="50" t="str">
        <f>IF(C138=1,"I Kwartał",IF(C138=2,"II Kwartały",IF(C138=3,"III Kwartały",IF(C138=4,"IV Kwartały",IF(C138="M1","Styczeń",IF(C138="M11","Listopad",IF(C138="M12","Grudzień","-")))))))</f>
        <v>IV Kwartały</v>
      </c>
    </row>
    <row r="139" spans="2:8" x14ac:dyDescent="0.2">
      <c r="B139" s="50" t="s">
        <v>69</v>
      </c>
      <c r="C139" s="85">
        <f>2024</f>
        <v>2024</v>
      </c>
      <c r="D139" s="49"/>
    </row>
    <row r="140" spans="2:8" x14ac:dyDescent="0.2">
      <c r="B140" s="50" t="s">
        <v>70</v>
      </c>
      <c r="C140" s="128" t="str">
        <f>"Mar 18 2025 12:00AM"</f>
        <v>Mar 18 2025 12:00AM</v>
      </c>
      <c r="D140" s="129"/>
    </row>
    <row r="141" spans="2:8" hidden="1" x14ac:dyDescent="0.2">
      <c r="B141" s="50" t="s">
        <v>73</v>
      </c>
      <c r="C141" s="86" t="str">
        <f>""</f>
        <v/>
      </c>
      <c r="D141" s="49"/>
    </row>
  </sheetData>
  <mergeCells count="20">
    <mergeCell ref="C105:D105"/>
    <mergeCell ref="C126:D126"/>
    <mergeCell ref="E105:F105"/>
    <mergeCell ref="J82:K82"/>
    <mergeCell ref="C140:D140"/>
    <mergeCell ref="I94:J94"/>
    <mergeCell ref="K79:K81"/>
    <mergeCell ref="F80:F81"/>
    <mergeCell ref="F79:H79"/>
    <mergeCell ref="I79:I81"/>
    <mergeCell ref="C82:I82"/>
    <mergeCell ref="G80:H80"/>
    <mergeCell ref="D79:D81"/>
    <mergeCell ref="E79:E81"/>
    <mergeCell ref="B2:B3"/>
    <mergeCell ref="C79:C81"/>
    <mergeCell ref="B79:B82"/>
    <mergeCell ref="J79:J81"/>
    <mergeCell ref="J3:L3"/>
    <mergeCell ref="C3:I3"/>
  </mergeCells>
  <phoneticPr fontId="0" type="noConversion"/>
  <pageMargins left="0.19685039370078741" right="0.19685039370078741" top="0.39370078740157483" bottom="0.39370078740157483" header="0.31496062992125984" footer="0.19685039370078741"/>
  <pageSetup paperSize="9" scale="85" fitToWidth="2" fitToHeight="2" orientation="landscape" useFirstPageNumber="1" r:id="rId1"/>
  <headerFooter alignWithMargins="0">
    <oddFooter>&amp;RStrona &amp;P z &amp;N</oddFooter>
  </headerFooter>
  <rowBreaks count="5" manualBreakCount="5">
    <brk id="22" max="16383" man="1"/>
    <brk id="59" max="12" man="1"/>
    <brk id="76" max="16383" man="1"/>
    <brk id="101" max="16383" man="1"/>
    <brk id="12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doch_wyd</vt:lpstr>
      <vt:lpstr>doch_wyd!Obszar_wydruku</vt:lpstr>
    </vt:vector>
  </TitlesOfParts>
  <Company>Min. Fin.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Alina Karolak</dc:creator>
  <cp:lastModifiedBy>Kołacz Bernard</cp:lastModifiedBy>
  <cp:lastPrinted>2022-10-25T14:05:09Z</cp:lastPrinted>
  <dcterms:created xsi:type="dcterms:W3CDTF">2001-05-17T08:58:03Z</dcterms:created>
  <dcterms:modified xsi:type="dcterms:W3CDTF">2025-03-28T13:57:56Z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InformacjePubliczneInformacjeSektoraPublicznego</vt:lpwstr>
  </property>
  <property fmtid="{D5CDD505-2E9C-101B-9397-08002B2CF9AE}" pid="3" name="MFClassifiedBy">
    <vt:lpwstr>UxC4dwLulzfINJ8nQH+xvX5LNGipWa4BRSZhPgxsCvk7M1oCNyvPTX/IYTk7NheEi2D6He/Paz9ay8OzXVpSqA==</vt:lpwstr>
  </property>
  <property fmtid="{D5CDD505-2E9C-101B-9397-08002B2CF9AE}" pid="4" name="MFClassificationDate">
    <vt:lpwstr>2022-06-01T15:12:31.7108919+02:00</vt:lpwstr>
  </property>
  <property fmtid="{D5CDD505-2E9C-101B-9397-08002B2CF9AE}" pid="5" name="MFClassifiedBySID">
    <vt:lpwstr>UxC4dwLulzfINJ8nQH+xvX5LNGipWa4BRSZhPgxsCvm42mrIC/DSDv0ggS+FjUN/2v1BBotkLlY5aAiEhoi6uT6l/lYoTwrNwDVvKCDJdoy+W2nzAk+kqrZcOJSg0aUa</vt:lpwstr>
  </property>
  <property fmtid="{D5CDD505-2E9C-101B-9397-08002B2CF9AE}" pid="6" name="MFGRNItemId">
    <vt:lpwstr>GRN-2cd18ff7-932d-4776-b890-6d741b929fdc</vt:lpwstr>
  </property>
  <property fmtid="{D5CDD505-2E9C-101B-9397-08002B2CF9AE}" pid="7" name="MFHash">
    <vt:lpwstr>OTgls01WM3N6lxmUY94TawYv0KG6fXLBz/RcoeeeVtg=</vt:lpwstr>
  </property>
  <property fmtid="{D5CDD505-2E9C-101B-9397-08002B2CF9AE}" pid="8" name="MFVisualMarkingsSettings">
    <vt:lpwstr>HeaderAlignment=1;FooterAlignment=1</vt:lpwstr>
  </property>
  <property fmtid="{D5CDD505-2E9C-101B-9397-08002B2CF9AE}" pid="9" name="DLPManualFileClassification">
    <vt:lpwstr>{2755b7d9-e53d-4779-a40c-03797dcf43b3}</vt:lpwstr>
  </property>
  <property fmtid="{D5CDD505-2E9C-101B-9397-08002B2CF9AE}" pid="10" name="MFRefresh">
    <vt:lpwstr>False</vt:lpwstr>
  </property>
</Properties>
</file>