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t_kozon\AppData\Local\Microsoft\Windows\INetCache\Content.Outlook\OLMH618X\"/>
    </mc:Choice>
  </mc:AlternateContent>
  <xr:revisionPtr revIDLastSave="0" documentId="13_ncr:1_{0EFF7BA9-0D08-49F5-B6E5-1DD62FD8F08B}" xr6:coauthVersionLast="47" xr6:coauthVersionMax="47" xr10:uidLastSave="{00000000-0000-0000-0000-000000000000}"/>
  <workbookProtection workbookAlgorithmName="SHA-512" workbookHashValue="Jl3uKtk9tcJ/XnD2BTqjtFMSOrbtHFL4OQHd5Tc8j19e12DBWHdalItUm4kdOQ6AHzFoYDcAVSulH1yIy2X9KQ==" workbookSaltValue="tIPmu5OzigY2MBtnCNlvrQ==" workbookSpinCount="100000" lockStructure="1"/>
  <bookViews>
    <workbookView xWindow="-108" yWindow="-108" windowWidth="23256" windowHeight="12576" xr2:uid="{00000000-000D-0000-FFFF-FFFF00000000}"/>
  </bookViews>
  <sheets>
    <sheet name="INSTRUKCJA" sheetId="17" r:id="rId1"/>
    <sheet name="art. 15 albo 15a" sheetId="1" r:id="rId2"/>
    <sheet name="art. 15aa" sheetId="15" r:id="rId3"/>
    <sheet name="Podstawa wymiaru 10 lat" sheetId="19" r:id="rId4"/>
    <sheet name="art. 18e albo 18h" sheetId="16" r:id="rId5"/>
    <sheet name="PRZECIĘTNE" sheetId="18" state="hidden" r:id="rId6"/>
    <sheet name="PRZECIĘTNE robocze" sheetId="20" state="hidden" r:id="rId7"/>
    <sheet name="Roboczy" sheetId="2" state="hidden" r:id="rId8"/>
  </sheets>
  <definedNames>
    <definedName name="_xlnm.Print_Area" localSheetId="1">'art. 15 albo 15a'!$G$1:$L$24</definedName>
    <definedName name="_xlnm.Print_Area" localSheetId="2">'art. 15aa'!$G$1:$L$23</definedName>
    <definedName name="_xlnm.Print_Area" localSheetId="4">'art. 18e albo 18h'!$G$1:$L$24</definedName>
    <definedName name="_xlnm.Print_Area" localSheetId="0">INSTRUKCJA!$A$1:$O$60</definedName>
    <definedName name="_xlnm.Print_Area" localSheetId="3">'Podstawa wymiaru 10 lat'!$A$1:$H$61</definedName>
    <definedName name="Roczny">!$I$3:$I$33</definedName>
    <definedName name="RocznyCS" localSheetId="3">!$E$5:$E$28</definedName>
    <definedName name="RocznyCS">!$E$3:$E$26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3" i="20" l="1"/>
  <c r="G22" i="20"/>
  <c r="G21" i="20"/>
  <c r="G20" i="20"/>
  <c r="G19" i="20"/>
  <c r="G17" i="20"/>
  <c r="G16" i="20"/>
  <c r="G15" i="20"/>
  <c r="G14" i="20"/>
  <c r="G13" i="20"/>
  <c r="G12" i="20"/>
  <c r="G11" i="20"/>
  <c r="G10" i="20"/>
  <c r="G9" i="20"/>
  <c r="G8" i="20"/>
  <c r="G6" i="20"/>
  <c r="G24" i="20" l="1"/>
  <c r="N24" i="20"/>
  <c r="N8" i="20"/>
  <c r="D5" i="16" l="1"/>
  <c r="C5" i="16"/>
  <c r="D6" i="19" l="1"/>
  <c r="D30" i="19"/>
  <c r="D29" i="19"/>
  <c r="D28" i="19"/>
  <c r="D27" i="19"/>
  <c r="D26" i="19"/>
  <c r="D25" i="19"/>
  <c r="D24" i="19"/>
  <c r="D23" i="19"/>
  <c r="D22" i="19"/>
  <c r="D21" i="19"/>
  <c r="D20" i="19"/>
  <c r="D19" i="19"/>
  <c r="D18" i="19"/>
  <c r="D17" i="19"/>
  <c r="D16" i="19"/>
  <c r="D15" i="19"/>
  <c r="D14" i="19"/>
  <c r="D13" i="19"/>
  <c r="D12" i="19"/>
  <c r="D11" i="19"/>
  <c r="D10" i="19"/>
  <c r="D9" i="19"/>
  <c r="D8" i="19"/>
  <c r="D7" i="19"/>
  <c r="D5" i="19"/>
  <c r="C48" i="19" l="1"/>
  <c r="E4" i="16" l="1"/>
  <c r="E11" i="16"/>
  <c r="D11" i="16"/>
  <c r="C11" i="16"/>
  <c r="E30" i="19"/>
  <c r="F30" i="19" s="1"/>
  <c r="E29" i="19"/>
  <c r="F29" i="19" s="1"/>
  <c r="E28" i="19"/>
  <c r="F28" i="19" s="1"/>
  <c r="E27" i="19"/>
  <c r="F27" i="19" s="1"/>
  <c r="E26" i="19"/>
  <c r="F26" i="19" s="1"/>
  <c r="E25" i="19"/>
  <c r="F25" i="19" s="1"/>
  <c r="E24" i="19"/>
  <c r="F24" i="19" s="1"/>
  <c r="E23" i="19"/>
  <c r="F23" i="19" s="1"/>
  <c r="E22" i="19"/>
  <c r="F22" i="19" s="1"/>
  <c r="E21" i="19"/>
  <c r="F21" i="19" s="1"/>
  <c r="E20" i="19"/>
  <c r="F20" i="19" s="1"/>
  <c r="E19" i="19"/>
  <c r="F19" i="19" s="1"/>
  <c r="E18" i="19"/>
  <c r="F18" i="19" s="1"/>
  <c r="E17" i="19"/>
  <c r="F17" i="19" s="1"/>
  <c r="E16" i="19"/>
  <c r="F16" i="19" s="1"/>
  <c r="E15" i="19"/>
  <c r="F15" i="19" s="1"/>
  <c r="E14" i="19"/>
  <c r="F14" i="19" s="1"/>
  <c r="E13" i="19"/>
  <c r="F13" i="19" s="1"/>
  <c r="E12" i="19"/>
  <c r="F12" i="19" s="1"/>
  <c r="E11" i="19"/>
  <c r="F11" i="19" s="1"/>
  <c r="E10" i="19"/>
  <c r="F10" i="19" s="1"/>
  <c r="E9" i="19"/>
  <c r="F9" i="19" s="1"/>
  <c r="E8" i="19"/>
  <c r="F8" i="19" s="1"/>
  <c r="E7" i="19"/>
  <c r="F7" i="19" s="1"/>
  <c r="E6" i="19"/>
  <c r="F6" i="19" s="1"/>
  <c r="E5" i="19"/>
  <c r="F5" i="19" s="1"/>
  <c r="E75" i="15"/>
  <c r="D75" i="15"/>
  <c r="C75" i="15"/>
  <c r="E74" i="15"/>
  <c r="D74" i="15"/>
  <c r="C74" i="15"/>
  <c r="E73" i="15"/>
  <c r="D73" i="15"/>
  <c r="C73" i="15"/>
  <c r="E72" i="15"/>
  <c r="D72" i="15"/>
  <c r="C72" i="15"/>
  <c r="E71" i="15"/>
  <c r="D71" i="15"/>
  <c r="C71" i="15"/>
  <c r="E70" i="15"/>
  <c r="D70" i="15"/>
  <c r="C70" i="15"/>
  <c r="E69" i="15"/>
  <c r="D69" i="15"/>
  <c r="C69" i="15"/>
  <c r="E68" i="15"/>
  <c r="D68" i="15"/>
  <c r="C68" i="15"/>
  <c r="E67" i="15"/>
  <c r="D67" i="15"/>
  <c r="C67" i="15"/>
  <c r="E66" i="15"/>
  <c r="D66" i="15"/>
  <c r="C66" i="15"/>
  <c r="E65" i="15"/>
  <c r="D65" i="15"/>
  <c r="C65" i="15"/>
  <c r="E64" i="15"/>
  <c r="D64" i="15"/>
  <c r="C64" i="15"/>
  <c r="E63" i="15"/>
  <c r="D63" i="15"/>
  <c r="C63" i="15"/>
  <c r="E62" i="15"/>
  <c r="D62" i="15"/>
  <c r="C62" i="15"/>
  <c r="E61" i="15"/>
  <c r="D61" i="15"/>
  <c r="C61" i="15"/>
  <c r="E60" i="15"/>
  <c r="D60" i="15"/>
  <c r="C60" i="15"/>
  <c r="E59" i="15"/>
  <c r="D59" i="15"/>
  <c r="C59" i="15"/>
  <c r="E58" i="15"/>
  <c r="D58" i="15"/>
  <c r="C58" i="15"/>
  <c r="E57" i="15"/>
  <c r="D57" i="15"/>
  <c r="C57" i="15"/>
  <c r="E56" i="15"/>
  <c r="D56" i="15"/>
  <c r="C56" i="15"/>
  <c r="E55" i="15"/>
  <c r="D55" i="15"/>
  <c r="C55" i="15"/>
  <c r="E54" i="15"/>
  <c r="D54" i="15"/>
  <c r="C54" i="15"/>
  <c r="E53" i="15"/>
  <c r="D53" i="15"/>
  <c r="C53" i="15"/>
  <c r="E52" i="15"/>
  <c r="D52" i="15"/>
  <c r="C52" i="15"/>
  <c r="E51" i="15"/>
  <c r="D51" i="15"/>
  <c r="C51" i="15"/>
  <c r="E50" i="15"/>
  <c r="D50" i="15"/>
  <c r="C50" i="15"/>
  <c r="E49" i="15"/>
  <c r="D49" i="15"/>
  <c r="C49" i="15"/>
  <c r="E48" i="15"/>
  <c r="D48" i="15"/>
  <c r="C48" i="15"/>
  <c r="E89" i="1"/>
  <c r="D89" i="1"/>
  <c r="C89" i="1"/>
  <c r="E88" i="1"/>
  <c r="D88" i="1"/>
  <c r="C88" i="1"/>
  <c r="E87" i="1"/>
  <c r="D87" i="1"/>
  <c r="C87" i="1"/>
  <c r="E86" i="1"/>
  <c r="D86" i="1"/>
  <c r="C86" i="1"/>
  <c r="E85" i="1"/>
  <c r="D85" i="1"/>
  <c r="C85" i="1"/>
  <c r="E84" i="1"/>
  <c r="D84" i="1"/>
  <c r="C84" i="1"/>
  <c r="E83" i="1"/>
  <c r="D83" i="1"/>
  <c r="C83" i="1"/>
  <c r="E82" i="1"/>
  <c r="D82" i="1"/>
  <c r="C82" i="1"/>
  <c r="E81" i="1"/>
  <c r="D81" i="1"/>
  <c r="C81" i="1"/>
  <c r="E80" i="1"/>
  <c r="D80" i="1"/>
  <c r="C80" i="1"/>
  <c r="E79" i="1"/>
  <c r="D79" i="1"/>
  <c r="C79" i="1"/>
  <c r="E78" i="1"/>
  <c r="D78" i="1"/>
  <c r="C78" i="1"/>
  <c r="E77" i="1"/>
  <c r="D77" i="1"/>
  <c r="C77" i="1"/>
  <c r="E76" i="1"/>
  <c r="D76" i="1"/>
  <c r="C76" i="1"/>
  <c r="E75" i="1"/>
  <c r="D75" i="1"/>
  <c r="C75" i="1"/>
  <c r="E74" i="1"/>
  <c r="D74" i="1"/>
  <c r="C74" i="1"/>
  <c r="E73" i="1"/>
  <c r="D73" i="1"/>
  <c r="C73" i="1"/>
  <c r="E72" i="1"/>
  <c r="D72" i="1"/>
  <c r="C72" i="1"/>
  <c r="E71" i="1"/>
  <c r="D71" i="1"/>
  <c r="C71" i="1"/>
  <c r="E70" i="1"/>
  <c r="D70" i="1"/>
  <c r="C70" i="1"/>
  <c r="E69" i="1"/>
  <c r="D69" i="1"/>
  <c r="C69" i="1"/>
  <c r="E68" i="1"/>
  <c r="D68" i="1"/>
  <c r="C68" i="1"/>
  <c r="E67" i="1"/>
  <c r="D67" i="1"/>
  <c r="C67" i="1"/>
  <c r="E66" i="1"/>
  <c r="D66" i="1"/>
  <c r="C66" i="1"/>
  <c r="E65" i="1"/>
  <c r="D65" i="1"/>
  <c r="C65" i="1"/>
  <c r="E64" i="1"/>
  <c r="D64" i="1"/>
  <c r="C64" i="1"/>
  <c r="E63" i="1"/>
  <c r="D63" i="1"/>
  <c r="C63" i="1"/>
  <c r="E62" i="1"/>
  <c r="D62" i="1"/>
  <c r="C62" i="1"/>
  <c r="G23" i="19" l="1"/>
  <c r="G17" i="19"/>
  <c r="G24" i="19"/>
  <c r="G30" i="19"/>
  <c r="G29" i="19"/>
  <c r="G19" i="19"/>
  <c r="G20" i="19"/>
  <c r="G25" i="19"/>
  <c r="G14" i="19"/>
  <c r="G21" i="19"/>
  <c r="G26" i="19"/>
  <c r="G18" i="19"/>
  <c r="G15" i="19"/>
  <c r="G27" i="19"/>
  <c r="G22" i="19"/>
  <c r="G16" i="19"/>
  <c r="G28" i="19"/>
  <c r="E36" i="15"/>
  <c r="D36" i="15"/>
  <c r="C36" i="15"/>
  <c r="E35" i="15"/>
  <c r="D35" i="15"/>
  <c r="C35" i="15"/>
  <c r="E34" i="15"/>
  <c r="D34" i="15"/>
  <c r="C34" i="15"/>
  <c r="E33" i="15"/>
  <c r="D33" i="15"/>
  <c r="C33" i="15"/>
  <c r="E32" i="15"/>
  <c r="D32" i="15"/>
  <c r="C32" i="15"/>
  <c r="E37" i="1"/>
  <c r="D37" i="1"/>
  <c r="C37" i="1"/>
  <c r="E36" i="1"/>
  <c r="D36" i="1"/>
  <c r="C36" i="1"/>
  <c r="E35" i="1"/>
  <c r="D35" i="1"/>
  <c r="C35" i="1"/>
  <c r="E34" i="1"/>
  <c r="D34" i="1"/>
  <c r="C34" i="1"/>
  <c r="E33" i="1"/>
  <c r="D33" i="1"/>
  <c r="C33" i="1"/>
  <c r="G31" i="19" l="1"/>
  <c r="F31" i="19"/>
  <c r="F32" i="19" s="1"/>
  <c r="F37" i="19" s="1"/>
  <c r="F48" i="19" s="1"/>
  <c r="E4" i="1"/>
  <c r="E4" i="15"/>
  <c r="F49" i="19" l="1"/>
  <c r="K13" i="16" s="1" a="1"/>
  <c r="K12" i="16"/>
  <c r="G11" i="15"/>
  <c r="G12" i="1"/>
  <c r="K14" i="15" l="1"/>
  <c r="K15" i="1"/>
  <c r="L6" i="1" l="1"/>
  <c r="L5" i="1"/>
  <c r="E76" i="15"/>
  <c r="D76" i="15"/>
  <c r="C76" i="15"/>
  <c r="E47" i="15"/>
  <c r="D47" i="15"/>
  <c r="C47" i="15"/>
  <c r="E46" i="15"/>
  <c r="D46" i="15"/>
  <c r="C46" i="15"/>
  <c r="E90" i="1"/>
  <c r="D90" i="1"/>
  <c r="C90" i="1"/>
  <c r="E61" i="1"/>
  <c r="D61" i="1"/>
  <c r="C61" i="1"/>
  <c r="E60" i="1"/>
  <c r="D60" i="1"/>
  <c r="C60" i="1"/>
  <c r="D77" i="15" l="1"/>
  <c r="C77" i="15"/>
  <c r="E77" i="15"/>
  <c r="E78" i="15" s="1"/>
  <c r="E23" i="16"/>
  <c r="D23" i="16"/>
  <c r="C23" i="16"/>
  <c r="E22" i="16"/>
  <c r="D22" i="16"/>
  <c r="C22" i="16"/>
  <c r="E21" i="16"/>
  <c r="D21" i="16"/>
  <c r="C21" i="16"/>
  <c r="E87" i="15"/>
  <c r="D87" i="15"/>
  <c r="D78" i="15" l="1"/>
  <c r="C78" i="15"/>
  <c r="E40" i="15"/>
  <c r="D40" i="15"/>
  <c r="C40" i="15"/>
  <c r="E39" i="15"/>
  <c r="D39" i="15"/>
  <c r="C39" i="15"/>
  <c r="E38" i="15"/>
  <c r="D38" i="15"/>
  <c r="C38" i="15"/>
  <c r="E37" i="15"/>
  <c r="D37" i="15"/>
  <c r="C37" i="15"/>
  <c r="E31" i="15"/>
  <c r="D31" i="15"/>
  <c r="C31" i="15"/>
  <c r="E30" i="15"/>
  <c r="D30" i="15"/>
  <c r="C30" i="15"/>
  <c r="E29" i="15"/>
  <c r="D29" i="15"/>
  <c r="C29" i="15"/>
  <c r="E28" i="15"/>
  <c r="D28" i="15"/>
  <c r="C28" i="15"/>
  <c r="E27" i="15"/>
  <c r="D27" i="15"/>
  <c r="C27" i="15"/>
  <c r="E26" i="15"/>
  <c r="D26" i="15"/>
  <c r="C26" i="15"/>
  <c r="E25" i="15"/>
  <c r="D25" i="15"/>
  <c r="C25" i="15"/>
  <c r="E20" i="15"/>
  <c r="D20" i="15"/>
  <c r="C20" i="15"/>
  <c r="E19" i="15"/>
  <c r="D19" i="15"/>
  <c r="C19" i="15"/>
  <c r="E18" i="15"/>
  <c r="D18" i="15"/>
  <c r="C18" i="15"/>
  <c r="E17" i="15"/>
  <c r="D17" i="15"/>
  <c r="C17" i="15"/>
  <c r="E16" i="15"/>
  <c r="D16" i="15"/>
  <c r="C16" i="15"/>
  <c r="E15" i="15"/>
  <c r="D15" i="15"/>
  <c r="C15" i="15"/>
  <c r="E14" i="15"/>
  <c r="D14" i="15"/>
  <c r="C14" i="15"/>
  <c r="E13" i="15"/>
  <c r="D13" i="15"/>
  <c r="C13" i="15"/>
  <c r="E12" i="15"/>
  <c r="D12" i="15"/>
  <c r="C12" i="15"/>
  <c r="E11" i="15"/>
  <c r="D11" i="15"/>
  <c r="C11" i="15"/>
  <c r="E10" i="15"/>
  <c r="D10" i="15"/>
  <c r="C10" i="15"/>
  <c r="E20" i="16"/>
  <c r="D20" i="16"/>
  <c r="C20" i="16"/>
  <c r="E19" i="16"/>
  <c r="D19" i="16"/>
  <c r="C19" i="16"/>
  <c r="E18" i="16"/>
  <c r="D18" i="16"/>
  <c r="C18" i="16"/>
  <c r="E17" i="16"/>
  <c r="D17" i="16"/>
  <c r="C17" i="16"/>
  <c r="E16" i="16"/>
  <c r="D16" i="16"/>
  <c r="C16" i="16"/>
  <c r="E15" i="16"/>
  <c r="D15" i="16"/>
  <c r="C15" i="16"/>
  <c r="E14" i="16"/>
  <c r="D14" i="16"/>
  <c r="C14" i="16"/>
  <c r="E13" i="16"/>
  <c r="D13" i="16"/>
  <c r="C13" i="16"/>
  <c r="E12" i="16"/>
  <c r="D12" i="16"/>
  <c r="C12" i="16"/>
  <c r="E10" i="16"/>
  <c r="D10" i="16"/>
  <c r="C10" i="16"/>
  <c r="E55" i="1"/>
  <c r="D55" i="1"/>
  <c r="C55" i="1"/>
  <c r="E54" i="1"/>
  <c r="D54" i="1"/>
  <c r="C54" i="1"/>
  <c r="E53" i="1"/>
  <c r="D53" i="1"/>
  <c r="C53" i="1"/>
  <c r="E52" i="1"/>
  <c r="D52" i="1"/>
  <c r="C52" i="1"/>
  <c r="E51" i="1"/>
  <c r="D51" i="1"/>
  <c r="C51" i="1"/>
  <c r="E50" i="1"/>
  <c r="D50" i="1"/>
  <c r="C50" i="1"/>
  <c r="E49" i="1"/>
  <c r="D49" i="1"/>
  <c r="C49" i="1"/>
  <c r="E48" i="1"/>
  <c r="D48" i="1"/>
  <c r="C48" i="1"/>
  <c r="E47" i="1"/>
  <c r="D47" i="1"/>
  <c r="C47" i="1"/>
  <c r="E46" i="1"/>
  <c r="D46" i="1"/>
  <c r="C46" i="1"/>
  <c r="E45" i="1"/>
  <c r="D45" i="1"/>
  <c r="C45" i="1"/>
  <c r="E40" i="1"/>
  <c r="D40" i="1"/>
  <c r="C40" i="1"/>
  <c r="E39" i="1"/>
  <c r="D39" i="1"/>
  <c r="C39" i="1"/>
  <c r="E38" i="1"/>
  <c r="D38" i="1"/>
  <c r="C38" i="1"/>
  <c r="E32" i="1"/>
  <c r="D32" i="1"/>
  <c r="C32" i="1"/>
  <c r="E31" i="1"/>
  <c r="D31" i="1"/>
  <c r="C31" i="1"/>
  <c r="E30" i="1"/>
  <c r="D30" i="1"/>
  <c r="C30" i="1"/>
  <c r="E29" i="1"/>
  <c r="D29" i="1"/>
  <c r="C29" i="1"/>
  <c r="E28" i="1"/>
  <c r="D28" i="1"/>
  <c r="C28" i="1"/>
  <c r="E27" i="1"/>
  <c r="D27" i="1"/>
  <c r="C27" i="1"/>
  <c r="E26" i="1"/>
  <c r="D26" i="1"/>
  <c r="C26" i="1"/>
  <c r="E25" i="1"/>
  <c r="D25" i="1"/>
  <c r="C25" i="1"/>
  <c r="E20" i="1"/>
  <c r="D20" i="1"/>
  <c r="C20" i="1"/>
  <c r="E19" i="1"/>
  <c r="D19" i="1"/>
  <c r="C19" i="1"/>
  <c r="E18" i="1"/>
  <c r="D18" i="1"/>
  <c r="C18" i="1"/>
  <c r="E17" i="1"/>
  <c r="D17" i="1"/>
  <c r="C17" i="1"/>
  <c r="E16" i="1"/>
  <c r="D16" i="1"/>
  <c r="C16" i="1"/>
  <c r="E15" i="1"/>
  <c r="D15" i="1"/>
  <c r="C15" i="1"/>
  <c r="E14" i="1"/>
  <c r="D14" i="1"/>
  <c r="C14" i="1"/>
  <c r="E13" i="1"/>
  <c r="D13" i="1"/>
  <c r="C13" i="1"/>
  <c r="E12" i="1"/>
  <c r="D12" i="1"/>
  <c r="C12" i="1"/>
  <c r="E11" i="1"/>
  <c r="D11" i="1"/>
  <c r="C11" i="1"/>
  <c r="E10" i="1"/>
  <c r="D10" i="1"/>
  <c r="C10" i="1"/>
  <c r="C24" i="16" l="1"/>
  <c r="C21" i="15"/>
  <c r="C88" i="15"/>
  <c r="D21" i="15"/>
  <c r="D82" i="15" s="1"/>
  <c r="E21" i="15"/>
  <c r="E82" i="15" s="1"/>
  <c r="D41" i="15"/>
  <c r="C41" i="15"/>
  <c r="D88" i="15"/>
  <c r="E41" i="15"/>
  <c r="D24" i="16"/>
  <c r="E24" i="16"/>
  <c r="D21" i="1"/>
  <c r="E21" i="1"/>
  <c r="C21" i="1"/>
  <c r="C100" i="1" s="1"/>
  <c r="E91" i="1"/>
  <c r="C91" i="1"/>
  <c r="C101" i="1" s="1"/>
  <c r="D91" i="1"/>
  <c r="D101" i="1" s="1"/>
  <c r="E56" i="1"/>
  <c r="J6" i="1" s="1"/>
  <c r="C56" i="1"/>
  <c r="H6" i="1" s="1"/>
  <c r="D56" i="1"/>
  <c r="I6" i="1" s="1"/>
  <c r="E41" i="1"/>
  <c r="J5" i="1" s="1"/>
  <c r="C41" i="1"/>
  <c r="H5" i="1" s="1"/>
  <c r="D41" i="1"/>
  <c r="I5" i="1" s="1"/>
  <c r="E83" i="15" l="1"/>
  <c r="E84" i="15" s="1"/>
  <c r="J4" i="15" s="1"/>
  <c r="E88" i="15"/>
  <c r="E89" i="15" s="1"/>
  <c r="I4" i="16"/>
  <c r="I9" i="16"/>
  <c r="H4" i="16"/>
  <c r="K4" i="16" s="1"/>
  <c r="K5" i="16" s="1"/>
  <c r="K16" i="16" s="1"/>
  <c r="H9" i="16"/>
  <c r="L14" i="16" s="1"/>
  <c r="J4" i="16"/>
  <c r="J9" i="16"/>
  <c r="C87" i="15"/>
  <c r="C82" i="15"/>
  <c r="E92" i="1"/>
  <c r="E96" i="1" s="1"/>
  <c r="E101" i="1"/>
  <c r="D95" i="1"/>
  <c r="D100" i="1"/>
  <c r="E95" i="1"/>
  <c r="E100" i="1"/>
  <c r="C95" i="1"/>
  <c r="K6" i="1"/>
  <c r="D92" i="1"/>
  <c r="D96" i="1" s="1"/>
  <c r="C92" i="1"/>
  <c r="C96" i="1" s="1"/>
  <c r="D83" i="15" l="1"/>
  <c r="D84" i="15" s="1"/>
  <c r="I4" i="15" s="1"/>
  <c r="K5" i="1"/>
  <c r="D97" i="1"/>
  <c r="I4" i="1" s="1"/>
  <c r="D89" i="15"/>
  <c r="E102" i="1"/>
  <c r="C89" i="15"/>
  <c r="C83" i="15"/>
  <c r="E97" i="1"/>
  <c r="J4" i="1" s="1"/>
  <c r="C97" i="1"/>
  <c r="H4" i="1" s="1"/>
  <c r="D102" i="1"/>
  <c r="C102" i="1"/>
  <c r="K4" i="15" l="1"/>
  <c r="L4" i="15"/>
  <c r="H5" i="15"/>
  <c r="K5" i="15" s="1"/>
  <c r="J5" i="15"/>
  <c r="I5" i="15"/>
  <c r="H10" i="1"/>
  <c r="L14" i="1" s="1"/>
  <c r="C84" i="15"/>
  <c r="J10" i="1"/>
  <c r="L4" i="1"/>
  <c r="I10" i="1"/>
  <c r="K4" i="1"/>
  <c r="K7" i="1" s="1"/>
  <c r="H4" i="15" l="1"/>
  <c r="J9" i="15" s="1"/>
  <c r="K6" i="15"/>
  <c r="I9" i="15" l="1"/>
  <c r="H9" i="15"/>
  <c r="L13" i="15" s="1"/>
  <c r="K15" i="15"/>
  <c r="K16" i="15" s="1"/>
  <c r="K18" i="15" l="1"/>
  <c r="K17" i="15"/>
  <c r="K19" i="15" l="1"/>
  <c r="K16" i="1" l="1"/>
  <c r="K17" i="1" s="1"/>
  <c r="K18" i="1" s="1"/>
  <c r="K19" i="1" l="1"/>
  <c r="K20" i="1" s="1"/>
  <c r="K13" i="16"/>
  <c r="K15" i="16" s="1"/>
  <c r="K17" i="16" s="1"/>
  <c r="K18" i="16" l="1"/>
  <c r="K19" i="16"/>
  <c r="K20"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Teresa Kozoń-Konter</author>
  </authors>
  <commentList>
    <comment ref="C4" authorId="0" shapeId="0" xr:uid="{00000000-0006-0000-0100-000001000000}">
      <text>
        <r>
          <rPr>
            <sz val="9"/>
            <color indexed="81"/>
            <rFont val="Tahoma"/>
            <family val="2"/>
            <charset val="238"/>
          </rPr>
          <t>Proszę wypenić pole w formacie daty, tj.: RRRR-MM-DD, gdzie:
RRRR - rok
MM - miesiąc
DD - dzień</t>
        </r>
      </text>
    </comment>
    <comment ref="G4" authorId="0" shapeId="0" xr:uid="{00000000-0006-0000-0100-000002000000}">
      <text>
        <r>
          <rPr>
            <sz val="9"/>
            <color indexed="81"/>
            <rFont val="Tahoma"/>
            <family val="2"/>
            <charset val="238"/>
          </rPr>
          <t>Suma okresów służby i równorzędnych (TAB. A.) oraz okresów służby w SG liczonych w wymiarze półtorakrotnym (TAB. D.)</t>
        </r>
      </text>
    </comment>
    <comment ref="C5" authorId="0" shapeId="0" xr:uid="{00000000-0006-0000-0100-000003000000}">
      <text>
        <r>
          <rPr>
            <sz val="9"/>
            <color indexed="81"/>
            <rFont val="Tahoma"/>
            <family val="2"/>
            <charset val="238"/>
          </rPr>
          <t>Proszę wypenić pole w formacie daty, tj.: RRRR-MM-DD, gdzie:
RRRR - rok
MM - miesiąc
DD - dzień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Teresa Kozoń-Konter</author>
  </authors>
  <commentList>
    <comment ref="C4" authorId="0" shapeId="0" xr:uid="{00000000-0006-0000-0200-000001000000}">
      <text>
        <r>
          <rPr>
            <sz val="9"/>
            <color indexed="81"/>
            <rFont val="Tahoma"/>
            <family val="2"/>
            <charset val="238"/>
          </rPr>
          <t xml:space="preserve">Proszę wypenić pole w formacie daty, tj.: RRRR-MM-DD, gdzie:
RRRR - rok
MM - miesiąc
DD - dzień
</t>
        </r>
      </text>
    </comment>
    <comment ref="G4" authorId="0" shapeId="0" xr:uid="{00000000-0006-0000-0200-000002000000}">
      <text>
        <r>
          <rPr>
            <sz val="9"/>
            <color indexed="81"/>
            <rFont val="Tahoma"/>
            <family val="2"/>
            <charset val="238"/>
          </rPr>
          <t>Suma okresów służby i równorzędnych (TAB. A.) oraz okresów służby w SG 
liczonych w wymiarze półtorakrotnym (TAB. D.)</t>
        </r>
      </text>
    </comment>
    <comment ref="C5" authorId="0" shapeId="0" xr:uid="{00000000-0006-0000-0200-000003000000}">
      <text>
        <r>
          <rPr>
            <sz val="9"/>
            <color indexed="81"/>
            <rFont val="Tahoma"/>
            <family val="2"/>
            <charset val="238"/>
          </rPr>
          <t>Proszę wypenić pole w formacie daty, tj.: RRRR-MM-DD, gdzie:
RRRR - rok
MM - miesiąc
DD - dzień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Teresa Kozoń-Konter</author>
  </authors>
  <commentList>
    <comment ref="C4" authorId="0" shapeId="0" xr:uid="{00000000-0006-0000-0400-000001000000}">
      <text>
        <r>
          <rPr>
            <sz val="9"/>
            <color indexed="81"/>
            <rFont val="Tahoma"/>
            <family val="2"/>
            <charset val="238"/>
          </rPr>
          <t>Proszę wypenić pole w formacie daty, tj.: RRRR-MM-DD, gdzie:
RRRR - rok
MM - miesiąc
DD - dzień</t>
        </r>
      </text>
    </comment>
    <comment ref="C5" authorId="0" shapeId="0" xr:uid="{00000000-0006-0000-0400-000002000000}">
      <text>
        <r>
          <rPr>
            <sz val="9"/>
            <color indexed="81"/>
            <rFont val="Tahoma"/>
            <family val="2"/>
            <charset val="238"/>
          </rPr>
          <t xml:space="preserve">
Data pobierana jest z zakładki "Podstawa wymiaru 10 lat"</t>
        </r>
      </text>
    </comment>
    <comment ref="D5" authorId="0" shapeId="0" xr:uid="{00000000-0006-0000-0400-000003000000}">
      <text>
        <r>
          <rPr>
            <sz val="9"/>
            <color indexed="81"/>
            <rFont val="Tahoma"/>
            <family val="2"/>
            <charset val="238"/>
          </rPr>
          <t xml:space="preserve">Służba pobierana jest z zakładki "Podstawa wymiaru z 10 lat"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<sst xmlns="http://schemas.openxmlformats.org/spreadsheetml/2006/main" count="457" uniqueCount="196">
  <si>
    <t>Służba</t>
  </si>
  <si>
    <t xml:space="preserve">Policja </t>
  </si>
  <si>
    <t>ABW</t>
  </si>
  <si>
    <t>AW</t>
  </si>
  <si>
    <t>BOR</t>
  </si>
  <si>
    <t>CBA</t>
  </si>
  <si>
    <t>SG</t>
  </si>
  <si>
    <t>PSP</t>
  </si>
  <si>
    <t>Zawodowa służba wojskowa</t>
  </si>
  <si>
    <t>SKW</t>
  </si>
  <si>
    <t>SWW</t>
  </si>
  <si>
    <t>SCS</t>
  </si>
  <si>
    <t>SW</t>
  </si>
  <si>
    <t>SOP</t>
  </si>
  <si>
    <t>Data zwolnienia ze służby</t>
  </si>
  <si>
    <t>Data</t>
  </si>
  <si>
    <t xml:space="preserve">Lata </t>
  </si>
  <si>
    <t>Miesiące</t>
  </si>
  <si>
    <t>Dni</t>
  </si>
  <si>
    <t>SC</t>
  </si>
  <si>
    <t>Długość okresów składkowych przed służbą</t>
  </si>
  <si>
    <t>Długość okresów nieskładkowych przed służbą</t>
  </si>
  <si>
    <t>TAK</t>
  </si>
  <si>
    <t>NIE</t>
  </si>
  <si>
    <t>Procentowy  wskaźnik emerytury z tytułu wysługi (%)</t>
  </si>
  <si>
    <t>Lata</t>
  </si>
  <si>
    <t xml:space="preserve">% wymiar </t>
  </si>
  <si>
    <t>M-ce</t>
  </si>
  <si>
    <t>SUMA:</t>
  </si>
  <si>
    <t>Okresy służby i równorzędne ze służbą</t>
  </si>
  <si>
    <t>Data od</t>
  </si>
  <si>
    <t>Data do</t>
  </si>
  <si>
    <t>ARTYKUŁ</t>
  </si>
  <si>
    <t xml:space="preserve">Długość okresów służby i okresów równorzędnych ze służbą </t>
  </si>
  <si>
    <t>Długość okresów składkowych przed służbą po 1,3%</t>
  </si>
  <si>
    <t>składkowe</t>
  </si>
  <si>
    <t>nieskładkowe</t>
  </si>
  <si>
    <t>służba (1 x 1)</t>
  </si>
  <si>
    <t>służba SG( 1x 1,5)</t>
  </si>
  <si>
    <t>służba_ SG( 1x 1,5)</t>
  </si>
  <si>
    <t>służba_(1 x 1)</t>
  </si>
  <si>
    <t>NS</t>
  </si>
  <si>
    <t>SK</t>
  </si>
  <si>
    <t>SŁ</t>
  </si>
  <si>
    <t>SŁ2</t>
  </si>
  <si>
    <t>dzw</t>
  </si>
  <si>
    <t>UOP</t>
  </si>
  <si>
    <t>A. Okresy służby i równorzędne ze służbą (1 x 1)</t>
  </si>
  <si>
    <t>B. Okresy składkowe</t>
  </si>
  <si>
    <t>C. Okresy nieskładkowe</t>
  </si>
  <si>
    <t>Służba i równorzędne - do wysokości</t>
  </si>
  <si>
    <t>(Tab. A.)  SUMA [służba i równorzędne (1 x 1)]</t>
  </si>
  <si>
    <t>(TAB. D.) SUMA półtorakrotne (LATA x 1,5)</t>
  </si>
  <si>
    <t>(TAB. D.) SUMA [w wymiarze pojedynczym 
 (1 x 1)]</t>
  </si>
  <si>
    <t>Policja</t>
  </si>
  <si>
    <t>WPW</t>
  </si>
  <si>
    <t>BOR/SOP</t>
  </si>
  <si>
    <t>dzw 18e</t>
  </si>
  <si>
    <t>SM</t>
  </si>
  <si>
    <t>Wysokość emerytury - kwota do wypłaty</t>
  </si>
  <si>
    <t>Kwota emerytury  w wysokości "tzw. brutto"</t>
  </si>
  <si>
    <t>Wysokość emerytury  - kwota do wypłaty</t>
  </si>
  <si>
    <t>Kwota składki na ubezpieczenie zdrowotne (9%)</t>
  </si>
  <si>
    <t>Kwota zaliczki na podatek dochodowy</t>
  </si>
  <si>
    <t xml:space="preserve">
- Data wstąpienia po raz pierwszy do służby</t>
  </si>
  <si>
    <t>Ważne
Przedstawione powyżej obliczenia mają charakter poglądowy i nie mogą stanowić podstawy roszczeń wobec Zakładu Emerytalno-Rentowego Ministerstwa Spraw Wewnętrznych i Administracji</t>
  </si>
  <si>
    <t xml:space="preserve"> Służba i równorzędne do prawa w wymiarze 1 x 1</t>
  </si>
  <si>
    <t>ŁĄCZNIE (TAB. A.+TAB. D.) SŁUŻBA 
i RÓWNORZĘDNE - DO WYSOKOŚCI</t>
  </si>
  <si>
    <t>ŁĄCZNIE (TAB. A.+Tab.D. ) SŁUŻBA 
 i RÓWNORZĘDNE - DO PRAWA 
w wymiarze pojedynczym (1 x 1)</t>
  </si>
  <si>
    <t>ŁĄCZNIE (TAB. A. + Tab.D. ) SŁUŻBA 
 i RÓWNORZĘDNE - DO PRAWA 
w wymiarze pojedynczym (1 x 1)</t>
  </si>
  <si>
    <t>ŁĄCZNIE (TAB. A. + TAB. D.) SŁUŻBA 
i RÓWNORZĘDNE - DO WYSOKOŚCI</t>
  </si>
  <si>
    <t>art. 18e ustawy</t>
  </si>
  <si>
    <t>Łączna wysługa emerytalna</t>
  </si>
  <si>
    <r>
      <t>Podstawa wymiaru</t>
    </r>
    <r>
      <rPr>
        <b/>
        <vertAlign val="superscript"/>
        <sz val="10"/>
        <color theme="1"/>
        <rFont val="Calibri"/>
        <family val="2"/>
        <charset val="238"/>
        <scheme val="minor"/>
      </rPr>
      <t xml:space="preserve">*) </t>
    </r>
    <r>
      <rPr>
        <b/>
        <sz val="10"/>
        <color theme="1"/>
        <rFont val="Calibri"/>
        <family val="2"/>
        <charset val="238"/>
        <scheme val="minor"/>
      </rPr>
      <t>- średnie uposażenie z kolejnych 10 lat służby</t>
    </r>
  </si>
  <si>
    <t>dzw 15 15aa</t>
  </si>
  <si>
    <t>art. 15 albo art. 15a</t>
  </si>
  <si>
    <t>Podstawa wymiaru emerytury (ze świadczeniem za długoletnią służbę, jeżeli lata wysługi emerytalnej &gt; 32)</t>
  </si>
  <si>
    <r>
      <t>Uposażenie z miesiąca zwolnienia  ze służby</t>
    </r>
    <r>
      <rPr>
        <b/>
        <vertAlign val="superscript"/>
        <sz val="10"/>
        <color theme="1"/>
        <rFont val="Calibri"/>
        <family val="2"/>
        <charset val="238"/>
        <scheme val="minor"/>
      </rPr>
      <t>*)</t>
    </r>
    <r>
      <rPr>
        <b/>
        <sz val="10"/>
        <color theme="1"/>
        <rFont val="Calibri"/>
        <family val="2"/>
        <charset val="238"/>
        <scheme val="minor"/>
      </rPr>
      <t xml:space="preserve"> (podstawa wymiaru emerytury bez świadczenia za długoletnią służbę</t>
    </r>
    <r>
      <rPr>
        <b/>
        <vertAlign val="superscript"/>
        <sz val="10"/>
        <color theme="1"/>
        <rFont val="Calibri"/>
        <family val="2"/>
        <charset val="238"/>
        <scheme val="minor"/>
      </rPr>
      <t>**)</t>
    </r>
    <r>
      <rPr>
        <b/>
        <sz val="10"/>
        <color theme="1"/>
        <rFont val="Calibri"/>
        <family val="2"/>
        <charset val="238"/>
        <scheme val="minor"/>
      </rPr>
      <t xml:space="preserve">) </t>
    </r>
  </si>
  <si>
    <r>
      <t>Miesięczna wysokość pobieranego świadczenia za długoletnią służbę</t>
    </r>
    <r>
      <rPr>
        <b/>
        <vertAlign val="superscript"/>
        <sz val="11"/>
        <color theme="1"/>
        <rFont val="Calibri"/>
        <family val="2"/>
        <charset val="238"/>
        <scheme val="minor"/>
      </rPr>
      <t>**)</t>
    </r>
  </si>
  <si>
    <t xml:space="preserve">Data </t>
  </si>
  <si>
    <r>
      <rPr>
        <b/>
        <vertAlign val="superscript"/>
        <sz val="10"/>
        <rFont val="Calibri"/>
        <family val="2"/>
        <charset val="238"/>
        <scheme val="minor"/>
      </rPr>
      <t xml:space="preserve">*) </t>
    </r>
    <r>
      <rPr>
        <b/>
        <sz val="10"/>
        <rFont val="Calibri"/>
        <family val="2"/>
        <charset val="238"/>
        <scheme val="minor"/>
      </rPr>
      <t xml:space="preserve">  Do uposażenia (podstawy wymiaru) zalicza się uposażenie zasadnicze wraz z dodatkami o charaktrze stałym i 1/12 nagrody rocznej. 
</t>
    </r>
    <r>
      <rPr>
        <b/>
        <vertAlign val="superscript"/>
        <sz val="10"/>
        <rFont val="Calibri"/>
        <family val="2"/>
        <charset val="238"/>
        <scheme val="minor"/>
      </rPr>
      <t xml:space="preserve">**) </t>
    </r>
    <r>
      <rPr>
        <b/>
        <sz val="10"/>
        <rFont val="Calibri"/>
        <family val="2"/>
        <charset val="238"/>
        <scheme val="minor"/>
      </rPr>
      <t xml:space="preserve"> Jeżeli funkcjonariusz na dzień zwolnienia ze służby posiada </t>
    </r>
    <r>
      <rPr>
        <b/>
        <sz val="10"/>
        <color rgb="FFC00000"/>
        <rFont val="Calibri"/>
        <family val="2"/>
        <charset val="238"/>
        <scheme val="minor"/>
      </rPr>
      <t xml:space="preserve">co najmniej 32 lata wysługi emerytalnej  (wartość w komórce H10&gt;=32), </t>
    </r>
    <r>
      <rPr>
        <b/>
        <sz val="10"/>
        <rFont val="Calibri"/>
        <family val="2"/>
        <charset val="238"/>
        <scheme val="minor"/>
      </rPr>
      <t xml:space="preserve">
to</t>
    </r>
    <r>
      <rPr>
        <b/>
        <sz val="10"/>
        <color rgb="FFC00000"/>
        <rFont val="Calibri"/>
        <family val="2"/>
        <charset val="238"/>
        <scheme val="minor"/>
      </rPr>
      <t xml:space="preserve"> do komóki K14 </t>
    </r>
    <r>
      <rPr>
        <b/>
        <sz val="10"/>
        <rFont val="Calibri"/>
        <family val="2"/>
        <charset val="238"/>
        <scheme val="minor"/>
      </rPr>
      <t>proszę wprowadzić miesięczną kwotę pobieranego świadczenia za długoletnią służbę. Wprowadzona kwota świadczenia za długoletnią służbę zostanie doliczona do podstawy wymiaru emerytury.</t>
    </r>
  </si>
  <si>
    <r>
      <rPr>
        <b/>
        <vertAlign val="superscript"/>
        <sz val="10"/>
        <rFont val="Calibri"/>
        <family val="2"/>
        <charset val="238"/>
        <scheme val="minor"/>
      </rPr>
      <t xml:space="preserve">*) </t>
    </r>
    <r>
      <rPr>
        <b/>
        <sz val="10"/>
        <rFont val="Calibri"/>
        <family val="2"/>
        <charset val="238"/>
        <scheme val="minor"/>
      </rPr>
      <t xml:space="preserve">  Do uposażenia (podstawy wymiaru) zalicza się uposażenie zasadnicze wraz z dodatkami o charaktrze stałym i 1/12 nagrody rocznej. 
</t>
    </r>
    <r>
      <rPr>
        <b/>
        <vertAlign val="superscript"/>
        <sz val="10"/>
        <rFont val="Calibri"/>
        <family val="2"/>
        <charset val="238"/>
        <scheme val="minor"/>
      </rPr>
      <t xml:space="preserve">**) </t>
    </r>
    <r>
      <rPr>
        <b/>
        <sz val="10"/>
        <rFont val="Calibri"/>
        <family val="2"/>
        <charset val="238"/>
        <scheme val="minor"/>
      </rPr>
      <t xml:space="preserve"> Jeżeli funkcjonariusz na dzień zwolnienia ze służby posiada</t>
    </r>
    <r>
      <rPr>
        <b/>
        <sz val="10"/>
        <color rgb="FFC00000"/>
        <rFont val="Calibri"/>
        <family val="2"/>
        <charset val="238"/>
        <scheme val="minor"/>
      </rPr>
      <t xml:space="preserve"> co najmniej 32 lata wysługi emerytalnej  (wartość w komórce H9&gt;=32), </t>
    </r>
    <r>
      <rPr>
        <b/>
        <sz val="10"/>
        <rFont val="Calibri"/>
        <family val="2"/>
        <charset val="238"/>
        <scheme val="minor"/>
      </rPr>
      <t xml:space="preserve">
to</t>
    </r>
    <r>
      <rPr>
        <b/>
        <sz val="10"/>
        <color rgb="FFC00000"/>
        <rFont val="Calibri"/>
        <family val="2"/>
        <charset val="238"/>
        <scheme val="minor"/>
      </rPr>
      <t xml:space="preserve"> do komóki K13 </t>
    </r>
    <r>
      <rPr>
        <b/>
        <sz val="10"/>
        <rFont val="Calibri"/>
        <family val="2"/>
        <charset val="238"/>
        <scheme val="minor"/>
      </rPr>
      <t>proszę wprowadzić miesięczną kwotę pobieranego świadczenia za długoletnią służbę. Wprowadzona kwota świadczenia za długoletnią służbę zostanie doliczona do podstawy wymiaru emerytury.</t>
    </r>
  </si>
  <si>
    <r>
      <t xml:space="preserve">Data wstąpienia po raz pierwszy do służby (zawodowej)   </t>
    </r>
    <r>
      <rPr>
        <b/>
        <u/>
        <sz val="10"/>
        <color rgb="FFC00000"/>
        <rFont val="Calibri"/>
        <family val="2"/>
        <charset val="238"/>
        <scheme val="minor"/>
      </rPr>
      <t>pole C4 obowiązkowe!</t>
    </r>
  </si>
  <si>
    <t>Przyjęci do służby po raz pierwszy po 31.12.2012 r. - art. 18e ustawy</t>
  </si>
  <si>
    <t>Przyjęci do służby po raz pierwszy po 1.01.1999 r. i przed 1.10.2003 r. - art. 15aa ustawy</t>
  </si>
  <si>
    <t>Łączny % wymiar wysługi emerytalnej&lt;=75%</t>
  </si>
  <si>
    <t>Rodzaje wysługi emerytalnej (bez podwyższenia z art. 15 ust. 2-3b)</t>
  </si>
  <si>
    <t xml:space="preserve">Rodzaje wysługi emerytalnej (bez podwyższenia z art. 15 ust. 2-3b) </t>
  </si>
  <si>
    <t>art. 15aa (wymagane 25 lat służby liczonej 
z okresami równorzędnymi ze służbą)</t>
  </si>
  <si>
    <t>Wypełniamy poniższe pola jasne - w formacie daty, tj.:
  RRRR-MM-DD (rok-miesiąc-dzień)</t>
  </si>
  <si>
    <r>
      <t xml:space="preserve">D. Okresy służby w SG półtorakrotne (1 rok  x 1,5 roku) 
</t>
    </r>
    <r>
      <rPr>
        <b/>
        <sz val="11"/>
        <color rgb="FFC00000"/>
        <rFont val="Calibri"/>
        <family val="2"/>
        <charset val="238"/>
        <scheme val="minor"/>
      </rPr>
      <t>spełniajace warunek "Data do" &lt;= 2012-12-31</t>
    </r>
  </si>
  <si>
    <r>
      <t xml:space="preserve">D. Okresy służby w SG półtorakrotne (1 rok x  1,5 roku) 
</t>
    </r>
    <r>
      <rPr>
        <b/>
        <sz val="11"/>
        <color rgb="FFC00000"/>
        <rFont val="Calibri"/>
        <family val="2"/>
        <charset val="238"/>
        <scheme val="minor"/>
      </rPr>
      <t>spełniajace warunek "Data do" &lt;= 2012-12-31</t>
    </r>
  </si>
  <si>
    <t>Przyjęci do służby po raz pierwszy przed 01.01.2013 r. -  art. 15 albo art. 15a ustawy</t>
  </si>
  <si>
    <t>Obowiązkowo wypełniamy poniższe pola jasne, w szczególności pole C4:
 "Data wstąpienia po raz pierwszy do służby" w formacie: RRRR-MM-DD</t>
  </si>
  <si>
    <t>SUMA w wymiarze pojedynczym (1:1)</t>
  </si>
  <si>
    <t>SUMA pótorakrotne (LATA x 1,5)</t>
  </si>
  <si>
    <t>do 28.06.2002</t>
  </si>
  <si>
    <t>od 01.02.2018</t>
  </si>
  <si>
    <t>do 31.01.2018</t>
  </si>
  <si>
    <t>od 29.06.2002</t>
  </si>
  <si>
    <t>do 2.08.2006</t>
  </si>
  <si>
    <t>ABW, AW</t>
  </si>
  <si>
    <t>TABELA C.</t>
  </si>
  <si>
    <t>Przeciętna miesięczna</t>
  </si>
  <si>
    <t>ROK</t>
  </si>
  <si>
    <t>Przeciętne roczne uposażenie 
Policja</t>
  </si>
  <si>
    <t>Przeciętne roczne uposażenie 
PSP</t>
  </si>
  <si>
    <t>Przeciętne roczne uposażenie 
SG</t>
  </si>
  <si>
    <t>Przeciętne roczne uposażenie 
SOP</t>
  </si>
  <si>
    <t>Przeciętne roczne uposażenie 
BOR</t>
  </si>
  <si>
    <t>Przeciętne roczne uposażenie 
wojsko</t>
  </si>
  <si>
    <t>Przeciętne roczne uposażenie 
w Służbie Więziennej</t>
  </si>
  <si>
    <t>W TABELI A. Wypełniamy pola jasne: rodzaj służby (Kolumna 2), 
roczne uposażenie funkcjonariusza (Kolumna 3)</t>
  </si>
  <si>
    <t xml:space="preserve">TABELA A. Obliczanie wskaźnika wysokości podstawy wymiaru z 10 kolejnych najkorzystniejszych 
lat dla funkcjonariusza </t>
  </si>
  <si>
    <t>Wskaźnik okresu</t>
  </si>
  <si>
    <t>s</t>
  </si>
  <si>
    <t>g14=f31</t>
  </si>
  <si>
    <t>$f$31</t>
  </si>
  <si>
    <t>f5</t>
  </si>
  <si>
    <t>f14</t>
  </si>
  <si>
    <t>g15</t>
  </si>
  <si>
    <t>f6</t>
  </si>
  <si>
    <t>f15</t>
  </si>
  <si>
    <t>g16</t>
  </si>
  <si>
    <t>f7</t>
  </si>
  <si>
    <t>f16</t>
  </si>
  <si>
    <t>g17</t>
  </si>
  <si>
    <t>f8</t>
  </si>
  <si>
    <t>f17</t>
  </si>
  <si>
    <t>g18</t>
  </si>
  <si>
    <t>f9</t>
  </si>
  <si>
    <t>f18</t>
  </si>
  <si>
    <t>g19</t>
  </si>
  <si>
    <t>f10</t>
  </si>
  <si>
    <t>f19</t>
  </si>
  <si>
    <t>g20</t>
  </si>
  <si>
    <t>f11</t>
  </si>
  <si>
    <t>f20</t>
  </si>
  <si>
    <t>zmiana</t>
  </si>
  <si>
    <t>g21</t>
  </si>
  <si>
    <t>f12</t>
  </si>
  <si>
    <t>f21</t>
  </si>
  <si>
    <t>g22</t>
  </si>
  <si>
    <t>f13</t>
  </si>
  <si>
    <t>f22</t>
  </si>
  <si>
    <t>g23</t>
  </si>
  <si>
    <t>f23</t>
  </si>
  <si>
    <t>ok</t>
  </si>
  <si>
    <t>g24</t>
  </si>
  <si>
    <t>f24</t>
  </si>
  <si>
    <t>g25</t>
  </si>
  <si>
    <t>f25</t>
  </si>
  <si>
    <t>g26</t>
  </si>
  <si>
    <t>f26</t>
  </si>
  <si>
    <t>g27</t>
  </si>
  <si>
    <t>f27</t>
  </si>
  <si>
    <t>g28</t>
  </si>
  <si>
    <t>f28</t>
  </si>
  <si>
    <t>g29</t>
  </si>
  <si>
    <t>f29</t>
  </si>
  <si>
    <t>g30</t>
  </si>
  <si>
    <t>f30</t>
  </si>
  <si>
    <t xml:space="preserve">Suma 10 kolejnych najkorzystniejszych wskaźników </t>
  </si>
  <si>
    <t>Wskaźnik wysokości podstawy wymiaru WWPW (obliczony automatycznie)</t>
  </si>
  <si>
    <t>W kolumnie F zaznaczonych zostało 10 najkorzystniejszych wskaźników z kolejnych 10 lat</t>
  </si>
  <si>
    <r>
      <t>Wskaźnik wysokości podstawy wymiaru WWPW</t>
    </r>
    <r>
      <rPr>
        <b/>
        <i/>
        <sz val="11"/>
        <rFont val="Calibri"/>
        <family val="2"/>
        <charset val="238"/>
        <scheme val="minor"/>
      </rPr>
      <t xml:space="preserve"> </t>
    </r>
    <r>
      <rPr>
        <b/>
        <sz val="11"/>
        <rFont val="Calibri"/>
        <family val="2"/>
        <charset val="238"/>
        <scheme val="minor"/>
      </rPr>
      <t>(obliczony samodzielnie)</t>
    </r>
  </si>
  <si>
    <t>Wskaźnik wysokości podstawy wymiaru WWPW przyjęty do ustalenia podstawy wymiaru emerytury</t>
  </si>
  <si>
    <t>W TABELI B. wypełniamy pole jasne, tj. datę zwolnienia ze służby oraz rodzaj służby z dnia zwolnienia.
Kwota miesięcznego uposażenia z dnia zwolnienia ze służby wypełniana jest automatycznie.</t>
  </si>
  <si>
    <t>TABELA B.</t>
  </si>
  <si>
    <r>
      <rPr>
        <b/>
        <sz val="10"/>
        <rFont val="Calibri"/>
        <family val="2"/>
        <charset val="238"/>
        <scheme val="minor"/>
      </rPr>
      <t>Data zwolnienia
 ze służby &gt;=2025-01-01</t>
    </r>
    <r>
      <rPr>
        <b/>
        <vertAlign val="superscript"/>
        <sz val="10"/>
        <color rgb="FFC00000"/>
        <rFont val="Calibri"/>
        <family val="2"/>
        <charset val="238"/>
        <scheme val="minor"/>
      </rPr>
      <t xml:space="preserve">
</t>
    </r>
    <r>
      <rPr>
        <b/>
        <sz val="10"/>
        <color rgb="FFC00000"/>
        <rFont val="Calibri"/>
        <family val="2"/>
        <charset val="238"/>
        <scheme val="minor"/>
      </rPr>
      <t xml:space="preserve">Proszę wprowadzić </t>
    </r>
    <r>
      <rPr>
        <b/>
        <i/>
        <sz val="10"/>
        <color rgb="FFC00000"/>
        <rFont val="Calibri"/>
        <family val="2"/>
        <charset val="238"/>
        <scheme val="minor"/>
      </rPr>
      <t>w formacie daty</t>
    </r>
    <r>
      <rPr>
        <b/>
        <sz val="10"/>
        <color rgb="FFC00000"/>
        <rFont val="Calibri"/>
        <family val="2"/>
        <charset val="238"/>
        <scheme val="minor"/>
      </rPr>
      <t>,</t>
    </r>
    <r>
      <rPr>
        <b/>
        <i/>
        <sz val="10"/>
        <color rgb="FFC00000"/>
        <rFont val="Calibri"/>
        <family val="2"/>
        <charset val="238"/>
        <scheme val="minor"/>
      </rPr>
      <t xml:space="preserve"> 
tj. RRRR-MM-DD</t>
    </r>
  </si>
  <si>
    <t xml:space="preserve">Kwota przeciętnego miesięcznego  uposażenia w danej służbie
z dnia zwolnienia
</t>
  </si>
  <si>
    <t xml:space="preserve">WWPW przyjęty do ustalenia do podstawy wymiaru emerytury </t>
  </si>
  <si>
    <r>
      <t xml:space="preserve">Podstawa wymiaru emerytury z 10 kolejnych lat 
</t>
    </r>
    <r>
      <rPr>
        <sz val="10"/>
        <color theme="1"/>
        <rFont val="Calibri"/>
        <family val="2"/>
        <charset val="238"/>
        <scheme val="minor"/>
      </rPr>
      <t>(bez zwiększenia z tytułu świadczenia za długoletnią służbę</t>
    </r>
    <r>
      <rPr>
        <vertAlign val="superscript"/>
        <sz val="10"/>
        <color theme="1"/>
        <rFont val="Calibri"/>
        <family val="2"/>
        <charset val="238"/>
        <scheme val="minor"/>
      </rPr>
      <t>**)</t>
    </r>
    <r>
      <rPr>
        <sz val="10"/>
        <color theme="1"/>
        <rFont val="Calibri"/>
        <family val="2"/>
        <charset val="238"/>
        <scheme val="minor"/>
      </rPr>
      <t>) - art. 18f ust. 3 pkt 4</t>
    </r>
  </si>
  <si>
    <t>albo przyjęci przed tą datą, którzy dokonali wyboru emerytury na podstawie  - art. 18h ustawy</t>
  </si>
  <si>
    <t>Obowiązkowo wypełniamy poniższe pola jasne, tj. komórkę C4 i D4:
 "Data wstąpienia po raz pierwszy do służby" w formacie daty: RRRR-MM-DD</t>
  </si>
  <si>
    <t>Obowiązkowo wypełniamy zakładkę "Podstawa wymiaru 10 lat"</t>
  </si>
  <si>
    <r>
      <rPr>
        <b/>
        <vertAlign val="superscript"/>
        <sz val="11"/>
        <rFont val="Calibri"/>
        <family val="2"/>
        <charset val="238"/>
        <scheme val="minor"/>
      </rPr>
      <t xml:space="preserve">*) </t>
    </r>
    <r>
      <rPr>
        <b/>
        <sz val="11"/>
        <rFont val="Calibri"/>
        <family val="2"/>
        <charset val="238"/>
        <scheme val="minor"/>
      </rPr>
      <t xml:space="preserve">Podstawa wymiaru - średnie uposażenie z 10 lat służby - bez doliczonego świadczenia za długoletnią służbę. 
</t>
    </r>
    <r>
      <rPr>
        <b/>
        <vertAlign val="superscript"/>
        <sz val="11"/>
        <rFont val="Calibri"/>
        <family val="2"/>
        <charset val="238"/>
        <scheme val="minor"/>
      </rPr>
      <t>**)</t>
    </r>
    <r>
      <rPr>
        <b/>
        <sz val="11"/>
        <rFont val="Calibri"/>
        <family val="2"/>
        <charset val="238"/>
        <scheme val="minor"/>
      </rPr>
      <t xml:space="preserve"> Jeżeli funkcjonariusz na dzień zwolnienia ze służby posiada</t>
    </r>
    <r>
      <rPr>
        <b/>
        <sz val="11"/>
        <color rgb="FFC00000"/>
        <rFont val="Calibri"/>
        <family val="2"/>
        <charset val="238"/>
        <scheme val="minor"/>
      </rPr>
      <t xml:space="preserve"> co najmniej 32 lata wysługi emerytalnej  (wartość w komórce H9&gt;=32),</t>
    </r>
    <r>
      <rPr>
        <b/>
        <sz val="11"/>
        <rFont val="Calibri"/>
        <family val="2"/>
        <charset val="238"/>
        <scheme val="minor"/>
      </rPr>
      <t xml:space="preserve"> to</t>
    </r>
    <r>
      <rPr>
        <b/>
        <sz val="11"/>
        <color rgb="FFC00000"/>
        <rFont val="Calibri"/>
        <family val="2"/>
        <charset val="238"/>
        <scheme val="minor"/>
      </rPr>
      <t xml:space="preserve"> do komóki K14</t>
    </r>
    <r>
      <rPr>
        <b/>
        <sz val="11"/>
        <rFont val="Calibri"/>
        <family val="2"/>
        <charset val="238"/>
        <scheme val="minor"/>
      </rPr>
      <t xml:space="preserve"> proszę wprowadzić miesięczną kwotę pobieranego świadczenia za długoletnią służbę. Wprowadzona kwota świadczenia za długoletnią służbę zostanie doliczona do podstawy wymiaru emerytury.</t>
    </r>
  </si>
  <si>
    <t xml:space="preserve"> Jeżeli do komórki F35 wprowadzono wskaźnik WWPW obliczony samodzielnie, tj. F35&gt;0%, 
to do obliczenia podstawy wymiaru przyjęty zostanie wskaźnik z tej komórki. Jeżeli F35=0%, 
to do podstawy wymiaru przyjęty zostanie wskaźnik WWPW obliczony automatycznie 
w komórce F32</t>
  </si>
  <si>
    <t xml:space="preserve">WWPW wskaźnik przyjęty do ustalenia podstawy wymiaru emerytury </t>
  </si>
  <si>
    <t>SOP/BOR</t>
  </si>
  <si>
    <t>Przeciętne roczne uposażenie 
SOP/BOR</t>
  </si>
  <si>
    <t>ABW/UOP</t>
  </si>
  <si>
    <t>AW/UOP</t>
  </si>
  <si>
    <t>WAŻNE</t>
  </si>
  <si>
    <t>Dane z tej zakładki, tj. z komórki A48 - "Data zwolnienia ze służby", z komórki - B48 "Służba",
 z komórki F48  - "WWPW wskaźnik przyjęty do ustalenia podstawy wymiaru emerytury" oraz 
z komórki F49 - "Podstawa wymiaru emerytury z 10 kolejnych lat" przenoszne są automatyczne
 do zakładki "art. 18e albo 18h"</t>
  </si>
  <si>
    <r>
      <t xml:space="preserve">SŁUŻBA
</t>
    </r>
    <r>
      <rPr>
        <b/>
        <i/>
        <sz val="10"/>
        <color rgb="FFC00000"/>
        <rFont val="Calibri"/>
        <family val="2"/>
        <charset val="238"/>
        <scheme val="minor"/>
      </rPr>
      <t>(proszę wybrać służbę z dnia zwolnienia)</t>
    </r>
  </si>
  <si>
    <r>
      <rPr>
        <b/>
        <sz val="10"/>
        <color rgb="FFC00000"/>
        <rFont val="Calibri"/>
        <family val="2"/>
        <charset val="238"/>
        <scheme val="minor"/>
      </rPr>
      <t xml:space="preserve"> SŁUŻBA</t>
    </r>
    <r>
      <rPr>
        <b/>
        <sz val="10"/>
        <color theme="1"/>
        <rFont val="Calibri"/>
        <family val="2"/>
        <charset val="238"/>
        <scheme val="minor"/>
      </rPr>
      <t xml:space="preserve">
</t>
    </r>
    <r>
      <rPr>
        <b/>
        <i/>
        <sz val="9"/>
        <color rgb="FFC00000"/>
        <rFont val="Calibri"/>
        <family val="2"/>
        <charset val="238"/>
        <scheme val="minor"/>
      </rPr>
      <t>(proszę wybrać służbę dla każdego roku)</t>
    </r>
  </si>
  <si>
    <r>
      <rPr>
        <b/>
        <sz val="10"/>
        <color rgb="FFC00000"/>
        <rFont val="Calibri"/>
        <family val="2"/>
        <charset val="238"/>
        <scheme val="minor"/>
      </rPr>
      <t xml:space="preserve">ROCZNE -  uposażenie należne funkcjonariuszowi </t>
    </r>
    <r>
      <rPr>
        <b/>
        <sz val="9"/>
        <color theme="1"/>
        <rFont val="Calibri"/>
        <family val="2"/>
        <charset val="238"/>
        <scheme val="minor"/>
      </rPr>
      <t xml:space="preserve">
 </t>
    </r>
    <r>
      <rPr>
        <i/>
        <sz val="9"/>
        <color theme="1"/>
        <rFont val="Calibri"/>
        <family val="2"/>
        <charset val="238"/>
        <scheme val="minor"/>
      </rPr>
      <t>(roczna  suma uposażenia zasadniczego wraz z dodatkami o charakterze stałym i nagrodą roczną)</t>
    </r>
  </si>
  <si>
    <r>
      <t xml:space="preserve">Przeciętne roczne uposażenie w  danej służbie 
</t>
    </r>
    <r>
      <rPr>
        <b/>
        <sz val="9"/>
        <color theme="8" tint="-0.499984740745262"/>
        <rFont val="Calibri"/>
        <family val="2"/>
        <charset val="238"/>
        <scheme val="minor"/>
      </rPr>
      <t>(wypełniane automatycznie)</t>
    </r>
    <r>
      <rPr>
        <b/>
        <sz val="9"/>
        <color rgb="FF002060"/>
        <rFont val="Calibri"/>
        <family val="2"/>
        <charset val="238"/>
        <scheme val="minor"/>
      </rPr>
      <t xml:space="preserve">
</t>
    </r>
  </si>
  <si>
    <r>
      <t>Wskaźnik roczny</t>
    </r>
    <r>
      <rPr>
        <b/>
        <sz val="9"/>
        <color theme="8" tint="-0.499984740745262"/>
        <rFont val="Calibri"/>
        <family val="2"/>
        <charset val="238"/>
        <scheme val="minor"/>
      </rPr>
      <t xml:space="preserve"> (obliczany automatycznie)</t>
    </r>
  </si>
  <si>
    <t>WP (wojsko)</t>
  </si>
  <si>
    <t>**)  Do podstawy wymiaru emerytury dolicza się miesięczną wysokość pobieranego świadczenia za długoletnią służbę, jeżeli funkcjonariusz na dzień zwolnienia ze służby posiada co najmniej 32 lata wysługi emerytalnej. 
Kwotę świadczenia za długoletnią służbę proszę wprowadzić odpowiednio do zakładki "art. 18e albo 18h".</t>
  </si>
  <si>
    <t>ABW=UOP</t>
  </si>
  <si>
    <t>od 2.08.2006</t>
  </si>
  <si>
    <t>od 1.04.2001</t>
  </si>
  <si>
    <t>Długość okresów służby i okresów równorzędnych ze służbą (do wysokości)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</si>
</sst>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0.00\ &quot;zł&quot;"/>
    <numFmt numFmtId="166" formatCode="yyyy\-mm\-dd;@"/>
  </numFmts>
  <fonts count="64" x14ac:knownFonts="1">
    <font>
      <sz val="11"/>
      <color theme="1"/>
      <name val="Calibri"/>
      <family val="2"/>
      <charset val="238"/>
      <scheme val="minor"/>
    </font>
    <font>
      <b/>
      <sz val="11"/>
      <color theme="1"/>
      <name val="Calibri"/>
      <family val="2"/>
      <charset val="238"/>
      <scheme val="minor"/>
    </font>
    <font>
      <sz val="10"/>
      <color theme="1"/>
      <name val="Calibri"/>
      <family val="2"/>
      <charset val="238"/>
      <scheme val="minor"/>
    </font>
    <font>
      <b/>
      <sz val="10"/>
      <color theme="1"/>
      <name val="Calibri"/>
      <family val="2"/>
      <charset val="238"/>
      <scheme val="minor"/>
    </font>
    <font>
      <i/>
      <sz val="11"/>
      <color theme="1"/>
      <name val="Calibri"/>
      <family val="2"/>
      <charset val="238"/>
      <scheme val="minor"/>
    </font>
    <font>
      <b/>
      <sz val="10"/>
      <color rgb="FFC00000"/>
      <name val="Calibri"/>
      <family val="2"/>
      <charset val="238"/>
      <scheme val="minor"/>
    </font>
    <font>
      <b/>
      <sz val="11"/>
      <color rgb="FFC00000"/>
      <name val="Calibri"/>
      <family val="2"/>
      <charset val="238"/>
      <scheme val="minor"/>
    </font>
    <font>
      <i/>
      <sz val="10"/>
      <color theme="1"/>
      <name val="Calibri"/>
      <family val="2"/>
      <charset val="238"/>
      <scheme val="minor"/>
    </font>
    <font>
      <b/>
      <i/>
      <sz val="10"/>
      <color theme="1"/>
      <name val="Calibri"/>
      <family val="2"/>
      <charset val="238"/>
      <scheme val="minor"/>
    </font>
    <font>
      <b/>
      <i/>
      <sz val="11"/>
      <color rgb="FFC00000"/>
      <name val="Calibri"/>
      <family val="2"/>
      <charset val="238"/>
      <scheme val="minor"/>
    </font>
    <font>
      <sz val="11"/>
      <color theme="1"/>
      <name val="Calibri"/>
      <family val="2"/>
      <charset val="238"/>
      <scheme val="minor"/>
    </font>
    <font>
      <sz val="11"/>
      <name val="Calibri"/>
      <family val="2"/>
      <charset val="238"/>
      <scheme val="minor"/>
    </font>
    <font>
      <b/>
      <sz val="11"/>
      <color rgb="FF002060"/>
      <name val="Calibri"/>
      <family val="2"/>
      <charset val="238"/>
      <scheme val="minor"/>
    </font>
    <font>
      <b/>
      <sz val="12"/>
      <color theme="1"/>
      <name val="Calibri"/>
      <family val="2"/>
      <charset val="238"/>
      <scheme val="minor"/>
    </font>
    <font>
      <b/>
      <sz val="10"/>
      <color rgb="FF002060"/>
      <name val="Calibri"/>
      <family val="2"/>
      <charset val="238"/>
      <scheme val="minor"/>
    </font>
    <font>
      <b/>
      <vertAlign val="superscript"/>
      <sz val="10"/>
      <color theme="1"/>
      <name val="Calibri"/>
      <family val="2"/>
      <charset val="238"/>
      <scheme val="minor"/>
    </font>
    <font>
      <sz val="9"/>
      <color indexed="81"/>
      <name val="Tahoma"/>
      <family val="2"/>
      <charset val="238"/>
    </font>
    <font>
      <i/>
      <sz val="10"/>
      <name val="Calibri"/>
      <family val="2"/>
      <charset val="238"/>
      <scheme val="minor"/>
    </font>
    <font>
      <b/>
      <i/>
      <sz val="11"/>
      <color theme="1"/>
      <name val="Calibri"/>
      <family val="2"/>
      <charset val="238"/>
      <scheme val="minor"/>
    </font>
    <font>
      <b/>
      <sz val="11"/>
      <color rgb="FFFF0000"/>
      <name val="Calibri"/>
      <family val="2"/>
      <charset val="238"/>
      <scheme val="minor"/>
    </font>
    <font>
      <b/>
      <sz val="11"/>
      <name val="Calibri"/>
      <family val="2"/>
      <charset val="238"/>
      <scheme val="minor"/>
    </font>
    <font>
      <b/>
      <sz val="12"/>
      <color rgb="FF002060"/>
      <name val="Calibri"/>
      <family val="2"/>
      <charset val="238"/>
      <scheme val="minor"/>
    </font>
    <font>
      <b/>
      <sz val="11"/>
      <color theme="0"/>
      <name val="Calibri"/>
      <family val="2"/>
      <charset val="238"/>
      <scheme val="minor"/>
    </font>
    <font>
      <b/>
      <sz val="12"/>
      <color rgb="FFC00000"/>
      <name val="Calibri"/>
      <family val="2"/>
      <charset val="238"/>
      <scheme val="minor"/>
    </font>
    <font>
      <b/>
      <vertAlign val="superscript"/>
      <sz val="11"/>
      <name val="Calibri"/>
      <family val="2"/>
      <charset val="238"/>
      <scheme val="minor"/>
    </font>
    <font>
      <sz val="10"/>
      <color theme="0"/>
      <name val="Calibri"/>
      <family val="2"/>
      <charset val="238"/>
      <scheme val="minor"/>
    </font>
    <font>
      <b/>
      <sz val="10"/>
      <name val="Calibri"/>
      <family val="2"/>
      <charset val="238"/>
      <scheme val="minor"/>
    </font>
    <font>
      <b/>
      <vertAlign val="superscript"/>
      <sz val="11"/>
      <color theme="1"/>
      <name val="Calibri"/>
      <family val="2"/>
      <charset val="238"/>
      <scheme val="minor"/>
    </font>
    <font>
      <b/>
      <sz val="11.5"/>
      <color theme="1"/>
      <name val="Calibri"/>
      <family val="2"/>
      <charset val="238"/>
      <scheme val="minor"/>
    </font>
    <font>
      <b/>
      <vertAlign val="superscript"/>
      <sz val="10"/>
      <name val="Calibri"/>
      <family val="2"/>
      <charset val="238"/>
      <scheme val="minor"/>
    </font>
    <font>
      <sz val="11"/>
      <color theme="0"/>
      <name val="Calibri"/>
      <family val="2"/>
      <charset val="238"/>
      <scheme val="minor"/>
    </font>
    <font>
      <b/>
      <u/>
      <sz val="10"/>
      <color rgb="FFC00000"/>
      <name val="Calibri"/>
      <family val="2"/>
      <charset val="238"/>
      <scheme val="minor"/>
    </font>
    <font>
      <b/>
      <sz val="13"/>
      <color rgb="FF000000"/>
      <name val="Calibri"/>
      <family val="2"/>
      <charset val="238"/>
      <scheme val="minor"/>
    </font>
    <font>
      <b/>
      <i/>
      <sz val="12"/>
      <color rgb="FFC00000"/>
      <name val="Calibri"/>
      <family val="2"/>
      <charset val="238"/>
      <scheme val="minor"/>
    </font>
    <font>
      <b/>
      <sz val="11.5"/>
      <name val="Calibri"/>
      <family val="2"/>
      <charset val="238"/>
      <scheme val="minor"/>
    </font>
    <font>
      <b/>
      <i/>
      <sz val="11.5"/>
      <color rgb="FFC00000"/>
      <name val="Calibri"/>
      <family val="2"/>
      <charset val="238"/>
      <scheme val="minor"/>
    </font>
    <font>
      <sz val="11"/>
      <color rgb="FFC00000"/>
      <name val="Calibri"/>
      <family val="2"/>
      <charset val="238"/>
      <scheme val="minor"/>
    </font>
    <font>
      <b/>
      <sz val="8.5"/>
      <color rgb="FFC00000"/>
      <name val="Calibri"/>
      <family val="2"/>
      <charset val="238"/>
      <scheme val="minor"/>
    </font>
    <font>
      <b/>
      <sz val="9"/>
      <color theme="1"/>
      <name val="Calibri"/>
      <family val="2"/>
      <charset val="238"/>
      <scheme val="minor"/>
    </font>
    <font>
      <b/>
      <i/>
      <sz val="11"/>
      <name val="Calibri"/>
      <family val="2"/>
      <charset val="238"/>
      <scheme val="minor"/>
    </font>
    <font>
      <b/>
      <i/>
      <sz val="9"/>
      <color rgb="FFC00000"/>
      <name val="Calibri"/>
      <family val="2"/>
      <charset val="238"/>
      <scheme val="minor"/>
    </font>
    <font>
      <i/>
      <sz val="9"/>
      <color theme="1"/>
      <name val="Calibri"/>
      <family val="2"/>
      <charset val="238"/>
      <scheme val="minor"/>
    </font>
    <font>
      <b/>
      <sz val="9"/>
      <color rgb="FF002060"/>
      <name val="Calibri"/>
      <family val="2"/>
      <charset val="238"/>
      <scheme val="minor"/>
    </font>
    <font>
      <b/>
      <sz val="9"/>
      <color rgb="FFC00000"/>
      <name val="Calibri"/>
      <family val="2"/>
      <charset val="238"/>
      <scheme val="minor"/>
    </font>
    <font>
      <b/>
      <sz val="8"/>
      <color rgb="FFC00000"/>
      <name val="Calibri"/>
      <family val="2"/>
      <charset val="238"/>
      <scheme val="minor"/>
    </font>
    <font>
      <sz val="8"/>
      <color theme="0"/>
      <name val="Calibri"/>
      <family val="2"/>
      <charset val="238"/>
      <scheme val="minor"/>
    </font>
    <font>
      <sz val="11"/>
      <color rgb="FF002060"/>
      <name val="Calibri"/>
      <family val="2"/>
      <charset val="238"/>
      <scheme val="minor"/>
    </font>
    <font>
      <b/>
      <sz val="14"/>
      <color rgb="FFC00000"/>
      <name val="Calibri"/>
      <family val="2"/>
      <charset val="238"/>
      <scheme val="minor"/>
    </font>
    <font>
      <b/>
      <sz val="12"/>
      <name val="Calibri"/>
      <family val="2"/>
      <charset val="238"/>
      <scheme val="minor"/>
    </font>
    <font>
      <i/>
      <sz val="11"/>
      <color theme="0"/>
      <name val="Calibri"/>
      <family val="2"/>
      <charset val="238"/>
      <scheme val="minor"/>
    </font>
    <font>
      <b/>
      <vertAlign val="superscript"/>
      <sz val="10"/>
      <color rgb="FFC00000"/>
      <name val="Calibri"/>
      <family val="2"/>
      <charset val="238"/>
      <scheme val="minor"/>
    </font>
    <font>
      <b/>
      <i/>
      <sz val="10"/>
      <color rgb="FFC00000"/>
      <name val="Calibri"/>
      <family val="2"/>
      <charset val="238"/>
      <scheme val="minor"/>
    </font>
    <font>
      <vertAlign val="superscript"/>
      <sz val="10"/>
      <color theme="1"/>
      <name val="Calibri"/>
      <family val="2"/>
      <charset val="238"/>
      <scheme val="minor"/>
    </font>
    <font>
      <sz val="11"/>
      <color rgb="FFFF0000"/>
      <name val="Calibri"/>
      <family val="2"/>
      <charset val="238"/>
      <scheme val="minor"/>
    </font>
    <font>
      <b/>
      <i/>
      <sz val="11"/>
      <color rgb="FFFF0000"/>
      <name val="Calibri"/>
      <family val="2"/>
      <charset val="238"/>
      <scheme val="minor"/>
    </font>
    <font>
      <b/>
      <sz val="9"/>
      <color rgb="FFFF0000"/>
      <name val="Calibri"/>
      <family val="2"/>
      <charset val="238"/>
      <scheme val="minor"/>
    </font>
    <font>
      <b/>
      <sz val="8"/>
      <color rgb="FFFF0000"/>
      <name val="Calibri"/>
      <family val="2"/>
      <charset val="238"/>
      <scheme val="minor"/>
    </font>
    <font>
      <b/>
      <sz val="12"/>
      <color rgb="FFFF0000"/>
      <name val="Calibri"/>
      <family val="2"/>
      <charset val="238"/>
      <scheme val="minor"/>
    </font>
    <font>
      <b/>
      <i/>
      <sz val="12"/>
      <color rgb="FFFF0000"/>
      <name val="Calibri"/>
      <family val="2"/>
      <charset val="238"/>
      <scheme val="minor"/>
    </font>
    <font>
      <b/>
      <sz val="11.5"/>
      <color rgb="FFC00000"/>
      <name val="Calibri"/>
      <family val="2"/>
      <charset val="238"/>
      <scheme val="minor"/>
    </font>
    <font>
      <b/>
      <sz val="11.5"/>
      <color rgb="FF002060"/>
      <name val="Calibri"/>
      <family val="2"/>
      <charset val="238"/>
      <scheme val="minor"/>
    </font>
    <font>
      <b/>
      <sz val="9"/>
      <color theme="8" tint="-0.499984740745262"/>
      <name val="Calibri"/>
      <family val="2"/>
      <charset val="238"/>
      <scheme val="minor"/>
    </font>
    <font>
      <i/>
      <sz val="10"/>
      <color rgb="FFC00000"/>
      <name val="Calibri"/>
      <family val="2"/>
      <charset val="238"/>
      <scheme val="minor"/>
    </font>
    <font>
      <sz val="9"/>
      <color theme="1"/>
      <name val="Calibri"/>
      <family val="2"/>
      <charset val="238"/>
      <scheme val="minor"/>
    </font>
  </fonts>
  <fills count="31">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92D05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00B05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4"/>
        <bgColor indexed="64"/>
      </patternFill>
    </fill>
    <fill>
      <patternFill patternType="solid">
        <fgColor theme="9"/>
        <bgColor indexed="64"/>
      </patternFill>
    </fill>
    <fill>
      <patternFill patternType="solid">
        <fgColor theme="5"/>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2"/>
        <bgColor indexed="31"/>
      </patternFill>
    </fill>
    <fill>
      <patternFill patternType="solid">
        <fgColor theme="0" tint="-0.14999847407452621"/>
        <bgColor indexed="64"/>
      </patternFill>
    </fill>
    <fill>
      <patternFill patternType="solid">
        <fgColor rgb="FFFFFFCC"/>
        <bgColor indexed="64"/>
      </patternFill>
    </fill>
    <fill>
      <patternFill patternType="solid">
        <fgColor theme="7" tint="0.59999389629810485"/>
        <bgColor indexed="64"/>
      </patternFill>
    </fill>
    <fill>
      <patternFill patternType="solid">
        <fgColor rgb="FFFFFF99"/>
        <bgColor indexed="64"/>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rgb="FFC00000"/>
      </left>
      <right style="medium">
        <color rgb="FFC00000"/>
      </right>
      <top style="medium">
        <color rgb="FFC00000"/>
      </top>
      <bottom style="medium">
        <color rgb="FFC00000"/>
      </bottom>
      <diagonal/>
    </border>
    <border>
      <left style="mediumDashed">
        <color rgb="FFC00000"/>
      </left>
      <right style="mediumDashed">
        <color rgb="FFC00000"/>
      </right>
      <top style="mediumDashed">
        <color rgb="FFC00000"/>
      </top>
      <bottom style="mediumDashed">
        <color rgb="FFC00000"/>
      </bottom>
      <diagonal/>
    </border>
    <border>
      <left style="medium">
        <color rgb="FFC00000"/>
      </left>
      <right style="medium">
        <color rgb="FFC00000"/>
      </right>
      <top style="medium">
        <color rgb="FFC00000"/>
      </top>
      <bottom/>
      <diagonal/>
    </border>
    <border>
      <left style="medium">
        <color rgb="FFC00000"/>
      </left>
      <right style="medium">
        <color rgb="FFC00000"/>
      </right>
      <top/>
      <bottom style="medium">
        <color rgb="FFC00000"/>
      </bottom>
      <diagonal/>
    </border>
    <border>
      <left style="medium">
        <color rgb="FFC00000"/>
      </left>
      <right/>
      <top style="medium">
        <color rgb="FFC00000"/>
      </top>
      <bottom style="medium">
        <color indexed="64"/>
      </bottom>
      <diagonal/>
    </border>
    <border>
      <left/>
      <right style="medium">
        <color indexed="64"/>
      </right>
      <top style="medium">
        <color rgb="FFC00000"/>
      </top>
      <bottom style="medium">
        <color indexed="64"/>
      </bottom>
      <diagonal/>
    </border>
    <border>
      <left style="medium">
        <color indexed="64"/>
      </left>
      <right style="thin">
        <color indexed="64"/>
      </right>
      <top style="medium">
        <color rgb="FFC00000"/>
      </top>
      <bottom/>
      <diagonal/>
    </border>
    <border>
      <left style="thin">
        <color indexed="64"/>
      </left>
      <right/>
      <top style="medium">
        <color rgb="FFC00000"/>
      </top>
      <bottom/>
      <diagonal/>
    </border>
    <border>
      <left style="medium">
        <color rgb="FFC00000"/>
      </left>
      <right/>
      <top style="medium">
        <color indexed="64"/>
      </top>
      <bottom style="medium">
        <color indexed="64"/>
      </bottom>
      <diagonal/>
    </border>
    <border>
      <left style="medium">
        <color rgb="FFC00000"/>
      </left>
      <right/>
      <top style="medium">
        <color indexed="64"/>
      </top>
      <bottom style="medium">
        <color rgb="FFC00000"/>
      </bottom>
      <diagonal/>
    </border>
    <border>
      <left/>
      <right style="medium">
        <color indexed="64"/>
      </right>
      <top style="medium">
        <color indexed="64"/>
      </top>
      <bottom style="medium">
        <color rgb="FFC00000"/>
      </bottom>
      <diagonal/>
    </border>
    <border>
      <left style="medium">
        <color indexed="64"/>
      </left>
      <right style="thin">
        <color indexed="64"/>
      </right>
      <top/>
      <bottom style="medium">
        <color rgb="FFC00000"/>
      </bottom>
      <diagonal/>
    </border>
    <border>
      <left style="thin">
        <color indexed="64"/>
      </left>
      <right/>
      <top style="thin">
        <color indexed="64"/>
      </top>
      <bottom style="medium">
        <color rgb="FFC00000"/>
      </bottom>
      <diagonal/>
    </border>
    <border>
      <left style="medium">
        <color rgb="FFC00000"/>
      </left>
      <right/>
      <top style="medium">
        <color rgb="FFC00000"/>
      </top>
      <bottom/>
      <diagonal/>
    </border>
    <border>
      <left style="medium">
        <color rgb="FFC00000"/>
      </left>
      <right/>
      <top style="medium">
        <color indexed="64"/>
      </top>
      <bottom style="thin">
        <color indexed="64"/>
      </bottom>
      <diagonal/>
    </border>
    <border>
      <left style="medium">
        <color rgb="FFC00000"/>
      </left>
      <right/>
      <top style="thin">
        <color indexed="64"/>
      </top>
      <bottom style="medium">
        <color rgb="FFC00000"/>
      </bottom>
      <diagonal/>
    </border>
    <border>
      <left/>
      <right/>
      <top style="medium">
        <color rgb="FFC00000"/>
      </top>
      <bottom style="medium">
        <color indexed="64"/>
      </bottom>
      <diagonal/>
    </border>
    <border>
      <left style="medium">
        <color rgb="FFC00000"/>
      </left>
      <right/>
      <top/>
      <bottom style="medium">
        <color rgb="FFC00000"/>
      </bottom>
      <diagonal/>
    </border>
    <border>
      <left/>
      <right style="medium">
        <color indexed="64"/>
      </right>
      <top/>
      <bottom style="medium">
        <color rgb="FFC00000"/>
      </bottom>
      <diagonal/>
    </border>
    <border>
      <left/>
      <right/>
      <top style="medium">
        <color indexed="64"/>
      </top>
      <bottom/>
      <diagonal/>
    </border>
    <border>
      <left style="thin">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bottom/>
      <diagonal/>
    </border>
    <border>
      <left style="mediumDashed">
        <color rgb="FFC00000"/>
      </left>
      <right style="mediumDashed">
        <color rgb="FFC00000"/>
      </right>
      <top style="mediumDashed">
        <color rgb="FFC00000"/>
      </top>
      <bottom style="medium">
        <color rgb="FFC00000"/>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rgb="FFC00000"/>
      </left>
      <right style="medium">
        <color rgb="FFC00000"/>
      </right>
      <top style="medium">
        <color rgb="FFC00000"/>
      </top>
      <bottom style="thin">
        <color indexed="64"/>
      </bottom>
      <diagonal/>
    </border>
    <border>
      <left style="medium">
        <color rgb="FFC00000"/>
      </left>
      <right style="medium">
        <color rgb="FFC00000"/>
      </right>
      <top style="thin">
        <color indexed="64"/>
      </top>
      <bottom style="medium">
        <color rgb="FFC00000"/>
      </bottom>
      <diagonal/>
    </border>
    <border>
      <left style="medium">
        <color indexed="64"/>
      </left>
      <right/>
      <top style="medium">
        <color rgb="FFC00000"/>
      </top>
      <bottom style="medium">
        <color indexed="64"/>
      </bottom>
      <diagonal/>
    </border>
    <border>
      <left style="medium">
        <color indexed="64"/>
      </left>
      <right style="medium">
        <color rgb="FFC00000"/>
      </right>
      <top style="medium">
        <color rgb="FFC00000"/>
      </top>
      <bottom style="medium">
        <color indexed="64"/>
      </bottom>
      <diagonal/>
    </border>
    <border>
      <left style="medium">
        <color rgb="FFC00000"/>
      </left>
      <right style="thin">
        <color indexed="64"/>
      </right>
      <top style="medium">
        <color indexed="64"/>
      </top>
      <bottom style="thin">
        <color indexed="64"/>
      </bottom>
      <diagonal/>
    </border>
    <border>
      <left style="thin">
        <color indexed="64"/>
      </left>
      <right style="medium">
        <color rgb="FFC00000"/>
      </right>
      <top style="medium">
        <color indexed="64"/>
      </top>
      <bottom style="thin">
        <color indexed="64"/>
      </bottom>
      <diagonal/>
    </border>
    <border>
      <left style="medium">
        <color rgb="FFC00000"/>
      </left>
      <right style="thin">
        <color indexed="64"/>
      </right>
      <top style="thin">
        <color indexed="64"/>
      </top>
      <bottom style="thin">
        <color indexed="64"/>
      </bottom>
      <diagonal/>
    </border>
    <border>
      <left style="thin">
        <color indexed="64"/>
      </left>
      <right style="medium">
        <color rgb="FFC00000"/>
      </right>
      <top style="thin">
        <color indexed="64"/>
      </top>
      <bottom style="thin">
        <color indexed="64"/>
      </bottom>
      <diagonal/>
    </border>
    <border>
      <left style="medium">
        <color rgb="FFC00000"/>
      </left>
      <right style="thin">
        <color indexed="64"/>
      </right>
      <top style="thin">
        <color indexed="64"/>
      </top>
      <bottom style="medium">
        <color indexed="64"/>
      </bottom>
      <diagonal/>
    </border>
    <border>
      <left style="thin">
        <color indexed="64"/>
      </left>
      <right style="medium">
        <color rgb="FFC00000"/>
      </right>
      <top style="thin">
        <color indexed="64"/>
      </top>
      <bottom style="medium">
        <color indexed="64"/>
      </bottom>
      <diagonal/>
    </border>
    <border>
      <left style="medium">
        <color rgb="FFC00000"/>
      </left>
      <right style="thin">
        <color indexed="64"/>
      </right>
      <top/>
      <bottom style="thin">
        <color indexed="64"/>
      </bottom>
      <diagonal/>
    </border>
    <border>
      <left style="thin">
        <color indexed="64"/>
      </left>
      <right style="medium">
        <color rgb="FFC00000"/>
      </right>
      <top/>
      <bottom style="thin">
        <color indexed="64"/>
      </bottom>
      <diagonal/>
    </border>
    <border>
      <left style="medium">
        <color rgb="FFC00000"/>
      </left>
      <right style="thin">
        <color indexed="64"/>
      </right>
      <top style="thin">
        <color indexed="64"/>
      </top>
      <bottom style="medium">
        <color rgb="FFC00000"/>
      </bottom>
      <diagonal/>
    </border>
    <border>
      <left style="thin">
        <color indexed="64"/>
      </left>
      <right style="thin">
        <color indexed="64"/>
      </right>
      <top style="thin">
        <color indexed="64"/>
      </top>
      <bottom style="medium">
        <color rgb="FFC00000"/>
      </bottom>
      <diagonal/>
    </border>
    <border>
      <left style="thin">
        <color indexed="64"/>
      </left>
      <right style="medium">
        <color rgb="FFC00000"/>
      </right>
      <top style="thin">
        <color indexed="64"/>
      </top>
      <bottom style="medium">
        <color rgb="FFC00000"/>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2">
    <xf numFmtId="0" fontId="0" fillId="0" borderId="0"/>
    <xf numFmtId="9" fontId="10" fillId="0" borderId="0" applyFont="0" applyFill="0" applyBorder="0" applyAlignment="0" applyProtection="0"/>
  </cellStyleXfs>
  <cellXfs count="615">
    <xf numFmtId="0" fontId="0" fillId="0" borderId="0" xfId="0"/>
    <xf numFmtId="0" fontId="17" fillId="0" borderId="0" xfId="0" applyFont="1" applyAlignment="1" applyProtection="1">
      <alignment horizontal="left"/>
      <protection hidden="1"/>
    </xf>
    <xf numFmtId="0" fontId="0" fillId="0" borderId="0" xfId="0" applyProtection="1">
      <protection hidden="1"/>
    </xf>
    <xf numFmtId="165" fontId="1" fillId="2" borderId="4" xfId="0" applyNumberFormat="1" applyFont="1" applyFill="1" applyBorder="1" applyAlignment="1" applyProtection="1">
      <alignment horizontal="right" vertical="center"/>
      <protection locked="0"/>
    </xf>
    <xf numFmtId="10" fontId="3" fillId="3" borderId="23" xfId="1" applyNumberFormat="1" applyFont="1" applyFill="1" applyBorder="1" applyAlignment="1" applyProtection="1">
      <alignment horizontal="center" vertical="center"/>
      <protection hidden="1"/>
    </xf>
    <xf numFmtId="10" fontId="3" fillId="3" borderId="11" xfId="1" applyNumberFormat="1" applyFont="1" applyFill="1" applyBorder="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2" fillId="2" borderId="0" xfId="0" applyFont="1" applyFill="1" applyProtection="1">
      <protection hidden="1"/>
    </xf>
    <xf numFmtId="0" fontId="1" fillId="7" borderId="5" xfId="0" applyFont="1" applyFill="1" applyBorder="1" applyAlignment="1" applyProtection="1">
      <alignment horizontal="center" vertical="center"/>
      <protection hidden="1"/>
    </xf>
    <xf numFmtId="0" fontId="1" fillId="7" borderId="7" xfId="0" applyFont="1" applyFill="1" applyBorder="1" applyAlignment="1" applyProtection="1">
      <alignment horizontal="center" vertical="center"/>
      <protection hidden="1"/>
    </xf>
    <xf numFmtId="14" fontId="1" fillId="7" borderId="6" xfId="0" applyNumberFormat="1" applyFont="1" applyFill="1" applyBorder="1" applyAlignment="1" applyProtection="1">
      <alignment horizontal="center" vertical="center"/>
      <protection hidden="1"/>
    </xf>
    <xf numFmtId="0" fontId="0" fillId="6" borderId="32" xfId="0" applyFill="1" applyBorder="1" applyAlignment="1" applyProtection="1">
      <alignment vertical="center"/>
      <protection hidden="1"/>
    </xf>
    <xf numFmtId="0" fontId="0" fillId="6" borderId="33" xfId="0" applyFill="1" applyBorder="1" applyAlignment="1" applyProtection="1">
      <alignment vertical="center"/>
      <protection hidden="1"/>
    </xf>
    <xf numFmtId="0" fontId="0" fillId="6" borderId="34" xfId="0" applyFill="1" applyBorder="1" applyAlignment="1" applyProtection="1">
      <alignment vertical="center"/>
      <protection hidden="1"/>
    </xf>
    <xf numFmtId="0" fontId="6" fillId="2" borderId="0" xfId="0" applyFont="1" applyFill="1" applyAlignment="1" applyProtection="1">
      <alignment horizontal="center"/>
      <protection hidden="1"/>
    </xf>
    <xf numFmtId="0" fontId="0" fillId="6" borderId="25" xfId="0" applyFill="1" applyBorder="1" applyAlignment="1" applyProtection="1">
      <alignment vertical="center"/>
      <protection hidden="1"/>
    </xf>
    <xf numFmtId="0" fontId="0" fillId="6" borderId="1" xfId="0" applyFill="1" applyBorder="1" applyAlignment="1" applyProtection="1">
      <alignment vertical="center"/>
      <protection hidden="1"/>
    </xf>
    <xf numFmtId="0" fontId="0" fillId="6" borderId="26" xfId="0" applyFill="1" applyBorder="1" applyAlignment="1" applyProtection="1">
      <alignment vertical="center"/>
      <protection hidden="1"/>
    </xf>
    <xf numFmtId="0" fontId="3" fillId="2" borderId="0" xfId="0" applyFont="1" applyFill="1" applyAlignment="1" applyProtection="1">
      <alignment vertical="center" wrapText="1"/>
      <protection hidden="1"/>
    </xf>
    <xf numFmtId="0" fontId="3" fillId="3" borderId="17" xfId="0" applyFont="1" applyFill="1" applyBorder="1" applyAlignment="1" applyProtection="1">
      <alignment horizontal="center" vertical="center"/>
      <protection hidden="1"/>
    </xf>
    <xf numFmtId="0" fontId="3" fillId="3" borderId="6" xfId="0" applyFont="1" applyFill="1" applyBorder="1" applyAlignment="1" applyProtection="1">
      <alignment horizontal="center" vertical="center"/>
      <protection hidden="1"/>
    </xf>
    <xf numFmtId="0" fontId="3" fillId="3" borderId="16" xfId="0" applyFont="1" applyFill="1" applyBorder="1" applyAlignment="1" applyProtection="1">
      <alignment horizontal="center" vertical="center"/>
      <protection hidden="1"/>
    </xf>
    <xf numFmtId="0" fontId="3" fillId="3" borderId="4" xfId="0" applyFont="1" applyFill="1" applyBorder="1" applyAlignment="1" applyProtection="1">
      <alignment horizontal="center" vertical="center"/>
      <protection hidden="1"/>
    </xf>
    <xf numFmtId="0" fontId="8" fillId="0" borderId="0" xfId="0" applyFont="1" applyProtection="1">
      <protection hidden="1"/>
    </xf>
    <xf numFmtId="0" fontId="3" fillId="9" borderId="23" xfId="0" applyFont="1" applyFill="1" applyBorder="1" applyAlignment="1" applyProtection="1">
      <alignment vertical="center" wrapText="1"/>
      <protection hidden="1"/>
    </xf>
    <xf numFmtId="0" fontId="3" fillId="9" borderId="41" xfId="0" applyFont="1" applyFill="1" applyBorder="1" applyAlignment="1" applyProtection="1">
      <alignment horizontal="center" vertical="center"/>
      <protection hidden="1"/>
    </xf>
    <xf numFmtId="0" fontId="3" fillId="9" borderId="38" xfId="0" applyFont="1" applyFill="1" applyBorder="1" applyAlignment="1" applyProtection="1">
      <alignment horizontal="center" vertical="center"/>
      <protection hidden="1"/>
    </xf>
    <xf numFmtId="0" fontId="2" fillId="9" borderId="35" xfId="0" applyFont="1" applyFill="1" applyBorder="1" applyAlignment="1" applyProtection="1">
      <alignment horizontal="center" vertical="center"/>
      <protection hidden="1"/>
    </xf>
    <xf numFmtId="0" fontId="7" fillId="0" borderId="0" xfId="0" applyFont="1" applyAlignment="1" applyProtection="1">
      <alignment horizontal="left"/>
      <protection hidden="1"/>
    </xf>
    <xf numFmtId="0" fontId="3" fillId="10" borderId="9" xfId="0" applyFont="1" applyFill="1" applyBorder="1" applyAlignment="1" applyProtection="1">
      <alignment vertical="center"/>
      <protection hidden="1"/>
    </xf>
    <xf numFmtId="0" fontId="3" fillId="10" borderId="3" xfId="0" applyFont="1" applyFill="1" applyBorder="1" applyAlignment="1" applyProtection="1">
      <alignment horizontal="center" vertical="center"/>
      <protection hidden="1"/>
    </xf>
    <xf numFmtId="0" fontId="3" fillId="10" borderId="1" xfId="0" applyFont="1" applyFill="1" applyBorder="1" applyAlignment="1" applyProtection="1">
      <alignment horizontal="center" vertical="center"/>
      <protection hidden="1"/>
    </xf>
    <xf numFmtId="0" fontId="2" fillId="10" borderId="2" xfId="0" applyFont="1" applyFill="1" applyBorder="1" applyAlignment="1" applyProtection="1">
      <alignment horizontal="center" vertical="center"/>
      <protection hidden="1"/>
    </xf>
    <xf numFmtId="10" fontId="3" fillId="3" borderId="15" xfId="1" applyNumberFormat="1" applyFont="1" applyFill="1" applyBorder="1" applyAlignment="1" applyProtection="1">
      <alignment horizontal="center" vertical="center"/>
      <protection hidden="1"/>
    </xf>
    <xf numFmtId="0" fontId="3" fillId="5" borderId="10" xfId="0" applyFont="1" applyFill="1" applyBorder="1" applyAlignment="1" applyProtection="1">
      <alignment vertical="center"/>
      <protection hidden="1"/>
    </xf>
    <xf numFmtId="0" fontId="3" fillId="5" borderId="19" xfId="0" applyFont="1" applyFill="1" applyBorder="1" applyAlignment="1" applyProtection="1">
      <alignment horizontal="center" vertical="center"/>
      <protection hidden="1"/>
    </xf>
    <xf numFmtId="0" fontId="3" fillId="5" borderId="28" xfId="0" applyFont="1" applyFill="1" applyBorder="1" applyAlignment="1" applyProtection="1">
      <alignment horizontal="center" vertical="center"/>
      <protection hidden="1"/>
    </xf>
    <xf numFmtId="0" fontId="2" fillId="5" borderId="12" xfId="0" applyFont="1" applyFill="1" applyBorder="1" applyAlignment="1" applyProtection="1">
      <alignment horizontal="center" vertical="center"/>
      <protection hidden="1"/>
    </xf>
    <xf numFmtId="0" fontId="2" fillId="0" borderId="0" xfId="0" applyFont="1" applyProtection="1">
      <protection hidden="1"/>
    </xf>
    <xf numFmtId="0" fontId="3" fillId="2" borderId="0" xfId="0" applyFont="1" applyFill="1" applyAlignment="1" applyProtection="1">
      <alignment vertical="center"/>
      <protection hidden="1"/>
    </xf>
    <xf numFmtId="0" fontId="0" fillId="2" borderId="0" xfId="0" applyFill="1" applyAlignment="1" applyProtection="1">
      <alignment horizontal="center" vertical="center"/>
      <protection hidden="1"/>
    </xf>
    <xf numFmtId="10" fontId="3" fillId="2" borderId="0" xfId="1" applyNumberFormat="1" applyFont="1" applyFill="1" applyBorder="1" applyAlignment="1" applyProtection="1">
      <alignment vertical="center"/>
      <protection hidden="1"/>
    </xf>
    <xf numFmtId="0" fontId="0" fillId="6" borderId="21" xfId="0" applyFill="1" applyBorder="1" applyAlignment="1" applyProtection="1">
      <alignment vertical="center"/>
      <protection hidden="1"/>
    </xf>
    <xf numFmtId="0" fontId="0" fillId="6" borderId="39" xfId="0" applyFill="1" applyBorder="1" applyAlignment="1" applyProtection="1">
      <alignment vertical="center"/>
      <protection hidden="1"/>
    </xf>
    <xf numFmtId="10" fontId="1" fillId="3" borderId="4" xfId="1" applyNumberFormat="1" applyFont="1" applyFill="1" applyBorder="1" applyAlignment="1" applyProtection="1">
      <alignment horizontal="right" vertical="center"/>
      <protection hidden="1"/>
    </xf>
    <xf numFmtId="0" fontId="1" fillId="7" borderId="4" xfId="0" applyFont="1" applyFill="1" applyBorder="1" applyAlignment="1" applyProtection="1">
      <alignment vertical="center"/>
      <protection hidden="1"/>
    </xf>
    <xf numFmtId="0" fontId="1" fillId="7" borderId="14" xfId="0" applyFont="1" applyFill="1" applyBorder="1" applyAlignment="1" applyProtection="1">
      <alignment vertical="center"/>
      <protection hidden="1"/>
    </xf>
    <xf numFmtId="165" fontId="19" fillId="7" borderId="15" xfId="0" applyNumberFormat="1" applyFont="1" applyFill="1" applyBorder="1" applyAlignment="1" applyProtection="1">
      <alignment horizontal="right" vertical="center"/>
      <protection hidden="1"/>
    </xf>
    <xf numFmtId="165" fontId="19" fillId="7" borderId="42" xfId="0" applyNumberFormat="1" applyFont="1" applyFill="1" applyBorder="1" applyAlignment="1" applyProtection="1">
      <alignment horizontal="right" vertical="center"/>
      <protection hidden="1"/>
    </xf>
    <xf numFmtId="0" fontId="1" fillId="10" borderId="5" xfId="0" applyFont="1" applyFill="1" applyBorder="1" applyAlignment="1" applyProtection="1">
      <alignment horizontal="center" vertical="center"/>
      <protection hidden="1"/>
    </xf>
    <xf numFmtId="14" fontId="1" fillId="10" borderId="6" xfId="0" applyNumberFormat="1" applyFont="1" applyFill="1" applyBorder="1" applyAlignment="1" applyProtection="1">
      <alignment horizontal="center" vertical="center"/>
      <protection hidden="1"/>
    </xf>
    <xf numFmtId="0" fontId="1" fillId="10" borderId="7" xfId="0" applyFont="1" applyFill="1" applyBorder="1" applyAlignment="1" applyProtection="1">
      <alignment horizontal="center" vertical="center"/>
      <protection hidden="1"/>
    </xf>
    <xf numFmtId="0" fontId="6" fillId="2" borderId="0" xfId="0" applyFont="1" applyFill="1" applyAlignment="1" applyProtection="1">
      <alignment horizontal="center" vertical="center"/>
      <protection hidden="1"/>
    </xf>
    <xf numFmtId="0" fontId="0" fillId="2" borderId="0" xfId="0" applyFill="1" applyProtection="1">
      <protection hidden="1"/>
    </xf>
    <xf numFmtId="0" fontId="1" fillId="10" borderId="13" xfId="0" applyFont="1" applyFill="1" applyBorder="1" applyAlignment="1" applyProtection="1">
      <alignment vertical="center"/>
      <protection hidden="1"/>
    </xf>
    <xf numFmtId="0" fontId="1" fillId="10" borderId="4" xfId="0" applyFont="1" applyFill="1" applyBorder="1" applyAlignment="1" applyProtection="1">
      <alignment vertical="center"/>
      <protection hidden="1"/>
    </xf>
    <xf numFmtId="0" fontId="1" fillId="10" borderId="14" xfId="0" applyFont="1" applyFill="1" applyBorder="1" applyAlignment="1" applyProtection="1">
      <alignment vertical="center"/>
      <protection hidden="1"/>
    </xf>
    <xf numFmtId="0" fontId="6" fillId="0" borderId="0" xfId="0" applyFont="1" applyAlignment="1" applyProtection="1">
      <alignment horizontal="center" vertical="center"/>
      <protection hidden="1"/>
    </xf>
    <xf numFmtId="164" fontId="0" fillId="0" borderId="0" xfId="0" applyNumberFormat="1" applyAlignment="1" applyProtection="1">
      <alignment horizontal="center" vertical="center"/>
      <protection hidden="1"/>
    </xf>
    <xf numFmtId="0" fontId="0" fillId="0" borderId="0" xfId="0" applyAlignment="1" applyProtection="1">
      <alignment vertical="center"/>
      <protection hidden="1"/>
    </xf>
    <xf numFmtId="0" fontId="1" fillId="5" borderId="5" xfId="0" applyFont="1" applyFill="1" applyBorder="1" applyAlignment="1" applyProtection="1">
      <alignment horizontal="center" vertical="center"/>
      <protection hidden="1"/>
    </xf>
    <xf numFmtId="14" fontId="1" fillId="5" borderId="6" xfId="0" applyNumberFormat="1" applyFont="1" applyFill="1" applyBorder="1" applyAlignment="1" applyProtection="1">
      <alignment horizontal="center" vertical="center"/>
      <protection hidden="1"/>
    </xf>
    <xf numFmtId="0" fontId="1" fillId="5" borderId="7" xfId="0" applyFont="1" applyFill="1" applyBorder="1" applyAlignment="1" applyProtection="1">
      <alignment horizontal="center" vertical="center"/>
      <protection hidden="1"/>
    </xf>
    <xf numFmtId="0" fontId="1" fillId="5" borderId="13" xfId="0" applyFont="1" applyFill="1" applyBorder="1" applyAlignment="1" applyProtection="1">
      <alignment vertical="center"/>
      <protection hidden="1"/>
    </xf>
    <xf numFmtId="0" fontId="1" fillId="5" borderId="4" xfId="0" applyFont="1" applyFill="1" applyBorder="1" applyAlignment="1" applyProtection="1">
      <alignment vertical="center"/>
      <protection hidden="1"/>
    </xf>
    <xf numFmtId="0" fontId="1" fillId="5" borderId="14" xfId="0" applyFont="1" applyFill="1" applyBorder="1" applyAlignment="1" applyProtection="1">
      <alignment vertical="center"/>
      <protection hidden="1"/>
    </xf>
    <xf numFmtId="0" fontId="1" fillId="12" borderId="5" xfId="0" applyFont="1" applyFill="1" applyBorder="1" applyAlignment="1" applyProtection="1">
      <alignment horizontal="center" vertical="center"/>
      <protection hidden="1"/>
    </xf>
    <xf numFmtId="0" fontId="1" fillId="12" borderId="16" xfId="0" applyFont="1" applyFill="1" applyBorder="1" applyAlignment="1" applyProtection="1">
      <alignment horizontal="center" vertical="center"/>
      <protection hidden="1"/>
    </xf>
    <xf numFmtId="14" fontId="1" fillId="12" borderId="6" xfId="0" applyNumberFormat="1" applyFont="1" applyFill="1" applyBorder="1" applyAlignment="1" applyProtection="1">
      <alignment horizontal="center" vertical="center"/>
      <protection hidden="1"/>
    </xf>
    <xf numFmtId="0" fontId="1" fillId="12" borderId="7" xfId="0" applyFont="1" applyFill="1" applyBorder="1" applyAlignment="1" applyProtection="1">
      <alignment horizontal="center" vertical="center"/>
      <protection hidden="1"/>
    </xf>
    <xf numFmtId="0" fontId="0" fillId="6" borderId="32" xfId="0" applyFill="1" applyBorder="1" applyAlignment="1" applyProtection="1">
      <alignment horizontal="right" vertical="center"/>
      <protection hidden="1"/>
    </xf>
    <xf numFmtId="0" fontId="0" fillId="6" borderId="33" xfId="0" applyFill="1" applyBorder="1" applyAlignment="1" applyProtection="1">
      <alignment horizontal="right" vertical="center"/>
      <protection hidden="1"/>
    </xf>
    <xf numFmtId="0" fontId="0" fillId="6" borderId="34" xfId="0" applyFill="1" applyBorder="1" applyAlignment="1" applyProtection="1">
      <alignment horizontal="right" vertical="center"/>
      <protection hidden="1"/>
    </xf>
    <xf numFmtId="0" fontId="1" fillId="12" borderId="4" xfId="0" applyFont="1" applyFill="1" applyBorder="1" applyAlignment="1" applyProtection="1">
      <alignment vertical="center"/>
      <protection hidden="1"/>
    </xf>
    <xf numFmtId="0" fontId="1" fillId="12" borderId="14" xfId="0" applyFont="1" applyFill="1" applyBorder="1" applyAlignment="1" applyProtection="1">
      <alignment vertical="center"/>
      <protection hidden="1"/>
    </xf>
    <xf numFmtId="0" fontId="12" fillId="12" borderId="4" xfId="0" applyFont="1" applyFill="1" applyBorder="1" applyAlignment="1" applyProtection="1">
      <alignment horizontal="right" vertical="center"/>
      <protection hidden="1"/>
    </xf>
    <xf numFmtId="0" fontId="12" fillId="12" borderId="14" xfId="0" applyFont="1" applyFill="1" applyBorder="1" applyAlignment="1" applyProtection="1">
      <alignment horizontal="right" vertical="center"/>
      <protection hidden="1"/>
    </xf>
    <xf numFmtId="14" fontId="22" fillId="2" borderId="0" xfId="0" applyNumberFormat="1" applyFont="1" applyFill="1" applyAlignment="1" applyProtection="1">
      <alignment horizontal="center" vertical="center"/>
      <protection hidden="1"/>
    </xf>
    <xf numFmtId="0" fontId="11" fillId="2" borderId="0" xfId="0" applyFont="1" applyFill="1" applyAlignment="1" applyProtection="1">
      <alignment vertical="center"/>
      <protection hidden="1"/>
    </xf>
    <xf numFmtId="0" fontId="0" fillId="7" borderId="13" xfId="0" applyFill="1" applyBorder="1" applyAlignment="1" applyProtection="1">
      <alignment horizontal="center" vertical="center"/>
      <protection hidden="1"/>
    </xf>
    <xf numFmtId="0" fontId="0" fillId="7" borderId="4" xfId="0" applyFill="1" applyBorder="1" applyAlignment="1" applyProtection="1">
      <alignment horizontal="center" vertical="center"/>
      <protection hidden="1"/>
    </xf>
    <xf numFmtId="0" fontId="0" fillId="12" borderId="29" xfId="0" applyFill="1" applyBorder="1" applyAlignment="1" applyProtection="1">
      <alignment horizontal="center" vertical="center"/>
      <protection hidden="1"/>
    </xf>
    <xf numFmtId="0" fontId="0" fillId="12" borderId="11" xfId="0" applyFill="1" applyBorder="1" applyAlignment="1" applyProtection="1">
      <alignment horizontal="center" vertical="center"/>
      <protection hidden="1"/>
    </xf>
    <xf numFmtId="0" fontId="0" fillId="12" borderId="22" xfId="0" applyFill="1" applyBorder="1" applyAlignment="1" applyProtection="1">
      <alignment horizontal="center" vertical="center"/>
      <protection hidden="1"/>
    </xf>
    <xf numFmtId="0" fontId="6" fillId="8" borderId="13" xfId="0" applyFont="1" applyFill="1" applyBorder="1" applyAlignment="1" applyProtection="1">
      <alignment horizontal="center" vertical="center"/>
      <protection hidden="1"/>
    </xf>
    <xf numFmtId="0" fontId="6" fillId="8" borderId="4" xfId="0" applyFont="1" applyFill="1" applyBorder="1" applyAlignment="1" applyProtection="1">
      <alignment horizontal="center" vertical="center"/>
      <protection hidden="1"/>
    </xf>
    <xf numFmtId="0" fontId="6" fillId="8" borderId="14" xfId="0" applyFont="1" applyFill="1" applyBorder="1" applyAlignment="1" applyProtection="1">
      <alignment horizontal="center" vertical="center"/>
      <protection hidden="1"/>
    </xf>
    <xf numFmtId="0" fontId="3" fillId="10" borderId="10" xfId="0" applyFont="1" applyFill="1" applyBorder="1" applyAlignment="1" applyProtection="1">
      <alignment vertical="center"/>
      <protection hidden="1"/>
    </xf>
    <xf numFmtId="165" fontId="19" fillId="7" borderId="9" xfId="0" applyNumberFormat="1" applyFont="1" applyFill="1" applyBorder="1" applyAlignment="1" applyProtection="1">
      <alignment horizontal="right" vertical="center"/>
      <protection hidden="1"/>
    </xf>
    <xf numFmtId="0" fontId="5" fillId="2" borderId="0" xfId="0" applyFont="1" applyFill="1" applyProtection="1">
      <protection hidden="1"/>
    </xf>
    <xf numFmtId="0" fontId="2" fillId="2" borderId="0" xfId="0" applyFont="1" applyFill="1" applyAlignment="1" applyProtection="1">
      <alignment vertical="center"/>
      <protection hidden="1"/>
    </xf>
    <xf numFmtId="0" fontId="0" fillId="12" borderId="30" xfId="0" applyFill="1" applyBorder="1" applyAlignment="1" applyProtection="1">
      <alignment horizontal="center" vertical="center"/>
      <protection hidden="1"/>
    </xf>
    <xf numFmtId="0" fontId="0" fillId="12" borderId="4" xfId="0" applyFill="1" applyBorder="1" applyAlignment="1" applyProtection="1">
      <alignment horizontal="center" vertical="center"/>
      <protection hidden="1"/>
    </xf>
    <xf numFmtId="0" fontId="3" fillId="9" borderId="4" xfId="0" applyFont="1" applyFill="1" applyBorder="1" applyAlignment="1" applyProtection="1">
      <alignment vertical="center" wrapText="1"/>
      <protection hidden="1"/>
    </xf>
    <xf numFmtId="0" fontId="3" fillId="9" borderId="18" xfId="0" applyFont="1" applyFill="1" applyBorder="1" applyAlignment="1" applyProtection="1">
      <alignment horizontal="center" vertical="center"/>
      <protection hidden="1"/>
    </xf>
    <xf numFmtId="10" fontId="3" fillId="3" borderId="40" xfId="1" applyNumberFormat="1" applyFont="1" applyFill="1" applyBorder="1" applyAlignment="1" applyProtection="1">
      <alignment horizontal="center" vertical="center"/>
      <protection hidden="1"/>
    </xf>
    <xf numFmtId="10" fontId="13" fillId="3" borderId="4" xfId="1" applyNumberFormat="1" applyFont="1" applyFill="1" applyBorder="1" applyAlignment="1" applyProtection="1">
      <alignment horizontal="center" vertical="center"/>
      <protection hidden="1"/>
    </xf>
    <xf numFmtId="10" fontId="1" fillId="2" borderId="0" xfId="1" applyNumberFormat="1" applyFont="1" applyFill="1" applyBorder="1" applyAlignment="1" applyProtection="1">
      <alignment vertical="center"/>
      <protection hidden="1"/>
    </xf>
    <xf numFmtId="0" fontId="0" fillId="0" borderId="0" xfId="0" applyAlignment="1">
      <alignment horizontal="center"/>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pplyProtection="1">
      <alignment horizontal="center" vertical="center"/>
      <protection hidden="1"/>
    </xf>
    <xf numFmtId="0" fontId="3" fillId="3" borderId="5" xfId="0" applyFont="1" applyFill="1" applyBorder="1" applyAlignment="1" applyProtection="1">
      <alignment horizontal="center" vertical="center"/>
      <protection hidden="1"/>
    </xf>
    <xf numFmtId="0" fontId="3" fillId="3" borderId="7" xfId="0" applyFont="1" applyFill="1" applyBorder="1" applyAlignment="1" applyProtection="1">
      <alignment horizontal="center" vertical="center"/>
      <protection hidden="1"/>
    </xf>
    <xf numFmtId="0" fontId="1" fillId="14" borderId="4" xfId="0" applyFont="1" applyFill="1" applyBorder="1" applyAlignment="1" applyProtection="1">
      <alignment horizontal="center" vertical="center"/>
      <protection hidden="1"/>
    </xf>
    <xf numFmtId="0" fontId="1" fillId="14" borderId="14" xfId="0" applyFont="1" applyFill="1" applyBorder="1" applyAlignment="1" applyProtection="1">
      <alignment horizontal="center" vertical="center"/>
      <protection hidden="1"/>
    </xf>
    <xf numFmtId="14" fontId="25" fillId="0" borderId="0" xfId="0" applyNumberFormat="1" applyFont="1" applyAlignment="1" applyProtection="1">
      <alignment horizontal="center" vertical="center"/>
      <protection hidden="1"/>
    </xf>
    <xf numFmtId="10" fontId="13" fillId="3" borderId="11" xfId="1" applyNumberFormat="1" applyFont="1" applyFill="1" applyBorder="1" applyAlignment="1" applyProtection="1">
      <alignment horizontal="center" vertical="center"/>
      <protection hidden="1"/>
    </xf>
    <xf numFmtId="0" fontId="11" fillId="0" borderId="0" xfId="0" applyFont="1" applyProtection="1">
      <protection hidden="1"/>
    </xf>
    <xf numFmtId="0" fontId="20" fillId="2" borderId="0" xfId="0" applyFont="1" applyFill="1" applyAlignment="1" applyProtection="1">
      <alignment horizontal="left" vertical="justify" wrapText="1"/>
      <protection hidden="1"/>
    </xf>
    <xf numFmtId="165" fontId="1" fillId="0" borderId="40" xfId="0" applyNumberFormat="1" applyFont="1" applyBorder="1" applyAlignment="1" applyProtection="1">
      <alignment vertical="center"/>
      <protection locked="0"/>
    </xf>
    <xf numFmtId="0" fontId="7" fillId="0" borderId="0" xfId="0" applyFont="1" applyProtection="1">
      <protection hidden="1"/>
    </xf>
    <xf numFmtId="0" fontId="7" fillId="0" borderId="47" xfId="0" applyFont="1" applyBorder="1" applyAlignment="1" applyProtection="1">
      <alignment horizontal="center" vertical="center"/>
      <protection hidden="1"/>
    </xf>
    <xf numFmtId="0" fontId="30" fillId="0" borderId="0" xfId="0" applyFont="1" applyProtection="1">
      <protection hidden="1"/>
    </xf>
    <xf numFmtId="9" fontId="30" fillId="0" borderId="0" xfId="0" applyNumberFormat="1" applyFont="1" applyProtection="1">
      <protection hidden="1"/>
    </xf>
    <xf numFmtId="165" fontId="30" fillId="0" borderId="0" xfId="0" applyNumberFormat="1" applyFont="1" applyProtection="1">
      <protection hidden="1"/>
    </xf>
    <xf numFmtId="0" fontId="9" fillId="0" borderId="0" xfId="0" applyFont="1" applyAlignment="1" applyProtection="1">
      <alignment vertical="center"/>
      <protection hidden="1"/>
    </xf>
    <xf numFmtId="0" fontId="23" fillId="3" borderId="4" xfId="0" applyFont="1" applyFill="1" applyBorder="1" applyAlignment="1" applyProtection="1">
      <alignment horizontal="center" vertical="center"/>
      <protection hidden="1"/>
    </xf>
    <xf numFmtId="0" fontId="36" fillId="0" borderId="0" xfId="0" applyFont="1" applyProtection="1">
      <protection hidden="1"/>
    </xf>
    <xf numFmtId="0" fontId="0" fillId="7" borderId="14" xfId="0" applyFill="1" applyBorder="1" applyAlignment="1" applyProtection="1">
      <alignment horizontal="center" vertical="center"/>
      <protection hidden="1"/>
    </xf>
    <xf numFmtId="0" fontId="0" fillId="2" borderId="0" xfId="0" applyFill="1" applyAlignment="1" applyProtection="1">
      <alignment horizontal="left"/>
      <protection hidden="1"/>
    </xf>
    <xf numFmtId="0" fontId="12" fillId="12" borderId="13" xfId="0" applyFont="1" applyFill="1" applyBorder="1" applyAlignment="1" applyProtection="1">
      <alignment horizontal="right" vertical="center"/>
      <protection hidden="1"/>
    </xf>
    <xf numFmtId="0" fontId="3" fillId="3" borderId="14" xfId="0" applyFont="1" applyFill="1" applyBorder="1" applyAlignment="1" applyProtection="1">
      <alignment horizontal="center" vertical="center"/>
      <protection hidden="1"/>
    </xf>
    <xf numFmtId="0" fontId="32" fillId="0" borderId="0" xfId="0" applyFont="1" applyAlignment="1" applyProtection="1">
      <alignment vertical="center"/>
      <protection hidden="1"/>
    </xf>
    <xf numFmtId="0" fontId="32" fillId="0" borderId="0" xfId="0" applyFont="1" applyProtection="1">
      <protection hidden="1"/>
    </xf>
    <xf numFmtId="0" fontId="4" fillId="0" borderId="0" xfId="0" applyFont="1" applyAlignment="1" applyProtection="1">
      <alignment vertical="center"/>
      <protection hidden="1"/>
    </xf>
    <xf numFmtId="0" fontId="3" fillId="0" borderId="43" xfId="0" applyFont="1" applyBorder="1" applyAlignment="1" applyProtection="1">
      <alignment horizontal="center" vertical="center"/>
      <protection locked="0"/>
    </xf>
    <xf numFmtId="0" fontId="5" fillId="4" borderId="54" xfId="0" applyFont="1" applyFill="1" applyBorder="1" applyAlignment="1" applyProtection="1">
      <alignment horizontal="center" vertical="center"/>
      <protection hidden="1"/>
    </xf>
    <xf numFmtId="0" fontId="3" fillId="4" borderId="55" xfId="0" applyFont="1" applyFill="1" applyBorder="1" applyAlignment="1" applyProtection="1">
      <alignment horizontal="center" vertical="center"/>
      <protection hidden="1"/>
    </xf>
    <xf numFmtId="0" fontId="3" fillId="0" borderId="60" xfId="0" applyFont="1" applyBorder="1" applyAlignment="1" applyProtection="1">
      <alignment horizontal="center" vertical="center"/>
      <protection locked="0"/>
    </xf>
    <xf numFmtId="0" fontId="5" fillId="4" borderId="61" xfId="0" applyFont="1" applyFill="1" applyBorder="1" applyAlignment="1" applyProtection="1">
      <alignment horizontal="center" vertical="center"/>
      <protection hidden="1"/>
    </xf>
    <xf numFmtId="0" fontId="3" fillId="3" borderId="48" xfId="0" applyFont="1" applyFill="1" applyBorder="1" applyAlignment="1" applyProtection="1">
      <alignment horizontal="center" vertical="center"/>
      <protection hidden="1"/>
    </xf>
    <xf numFmtId="0" fontId="3" fillId="4" borderId="61" xfId="0" applyFont="1" applyFill="1" applyBorder="1" applyAlignment="1" applyProtection="1">
      <alignment horizontal="center" vertical="center"/>
      <protection hidden="1"/>
    </xf>
    <xf numFmtId="0" fontId="3" fillId="0" borderId="62" xfId="0" applyFont="1" applyBorder="1" applyAlignment="1" applyProtection="1">
      <alignment horizontal="center" vertical="center"/>
      <protection locked="0"/>
    </xf>
    <xf numFmtId="0" fontId="3" fillId="0" borderId="63" xfId="0" applyFont="1" applyBorder="1" applyAlignment="1" applyProtection="1">
      <alignment horizontal="center" vertical="center"/>
      <protection locked="0"/>
    </xf>
    <xf numFmtId="166" fontId="5" fillId="0" borderId="49" xfId="0" applyNumberFormat="1" applyFont="1" applyBorder="1" applyAlignment="1" applyProtection="1">
      <alignment horizontal="center" vertical="center"/>
      <protection locked="0"/>
    </xf>
    <xf numFmtId="0" fontId="0" fillId="4" borderId="0" xfId="0" applyFill="1"/>
    <xf numFmtId="0" fontId="18" fillId="0" borderId="31" xfId="0" applyFont="1" applyBorder="1" applyAlignment="1">
      <alignment horizontal="center" vertical="center"/>
    </xf>
    <xf numFmtId="0" fontId="18" fillId="0" borderId="67" xfId="0" applyFont="1" applyBorder="1"/>
    <xf numFmtId="0" fontId="18" fillId="0" borderId="67" xfId="0" applyFont="1" applyBorder="1" applyAlignment="1">
      <alignment horizontal="center" vertical="center"/>
    </xf>
    <xf numFmtId="0" fontId="18" fillId="2" borderId="27" xfId="0" applyFont="1" applyFill="1" applyBorder="1" applyAlignment="1">
      <alignment horizontal="center" vertical="center"/>
    </xf>
    <xf numFmtId="0" fontId="0" fillId="3" borderId="13" xfId="0" applyFill="1" applyBorder="1"/>
    <xf numFmtId="0" fontId="1" fillId="16" borderId="13" xfId="0" applyFont="1" applyFill="1" applyBorder="1" applyAlignment="1">
      <alignment horizontal="center" vertical="center"/>
    </xf>
    <xf numFmtId="0" fontId="1" fillId="17" borderId="20" xfId="0" applyFont="1" applyFill="1" applyBorder="1" applyAlignment="1">
      <alignment horizontal="center" vertical="center"/>
    </xf>
    <xf numFmtId="0" fontId="1" fillId="18" borderId="20" xfId="0" applyFont="1" applyFill="1" applyBorder="1" applyAlignment="1">
      <alignment horizontal="center" vertical="center"/>
    </xf>
    <xf numFmtId="0" fontId="1" fillId="11" borderId="4" xfId="0" applyFont="1" applyFill="1" applyBorder="1" applyAlignment="1">
      <alignment horizontal="center" vertical="center"/>
    </xf>
    <xf numFmtId="0" fontId="1" fillId="11" borderId="14" xfId="0" applyFont="1" applyFill="1" applyBorder="1" applyAlignment="1">
      <alignment horizontal="center" vertical="center"/>
    </xf>
    <xf numFmtId="165" fontId="3" fillId="7" borderId="13" xfId="0" applyNumberFormat="1" applyFont="1" applyFill="1" applyBorder="1" applyAlignment="1">
      <alignment horizontal="center" vertical="center" wrapText="1"/>
    </xf>
    <xf numFmtId="0" fontId="1" fillId="19" borderId="13" xfId="0" applyFont="1" applyFill="1" applyBorder="1" applyAlignment="1">
      <alignment horizontal="center"/>
    </xf>
    <xf numFmtId="165" fontId="3" fillId="20" borderId="7" xfId="0" applyNumberFormat="1" applyFont="1" applyFill="1" applyBorder="1" applyAlignment="1">
      <alignment horizontal="center" vertical="center" wrapText="1"/>
    </xf>
    <xf numFmtId="0" fontId="1" fillId="2" borderId="4" xfId="0" applyFont="1" applyFill="1" applyBorder="1"/>
    <xf numFmtId="0" fontId="1" fillId="6" borderId="68" xfId="0" applyFont="1" applyFill="1" applyBorder="1" applyAlignment="1">
      <alignment vertical="center"/>
    </xf>
    <xf numFmtId="165" fontId="3" fillId="16" borderId="40" xfId="0" applyNumberFormat="1" applyFont="1" applyFill="1" applyBorder="1" applyAlignment="1">
      <alignment horizontal="center" vertical="center" wrapText="1"/>
    </xf>
    <xf numFmtId="165" fontId="3" fillId="17" borderId="40" xfId="0" applyNumberFormat="1" applyFont="1" applyFill="1" applyBorder="1" applyAlignment="1">
      <alignment horizontal="center" vertical="center" wrapText="1"/>
    </xf>
    <xf numFmtId="165" fontId="3" fillId="18" borderId="40" xfId="0" applyNumberFormat="1" applyFont="1" applyFill="1" applyBorder="1" applyAlignment="1">
      <alignment horizontal="center" vertical="center" wrapText="1"/>
    </xf>
    <xf numFmtId="165" fontId="3" fillId="11" borderId="47" xfId="0" applyNumberFormat="1" applyFont="1" applyFill="1" applyBorder="1" applyAlignment="1">
      <alignment horizontal="center" vertical="center" wrapText="1"/>
    </xf>
    <xf numFmtId="165" fontId="3" fillId="11" borderId="40" xfId="0" applyNumberFormat="1" applyFont="1" applyFill="1" applyBorder="1" applyAlignment="1">
      <alignment horizontal="center" vertical="center" wrapText="1"/>
    </xf>
    <xf numFmtId="165" fontId="3" fillId="7" borderId="47" xfId="0" applyNumberFormat="1" applyFont="1" applyFill="1" applyBorder="1" applyAlignment="1">
      <alignment horizontal="center" vertical="center" wrapText="1"/>
    </xf>
    <xf numFmtId="165" fontId="3" fillId="19" borderId="40" xfId="0" applyNumberFormat="1" applyFont="1" applyFill="1" applyBorder="1" applyAlignment="1">
      <alignment horizontal="center" vertical="center" wrapText="1"/>
    </xf>
    <xf numFmtId="165" fontId="3" fillId="20" borderId="40" xfId="0" applyNumberFormat="1" applyFont="1" applyFill="1" applyBorder="1" applyAlignment="1">
      <alignment horizontal="center" vertical="center" wrapText="1"/>
    </xf>
    <xf numFmtId="0" fontId="1" fillId="3" borderId="4" xfId="0" applyFont="1" applyFill="1" applyBorder="1" applyAlignment="1" applyProtection="1">
      <alignment horizontal="center" vertical="center"/>
      <protection hidden="1"/>
    </xf>
    <xf numFmtId="0" fontId="22" fillId="21" borderId="13" xfId="0" applyFont="1" applyFill="1" applyBorder="1" applyAlignment="1" applyProtection="1">
      <alignment horizontal="center" vertical="center"/>
      <protection hidden="1"/>
    </xf>
    <xf numFmtId="0" fontId="22" fillId="17" borderId="4" xfId="0" applyFont="1" applyFill="1" applyBorder="1" applyAlignment="1" applyProtection="1">
      <alignment horizontal="center" vertical="center"/>
      <protection hidden="1"/>
    </xf>
    <xf numFmtId="0" fontId="22" fillId="22" borderId="4" xfId="0" applyFont="1" applyFill="1" applyBorder="1" applyAlignment="1" applyProtection="1">
      <alignment horizontal="center" vertical="center"/>
      <protection hidden="1"/>
    </xf>
    <xf numFmtId="1" fontId="0" fillId="6" borderId="13" xfId="0" applyNumberFormat="1" applyFill="1" applyBorder="1" applyAlignment="1">
      <alignment horizontal="center" vertical="center"/>
    </xf>
    <xf numFmtId="1" fontId="3" fillId="16" borderId="13" xfId="0" applyNumberFormat="1" applyFont="1" applyFill="1" applyBorder="1" applyAlignment="1">
      <alignment horizontal="center" vertical="center" wrapText="1"/>
    </xf>
    <xf numFmtId="1" fontId="3" fillId="17" borderId="20" xfId="0" applyNumberFormat="1" applyFont="1" applyFill="1" applyBorder="1" applyAlignment="1">
      <alignment horizontal="center" vertical="center" wrapText="1"/>
    </xf>
    <xf numFmtId="1" fontId="3" fillId="18" borderId="20" xfId="0" applyNumberFormat="1" applyFont="1" applyFill="1" applyBorder="1" applyAlignment="1">
      <alignment horizontal="center" vertical="center" wrapText="1"/>
    </xf>
    <xf numFmtId="1" fontId="3" fillId="11" borderId="20" xfId="0" applyNumberFormat="1" applyFont="1" applyFill="1" applyBorder="1" applyAlignment="1">
      <alignment horizontal="center" vertical="center" wrapText="1"/>
    </xf>
    <xf numFmtId="1" fontId="3" fillId="11" borderId="14" xfId="0" applyNumberFormat="1" applyFont="1" applyFill="1" applyBorder="1" applyAlignment="1">
      <alignment horizontal="center" vertical="center" wrapText="1"/>
    </xf>
    <xf numFmtId="1" fontId="3" fillId="11" borderId="5" xfId="0" applyNumberFormat="1" applyFont="1" applyFill="1" applyBorder="1" applyAlignment="1">
      <alignment horizontal="center" vertical="center" wrapText="1"/>
    </xf>
    <xf numFmtId="1" fontId="3" fillId="11" borderId="6" xfId="0" applyNumberFormat="1" applyFont="1" applyFill="1" applyBorder="1" applyAlignment="1">
      <alignment horizontal="center" vertical="center" wrapText="1"/>
    </xf>
    <xf numFmtId="1" fontId="3" fillId="19" borderId="6" xfId="0" applyNumberFormat="1" applyFont="1" applyFill="1" applyBorder="1" applyAlignment="1">
      <alignment horizontal="center" vertical="center" wrapText="1"/>
    </xf>
    <xf numFmtId="0" fontId="38" fillId="0" borderId="7" xfId="0" applyFont="1" applyBorder="1" applyAlignment="1">
      <alignment horizontal="center" vertical="center"/>
    </xf>
    <xf numFmtId="14" fontId="1" fillId="0" borderId="33" xfId="0" applyNumberFormat="1" applyFont="1" applyBorder="1" applyProtection="1">
      <protection hidden="1"/>
    </xf>
    <xf numFmtId="165" fontId="0" fillId="0" borderId="33" xfId="0" applyNumberFormat="1" applyBorder="1"/>
    <xf numFmtId="165" fontId="2" fillId="3" borderId="32" xfId="0" applyNumberFormat="1" applyFont="1" applyFill="1" applyBorder="1" applyAlignment="1">
      <alignment horizontal="right" vertical="center" wrapText="1"/>
    </xf>
    <xf numFmtId="165" fontId="2" fillId="3" borderId="33" xfId="0" applyNumberFormat="1" applyFont="1" applyFill="1" applyBorder="1" applyAlignment="1">
      <alignment horizontal="right" vertical="center" wrapText="1"/>
    </xf>
    <xf numFmtId="165" fontId="0" fillId="3" borderId="33" xfId="0" applyNumberFormat="1" applyFill="1" applyBorder="1" applyAlignment="1" applyProtection="1">
      <alignment horizontal="right" vertical="center"/>
      <protection locked="0"/>
    </xf>
    <xf numFmtId="0" fontId="0" fillId="0" borderId="34" xfId="0" applyBorder="1"/>
    <xf numFmtId="14" fontId="1" fillId="0" borderId="1" xfId="0" applyNumberFormat="1" applyFont="1" applyBorder="1" applyProtection="1">
      <protection hidden="1"/>
    </xf>
    <xf numFmtId="165" fontId="0" fillId="0" borderId="1" xfId="0" applyNumberFormat="1" applyBorder="1"/>
    <xf numFmtId="165" fontId="2" fillId="3" borderId="25" xfId="0" applyNumberFormat="1" applyFont="1" applyFill="1" applyBorder="1" applyAlignment="1">
      <alignment horizontal="right" vertical="center" wrapText="1"/>
    </xf>
    <xf numFmtId="165" fontId="2" fillId="3" borderId="1" xfId="0" applyNumberFormat="1" applyFont="1" applyFill="1" applyBorder="1" applyAlignment="1">
      <alignment horizontal="right" vertical="center" wrapText="1"/>
    </xf>
    <xf numFmtId="165" fontId="0" fillId="3" borderId="1" xfId="0" applyNumberFormat="1" applyFill="1" applyBorder="1" applyAlignment="1" applyProtection="1">
      <alignment horizontal="right" vertical="center"/>
      <protection locked="0"/>
    </xf>
    <xf numFmtId="165" fontId="0" fillId="3" borderId="25" xfId="0" applyNumberFormat="1" applyFill="1" applyBorder="1" applyAlignment="1" applyProtection="1">
      <alignment horizontal="right" vertical="center"/>
      <protection locked="0"/>
    </xf>
    <xf numFmtId="0" fontId="0" fillId="0" borderId="26" xfId="0" applyBorder="1"/>
    <xf numFmtId="0" fontId="0" fillId="0" borderId="1" xfId="0" applyBorder="1"/>
    <xf numFmtId="165" fontId="0" fillId="3" borderId="25" xfId="0" applyNumberFormat="1" applyFill="1" applyBorder="1"/>
    <xf numFmtId="165" fontId="0" fillId="4" borderId="1" xfId="0" applyNumberFormat="1" applyFill="1" applyBorder="1" applyAlignment="1" applyProtection="1">
      <alignment horizontal="right" vertical="center"/>
      <protection locked="0"/>
    </xf>
    <xf numFmtId="14" fontId="0" fillId="2" borderId="26" xfId="0" applyNumberFormat="1" applyFill="1" applyBorder="1"/>
    <xf numFmtId="165" fontId="0" fillId="0" borderId="1" xfId="0" applyNumberFormat="1" applyBorder="1" applyProtection="1">
      <protection hidden="1"/>
    </xf>
    <xf numFmtId="165" fontId="0" fillId="3" borderId="1" xfId="0" applyNumberFormat="1" applyFill="1" applyBorder="1" applyAlignment="1">
      <alignment horizontal="right" vertical="center"/>
    </xf>
    <xf numFmtId="0" fontId="0" fillId="3" borderId="69" xfId="0" applyFill="1" applyBorder="1" applyAlignment="1">
      <alignment horizontal="center" vertical="center"/>
    </xf>
    <xf numFmtId="0" fontId="0" fillId="3" borderId="70" xfId="0" applyFill="1" applyBorder="1" applyAlignment="1">
      <alignment horizontal="center" vertical="center"/>
    </xf>
    <xf numFmtId="0" fontId="1" fillId="3" borderId="70" xfId="0" applyFont="1" applyFill="1" applyBorder="1" applyAlignment="1">
      <alignment horizontal="center" vertical="center"/>
    </xf>
    <xf numFmtId="0" fontId="0" fillId="3" borderId="71" xfId="0" applyFill="1" applyBorder="1" applyAlignment="1">
      <alignment horizontal="center" vertical="center"/>
    </xf>
    <xf numFmtId="0" fontId="0" fillId="26" borderId="70" xfId="0" applyFill="1" applyBorder="1" applyAlignment="1">
      <alignment horizontal="center" vertical="center"/>
    </xf>
    <xf numFmtId="165" fontId="0" fillId="3" borderId="25" xfId="0" applyNumberFormat="1" applyFill="1" applyBorder="1" applyAlignment="1" applyProtection="1">
      <alignment vertical="center"/>
      <protection locked="0"/>
    </xf>
    <xf numFmtId="165" fontId="0" fillId="3" borderId="1" xfId="0" applyNumberFormat="1" applyFill="1" applyBorder="1" applyAlignment="1" applyProtection="1">
      <alignment vertical="center"/>
      <protection locked="0"/>
    </xf>
    <xf numFmtId="165" fontId="1" fillId="3" borderId="1" xfId="0" applyNumberFormat="1" applyFont="1" applyFill="1" applyBorder="1" applyAlignment="1" applyProtection="1">
      <alignment horizontal="right" vertical="center"/>
      <protection locked="0"/>
    </xf>
    <xf numFmtId="165" fontId="0" fillId="0" borderId="26" xfId="0" applyNumberFormat="1" applyBorder="1"/>
    <xf numFmtId="165" fontId="0" fillId="0" borderId="0" xfId="0" applyNumberFormat="1"/>
    <xf numFmtId="0" fontId="0" fillId="2" borderId="70" xfId="0" applyFill="1" applyBorder="1" applyAlignment="1">
      <alignment horizontal="center" vertical="center"/>
    </xf>
    <xf numFmtId="165" fontId="0" fillId="2" borderId="25" xfId="0" applyNumberFormat="1" applyFill="1" applyBorder="1" applyAlignment="1" applyProtection="1">
      <alignment horizontal="right" vertical="center"/>
      <protection locked="0"/>
    </xf>
    <xf numFmtId="165" fontId="0" fillId="2" borderId="1" xfId="0" applyNumberFormat="1" applyFill="1" applyBorder="1" applyAlignment="1" applyProtection="1">
      <alignment horizontal="right" vertical="center"/>
      <protection locked="0"/>
    </xf>
    <xf numFmtId="0" fontId="0" fillId="2" borderId="1" xfId="0" applyFill="1" applyBorder="1"/>
    <xf numFmtId="0" fontId="0" fillId="2" borderId="26" xfId="0" applyFill="1" applyBorder="1"/>
    <xf numFmtId="165" fontId="0" fillId="2" borderId="72" xfId="0" applyNumberFormat="1" applyFill="1" applyBorder="1" applyAlignment="1" applyProtection="1">
      <alignment horizontal="right" vertical="center"/>
      <protection locked="0"/>
    </xf>
    <xf numFmtId="165" fontId="0" fillId="2" borderId="28" xfId="0" applyNumberFormat="1" applyFill="1" applyBorder="1" applyAlignment="1" applyProtection="1">
      <alignment horizontal="right" vertical="center"/>
      <protection locked="0"/>
    </xf>
    <xf numFmtId="0" fontId="0" fillId="2" borderId="28" xfId="0" applyFill="1" applyBorder="1"/>
    <xf numFmtId="0" fontId="0" fillId="2" borderId="73" xfId="0" applyFill="1" applyBorder="1"/>
    <xf numFmtId="0" fontId="3" fillId="3" borderId="31" xfId="0" applyFont="1" applyFill="1" applyBorder="1" applyAlignment="1" applyProtection="1">
      <alignment horizontal="center" vertical="center"/>
      <protection hidden="1"/>
    </xf>
    <xf numFmtId="0" fontId="3" fillId="5" borderId="31" xfId="0" applyFont="1" applyFill="1" applyBorder="1" applyAlignment="1" applyProtection="1">
      <alignment horizontal="center" vertical="center" wrapText="1"/>
      <protection hidden="1"/>
    </xf>
    <xf numFmtId="165" fontId="38" fillId="5" borderId="24" xfId="0" applyNumberFormat="1" applyFont="1" applyFill="1" applyBorder="1" applyAlignment="1" applyProtection="1">
      <alignment horizontal="center" vertical="center" wrapText="1"/>
      <protection hidden="1"/>
    </xf>
    <xf numFmtId="165" fontId="3" fillId="3" borderId="27" xfId="0" applyNumberFormat="1" applyFont="1" applyFill="1" applyBorder="1" applyAlignment="1" applyProtection="1">
      <alignment horizontal="center" vertical="center" wrapText="1"/>
      <protection hidden="1"/>
    </xf>
    <xf numFmtId="10" fontId="38" fillId="3" borderId="67" xfId="1" applyNumberFormat="1" applyFont="1" applyFill="1" applyBorder="1" applyAlignment="1" applyProtection="1">
      <alignment horizontal="center" vertical="center" wrapText="1"/>
      <protection hidden="1"/>
    </xf>
    <xf numFmtId="9" fontId="3" fillId="3" borderId="24" xfId="1" applyFont="1" applyFill="1" applyBorder="1" applyAlignment="1" applyProtection="1">
      <alignment horizontal="center" vertical="center" wrapText="1"/>
      <protection hidden="1"/>
    </xf>
    <xf numFmtId="1" fontId="44" fillId="3" borderId="13" xfId="0" applyNumberFormat="1" applyFont="1" applyFill="1" applyBorder="1" applyAlignment="1" applyProtection="1">
      <alignment horizontal="center" vertical="center"/>
      <protection hidden="1"/>
    </xf>
    <xf numFmtId="1" fontId="44" fillId="3" borderId="4" xfId="1" applyNumberFormat="1" applyFont="1" applyFill="1" applyBorder="1" applyAlignment="1" applyProtection="1">
      <alignment horizontal="center" vertical="center" wrapText="1"/>
      <protection hidden="1"/>
    </xf>
    <xf numFmtId="0" fontId="45" fillId="0" borderId="0" xfId="0" applyFont="1" applyProtection="1">
      <protection hidden="1"/>
    </xf>
    <xf numFmtId="165" fontId="46" fillId="2" borderId="74" xfId="0" applyNumberFormat="1" applyFont="1" applyFill="1" applyBorder="1" applyAlignment="1" applyProtection="1">
      <alignment horizontal="right" vertical="center"/>
      <protection locked="0"/>
    </xf>
    <xf numFmtId="165" fontId="1" fillId="6" borderId="15" xfId="0" applyNumberFormat="1" applyFont="1" applyFill="1" applyBorder="1" applyAlignment="1" applyProtection="1">
      <alignment horizontal="right" vertical="center" indent="1"/>
      <protection hidden="1"/>
    </xf>
    <xf numFmtId="165" fontId="46" fillId="2" borderId="75" xfId="0" applyNumberFormat="1" applyFont="1" applyFill="1" applyBorder="1" applyAlignment="1" applyProtection="1">
      <alignment horizontal="right" vertical="center"/>
      <protection locked="0"/>
    </xf>
    <xf numFmtId="10" fontId="1" fillId="6" borderId="9" xfId="1" applyNumberFormat="1" applyFont="1" applyFill="1" applyBorder="1" applyAlignment="1" applyProtection="1">
      <alignment horizontal="right" vertical="center" indent="1"/>
      <protection hidden="1"/>
    </xf>
    <xf numFmtId="165" fontId="46" fillId="2" borderId="76" xfId="0" applyNumberFormat="1" applyFont="1" applyFill="1" applyBorder="1" applyAlignment="1" applyProtection="1">
      <alignment horizontal="right" vertical="center"/>
      <protection locked="0"/>
    </xf>
    <xf numFmtId="10" fontId="1" fillId="6" borderId="42" xfId="1" applyNumberFormat="1" applyFont="1" applyFill="1" applyBorder="1" applyAlignment="1" applyProtection="1">
      <alignment horizontal="right" vertical="center" indent="1"/>
      <protection hidden="1"/>
    </xf>
    <xf numFmtId="0" fontId="30" fillId="12" borderId="0" xfId="0" applyFont="1" applyFill="1" applyProtection="1">
      <protection hidden="1"/>
    </xf>
    <xf numFmtId="0" fontId="30" fillId="2" borderId="0" xfId="0" applyFont="1" applyFill="1" applyProtection="1">
      <protection hidden="1"/>
    </xf>
    <xf numFmtId="165" fontId="46" fillId="0" borderId="75" xfId="0" applyNumberFormat="1" applyFont="1" applyBorder="1" applyAlignment="1" applyProtection="1">
      <alignment horizontal="right" vertical="center"/>
      <protection locked="0"/>
    </xf>
    <xf numFmtId="10" fontId="1" fillId="6" borderId="10" xfId="1" applyNumberFormat="1" applyFont="1" applyFill="1" applyBorder="1" applyAlignment="1" applyProtection="1">
      <alignment horizontal="right" vertical="center" indent="1"/>
      <protection hidden="1"/>
    </xf>
    <xf numFmtId="0" fontId="30" fillId="0" borderId="0" xfId="0" applyFont="1" applyAlignment="1" applyProtection="1">
      <alignment vertical="center"/>
      <protection hidden="1"/>
    </xf>
    <xf numFmtId="10" fontId="47" fillId="19" borderId="4" xfId="1" applyNumberFormat="1" applyFont="1" applyFill="1" applyBorder="1" applyAlignment="1" applyProtection="1">
      <alignment horizontal="right" vertical="center" indent="1"/>
      <protection hidden="1"/>
    </xf>
    <xf numFmtId="0" fontId="23" fillId="0" borderId="0" xfId="0" applyFont="1" applyAlignment="1" applyProtection="1">
      <alignment horizontal="center" vertical="center"/>
      <protection hidden="1"/>
    </xf>
    <xf numFmtId="10" fontId="23" fillId="0" borderId="0" xfId="0" applyNumberFormat="1" applyFont="1" applyAlignment="1" applyProtection="1">
      <alignment vertical="center"/>
      <protection hidden="1"/>
    </xf>
    <xf numFmtId="10" fontId="48" fillId="2" borderId="4" xfId="0" applyNumberFormat="1" applyFont="1" applyFill="1" applyBorder="1" applyAlignment="1" applyProtection="1">
      <alignment horizontal="right" vertical="center"/>
      <protection locked="0"/>
    </xf>
    <xf numFmtId="0" fontId="48" fillId="0" borderId="0" xfId="0" applyFont="1" applyAlignment="1" applyProtection="1">
      <alignment horizontal="center" vertical="center"/>
      <protection hidden="1"/>
    </xf>
    <xf numFmtId="10" fontId="48" fillId="2" borderId="0" xfId="0" applyNumberFormat="1" applyFont="1" applyFill="1" applyAlignment="1" applyProtection="1">
      <alignment vertical="center"/>
      <protection hidden="1"/>
    </xf>
    <xf numFmtId="165" fontId="49" fillId="0" borderId="0" xfId="0" applyNumberFormat="1" applyFont="1" applyProtection="1">
      <protection hidden="1"/>
    </xf>
    <xf numFmtId="0" fontId="9" fillId="0" borderId="0" xfId="0" applyFont="1" applyAlignment="1" applyProtection="1">
      <alignment vertical="center" wrapText="1"/>
      <protection hidden="1"/>
    </xf>
    <xf numFmtId="165" fontId="22" fillId="2" borderId="0" xfId="1" applyNumberFormat="1" applyFont="1" applyFill="1" applyBorder="1" applyAlignment="1" applyProtection="1">
      <alignment vertical="center"/>
      <protection hidden="1"/>
    </xf>
    <xf numFmtId="9" fontId="30" fillId="2" borderId="0" xfId="1" applyFont="1" applyFill="1" applyBorder="1" applyAlignment="1" applyProtection="1">
      <alignment vertical="center"/>
      <protection hidden="1"/>
    </xf>
    <xf numFmtId="0" fontId="22" fillId="2" borderId="0" xfId="0" applyFont="1" applyFill="1" applyAlignment="1" applyProtection="1">
      <alignment vertical="center"/>
      <protection hidden="1"/>
    </xf>
    <xf numFmtId="165" fontId="22" fillId="2" borderId="0" xfId="0" applyNumberFormat="1" applyFont="1" applyFill="1" applyAlignment="1" applyProtection="1">
      <alignment vertical="center"/>
      <protection hidden="1"/>
    </xf>
    <xf numFmtId="0" fontId="28" fillId="2" borderId="0" xfId="0" applyFont="1" applyFill="1" applyAlignment="1" applyProtection="1">
      <alignment vertical="center" wrapText="1"/>
      <protection hidden="1"/>
    </xf>
    <xf numFmtId="165" fontId="13" fillId="2" borderId="0" xfId="0" applyNumberFormat="1" applyFont="1" applyFill="1" applyAlignment="1" applyProtection="1">
      <alignment vertical="center"/>
      <protection hidden="1"/>
    </xf>
    <xf numFmtId="9" fontId="0" fillId="2" borderId="0" xfId="1" applyFont="1" applyFill="1" applyAlignment="1" applyProtection="1">
      <alignment vertical="center"/>
      <protection hidden="1"/>
    </xf>
    <xf numFmtId="10" fontId="0" fillId="0" borderId="0" xfId="1" applyNumberFormat="1" applyFont="1" applyAlignment="1" applyProtection="1">
      <alignment vertical="center"/>
      <protection hidden="1"/>
    </xf>
    <xf numFmtId="165" fontId="0" fillId="0" borderId="0" xfId="0" applyNumberFormat="1" applyAlignment="1" applyProtection="1">
      <alignment horizontal="right" vertical="center"/>
      <protection hidden="1"/>
    </xf>
    <xf numFmtId="165" fontId="0" fillId="0" borderId="0" xfId="0" applyNumberFormat="1" applyAlignment="1" applyProtection="1">
      <alignment vertical="center"/>
      <protection hidden="1"/>
    </xf>
    <xf numFmtId="9" fontId="0" fillId="0" borderId="0" xfId="1" applyFont="1" applyAlignment="1" applyProtection="1">
      <alignment vertical="center"/>
      <protection hidden="1"/>
    </xf>
    <xf numFmtId="10" fontId="1" fillId="6" borderId="15" xfId="1" applyNumberFormat="1" applyFont="1" applyFill="1" applyBorder="1" applyAlignment="1" applyProtection="1">
      <alignment horizontal="right" vertical="center" indent="1"/>
      <protection hidden="1"/>
    </xf>
    <xf numFmtId="10" fontId="21" fillId="11" borderId="11" xfId="1" applyNumberFormat="1" applyFont="1" applyFill="1" applyBorder="1" applyAlignment="1" applyProtection="1">
      <alignment horizontal="right" vertical="center" indent="1"/>
      <protection hidden="1"/>
    </xf>
    <xf numFmtId="165" fontId="46" fillId="2" borderId="45" xfId="0" applyNumberFormat="1" applyFont="1" applyFill="1" applyBorder="1" applyAlignment="1" applyProtection="1">
      <alignment horizontal="right" vertical="center"/>
      <protection locked="0"/>
    </xf>
    <xf numFmtId="1" fontId="44" fillId="5" borderId="14" xfId="0" applyNumberFormat="1" applyFont="1" applyFill="1" applyBorder="1" applyAlignment="1" applyProtection="1">
      <alignment horizontal="center" vertical="center" wrapText="1"/>
      <protection hidden="1"/>
    </xf>
    <xf numFmtId="0" fontId="30" fillId="0" borderId="21" xfId="0" applyFont="1" applyBorder="1" applyProtection="1">
      <protection hidden="1"/>
    </xf>
    <xf numFmtId="0" fontId="22" fillId="0" borderId="0" xfId="0" applyFont="1" applyProtection="1">
      <protection hidden="1"/>
    </xf>
    <xf numFmtId="0" fontId="22" fillId="0" borderId="0" xfId="0" applyFont="1" applyAlignment="1" applyProtection="1">
      <alignment horizontal="center"/>
      <protection hidden="1"/>
    </xf>
    <xf numFmtId="166" fontId="5" fillId="0" borderId="78" xfId="0" applyNumberFormat="1" applyFont="1" applyBorder="1" applyAlignment="1" applyProtection="1">
      <alignment horizontal="center" vertical="center"/>
      <protection locked="0"/>
    </xf>
    <xf numFmtId="0" fontId="54" fillId="0" borderId="0" xfId="0" applyFont="1" applyAlignment="1" applyProtection="1">
      <alignment horizontal="center" vertical="center"/>
      <protection hidden="1"/>
    </xf>
    <xf numFmtId="0" fontId="54" fillId="2" borderId="0" xfId="0" applyFont="1" applyFill="1" applyAlignment="1" applyProtection="1">
      <alignment horizontal="center" vertical="center"/>
      <protection hidden="1"/>
    </xf>
    <xf numFmtId="9" fontId="55" fillId="27" borderId="0" xfId="1" applyFont="1" applyFill="1" applyBorder="1" applyAlignment="1" applyProtection="1">
      <alignment horizontal="center" vertical="center" wrapText="1"/>
      <protection hidden="1"/>
    </xf>
    <xf numFmtId="1" fontId="56" fillId="27" borderId="0" xfId="1" applyNumberFormat="1" applyFont="1" applyFill="1" applyBorder="1" applyAlignment="1" applyProtection="1">
      <alignment horizontal="center" vertical="center" wrapText="1"/>
      <protection hidden="1"/>
    </xf>
    <xf numFmtId="1" fontId="19" fillId="6" borderId="0" xfId="1" applyNumberFormat="1" applyFont="1" applyFill="1" applyBorder="1" applyAlignment="1" applyProtection="1">
      <alignment horizontal="center" vertical="center"/>
      <protection hidden="1"/>
    </xf>
    <xf numFmtId="10" fontId="19" fillId="0" borderId="0" xfId="1" applyNumberFormat="1" applyFont="1" applyFill="1" applyBorder="1" applyAlignment="1" applyProtection="1">
      <alignment vertical="center"/>
      <protection hidden="1"/>
    </xf>
    <xf numFmtId="10" fontId="19" fillId="2" borderId="0" xfId="1" applyNumberFormat="1" applyFont="1" applyFill="1" applyBorder="1" applyAlignment="1" applyProtection="1">
      <alignment vertical="center"/>
      <protection hidden="1"/>
    </xf>
    <xf numFmtId="10" fontId="19" fillId="11" borderId="0" xfId="1" applyNumberFormat="1" applyFont="1" applyFill="1" applyBorder="1" applyAlignment="1" applyProtection="1">
      <alignment vertical="center"/>
      <protection hidden="1"/>
    </xf>
    <xf numFmtId="10" fontId="57" fillId="2" borderId="0" xfId="0" applyNumberFormat="1" applyFont="1" applyFill="1" applyAlignment="1" applyProtection="1">
      <alignment vertical="center"/>
      <protection hidden="1"/>
    </xf>
    <xf numFmtId="10" fontId="57" fillId="0" borderId="0" xfId="0" applyNumberFormat="1" applyFont="1" applyAlignment="1" applyProtection="1">
      <alignment vertical="center"/>
      <protection hidden="1"/>
    </xf>
    <xf numFmtId="10" fontId="57" fillId="2" borderId="0" xfId="0" applyNumberFormat="1" applyFont="1" applyFill="1" applyAlignment="1" applyProtection="1">
      <alignment horizontal="right" vertical="center"/>
      <protection hidden="1"/>
    </xf>
    <xf numFmtId="10" fontId="57" fillId="2" borderId="0" xfId="0" applyNumberFormat="1" applyFont="1" applyFill="1" applyAlignment="1" applyProtection="1">
      <alignment horizontal="center" vertical="center"/>
      <protection hidden="1"/>
    </xf>
    <xf numFmtId="0" fontId="58" fillId="2" borderId="0" xfId="0" applyFont="1" applyFill="1" applyAlignment="1" applyProtection="1">
      <alignment vertical="center" wrapText="1"/>
      <protection hidden="1"/>
    </xf>
    <xf numFmtId="9" fontId="53" fillId="0" borderId="0" xfId="1" applyFont="1" applyAlignment="1" applyProtection="1">
      <alignment vertical="center"/>
      <protection hidden="1"/>
    </xf>
    <xf numFmtId="0" fontId="53" fillId="2" borderId="0" xfId="0" applyFont="1" applyFill="1" applyProtection="1">
      <protection hidden="1"/>
    </xf>
    <xf numFmtId="10" fontId="54" fillId="2" borderId="0" xfId="1" applyNumberFormat="1" applyFont="1" applyFill="1" applyBorder="1" applyAlignment="1" applyProtection="1">
      <alignment vertical="top" wrapText="1"/>
      <protection hidden="1"/>
    </xf>
    <xf numFmtId="165" fontId="57" fillId="2" borderId="0" xfId="1" applyNumberFormat="1" applyFont="1" applyFill="1" applyBorder="1" applyAlignment="1" applyProtection="1">
      <alignment vertical="center"/>
      <protection hidden="1"/>
    </xf>
    <xf numFmtId="165" fontId="57" fillId="2" borderId="0" xfId="0" applyNumberFormat="1" applyFont="1" applyFill="1" applyAlignment="1" applyProtection="1">
      <alignment vertical="center"/>
      <protection hidden="1"/>
    </xf>
    <xf numFmtId="9" fontId="53" fillId="2" borderId="0" xfId="1" applyFont="1" applyFill="1" applyAlignment="1" applyProtection="1">
      <alignment vertical="center"/>
      <protection hidden="1"/>
    </xf>
    <xf numFmtId="0" fontId="57" fillId="2" borderId="0" xfId="0" applyFont="1" applyFill="1" applyAlignment="1" applyProtection="1">
      <alignment vertical="justify" wrapText="1"/>
      <protection hidden="1"/>
    </xf>
    <xf numFmtId="14" fontId="1" fillId="0" borderId="79" xfId="0" applyNumberFormat="1" applyFont="1" applyBorder="1" applyProtection="1">
      <protection hidden="1"/>
    </xf>
    <xf numFmtId="165" fontId="0" fillId="0" borderId="38" xfId="0" applyNumberFormat="1" applyBorder="1"/>
    <xf numFmtId="14" fontId="1" fillId="0" borderId="25" xfId="0" applyNumberFormat="1" applyFont="1" applyBorder="1" applyProtection="1">
      <protection hidden="1"/>
    </xf>
    <xf numFmtId="0" fontId="0" fillId="0" borderId="72" xfId="0" applyBorder="1"/>
    <xf numFmtId="0" fontId="0" fillId="0" borderId="28" xfId="0" applyBorder="1"/>
    <xf numFmtId="0" fontId="0" fillId="0" borderId="0" xfId="0" applyAlignment="1" applyProtection="1">
      <alignment horizontal="left" vertical="center"/>
      <protection hidden="1"/>
    </xf>
    <xf numFmtId="10" fontId="1" fillId="19" borderId="4" xfId="0" applyNumberFormat="1" applyFont="1" applyFill="1" applyBorder="1" applyAlignment="1" applyProtection="1">
      <alignment horizontal="right" vertical="center"/>
      <protection hidden="1"/>
    </xf>
    <xf numFmtId="0" fontId="1" fillId="11" borderId="20" xfId="0" applyFont="1" applyFill="1" applyBorder="1" applyAlignment="1">
      <alignment horizontal="center" vertical="center"/>
    </xf>
    <xf numFmtId="0" fontId="5" fillId="0" borderId="0" xfId="0" applyFont="1" applyAlignment="1">
      <alignment horizontal="center" vertical="center"/>
    </xf>
    <xf numFmtId="10" fontId="0" fillId="3" borderId="80" xfId="1" applyNumberFormat="1" applyFont="1" applyFill="1" applyBorder="1" applyAlignment="1" applyProtection="1">
      <alignment horizontal="right" vertical="center" indent="1"/>
      <protection hidden="1"/>
    </xf>
    <xf numFmtId="10" fontId="0" fillId="3" borderId="22" xfId="1" applyNumberFormat="1" applyFont="1" applyFill="1" applyBorder="1" applyAlignment="1" applyProtection="1">
      <alignment horizontal="right" vertical="center" indent="1"/>
      <protection hidden="1"/>
    </xf>
    <xf numFmtId="1" fontId="44" fillId="3" borderId="67" xfId="0" applyNumberFormat="1" applyFont="1" applyFill="1" applyBorder="1" applyAlignment="1" applyProtection="1">
      <alignment horizontal="center" vertical="center" wrapText="1"/>
      <protection hidden="1"/>
    </xf>
    <xf numFmtId="165" fontId="1" fillId="6" borderId="23" xfId="0" applyNumberFormat="1" applyFont="1" applyFill="1" applyBorder="1" applyAlignment="1" applyProtection="1">
      <alignment horizontal="right" vertical="center" indent="1"/>
      <protection hidden="1"/>
    </xf>
    <xf numFmtId="165" fontId="1" fillId="6" borderId="11" xfId="0" applyNumberFormat="1" applyFont="1" applyFill="1" applyBorder="1" applyAlignment="1" applyProtection="1">
      <alignment horizontal="right" vertical="center" indent="1"/>
      <protection hidden="1"/>
    </xf>
    <xf numFmtId="165" fontId="28" fillId="5" borderId="14" xfId="0" applyNumberFormat="1" applyFont="1" applyFill="1" applyBorder="1" applyAlignment="1" applyProtection="1">
      <alignment vertical="center"/>
      <protection hidden="1"/>
    </xf>
    <xf numFmtId="165" fontId="13" fillId="10" borderId="4" xfId="0" applyNumberFormat="1" applyFont="1" applyFill="1" applyBorder="1" applyAlignment="1" applyProtection="1">
      <alignment horizontal="right" vertical="center"/>
      <protection hidden="1"/>
    </xf>
    <xf numFmtId="165" fontId="13" fillId="30" borderId="4" xfId="0" applyNumberFormat="1" applyFont="1" applyFill="1" applyBorder="1" applyAlignment="1" applyProtection="1">
      <alignment horizontal="right" vertical="center"/>
      <protection hidden="1"/>
    </xf>
    <xf numFmtId="165" fontId="1" fillId="29" borderId="4" xfId="0" applyNumberFormat="1" applyFont="1" applyFill="1" applyBorder="1" applyAlignment="1" applyProtection="1">
      <alignment horizontal="right" vertical="center"/>
      <protection hidden="1"/>
    </xf>
    <xf numFmtId="0" fontId="22" fillId="23" borderId="20" xfId="0" applyFont="1" applyFill="1" applyBorder="1" applyAlignment="1" applyProtection="1">
      <alignment horizontal="center" vertical="center"/>
      <protection hidden="1"/>
    </xf>
    <xf numFmtId="165" fontId="0" fillId="0" borderId="35" xfId="0" applyNumberFormat="1" applyBorder="1"/>
    <xf numFmtId="165" fontId="0" fillId="0" borderId="2" xfId="0" applyNumberFormat="1" applyBorder="1"/>
    <xf numFmtId="0" fontId="0" fillId="0" borderId="12" xfId="0" applyBorder="1"/>
    <xf numFmtId="165" fontId="0" fillId="0" borderId="8" xfId="0" applyNumberFormat="1" applyBorder="1"/>
    <xf numFmtId="165" fontId="0" fillId="0" borderId="2" xfId="0" applyNumberFormat="1" applyBorder="1" applyProtection="1">
      <protection hidden="1"/>
    </xf>
    <xf numFmtId="0" fontId="0" fillId="0" borderId="2" xfId="0" applyBorder="1"/>
    <xf numFmtId="165" fontId="3" fillId="3" borderId="52" xfId="0" applyNumberFormat="1" applyFont="1" applyFill="1" applyBorder="1" applyAlignment="1">
      <alignment horizontal="center" vertical="center" wrapText="1"/>
    </xf>
    <xf numFmtId="165" fontId="3" fillId="6" borderId="83" xfId="0" applyNumberFormat="1" applyFont="1" applyFill="1" applyBorder="1" applyAlignment="1">
      <alignment horizontal="center" vertical="center" wrapText="1"/>
    </xf>
    <xf numFmtId="165" fontId="3" fillId="24" borderId="84" xfId="0" applyNumberFormat="1" applyFont="1" applyFill="1" applyBorder="1" applyAlignment="1">
      <alignment horizontal="center" vertical="center" wrapText="1"/>
    </xf>
    <xf numFmtId="165" fontId="0" fillId="0" borderId="87" xfId="0" applyNumberFormat="1" applyBorder="1"/>
    <xf numFmtId="165" fontId="0" fillId="0" borderId="88" xfId="0" applyNumberFormat="1" applyBorder="1"/>
    <xf numFmtId="0" fontId="0" fillId="0" borderId="89" xfId="0" applyBorder="1"/>
    <xf numFmtId="0" fontId="0" fillId="0" borderId="90" xfId="0" applyBorder="1"/>
    <xf numFmtId="165" fontId="0" fillId="0" borderId="91" xfId="0" applyNumberFormat="1" applyBorder="1"/>
    <xf numFmtId="165" fontId="0" fillId="0" borderId="92" xfId="0" applyNumberFormat="1" applyBorder="1"/>
    <xf numFmtId="0" fontId="0" fillId="0" borderId="87" xfId="0" applyBorder="1"/>
    <xf numFmtId="0" fontId="0" fillId="0" borderId="88" xfId="0" applyBorder="1"/>
    <xf numFmtId="0" fontId="0" fillId="0" borderId="93" xfId="0" applyBorder="1"/>
    <xf numFmtId="0" fontId="0" fillId="0" borderId="94" xfId="0" applyBorder="1"/>
    <xf numFmtId="0" fontId="0" fillId="0" borderId="95" xfId="0" applyBorder="1"/>
    <xf numFmtId="165" fontId="1" fillId="0" borderId="85" xfId="0" applyNumberFormat="1" applyFont="1" applyBorder="1"/>
    <xf numFmtId="165" fontId="1" fillId="0" borderId="38" xfId="0" applyNumberFormat="1" applyFont="1" applyBorder="1"/>
    <xf numFmtId="165" fontId="1" fillId="0" borderId="86" xfId="0" applyNumberFormat="1" applyFont="1" applyBorder="1"/>
    <xf numFmtId="10" fontId="0" fillId="0" borderId="30" xfId="1" applyNumberFormat="1" applyFont="1" applyBorder="1" applyAlignment="1" applyProtection="1">
      <alignment vertical="center"/>
      <protection hidden="1"/>
    </xf>
    <xf numFmtId="10" fontId="13" fillId="10" borderId="4" xfId="0" applyNumberFormat="1" applyFont="1" applyFill="1" applyBorder="1" applyAlignment="1" applyProtection="1">
      <alignment vertical="center"/>
      <protection hidden="1"/>
    </xf>
    <xf numFmtId="165" fontId="13" fillId="11" borderId="4" xfId="0" applyNumberFormat="1" applyFont="1" applyFill="1" applyBorder="1" applyAlignment="1" applyProtection="1">
      <alignment vertical="center"/>
      <protection hidden="1"/>
    </xf>
    <xf numFmtId="1" fontId="44" fillId="5" borderId="24" xfId="0" applyNumberFormat="1" applyFont="1" applyFill="1" applyBorder="1" applyAlignment="1" applyProtection="1">
      <alignment horizontal="center" vertical="center"/>
      <protection hidden="1"/>
    </xf>
    <xf numFmtId="1" fontId="1" fillId="6" borderId="15" xfId="1" applyNumberFormat="1" applyFont="1" applyFill="1" applyBorder="1" applyAlignment="1" applyProtection="1">
      <alignment horizontal="center" vertical="center"/>
      <protection hidden="1"/>
    </xf>
    <xf numFmtId="1" fontId="1" fillId="6" borderId="9" xfId="1" applyNumberFormat="1" applyFont="1" applyFill="1" applyBorder="1" applyAlignment="1" applyProtection="1">
      <alignment horizontal="center" vertical="center"/>
      <protection hidden="1"/>
    </xf>
    <xf numFmtId="1" fontId="1" fillId="6" borderId="42" xfId="1" applyNumberFormat="1" applyFont="1" applyFill="1" applyBorder="1" applyAlignment="1" applyProtection="1">
      <alignment horizontal="center" vertical="center"/>
      <protection hidden="1"/>
    </xf>
    <xf numFmtId="1" fontId="1" fillId="6" borderId="10" xfId="1" applyNumberFormat="1" applyFont="1" applyFill="1" applyBorder="1" applyAlignment="1" applyProtection="1">
      <alignment horizontal="center" vertical="center"/>
      <protection hidden="1"/>
    </xf>
    <xf numFmtId="0" fontId="13" fillId="2" borderId="4" xfId="0" applyFont="1" applyFill="1" applyBorder="1" applyAlignment="1" applyProtection="1">
      <alignment horizontal="center" vertical="center"/>
      <protection locked="0"/>
    </xf>
    <xf numFmtId="166" fontId="1" fillId="0" borderId="0" xfId="0" applyNumberFormat="1" applyFont="1" applyAlignment="1" applyProtection="1">
      <alignment horizontal="center" vertical="center"/>
      <protection locked="0"/>
    </xf>
    <xf numFmtId="166" fontId="3" fillId="6" borderId="59" xfId="0" applyNumberFormat="1" applyFont="1" applyFill="1" applyBorder="1" applyAlignment="1" applyProtection="1">
      <alignment horizontal="center" vertical="center"/>
      <protection hidden="1"/>
    </xf>
    <xf numFmtId="0" fontId="3" fillId="6" borderId="60" xfId="0" applyFont="1" applyFill="1" applyBorder="1" applyAlignment="1" applyProtection="1">
      <alignment horizontal="center" vertical="center"/>
      <protection locked="0"/>
    </xf>
    <xf numFmtId="165" fontId="0" fillId="3" borderId="2" xfId="0" applyNumberFormat="1" applyFill="1" applyBorder="1" applyAlignment="1" applyProtection="1">
      <alignment horizontal="right" vertical="center"/>
      <protection locked="0"/>
    </xf>
    <xf numFmtId="165" fontId="0" fillId="2" borderId="2" xfId="0" applyNumberFormat="1" applyFill="1" applyBorder="1" applyAlignment="1" applyProtection="1">
      <alignment horizontal="right" vertical="center"/>
      <protection locked="0"/>
    </xf>
    <xf numFmtId="165" fontId="0" fillId="2" borderId="12" xfId="0" applyNumberFormat="1" applyFill="1" applyBorder="1" applyAlignment="1" applyProtection="1">
      <alignment horizontal="right" vertical="center"/>
      <protection locked="0"/>
    </xf>
    <xf numFmtId="165" fontId="0" fillId="3" borderId="18" xfId="0" applyNumberFormat="1" applyFill="1" applyBorder="1" applyAlignment="1" applyProtection="1">
      <alignment horizontal="right" vertical="center"/>
      <protection locked="0"/>
    </xf>
    <xf numFmtId="165" fontId="0" fillId="3" borderId="3" xfId="0" applyNumberFormat="1" applyFill="1" applyBorder="1" applyAlignment="1" applyProtection="1">
      <alignment horizontal="right" vertical="center"/>
      <protection locked="0"/>
    </xf>
    <xf numFmtId="165" fontId="0" fillId="3" borderId="3" xfId="0" applyNumberFormat="1" applyFill="1" applyBorder="1" applyAlignment="1">
      <alignment horizontal="right" vertical="center"/>
    </xf>
    <xf numFmtId="165" fontId="0" fillId="2" borderId="3" xfId="0" applyNumberFormat="1" applyFill="1" applyBorder="1" applyAlignment="1" applyProtection="1">
      <alignment horizontal="right" vertical="center"/>
      <protection locked="0"/>
    </xf>
    <xf numFmtId="165" fontId="0" fillId="2" borderId="19" xfId="0" applyNumberFormat="1" applyFill="1" applyBorder="1" applyAlignment="1" applyProtection="1">
      <alignment horizontal="right" vertical="center"/>
      <protection locked="0"/>
    </xf>
    <xf numFmtId="1" fontId="3" fillId="11" borderId="96" xfId="0" applyNumberFormat="1" applyFont="1" applyFill="1" applyBorder="1" applyAlignment="1">
      <alignment horizontal="center" vertical="center" wrapText="1"/>
    </xf>
    <xf numFmtId="165" fontId="0" fillId="3" borderId="9" xfId="0" applyNumberFormat="1" applyFill="1" applyBorder="1" applyAlignment="1" applyProtection="1">
      <alignment horizontal="right" vertical="center"/>
      <protection locked="0"/>
    </xf>
    <xf numFmtId="165" fontId="0" fillId="2" borderId="9" xfId="0" applyNumberFormat="1" applyFill="1" applyBorder="1" applyAlignment="1" applyProtection="1">
      <alignment horizontal="right" vertical="center"/>
      <protection locked="0"/>
    </xf>
    <xf numFmtId="165" fontId="0" fillId="2" borderId="10" xfId="0" applyNumberFormat="1" applyFill="1" applyBorder="1" applyAlignment="1" applyProtection="1">
      <alignment horizontal="right" vertical="center"/>
      <protection locked="0"/>
    </xf>
    <xf numFmtId="165" fontId="0" fillId="0" borderId="3" xfId="0" applyNumberFormat="1" applyBorder="1"/>
    <xf numFmtId="165" fontId="0" fillId="0" borderId="18" xfId="0" applyNumberFormat="1" applyBorder="1"/>
    <xf numFmtId="0" fontId="0" fillId="0" borderId="3" xfId="0" applyBorder="1"/>
    <xf numFmtId="165" fontId="0" fillId="0" borderId="25" xfId="0" applyNumberFormat="1" applyBorder="1"/>
    <xf numFmtId="0" fontId="0" fillId="0" borderId="25" xfId="0" applyBorder="1"/>
    <xf numFmtId="0" fontId="0" fillId="0" borderId="73" xfId="0" applyBorder="1"/>
    <xf numFmtId="165" fontId="1" fillId="0" borderId="33" xfId="0" applyNumberFormat="1" applyFont="1" applyBorder="1"/>
    <xf numFmtId="165" fontId="1" fillId="0" borderId="34" xfId="0" applyNumberFormat="1" applyFont="1" applyBorder="1"/>
    <xf numFmtId="165" fontId="3" fillId="3" borderId="5" xfId="0" applyNumberFormat="1" applyFont="1" applyFill="1" applyBorder="1" applyAlignment="1">
      <alignment horizontal="center" vertical="center" wrapText="1"/>
    </xf>
    <xf numFmtId="165" fontId="3" fillId="6" borderId="6" xfId="0" applyNumberFormat="1" applyFont="1" applyFill="1" applyBorder="1" applyAlignment="1">
      <alignment horizontal="center" vertical="center" wrapText="1"/>
    </xf>
    <xf numFmtId="165" fontId="3" fillId="24" borderId="7" xfId="0" applyNumberFormat="1" applyFont="1" applyFill="1" applyBorder="1" applyAlignment="1">
      <alignment horizontal="center" vertical="center" wrapText="1"/>
    </xf>
    <xf numFmtId="165" fontId="3" fillId="20" borderId="77" xfId="0" applyNumberFormat="1" applyFont="1" applyFill="1" applyBorder="1" applyAlignment="1">
      <alignment horizontal="center" vertical="center" wrapText="1"/>
    </xf>
    <xf numFmtId="0" fontId="38" fillId="0" borderId="14" xfId="0" applyFont="1" applyBorder="1" applyAlignment="1">
      <alignment horizontal="center" vertical="center"/>
    </xf>
    <xf numFmtId="0" fontId="0" fillId="0" borderId="80" xfId="0" applyBorder="1"/>
    <xf numFmtId="0" fontId="0" fillId="0" borderId="97" xfId="0" applyBorder="1"/>
    <xf numFmtId="14" fontId="0" fillId="2" borderId="97" xfId="0" applyNumberFormat="1" applyFill="1" applyBorder="1"/>
    <xf numFmtId="165" fontId="0" fillId="0" borderId="97" xfId="0" applyNumberFormat="1" applyBorder="1"/>
    <xf numFmtId="0" fontId="0" fillId="2" borderId="97" xfId="0" applyFill="1" applyBorder="1"/>
    <xf numFmtId="0" fontId="0" fillId="2" borderId="46" xfId="0" applyFill="1" applyBorder="1"/>
    <xf numFmtId="165" fontId="3" fillId="19" borderId="24" xfId="0" applyNumberFormat="1" applyFont="1" applyFill="1" applyBorder="1" applyAlignment="1">
      <alignment horizontal="center" vertical="center" wrapText="1"/>
    </xf>
    <xf numFmtId="0" fontId="18" fillId="0" borderId="4" xfId="0" applyFont="1" applyBorder="1" applyAlignment="1">
      <alignment horizontal="center" vertical="center"/>
    </xf>
    <xf numFmtId="0" fontId="18" fillId="0" borderId="4" xfId="0" applyFont="1" applyBorder="1"/>
    <xf numFmtId="0" fontId="0" fillId="2" borderId="0" xfId="0" applyFill="1"/>
    <xf numFmtId="0" fontId="1" fillId="0" borderId="20" xfId="0" applyFont="1" applyBorder="1"/>
    <xf numFmtId="165" fontId="0" fillId="0" borderId="3" xfId="0" applyNumberFormat="1" applyBorder="1" applyProtection="1">
      <protection hidden="1"/>
    </xf>
    <xf numFmtId="14" fontId="1" fillId="0" borderId="9" xfId="0" applyNumberFormat="1" applyFont="1" applyBorder="1" applyProtection="1">
      <protection hidden="1"/>
    </xf>
    <xf numFmtId="0" fontId="0" fillId="0" borderId="9" xfId="0" applyBorder="1"/>
    <xf numFmtId="0" fontId="0" fillId="0" borderId="10" xfId="0" applyBorder="1"/>
    <xf numFmtId="14" fontId="1" fillId="0" borderId="15" xfId="0" applyNumberFormat="1" applyFont="1" applyBorder="1" applyProtection="1">
      <protection hidden="1"/>
    </xf>
    <xf numFmtId="0" fontId="22" fillId="21" borderId="20" xfId="0" applyFont="1" applyFill="1" applyBorder="1" applyAlignment="1" applyProtection="1">
      <alignment horizontal="center" vertical="center"/>
      <protection hidden="1"/>
    </xf>
    <xf numFmtId="0" fontId="12" fillId="2" borderId="23"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12" fillId="2" borderId="10" xfId="0" applyFont="1" applyFill="1" applyBorder="1" applyAlignment="1" applyProtection="1">
      <alignment horizontal="center" vertical="center"/>
      <protection locked="0"/>
    </xf>
    <xf numFmtId="14" fontId="18" fillId="0" borderId="4" xfId="0" applyNumberFormat="1" applyFont="1" applyBorder="1"/>
    <xf numFmtId="165" fontId="2" fillId="25" borderId="8" xfId="0" applyNumberFormat="1" applyFont="1" applyFill="1" applyBorder="1" applyAlignment="1">
      <alignment horizontal="right" vertical="center" wrapText="1"/>
    </xf>
    <xf numFmtId="165" fontId="2" fillId="25" borderId="2" xfId="0" applyNumberFormat="1" applyFont="1" applyFill="1" applyBorder="1" applyAlignment="1">
      <alignment horizontal="right" vertical="center" wrapText="1"/>
    </xf>
    <xf numFmtId="165" fontId="0" fillId="3" borderId="2" xfId="0" applyNumberFormat="1" applyFill="1" applyBorder="1" applyAlignment="1" applyProtection="1">
      <alignment vertical="center"/>
      <protection locked="0"/>
    </xf>
    <xf numFmtId="1" fontId="3" fillId="11" borderId="98" xfId="0" applyNumberFormat="1" applyFont="1" applyFill="1" applyBorder="1" applyAlignment="1">
      <alignment horizontal="center" vertical="center" wrapText="1"/>
    </xf>
    <xf numFmtId="165" fontId="0" fillId="3" borderId="9" xfId="0" applyNumberFormat="1" applyFill="1" applyBorder="1" applyAlignment="1">
      <alignment horizontal="right" vertical="center" wrapText="1"/>
    </xf>
    <xf numFmtId="165" fontId="1" fillId="3" borderId="9" xfId="0" applyNumberFormat="1" applyFont="1" applyFill="1" applyBorder="1" applyAlignment="1">
      <alignment horizontal="right" vertical="center" wrapText="1"/>
    </xf>
    <xf numFmtId="165" fontId="0" fillId="3" borderId="1" xfId="0" applyNumberFormat="1" applyFill="1" applyBorder="1" applyAlignment="1">
      <alignment horizontal="right" vertical="center" wrapText="1"/>
    </xf>
    <xf numFmtId="165" fontId="0" fillId="3" borderId="70" xfId="0" applyNumberFormat="1" applyFill="1" applyBorder="1" applyAlignment="1">
      <alignment horizontal="right" vertical="center" wrapText="1"/>
    </xf>
    <xf numFmtId="165" fontId="0" fillId="3" borderId="79" xfId="0" applyNumberFormat="1" applyFill="1" applyBorder="1" applyAlignment="1" applyProtection="1">
      <alignment horizontal="right" vertical="center"/>
      <protection locked="0"/>
    </xf>
    <xf numFmtId="165" fontId="1" fillId="3" borderId="25" xfId="0" applyNumberFormat="1" applyFont="1" applyFill="1" applyBorder="1" applyAlignment="1" applyProtection="1">
      <alignment horizontal="right" vertical="center"/>
      <protection locked="0"/>
    </xf>
    <xf numFmtId="165" fontId="1" fillId="3" borderId="70" xfId="0" applyNumberFormat="1" applyFont="1" applyFill="1" applyBorder="1" applyAlignment="1">
      <alignment horizontal="right" vertical="center" wrapText="1"/>
    </xf>
    <xf numFmtId="165" fontId="1" fillId="3" borderId="2" xfId="0" applyNumberFormat="1" applyFont="1" applyFill="1" applyBorder="1" applyAlignment="1" applyProtection="1">
      <alignment horizontal="right" vertical="center"/>
      <protection locked="0"/>
    </xf>
    <xf numFmtId="165" fontId="0" fillId="4" borderId="3" xfId="0" applyNumberFormat="1" applyFill="1" applyBorder="1" applyAlignment="1" applyProtection="1">
      <alignment horizontal="right" vertical="center"/>
      <protection locked="0"/>
    </xf>
    <xf numFmtId="165" fontId="1" fillId="3" borderId="9" xfId="0" applyNumberFormat="1" applyFont="1" applyFill="1" applyBorder="1" applyAlignment="1" applyProtection="1">
      <alignment horizontal="right" vertical="center"/>
      <protection locked="0"/>
    </xf>
    <xf numFmtId="1" fontId="1" fillId="3" borderId="8" xfId="0" applyNumberFormat="1" applyFont="1" applyFill="1" applyBorder="1" applyAlignment="1">
      <alignment horizontal="center" vertical="center"/>
    </xf>
    <xf numFmtId="1" fontId="1" fillId="3" borderId="2" xfId="0" applyNumberFormat="1" applyFont="1" applyFill="1" applyBorder="1" applyAlignment="1">
      <alignment horizontal="center" vertical="center"/>
    </xf>
    <xf numFmtId="165" fontId="1" fillId="3" borderId="36" xfId="0" applyNumberFormat="1" applyFont="1" applyFill="1" applyBorder="1" applyAlignment="1">
      <alignment horizontal="right" vertical="center" wrapText="1"/>
    </xf>
    <xf numFmtId="165" fontId="1" fillId="3" borderId="23" xfId="0" applyNumberFormat="1" applyFont="1" applyFill="1" applyBorder="1" applyAlignment="1">
      <alignment horizontal="right" vertical="center" wrapText="1"/>
    </xf>
    <xf numFmtId="10" fontId="43" fillId="3" borderId="15" xfId="1" applyNumberFormat="1" applyFont="1" applyFill="1" applyBorder="1" applyAlignment="1" applyProtection="1">
      <alignment horizontal="center" vertical="center" wrapText="1"/>
      <protection hidden="1"/>
    </xf>
    <xf numFmtId="10" fontId="38" fillId="3" borderId="11" xfId="1" applyNumberFormat="1" applyFont="1" applyFill="1" applyBorder="1" applyAlignment="1" applyProtection="1">
      <alignment horizontal="center" vertical="center"/>
      <protection hidden="1"/>
    </xf>
    <xf numFmtId="0" fontId="63" fillId="9" borderId="18" xfId="0" applyFont="1" applyFill="1" applyBorder="1" applyAlignment="1" applyProtection="1">
      <alignment horizontal="center" vertical="center"/>
      <protection hidden="1"/>
    </xf>
    <xf numFmtId="0" fontId="63" fillId="9" borderId="33" xfId="0" applyFont="1" applyFill="1" applyBorder="1" applyAlignment="1" applyProtection="1">
      <alignment horizontal="center" vertical="center"/>
      <protection hidden="1"/>
    </xf>
    <xf numFmtId="0" fontId="63" fillId="9" borderId="8" xfId="0" applyFont="1" applyFill="1" applyBorder="1" applyAlignment="1" applyProtection="1">
      <alignment horizontal="center" vertical="center"/>
      <protection hidden="1"/>
    </xf>
    <xf numFmtId="0" fontId="63" fillId="10" borderId="19" xfId="0" applyFont="1" applyFill="1" applyBorder="1" applyAlignment="1" applyProtection="1">
      <alignment horizontal="center" vertical="center"/>
      <protection hidden="1"/>
    </xf>
    <xf numFmtId="0" fontId="0" fillId="6" borderId="18" xfId="0" applyFill="1" applyBorder="1" applyAlignment="1" applyProtection="1">
      <alignment vertical="center"/>
      <protection hidden="1"/>
    </xf>
    <xf numFmtId="0" fontId="0" fillId="6" borderId="3" xfId="0" applyFill="1" applyBorder="1" applyAlignment="1" applyProtection="1">
      <alignment vertical="center"/>
      <protection hidden="1"/>
    </xf>
    <xf numFmtId="0" fontId="0" fillId="6" borderId="99" xfId="0" applyFill="1" applyBorder="1" applyAlignment="1" applyProtection="1">
      <alignment vertical="center"/>
      <protection hidden="1"/>
    </xf>
    <xf numFmtId="0" fontId="1" fillId="7" borderId="96" xfId="0" applyFont="1" applyFill="1" applyBorder="1" applyAlignment="1" applyProtection="1">
      <alignment horizontal="center" vertical="center"/>
      <protection hidden="1"/>
    </xf>
    <xf numFmtId="0" fontId="1" fillId="7" borderId="100" xfId="0" applyFont="1" applyFill="1" applyBorder="1" applyAlignment="1" applyProtection="1">
      <alignment horizontal="center" vertical="center"/>
      <protection hidden="1"/>
    </xf>
    <xf numFmtId="166" fontId="0" fillId="0" borderId="1" xfId="0" applyNumberFormat="1" applyBorder="1" applyAlignment="1" applyProtection="1">
      <alignment horizontal="center" vertical="center"/>
      <protection locked="0"/>
    </xf>
    <xf numFmtId="166" fontId="0" fillId="0" borderId="79" xfId="0" applyNumberFormat="1" applyBorder="1" applyAlignment="1" applyProtection="1">
      <alignment horizontal="center" vertical="center"/>
      <protection locked="0"/>
    </xf>
    <xf numFmtId="166" fontId="0" fillId="0" borderId="101" xfId="0" applyNumberFormat="1" applyBorder="1" applyAlignment="1" applyProtection="1">
      <alignment horizontal="center" vertical="center"/>
      <protection locked="0"/>
    </xf>
    <xf numFmtId="166" fontId="0" fillId="0" borderId="25" xfId="0" applyNumberFormat="1" applyBorder="1" applyAlignment="1" applyProtection="1">
      <alignment horizontal="center" vertical="center"/>
      <protection locked="0"/>
    </xf>
    <xf numFmtId="166" fontId="0" fillId="0" borderId="26" xfId="0" applyNumberFormat="1" applyBorder="1" applyAlignment="1" applyProtection="1">
      <alignment horizontal="center" vertical="center"/>
      <protection locked="0"/>
    </xf>
    <xf numFmtId="166" fontId="0" fillId="0" borderId="72" xfId="0" applyNumberFormat="1" applyBorder="1" applyAlignment="1" applyProtection="1">
      <alignment horizontal="center" vertical="center"/>
      <protection locked="0"/>
    </xf>
    <xf numFmtId="166" fontId="0" fillId="0" borderId="73" xfId="0" applyNumberFormat="1" applyBorder="1" applyAlignment="1" applyProtection="1">
      <alignment horizontal="center" vertical="center"/>
      <protection locked="0"/>
    </xf>
    <xf numFmtId="0" fontId="1" fillId="10" borderId="96" xfId="0" applyFont="1" applyFill="1" applyBorder="1" applyAlignment="1" applyProtection="1">
      <alignment horizontal="center" vertical="center"/>
      <protection hidden="1"/>
    </xf>
    <xf numFmtId="0" fontId="1" fillId="10" borderId="98" xfId="0" applyFont="1" applyFill="1" applyBorder="1" applyAlignment="1" applyProtection="1">
      <alignment horizontal="center" vertical="center"/>
      <protection hidden="1"/>
    </xf>
    <xf numFmtId="0" fontId="1" fillId="5" borderId="96" xfId="0" applyFont="1" applyFill="1" applyBorder="1" applyAlignment="1" applyProtection="1">
      <alignment horizontal="center" vertical="center"/>
      <protection hidden="1"/>
    </xf>
    <xf numFmtId="0" fontId="1" fillId="5" borderId="98" xfId="0" applyFont="1" applyFill="1" applyBorder="1" applyAlignment="1" applyProtection="1">
      <alignment horizontal="center" vertical="center"/>
      <protection hidden="1"/>
    </xf>
    <xf numFmtId="1" fontId="0" fillId="6" borderId="31" xfId="0" applyNumberFormat="1" applyFill="1" applyBorder="1" applyAlignment="1">
      <alignment horizontal="center" vertical="center"/>
    </xf>
    <xf numFmtId="1" fontId="3" fillId="16" borderId="31" xfId="0" applyNumberFormat="1" applyFont="1" applyFill="1" applyBorder="1" applyAlignment="1">
      <alignment horizontal="center" vertical="center" wrapText="1"/>
    </xf>
    <xf numFmtId="1" fontId="3" fillId="17" borderId="67" xfId="0" applyNumberFormat="1" applyFont="1" applyFill="1" applyBorder="1" applyAlignment="1">
      <alignment horizontal="center" vertical="center" wrapText="1"/>
    </xf>
    <xf numFmtId="1" fontId="3" fillId="18" borderId="67" xfId="0" applyNumberFormat="1" applyFont="1" applyFill="1" applyBorder="1" applyAlignment="1">
      <alignment horizontal="center" vertical="center" wrapText="1"/>
    </xf>
    <xf numFmtId="1" fontId="3" fillId="11" borderId="102" xfId="0" applyNumberFormat="1" applyFont="1" applyFill="1" applyBorder="1" applyAlignment="1">
      <alignment horizontal="center" vertical="center" wrapText="1"/>
    </xf>
    <xf numFmtId="1" fontId="3" fillId="19" borderId="24" xfId="0" applyNumberFormat="1" applyFont="1" applyFill="1" applyBorder="1" applyAlignment="1">
      <alignment horizontal="center" vertical="center" wrapText="1"/>
    </xf>
    <xf numFmtId="165" fontId="1" fillId="3" borderId="1" xfId="0" applyNumberFormat="1" applyFont="1" applyFill="1" applyBorder="1" applyAlignment="1">
      <alignment horizontal="right" vertical="center" wrapText="1"/>
    </xf>
    <xf numFmtId="165" fontId="0" fillId="25" borderId="1" xfId="0" applyNumberFormat="1" applyFill="1" applyBorder="1" applyAlignment="1">
      <alignment horizontal="right" vertical="center" wrapText="1"/>
    </xf>
    <xf numFmtId="165" fontId="0" fillId="3" borderId="1" xfId="0" applyNumberFormat="1" applyFill="1" applyBorder="1"/>
    <xf numFmtId="165" fontId="11" fillId="0" borderId="1" xfId="0" applyNumberFormat="1" applyFont="1" applyBorder="1"/>
    <xf numFmtId="1" fontId="1" fillId="3" borderId="79" xfId="0" applyNumberFormat="1" applyFont="1" applyFill="1" applyBorder="1" applyAlignment="1">
      <alignment horizontal="center" vertical="center"/>
    </xf>
    <xf numFmtId="165" fontId="1" fillId="3" borderId="38" xfId="0" applyNumberFormat="1" applyFont="1" applyFill="1" applyBorder="1" applyAlignment="1">
      <alignment horizontal="right" vertical="center" wrapText="1"/>
    </xf>
    <xf numFmtId="165" fontId="0" fillId="3" borderId="38" xfId="0" applyNumberFormat="1" applyFill="1" applyBorder="1" applyAlignment="1">
      <alignment horizontal="right" vertical="center" wrapText="1"/>
    </xf>
    <xf numFmtId="165" fontId="0" fillId="25" borderId="38" xfId="0" applyNumberFormat="1" applyFill="1" applyBorder="1" applyAlignment="1">
      <alignment horizontal="right" vertical="center" wrapText="1"/>
    </xf>
    <xf numFmtId="165" fontId="0" fillId="3" borderId="38" xfId="0" applyNumberFormat="1" applyFill="1" applyBorder="1" applyAlignment="1" applyProtection="1">
      <alignment horizontal="right" vertical="center"/>
      <protection locked="0"/>
    </xf>
    <xf numFmtId="165" fontId="0" fillId="3" borderId="101" xfId="0" applyNumberFormat="1" applyFill="1" applyBorder="1" applyAlignment="1" applyProtection="1">
      <alignment horizontal="right" vertical="center"/>
      <protection locked="0"/>
    </xf>
    <xf numFmtId="1" fontId="1" fillId="3" borderId="25" xfId="0" applyNumberFormat="1" applyFont="1" applyFill="1" applyBorder="1" applyAlignment="1">
      <alignment horizontal="center" vertical="center"/>
    </xf>
    <xf numFmtId="165" fontId="0" fillId="3" borderId="26" xfId="0" applyNumberFormat="1" applyFill="1" applyBorder="1" applyAlignment="1" applyProtection="1">
      <alignment horizontal="right" vertical="center"/>
      <protection locked="0"/>
    </xf>
    <xf numFmtId="0" fontId="0" fillId="3" borderId="25" xfId="0" applyFill="1" applyBorder="1" applyAlignment="1">
      <alignment horizontal="center" vertical="center"/>
    </xf>
    <xf numFmtId="0" fontId="1" fillId="3" borderId="25" xfId="0" applyFont="1" applyFill="1" applyBorder="1" applyAlignment="1">
      <alignment horizontal="center" vertical="center"/>
    </xf>
    <xf numFmtId="0" fontId="0" fillId="26" borderId="25" xfId="0" applyFill="1" applyBorder="1" applyAlignment="1">
      <alignment horizontal="center" vertical="center"/>
    </xf>
    <xf numFmtId="165" fontId="0" fillId="2" borderId="26" xfId="0" applyNumberFormat="1" applyFill="1" applyBorder="1"/>
    <xf numFmtId="0" fontId="0" fillId="2" borderId="25" xfId="0" applyFill="1" applyBorder="1" applyAlignment="1">
      <alignment horizontal="center" vertical="center"/>
    </xf>
    <xf numFmtId="0" fontId="0" fillId="2" borderId="72" xfId="0" applyFill="1" applyBorder="1" applyAlignment="1">
      <alignment horizontal="center" vertical="center"/>
    </xf>
    <xf numFmtId="14" fontId="0" fillId="0" borderId="15" xfId="0" applyNumberFormat="1" applyBorder="1" applyProtection="1">
      <protection hidden="1"/>
    </xf>
    <xf numFmtId="165" fontId="0" fillId="0" borderId="32" xfId="0" applyNumberFormat="1" applyBorder="1"/>
    <xf numFmtId="165" fontId="0" fillId="0" borderId="34" xfId="0" applyNumberFormat="1" applyBorder="1"/>
    <xf numFmtId="165" fontId="19" fillId="0" borderId="32" xfId="0" applyNumberFormat="1" applyFont="1" applyBorder="1"/>
    <xf numFmtId="165" fontId="53" fillId="2" borderId="1" xfId="0" applyNumberFormat="1" applyFont="1" applyFill="1" applyBorder="1" applyAlignment="1" applyProtection="1">
      <alignment horizontal="right" vertical="center"/>
      <protection locked="0"/>
    </xf>
    <xf numFmtId="0" fontId="21" fillId="30" borderId="13" xfId="0" applyFont="1" applyFill="1" applyBorder="1" applyAlignment="1" applyProtection="1">
      <alignment horizontal="left" vertical="center"/>
      <protection hidden="1"/>
    </xf>
    <xf numFmtId="0" fontId="21" fillId="30" borderId="20" xfId="0" applyFont="1" applyFill="1" applyBorder="1" applyAlignment="1" applyProtection="1">
      <alignment horizontal="left" vertical="center"/>
      <protection hidden="1"/>
    </xf>
    <xf numFmtId="0" fontId="21" fillId="30" borderId="14" xfId="0" applyFont="1" applyFill="1" applyBorder="1" applyAlignment="1" applyProtection="1">
      <alignment horizontal="left" vertical="center"/>
      <protection hidden="1"/>
    </xf>
    <xf numFmtId="0" fontId="26" fillId="5" borderId="0" xfId="0" applyFont="1" applyFill="1" applyAlignment="1" applyProtection="1">
      <alignment horizontal="left" vertical="center" wrapText="1"/>
      <protection hidden="1"/>
    </xf>
    <xf numFmtId="0" fontId="23" fillId="4" borderId="0" xfId="0" applyFont="1" applyFill="1" applyAlignment="1" applyProtection="1">
      <alignment horizontal="left" vertical="center" wrapText="1"/>
      <protection hidden="1"/>
    </xf>
    <xf numFmtId="0" fontId="32" fillId="0" borderId="29" xfId="0" applyFont="1" applyBorder="1" applyAlignment="1" applyProtection="1">
      <alignment horizontal="center" vertical="top"/>
      <protection hidden="1"/>
    </xf>
    <xf numFmtId="0" fontId="35" fillId="0" borderId="29" xfId="0" applyFont="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protection hidden="1"/>
    </xf>
    <xf numFmtId="0" fontId="13" fillId="14" borderId="11" xfId="0" applyFont="1" applyFill="1" applyBorder="1" applyAlignment="1" applyProtection="1">
      <alignment horizontal="center" vertical="center"/>
      <protection hidden="1"/>
    </xf>
    <xf numFmtId="0" fontId="23" fillId="2" borderId="0" xfId="0" applyFont="1" applyFill="1" applyAlignment="1" applyProtection="1">
      <alignment horizontal="center" vertical="center"/>
      <protection hidden="1"/>
    </xf>
    <xf numFmtId="0" fontId="19" fillId="7" borderId="36" xfId="0" applyFont="1" applyFill="1" applyBorder="1" applyAlignment="1" applyProtection="1">
      <alignment horizontal="left" vertical="center"/>
      <protection hidden="1"/>
    </xf>
    <xf numFmtId="0" fontId="19" fillId="7" borderId="43" xfId="0" applyFont="1" applyFill="1" applyBorder="1" applyAlignment="1" applyProtection="1">
      <alignment horizontal="left" vertical="center"/>
      <protection hidden="1"/>
    </xf>
    <xf numFmtId="0" fontId="19" fillId="7" borderId="44" xfId="0" applyFont="1" applyFill="1" applyBorder="1" applyAlignment="1" applyProtection="1">
      <alignment horizontal="left" vertical="center"/>
      <protection hidden="1"/>
    </xf>
    <xf numFmtId="0" fontId="35" fillId="2" borderId="0" xfId="0" applyFont="1" applyFill="1" applyAlignment="1" applyProtection="1">
      <alignment horizontal="center" vertical="center" wrapText="1"/>
      <protection hidden="1"/>
    </xf>
    <xf numFmtId="0" fontId="1" fillId="10" borderId="13" xfId="0" applyFont="1" applyFill="1" applyBorder="1" applyAlignment="1" applyProtection="1">
      <alignment horizontal="center" vertical="center"/>
      <protection hidden="1"/>
    </xf>
    <xf numFmtId="0" fontId="0" fillId="10" borderId="20" xfId="0" applyFill="1" applyBorder="1" applyAlignment="1" applyProtection="1">
      <alignment horizontal="center" vertical="center"/>
      <protection hidden="1"/>
    </xf>
    <xf numFmtId="0" fontId="0" fillId="10" borderId="14" xfId="0" applyFill="1" applyBorder="1" applyAlignment="1" applyProtection="1">
      <alignment horizontal="center" vertical="center"/>
      <protection hidden="1"/>
    </xf>
    <xf numFmtId="0" fontId="14" fillId="13" borderId="52" xfId="0" applyFont="1" applyFill="1" applyBorder="1" applyAlignment="1" applyProtection="1">
      <alignment horizontal="center" vertical="center"/>
      <protection hidden="1"/>
    </xf>
    <xf numFmtId="0" fontId="14" fillId="13" borderId="64" xfId="0" applyFont="1" applyFill="1" applyBorder="1" applyAlignment="1" applyProtection="1">
      <alignment horizontal="center" vertical="center"/>
      <protection hidden="1"/>
    </xf>
    <xf numFmtId="0" fontId="5" fillId="4" borderId="56" xfId="0" applyFont="1" applyFill="1" applyBorder="1" applyAlignment="1" applyProtection="1">
      <alignment horizontal="center" vertical="center" wrapText="1"/>
      <protection hidden="1"/>
    </xf>
    <xf numFmtId="0" fontId="5" fillId="4" borderId="20" xfId="0" applyFont="1" applyFill="1" applyBorder="1" applyAlignment="1" applyProtection="1">
      <alignment horizontal="center" vertical="center" wrapText="1"/>
      <protection hidden="1"/>
    </xf>
    <xf numFmtId="0" fontId="1" fillId="7" borderId="30" xfId="0" applyFont="1" applyFill="1" applyBorder="1" applyAlignment="1" applyProtection="1">
      <alignment horizontal="center" vertical="center"/>
      <protection hidden="1"/>
    </xf>
    <xf numFmtId="0" fontId="1" fillId="7" borderId="22" xfId="0" applyFont="1" applyFill="1" applyBorder="1" applyAlignment="1" applyProtection="1">
      <alignment horizontal="center" vertical="center"/>
      <protection hidden="1"/>
    </xf>
    <xf numFmtId="0" fontId="37" fillId="4" borderId="50" xfId="0" applyFont="1" applyFill="1" applyBorder="1" applyAlignment="1" applyProtection="1">
      <alignment horizontal="center" vertical="center" wrapText="1"/>
      <protection hidden="1"/>
    </xf>
    <xf numFmtId="0" fontId="37" fillId="4" borderId="51" xfId="0" applyFont="1" applyFill="1" applyBorder="1" applyAlignment="1" applyProtection="1">
      <alignment horizontal="center" vertical="center" wrapText="1"/>
      <protection hidden="1"/>
    </xf>
    <xf numFmtId="0" fontId="1" fillId="7" borderId="13" xfId="0" applyFont="1" applyFill="1" applyBorder="1" applyAlignment="1" applyProtection="1">
      <alignment horizontal="center" vertical="center"/>
      <protection hidden="1"/>
    </xf>
    <xf numFmtId="0" fontId="0" fillId="7" borderId="20" xfId="0" applyFill="1" applyBorder="1" applyAlignment="1" applyProtection="1">
      <alignment horizontal="center" vertical="center"/>
      <protection hidden="1"/>
    </xf>
    <xf numFmtId="0" fontId="0" fillId="7" borderId="14" xfId="0" applyFill="1" applyBorder="1" applyAlignment="1" applyProtection="1">
      <alignment horizontal="center" vertical="center"/>
      <protection hidden="1"/>
    </xf>
    <xf numFmtId="0" fontId="3" fillId="3" borderId="65" xfId="0" applyFont="1" applyFill="1" applyBorder="1" applyAlignment="1" applyProtection="1">
      <alignment horizontal="center" vertical="center"/>
      <protection hidden="1"/>
    </xf>
    <xf numFmtId="0" fontId="3" fillId="3" borderId="66" xfId="0" applyFont="1" applyFill="1" applyBorder="1" applyAlignment="1" applyProtection="1">
      <alignment horizontal="center" vertical="center"/>
      <protection hidden="1"/>
    </xf>
    <xf numFmtId="0" fontId="5" fillId="2" borderId="0" xfId="0" applyFont="1" applyFill="1" applyAlignment="1" applyProtection="1">
      <alignment horizontal="center"/>
      <protection hidden="1"/>
    </xf>
    <xf numFmtId="0" fontId="2" fillId="2" borderId="0" xfId="0" applyFont="1" applyFill="1" applyAlignment="1" applyProtection="1">
      <alignment horizontal="left" vertical="center" wrapText="1"/>
      <protection hidden="1"/>
    </xf>
    <xf numFmtId="0" fontId="1" fillId="10" borderId="30" xfId="0" applyFont="1" applyFill="1" applyBorder="1" applyAlignment="1" applyProtection="1">
      <alignment horizontal="center" vertical="center"/>
      <protection hidden="1"/>
    </xf>
    <xf numFmtId="0" fontId="1" fillId="10" borderId="22" xfId="0" applyFont="1" applyFill="1" applyBorder="1" applyAlignment="1" applyProtection="1">
      <alignment horizontal="center" vertical="center"/>
      <protection hidden="1"/>
    </xf>
    <xf numFmtId="0" fontId="1" fillId="5" borderId="30" xfId="0" applyFont="1" applyFill="1" applyBorder="1" applyAlignment="1" applyProtection="1">
      <alignment horizontal="center" vertical="center"/>
      <protection hidden="1"/>
    </xf>
    <xf numFmtId="0" fontId="1" fillId="5" borderId="22" xfId="0" applyFont="1" applyFill="1" applyBorder="1" applyAlignment="1" applyProtection="1">
      <alignment horizontal="center" vertical="center"/>
      <protection hidden="1"/>
    </xf>
    <xf numFmtId="0" fontId="2" fillId="2" borderId="0" xfId="0" applyFont="1" applyFill="1" applyAlignment="1" applyProtection="1">
      <alignment horizontal="left" wrapText="1"/>
      <protection hidden="1"/>
    </xf>
    <xf numFmtId="0" fontId="2" fillId="2" borderId="0" xfId="0" applyFont="1" applyFill="1" applyAlignment="1" applyProtection="1">
      <alignment horizontal="left"/>
      <protection hidden="1"/>
    </xf>
    <xf numFmtId="0" fontId="1" fillId="5" borderId="13" xfId="0" applyFont="1" applyFill="1" applyBorder="1" applyAlignment="1" applyProtection="1">
      <alignment horizontal="center" vertical="center"/>
      <protection hidden="1"/>
    </xf>
    <xf numFmtId="0" fontId="0" fillId="5" borderId="20" xfId="0" applyFill="1" applyBorder="1" applyAlignment="1" applyProtection="1">
      <alignment horizontal="center" vertical="center"/>
      <protection hidden="1"/>
    </xf>
    <xf numFmtId="0" fontId="0" fillId="5" borderId="14" xfId="0" applyFill="1" applyBorder="1" applyAlignment="1" applyProtection="1">
      <alignment horizontal="center" vertical="center"/>
      <protection hidden="1"/>
    </xf>
    <xf numFmtId="0" fontId="1" fillId="3" borderId="13" xfId="0" applyFont="1" applyFill="1" applyBorder="1" applyAlignment="1" applyProtection="1">
      <alignment horizontal="center" vertical="center" wrapText="1"/>
      <protection hidden="1"/>
    </xf>
    <xf numFmtId="0" fontId="1" fillId="3" borderId="20" xfId="0" applyFont="1" applyFill="1" applyBorder="1" applyAlignment="1" applyProtection="1">
      <alignment horizontal="center" vertical="center" wrapText="1"/>
      <protection hidden="1"/>
    </xf>
    <xf numFmtId="0" fontId="1" fillId="3" borderId="14" xfId="0" applyFont="1" applyFill="1" applyBorder="1" applyAlignment="1" applyProtection="1">
      <alignment horizontal="center" vertical="center" wrapText="1"/>
      <protection hidden="1"/>
    </xf>
    <xf numFmtId="0" fontId="3" fillId="29" borderId="13" xfId="0" applyFont="1" applyFill="1" applyBorder="1" applyAlignment="1" applyProtection="1">
      <alignment horizontal="left" vertical="center" wrapText="1"/>
      <protection hidden="1"/>
    </xf>
    <xf numFmtId="0" fontId="3" fillId="29" borderId="20" xfId="0" applyFont="1" applyFill="1" applyBorder="1" applyAlignment="1" applyProtection="1">
      <alignment horizontal="left" vertical="center" wrapText="1"/>
      <protection hidden="1"/>
    </xf>
    <xf numFmtId="0" fontId="3" fillId="29" borderId="14" xfId="0" applyFont="1" applyFill="1" applyBorder="1" applyAlignment="1" applyProtection="1">
      <alignment horizontal="left" vertical="center" wrapText="1"/>
      <protection hidden="1"/>
    </xf>
    <xf numFmtId="0" fontId="1" fillId="14" borderId="13" xfId="0" applyFont="1" applyFill="1" applyBorder="1" applyAlignment="1" applyProtection="1">
      <alignment horizontal="left" vertical="center"/>
      <protection hidden="1"/>
    </xf>
    <xf numFmtId="0" fontId="1" fillId="14" borderId="20" xfId="0" applyFont="1" applyFill="1" applyBorder="1" applyAlignment="1" applyProtection="1">
      <alignment horizontal="left" vertical="center"/>
      <protection hidden="1"/>
    </xf>
    <xf numFmtId="0" fontId="1" fillId="14" borderId="14" xfId="0" applyFont="1" applyFill="1" applyBorder="1" applyAlignment="1" applyProtection="1">
      <alignment horizontal="left" vertical="center"/>
      <protection hidden="1"/>
    </xf>
    <xf numFmtId="0" fontId="1" fillId="5" borderId="13" xfId="0" applyFont="1" applyFill="1" applyBorder="1" applyAlignment="1" applyProtection="1">
      <alignment horizontal="left" vertical="center" wrapText="1"/>
      <protection hidden="1"/>
    </xf>
    <xf numFmtId="0" fontId="1" fillId="5" borderId="20" xfId="0" applyFont="1" applyFill="1" applyBorder="1" applyAlignment="1" applyProtection="1">
      <alignment horizontal="left" vertical="center" wrapText="1"/>
      <protection hidden="1"/>
    </xf>
    <xf numFmtId="0" fontId="1" fillId="5" borderId="14" xfId="0" applyFont="1" applyFill="1" applyBorder="1" applyAlignment="1" applyProtection="1">
      <alignment horizontal="left" vertical="center" wrapText="1"/>
      <protection hidden="1"/>
    </xf>
    <xf numFmtId="0" fontId="3" fillId="3" borderId="13" xfId="0" applyFont="1" applyFill="1" applyBorder="1" applyAlignment="1" applyProtection="1">
      <alignment horizontal="left" vertical="center"/>
      <protection hidden="1"/>
    </xf>
    <xf numFmtId="0" fontId="3" fillId="3" borderId="20" xfId="0" applyFont="1" applyFill="1" applyBorder="1" applyAlignment="1" applyProtection="1">
      <alignment horizontal="left" vertical="center"/>
      <protection hidden="1"/>
    </xf>
    <xf numFmtId="0" fontId="3" fillId="3" borderId="14" xfId="0" applyFont="1" applyFill="1" applyBorder="1" applyAlignment="1" applyProtection="1">
      <alignment horizontal="left" vertical="center"/>
      <protection hidden="1"/>
    </xf>
    <xf numFmtId="0" fontId="34" fillId="10" borderId="13" xfId="0" applyFont="1" applyFill="1" applyBorder="1" applyAlignment="1" applyProtection="1">
      <alignment horizontal="left" vertical="center"/>
      <protection hidden="1"/>
    </xf>
    <xf numFmtId="0" fontId="34" fillId="10" borderId="20" xfId="0" applyFont="1" applyFill="1" applyBorder="1" applyAlignment="1" applyProtection="1">
      <alignment horizontal="left" vertical="center"/>
      <protection hidden="1"/>
    </xf>
    <xf numFmtId="0" fontId="34" fillId="10" borderId="14" xfId="0" applyFont="1" applyFill="1" applyBorder="1" applyAlignment="1" applyProtection="1">
      <alignment horizontal="left" vertical="center"/>
      <protection hidden="1"/>
    </xf>
    <xf numFmtId="0" fontId="19" fillId="7" borderId="37" xfId="0" applyFont="1" applyFill="1" applyBorder="1" applyAlignment="1" applyProtection="1">
      <alignment horizontal="left" vertical="center"/>
      <protection hidden="1"/>
    </xf>
    <xf numFmtId="0" fontId="19" fillId="7" borderId="45" xfId="0" applyFont="1" applyFill="1" applyBorder="1" applyAlignment="1" applyProtection="1">
      <alignment horizontal="left" vertical="center"/>
      <protection hidden="1"/>
    </xf>
    <xf numFmtId="0" fontId="19" fillId="7" borderId="46" xfId="0" applyFont="1" applyFill="1" applyBorder="1" applyAlignment="1" applyProtection="1">
      <alignment horizontal="left" vertical="center"/>
      <protection hidden="1"/>
    </xf>
    <xf numFmtId="0" fontId="0" fillId="2" borderId="0" xfId="0" applyFill="1" applyAlignment="1" applyProtection="1">
      <alignment horizontal="left"/>
      <protection hidden="1"/>
    </xf>
    <xf numFmtId="0" fontId="6" fillId="8" borderId="13" xfId="0" applyFont="1" applyFill="1" applyBorder="1" applyAlignment="1" applyProtection="1">
      <alignment horizontal="center" vertical="center" wrapText="1"/>
      <protection hidden="1"/>
    </xf>
    <xf numFmtId="0" fontId="6" fillId="8" borderId="14" xfId="0" applyFont="1" applyFill="1" applyBorder="1" applyAlignment="1" applyProtection="1">
      <alignment horizontal="center" vertical="center" wrapText="1"/>
      <protection hidden="1"/>
    </xf>
    <xf numFmtId="0" fontId="33" fillId="0" borderId="29" xfId="0" applyFont="1" applyBorder="1" applyAlignment="1" applyProtection="1">
      <alignment horizontal="center" vertical="center"/>
      <protection hidden="1"/>
    </xf>
    <xf numFmtId="0" fontId="1" fillId="7" borderId="31" xfId="0" applyFont="1" applyFill="1" applyBorder="1" applyAlignment="1" applyProtection="1">
      <alignment horizontal="left" vertical="center"/>
      <protection hidden="1"/>
    </xf>
    <xf numFmtId="0" fontId="1" fillId="7" borderId="27" xfId="0" applyFont="1" applyFill="1" applyBorder="1" applyAlignment="1" applyProtection="1">
      <alignment horizontal="left" vertical="center"/>
      <protection hidden="1"/>
    </xf>
    <xf numFmtId="0" fontId="1" fillId="12" borderId="13" xfId="0" applyFont="1" applyFill="1" applyBorder="1" applyAlignment="1" applyProtection="1">
      <alignment horizontal="center" vertical="center" wrapText="1"/>
      <protection hidden="1"/>
    </xf>
    <xf numFmtId="0" fontId="1" fillId="12" borderId="14" xfId="0" applyFont="1" applyFill="1" applyBorder="1" applyAlignment="1" applyProtection="1">
      <alignment horizontal="center" vertical="center"/>
      <protection hidden="1"/>
    </xf>
    <xf numFmtId="0" fontId="1" fillId="12" borderId="13" xfId="0" applyFont="1" applyFill="1" applyBorder="1" applyAlignment="1" applyProtection="1">
      <alignment horizontal="left" vertical="center" wrapText="1"/>
      <protection hidden="1"/>
    </xf>
    <xf numFmtId="0" fontId="1" fillId="12" borderId="14" xfId="0" applyFont="1" applyFill="1" applyBorder="1" applyAlignment="1" applyProtection="1">
      <alignment horizontal="left" vertical="center"/>
      <protection hidden="1"/>
    </xf>
    <xf numFmtId="0" fontId="12" fillId="12" borderId="13" xfId="0" applyFont="1" applyFill="1" applyBorder="1" applyAlignment="1" applyProtection="1">
      <alignment horizontal="center" vertical="center"/>
      <protection hidden="1"/>
    </xf>
    <xf numFmtId="0" fontId="12" fillId="12" borderId="20" xfId="0" applyFont="1" applyFill="1" applyBorder="1" applyAlignment="1" applyProtection="1">
      <alignment horizontal="center" vertical="center"/>
      <protection hidden="1"/>
    </xf>
    <xf numFmtId="0" fontId="1" fillId="12" borderId="13" xfId="0" applyFont="1" applyFill="1" applyBorder="1" applyAlignment="1" applyProtection="1">
      <alignment horizontal="center" vertical="center"/>
      <protection hidden="1"/>
    </xf>
    <xf numFmtId="0" fontId="0" fillId="12" borderId="20" xfId="0" applyFill="1" applyBorder="1" applyAlignment="1" applyProtection="1">
      <alignment horizontal="center" vertical="center" wrapText="1"/>
      <protection hidden="1"/>
    </xf>
    <xf numFmtId="0" fontId="0" fillId="12" borderId="14" xfId="0" applyFill="1" applyBorder="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18" fillId="0" borderId="29" xfId="0" applyFont="1" applyBorder="1" applyAlignment="1" applyProtection="1">
      <alignment horizontal="center" vertical="center"/>
      <protection hidden="1"/>
    </xf>
    <xf numFmtId="0" fontId="9" fillId="0" borderId="29" xfId="0" applyFont="1" applyBorder="1" applyAlignment="1" applyProtection="1">
      <alignment horizontal="center" vertical="center"/>
      <protection hidden="1"/>
    </xf>
    <xf numFmtId="0" fontId="12" fillId="12" borderId="14" xfId="0" applyFont="1" applyFill="1" applyBorder="1" applyAlignment="1" applyProtection="1">
      <alignment horizontal="center" vertical="center"/>
      <protection hidden="1"/>
    </xf>
    <xf numFmtId="0" fontId="20" fillId="10" borderId="13" xfId="0" applyFont="1" applyFill="1" applyBorder="1" applyAlignment="1" applyProtection="1">
      <alignment horizontal="left" vertical="center"/>
      <protection hidden="1"/>
    </xf>
    <xf numFmtId="0" fontId="20" fillId="10" borderId="20" xfId="0" applyFont="1" applyFill="1" applyBorder="1" applyAlignment="1" applyProtection="1">
      <alignment horizontal="left" vertical="center"/>
      <protection hidden="1"/>
    </xf>
    <xf numFmtId="0" fontId="20" fillId="10" borderId="14" xfId="0" applyFont="1" applyFill="1" applyBorder="1" applyAlignment="1" applyProtection="1">
      <alignment horizontal="left" vertical="center"/>
      <protection hidden="1"/>
    </xf>
    <xf numFmtId="0" fontId="62" fillId="0" borderId="47" xfId="0" applyFont="1" applyBorder="1" applyAlignment="1" applyProtection="1">
      <alignment horizontal="center" vertical="center" wrapText="1"/>
      <protection hidden="1"/>
    </xf>
    <xf numFmtId="0" fontId="32" fillId="0" borderId="0" xfId="0" applyFont="1" applyAlignment="1" applyProtection="1">
      <alignment horizontal="center" vertical="top"/>
      <protection hidden="1"/>
    </xf>
    <xf numFmtId="0" fontId="3" fillId="3" borderId="57" xfId="0" applyFont="1" applyFill="1" applyBorder="1" applyAlignment="1" applyProtection="1">
      <alignment horizontal="center" vertical="center"/>
      <protection hidden="1"/>
    </xf>
    <xf numFmtId="0" fontId="3" fillId="3" borderId="58" xfId="0" applyFont="1" applyFill="1" applyBorder="1" applyAlignment="1" applyProtection="1">
      <alignment horizontal="center" vertical="center"/>
      <protection hidden="1"/>
    </xf>
    <xf numFmtId="0" fontId="5" fillId="10" borderId="52" xfId="0" applyFont="1" applyFill="1" applyBorder="1" applyAlignment="1" applyProtection="1">
      <alignment horizontal="center" vertical="center" wrapText="1"/>
      <protection hidden="1"/>
    </xf>
    <xf numFmtId="0" fontId="5" fillId="10" borderId="53" xfId="0" applyFont="1" applyFill="1" applyBorder="1" applyAlignment="1" applyProtection="1">
      <alignment horizontal="center" vertical="center" wrapText="1"/>
      <protection hidden="1"/>
    </xf>
    <xf numFmtId="0" fontId="28" fillId="11" borderId="13" xfId="0" applyFont="1" applyFill="1" applyBorder="1" applyAlignment="1" applyProtection="1">
      <alignment horizontal="left" vertical="center" wrapText="1"/>
      <protection hidden="1"/>
    </xf>
    <xf numFmtId="0" fontId="28" fillId="11" borderId="20" xfId="0" applyFont="1" applyFill="1" applyBorder="1" applyAlignment="1" applyProtection="1">
      <alignment horizontal="left" vertical="center" wrapText="1"/>
      <protection hidden="1"/>
    </xf>
    <xf numFmtId="0" fontId="28" fillId="11" borderId="14" xfId="0" applyFont="1" applyFill="1" applyBorder="1" applyAlignment="1" applyProtection="1">
      <alignment horizontal="left" vertical="center" wrapText="1"/>
      <protection hidden="1"/>
    </xf>
    <xf numFmtId="0" fontId="0" fillId="0" borderId="0" xfId="0" applyAlignment="1" applyProtection="1">
      <alignment horizontal="left" vertical="center"/>
      <protection hidden="1"/>
    </xf>
    <xf numFmtId="0" fontId="5" fillId="5" borderId="0" xfId="0" applyFont="1" applyFill="1" applyAlignment="1" applyProtection="1">
      <alignment horizontal="left" vertical="top" wrapText="1"/>
      <protection hidden="1"/>
    </xf>
    <xf numFmtId="0" fontId="59" fillId="2" borderId="31" xfId="0" applyFont="1" applyFill="1" applyBorder="1" applyAlignment="1" applyProtection="1">
      <alignment horizontal="center" vertical="center" wrapText="1"/>
      <protection hidden="1"/>
    </xf>
    <xf numFmtId="0" fontId="59" fillId="2" borderId="67" xfId="0" applyFont="1" applyFill="1" applyBorder="1" applyAlignment="1" applyProtection="1">
      <alignment horizontal="center" vertical="center" wrapText="1"/>
      <protection hidden="1"/>
    </xf>
    <xf numFmtId="0" fontId="59" fillId="2" borderId="27" xfId="0" applyFont="1" applyFill="1" applyBorder="1" applyAlignment="1" applyProtection="1">
      <alignment horizontal="center" vertical="center" wrapText="1"/>
      <protection hidden="1"/>
    </xf>
    <xf numFmtId="0" fontId="60" fillId="2" borderId="47" xfId="0" applyFont="1" applyFill="1" applyBorder="1" applyAlignment="1" applyProtection="1">
      <alignment horizontal="left" vertical="center" wrapText="1"/>
      <protection hidden="1"/>
    </xf>
    <xf numFmtId="0" fontId="60" fillId="2" borderId="0" xfId="0" applyFont="1" applyFill="1" applyAlignment="1" applyProtection="1">
      <alignment horizontal="left" vertical="center" wrapText="1"/>
      <protection hidden="1"/>
    </xf>
    <xf numFmtId="0" fontId="60" fillId="2" borderId="77" xfId="0" applyFont="1" applyFill="1" applyBorder="1" applyAlignment="1" applyProtection="1">
      <alignment horizontal="left" vertical="center" wrapText="1"/>
      <protection hidden="1"/>
    </xf>
    <xf numFmtId="0" fontId="60" fillId="2" borderId="30" xfId="0" applyFont="1" applyFill="1" applyBorder="1" applyAlignment="1" applyProtection="1">
      <alignment horizontal="left" vertical="center" wrapText="1"/>
      <protection hidden="1"/>
    </xf>
    <xf numFmtId="0" fontId="60" fillId="2" borderId="29" xfId="0" applyFont="1" applyFill="1" applyBorder="1" applyAlignment="1" applyProtection="1">
      <alignment horizontal="left" vertical="center" wrapText="1"/>
      <protection hidden="1"/>
    </xf>
    <xf numFmtId="0" fontId="60" fillId="2" borderId="22" xfId="0" applyFont="1" applyFill="1" applyBorder="1" applyAlignment="1" applyProtection="1">
      <alignment horizontal="left" vertical="center" wrapText="1"/>
      <protection hidden="1"/>
    </xf>
    <xf numFmtId="9" fontId="22" fillId="2" borderId="0" xfId="1" applyFont="1" applyFill="1" applyBorder="1" applyAlignment="1" applyProtection="1">
      <alignment horizontal="center" vertical="center" wrapText="1"/>
      <protection hidden="1"/>
    </xf>
    <xf numFmtId="0" fontId="5" fillId="3" borderId="47" xfId="0" applyFont="1" applyFill="1" applyBorder="1" applyAlignment="1" applyProtection="1">
      <alignment horizontal="center" vertical="center" wrapText="1"/>
      <protection hidden="1"/>
    </xf>
    <xf numFmtId="0" fontId="5" fillId="3" borderId="30" xfId="0" applyFont="1" applyFill="1" applyBorder="1" applyAlignment="1" applyProtection="1">
      <alignment horizontal="center" vertical="center" wrapText="1"/>
      <protection hidden="1"/>
    </xf>
    <xf numFmtId="0" fontId="3" fillId="5" borderId="24" xfId="0" applyFont="1" applyFill="1" applyBorder="1" applyAlignment="1" applyProtection="1">
      <alignment horizontal="center" vertical="center" wrapText="1"/>
      <protection hidden="1"/>
    </xf>
    <xf numFmtId="0" fontId="3" fillId="5" borderId="11" xfId="0" applyFont="1" applyFill="1" applyBorder="1" applyAlignment="1" applyProtection="1">
      <alignment horizontal="center" vertical="center" wrapText="1"/>
      <protection hidden="1"/>
    </xf>
    <xf numFmtId="10" fontId="3" fillId="3" borderId="47" xfId="1" applyNumberFormat="1" applyFont="1" applyFill="1" applyBorder="1" applyAlignment="1" applyProtection="1">
      <alignment horizontal="center" vertical="center" wrapText="1"/>
      <protection hidden="1"/>
    </xf>
    <xf numFmtId="10" fontId="3" fillId="3" borderId="77" xfId="1" applyNumberFormat="1" applyFont="1" applyFill="1" applyBorder="1" applyAlignment="1" applyProtection="1">
      <alignment horizontal="center" vertical="center" wrapText="1"/>
      <protection hidden="1"/>
    </xf>
    <xf numFmtId="10" fontId="3" fillId="3" borderId="30" xfId="1" applyNumberFormat="1" applyFont="1" applyFill="1" applyBorder="1" applyAlignment="1" applyProtection="1">
      <alignment horizontal="center" vertical="center" wrapText="1"/>
      <protection hidden="1"/>
    </xf>
    <xf numFmtId="10" fontId="3" fillId="3" borderId="22" xfId="1" applyNumberFormat="1" applyFont="1" applyFill="1" applyBorder="1" applyAlignment="1" applyProtection="1">
      <alignment horizontal="center" vertical="center" wrapText="1"/>
      <protection hidden="1"/>
    </xf>
    <xf numFmtId="0" fontId="3" fillId="10" borderId="31" xfId="0" applyFont="1" applyFill="1" applyBorder="1" applyAlignment="1" applyProtection="1">
      <alignment horizontal="center" vertical="center" wrapText="1"/>
      <protection hidden="1"/>
    </xf>
    <xf numFmtId="0" fontId="3" fillId="10" borderId="27" xfId="0" applyFont="1" applyFill="1" applyBorder="1" applyAlignment="1" applyProtection="1">
      <alignment horizontal="center" vertical="center" wrapText="1"/>
      <protection hidden="1"/>
    </xf>
    <xf numFmtId="0" fontId="3" fillId="10" borderId="30" xfId="0" applyFont="1" applyFill="1" applyBorder="1" applyAlignment="1" applyProtection="1">
      <alignment horizontal="center" vertical="center" wrapText="1"/>
      <protection hidden="1"/>
    </xf>
    <xf numFmtId="0" fontId="3" fillId="10" borderId="22" xfId="0" applyFont="1" applyFill="1" applyBorder="1" applyAlignment="1" applyProtection="1">
      <alignment horizontal="center" vertical="center" wrapText="1"/>
      <protection hidden="1"/>
    </xf>
    <xf numFmtId="10" fontId="22" fillId="2" borderId="0" xfId="1" applyNumberFormat="1" applyFont="1" applyFill="1" applyBorder="1" applyAlignment="1" applyProtection="1">
      <alignment horizontal="center" vertical="center" wrapText="1"/>
      <protection hidden="1"/>
    </xf>
    <xf numFmtId="165" fontId="48" fillId="3" borderId="13" xfId="0" applyNumberFormat="1" applyFont="1" applyFill="1" applyBorder="1" applyAlignment="1" applyProtection="1">
      <alignment horizontal="center" vertical="center"/>
      <protection hidden="1"/>
    </xf>
    <xf numFmtId="165" fontId="48" fillId="3" borderId="14" xfId="0" applyNumberFormat="1" applyFont="1" applyFill="1" applyBorder="1" applyAlignment="1" applyProtection="1">
      <alignment horizontal="center" vertical="center"/>
      <protection hidden="1"/>
    </xf>
    <xf numFmtId="0" fontId="21" fillId="10" borderId="31" xfId="0" applyFont="1" applyFill="1" applyBorder="1" applyAlignment="1" applyProtection="1">
      <alignment horizontal="left" vertical="center" wrapText="1"/>
      <protection hidden="1"/>
    </xf>
    <xf numFmtId="0" fontId="21" fillId="10" borderId="67" xfId="0" applyFont="1" applyFill="1" applyBorder="1" applyAlignment="1" applyProtection="1">
      <alignment horizontal="left" vertical="center" wrapText="1"/>
      <protection hidden="1"/>
    </xf>
    <xf numFmtId="0" fontId="21" fillId="10" borderId="27" xfId="0" applyFont="1" applyFill="1" applyBorder="1" applyAlignment="1" applyProtection="1">
      <alignment horizontal="left" vertical="center" wrapText="1"/>
      <protection hidden="1"/>
    </xf>
    <xf numFmtId="0" fontId="21" fillId="10" borderId="30" xfId="0" applyFont="1" applyFill="1" applyBorder="1" applyAlignment="1" applyProtection="1">
      <alignment horizontal="left" vertical="center" wrapText="1"/>
      <protection hidden="1"/>
    </xf>
    <xf numFmtId="0" fontId="21" fillId="10" borderId="29" xfId="0" applyFont="1" applyFill="1" applyBorder="1" applyAlignment="1" applyProtection="1">
      <alignment horizontal="left" vertical="center" wrapText="1"/>
      <protection hidden="1"/>
    </xf>
    <xf numFmtId="0" fontId="21" fillId="10" borderId="22" xfId="0" applyFont="1" applyFill="1" applyBorder="1" applyAlignment="1" applyProtection="1">
      <alignment horizontal="left" vertical="center" wrapText="1"/>
      <protection hidden="1"/>
    </xf>
    <xf numFmtId="10" fontId="48" fillId="10" borderId="24" xfId="0" applyNumberFormat="1" applyFont="1" applyFill="1" applyBorder="1" applyAlignment="1" applyProtection="1">
      <alignment horizontal="center" vertical="center"/>
      <protection hidden="1"/>
    </xf>
    <xf numFmtId="10" fontId="48" fillId="10" borderId="11" xfId="0" applyNumberFormat="1" applyFont="1" applyFill="1" applyBorder="1" applyAlignment="1" applyProtection="1">
      <alignment horizontal="center" vertical="center"/>
      <protection hidden="1"/>
    </xf>
    <xf numFmtId="0" fontId="33" fillId="10" borderId="67" xfId="0" applyFont="1" applyFill="1" applyBorder="1" applyAlignment="1" applyProtection="1">
      <alignment horizontal="left" vertical="center" wrapText="1"/>
      <protection hidden="1"/>
    </xf>
    <xf numFmtId="0" fontId="33" fillId="10" borderId="0" xfId="0" applyFont="1" applyFill="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1" fillId="3" borderId="13" xfId="0" applyFont="1" applyFill="1" applyBorder="1" applyAlignment="1" applyProtection="1">
      <alignment horizontal="center" vertical="center"/>
      <protection hidden="1"/>
    </xf>
    <xf numFmtId="0" fontId="1" fillId="3" borderId="20" xfId="0" applyFont="1" applyFill="1" applyBorder="1" applyAlignment="1" applyProtection="1">
      <alignment horizontal="center" vertical="center"/>
      <protection hidden="1"/>
    </xf>
    <xf numFmtId="0" fontId="1" fillId="3" borderId="14" xfId="0" applyFont="1" applyFill="1" applyBorder="1" applyAlignment="1" applyProtection="1">
      <alignment horizontal="center" vertical="center"/>
      <protection hidden="1"/>
    </xf>
    <xf numFmtId="0" fontId="20" fillId="19" borderId="13" xfId="0" applyFont="1" applyFill="1" applyBorder="1" applyAlignment="1" applyProtection="1">
      <alignment horizontal="center" vertical="center" wrapText="1"/>
      <protection hidden="1"/>
    </xf>
    <xf numFmtId="0" fontId="20" fillId="19" borderId="20" xfId="0" applyFont="1" applyFill="1" applyBorder="1" applyAlignment="1" applyProtection="1">
      <alignment horizontal="center" vertical="center" wrapText="1"/>
      <protection hidden="1"/>
    </xf>
    <xf numFmtId="0" fontId="20" fillId="19" borderId="14" xfId="0" applyFont="1" applyFill="1" applyBorder="1" applyAlignment="1" applyProtection="1">
      <alignment horizontal="center" vertical="center" wrapText="1"/>
      <protection hidden="1"/>
    </xf>
    <xf numFmtId="0" fontId="39" fillId="3" borderId="13" xfId="0" applyFont="1" applyFill="1" applyBorder="1" applyAlignment="1" applyProtection="1">
      <alignment horizontal="center" vertical="center" wrapText="1"/>
      <protection hidden="1"/>
    </xf>
    <xf numFmtId="0" fontId="39" fillId="3" borderId="20" xfId="0" applyFont="1" applyFill="1" applyBorder="1" applyAlignment="1" applyProtection="1">
      <alignment horizontal="center" vertical="center" wrapText="1"/>
      <protection hidden="1"/>
    </xf>
    <xf numFmtId="0" fontId="39" fillId="3" borderId="14" xfId="0" applyFont="1" applyFill="1" applyBorder="1" applyAlignment="1" applyProtection="1">
      <alignment horizontal="center" vertical="center" wrapText="1"/>
      <protection hidden="1"/>
    </xf>
    <xf numFmtId="10" fontId="21" fillId="11" borderId="30" xfId="1" applyNumberFormat="1" applyFont="1" applyFill="1" applyBorder="1" applyAlignment="1" applyProtection="1">
      <alignment horizontal="center" vertical="center" wrapText="1"/>
      <protection hidden="1"/>
    </xf>
    <xf numFmtId="10" fontId="21" fillId="11" borderId="29" xfId="1" applyNumberFormat="1" applyFont="1" applyFill="1" applyBorder="1" applyAlignment="1" applyProtection="1">
      <alignment horizontal="center" vertical="center" wrapText="1"/>
      <protection hidden="1"/>
    </xf>
    <xf numFmtId="10" fontId="21" fillId="11" borderId="22" xfId="1" applyNumberFormat="1" applyFont="1" applyFill="1" applyBorder="1" applyAlignment="1" applyProtection="1">
      <alignment horizontal="center" vertical="center" wrapText="1"/>
      <protection hidden="1"/>
    </xf>
    <xf numFmtId="0" fontId="6" fillId="19" borderId="13" xfId="0" applyFont="1" applyFill="1" applyBorder="1" applyAlignment="1" applyProtection="1">
      <alignment horizontal="center" vertical="center"/>
      <protection hidden="1"/>
    </xf>
    <xf numFmtId="0" fontId="6" fillId="19" borderId="20" xfId="0" applyFont="1" applyFill="1" applyBorder="1" applyAlignment="1" applyProtection="1">
      <alignment horizontal="center" vertical="center"/>
      <protection hidden="1"/>
    </xf>
    <xf numFmtId="0" fontId="6" fillId="19" borderId="14" xfId="0" applyFont="1" applyFill="1" applyBorder="1" applyAlignment="1" applyProtection="1">
      <alignment horizontal="center" vertical="center"/>
      <protection hidden="1"/>
    </xf>
    <xf numFmtId="0" fontId="9" fillId="28" borderId="67" xfId="0" applyFont="1" applyFill="1" applyBorder="1" applyAlignment="1" applyProtection="1">
      <alignment horizontal="center" vertical="center"/>
      <protection hidden="1"/>
    </xf>
    <xf numFmtId="0" fontId="32" fillId="0" borderId="0" xfId="0" applyFont="1" applyAlignment="1">
      <alignment horizontal="center" vertical="top"/>
    </xf>
    <xf numFmtId="0" fontId="33" fillId="0" borderId="0" xfId="0" applyFont="1" applyAlignment="1" applyProtection="1">
      <alignment horizontal="center" vertical="top"/>
      <protection hidden="1"/>
    </xf>
    <xf numFmtId="0" fontId="1" fillId="7" borderId="14" xfId="0" applyFont="1" applyFill="1" applyBorder="1" applyAlignment="1" applyProtection="1">
      <alignment horizontal="center" vertical="center"/>
      <protection hidden="1"/>
    </xf>
    <xf numFmtId="0" fontId="43" fillId="4" borderId="81" xfId="0" applyFont="1" applyFill="1" applyBorder="1" applyAlignment="1" applyProtection="1">
      <alignment horizontal="center" vertical="center" wrapText="1"/>
      <protection hidden="1"/>
    </xf>
    <xf numFmtId="0" fontId="43" fillId="4" borderId="82" xfId="0" applyFont="1" applyFill="1" applyBorder="1" applyAlignment="1" applyProtection="1">
      <alignment horizontal="center" vertical="center" wrapText="1"/>
      <protection hidden="1"/>
    </xf>
    <xf numFmtId="0" fontId="14" fillId="15" borderId="52" xfId="0" applyFont="1" applyFill="1" applyBorder="1" applyAlignment="1" applyProtection="1">
      <alignment horizontal="center" vertical="center"/>
      <protection hidden="1"/>
    </xf>
    <xf numFmtId="0" fontId="14" fillId="15" borderId="53" xfId="0" applyFont="1" applyFill="1" applyBorder="1" applyAlignment="1" applyProtection="1">
      <alignment horizontal="center" vertical="center"/>
      <protection hidden="1"/>
    </xf>
    <xf numFmtId="0" fontId="21" fillId="19" borderId="13" xfId="0" applyFont="1" applyFill="1" applyBorder="1" applyAlignment="1" applyProtection="1">
      <alignment horizontal="left" vertical="center"/>
      <protection hidden="1"/>
    </xf>
    <xf numFmtId="0" fontId="21" fillId="19" borderId="20" xfId="0" applyFont="1" applyFill="1" applyBorder="1" applyAlignment="1" applyProtection="1">
      <alignment horizontal="left" vertical="center"/>
      <protection hidden="1"/>
    </xf>
    <xf numFmtId="0" fontId="21" fillId="19" borderId="14" xfId="0" applyFont="1" applyFill="1" applyBorder="1" applyAlignment="1" applyProtection="1">
      <alignment horizontal="left" vertical="center"/>
      <protection hidden="1"/>
    </xf>
    <xf numFmtId="0" fontId="20" fillId="5" borderId="0" xfId="0" applyFont="1" applyFill="1" applyAlignment="1" applyProtection="1">
      <alignment horizontal="left" vertical="center" wrapText="1"/>
      <protection hidden="1"/>
    </xf>
    <xf numFmtId="0" fontId="1" fillId="0" borderId="13" xfId="0" applyFont="1" applyBorder="1" applyAlignment="1" applyProtection="1">
      <alignment horizontal="center" vertical="center"/>
      <protection hidden="1"/>
    </xf>
    <xf numFmtId="0" fontId="1" fillId="0" borderId="20" xfId="0" applyFont="1" applyBorder="1" applyAlignment="1" applyProtection="1">
      <alignment horizontal="center" vertical="center"/>
      <protection hidden="1"/>
    </xf>
    <xf numFmtId="0" fontId="1" fillId="0" borderId="14" xfId="0" applyFont="1" applyBorder="1" applyAlignment="1" applyProtection="1">
      <alignment horizontal="center" vertical="center"/>
      <protection hidden="1"/>
    </xf>
    <xf numFmtId="0" fontId="1" fillId="0" borderId="13" xfId="0" applyFont="1" applyBorder="1" applyAlignment="1">
      <alignment horizontal="center"/>
    </xf>
    <xf numFmtId="0" fontId="1" fillId="0" borderId="20" xfId="0" applyFont="1" applyBorder="1" applyAlignment="1">
      <alignment horizontal="center"/>
    </xf>
    <xf numFmtId="0" fontId="1" fillId="0" borderId="14" xfId="0" applyFont="1" applyBorder="1" applyAlignment="1">
      <alignment horizontal="center"/>
    </xf>
    <xf numFmtId="0" fontId="1" fillId="0" borderId="67" xfId="0" applyFont="1" applyBorder="1" applyAlignment="1">
      <alignment horizontal="center"/>
    </xf>
    <xf numFmtId="0" fontId="1" fillId="0" borderId="27" xfId="0" applyFont="1" applyBorder="1" applyAlignment="1">
      <alignment horizontal="center"/>
    </xf>
  </cellXfs>
  <cellStyles count="2">
    <cellStyle name="Normalny" xfId="0" builtinId="0"/>
    <cellStyle name="Procentowy" xfId="1" builtinId="5"/>
  </cellStyles>
  <dxfs count="38">
    <dxf>
      <fill>
        <patternFill>
          <bgColor theme="5" tint="0.79998168889431442"/>
        </patternFill>
      </fill>
    </dxf>
    <dxf>
      <fill>
        <patternFill>
          <bgColor rgb="FF92D05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rgb="FFEF9BB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rgb="FFEF9BBD"/>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F99"/>
      <color rgb="FFFFCC99"/>
      <color rgb="FFE3EFDF"/>
      <color rgb="FFEDE1ED"/>
      <color rgb="FFF9D5E8"/>
      <color rgb="FFF5D9E2"/>
      <color rgb="FFF1DD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38100</xdr:colOff>
      <xdr:row>1</xdr:row>
      <xdr:rowOff>0</xdr:rowOff>
    </xdr:from>
    <xdr:to>
      <xdr:col>14</xdr:col>
      <xdr:colOff>0</xdr:colOff>
      <xdr:row>56</xdr:row>
      <xdr:rowOff>144780</xdr:rowOff>
    </xdr:to>
    <xdr:sp macro="" textlink="">
      <xdr:nvSpPr>
        <xdr:cNvPr id="2" name="pole tekstowe 1">
          <a:extLst>
            <a:ext uri="{FF2B5EF4-FFF2-40B4-BE49-F238E27FC236}">
              <a16:creationId xmlns:a16="http://schemas.microsoft.com/office/drawing/2014/main" id="{E91AAD7C-BF30-5F1B-8BA2-C470D85AA0CB}"/>
            </a:ext>
          </a:extLst>
        </xdr:cNvPr>
        <xdr:cNvSpPr txBox="1"/>
      </xdr:nvSpPr>
      <xdr:spPr>
        <a:xfrm>
          <a:off x="38100" y="182880"/>
          <a:ext cx="9060180" cy="1020318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l-PL" sz="1200" b="1">
              <a:solidFill>
                <a:srgbClr val="C00000"/>
              </a:solidFill>
            </a:rPr>
            <a:t>INSTRUKCJA WPROWADZANIA</a:t>
          </a:r>
          <a:r>
            <a:rPr lang="pl-PL" sz="1200" b="1" baseline="0">
              <a:solidFill>
                <a:srgbClr val="C00000"/>
              </a:solidFill>
            </a:rPr>
            <a:t> DANYCH</a:t>
          </a:r>
          <a:endParaRPr lang="pl-PL" sz="1200" b="1">
            <a:solidFill>
              <a:srgbClr val="C00000"/>
            </a:solidFill>
          </a:endParaRPr>
        </a:p>
        <a:p>
          <a:endParaRPr lang="pl-PL" sz="1100">
            <a:solidFill>
              <a:srgbClr val="C00000"/>
            </a:solidFill>
          </a:endParaRPr>
        </a:p>
        <a:p>
          <a:r>
            <a:rPr lang="pl-PL" sz="1100" b="1"/>
            <a:t>1. Funkcjonariusz przyjęty do służby po raz pierwszy przed  01.01.2013 r. wypełnia dane w zakładce "art. 15 albo 15a".</a:t>
          </a:r>
          <a:r>
            <a:rPr lang="pl-PL" sz="1100"/>
            <a:t> </a:t>
          </a:r>
        </a:p>
        <a:p>
          <a:r>
            <a:rPr lang="pl-PL" sz="1100"/>
            <a:t>    </a:t>
          </a:r>
          <a:r>
            <a:rPr lang="pl-PL" sz="1100" b="1"/>
            <a:t>Obowiązkowo należy wypełnić pola jasne, tj</a:t>
          </a:r>
          <a:r>
            <a:rPr lang="pl-PL" sz="1100"/>
            <a:t>.:</a:t>
          </a:r>
        </a:p>
        <a:p>
          <a:r>
            <a:rPr lang="pl-PL" sz="1100"/>
            <a:t>    a)</a:t>
          </a:r>
          <a:r>
            <a:rPr lang="pl-PL" sz="1100" baseline="0"/>
            <a:t> </a:t>
          </a:r>
          <a:r>
            <a:rPr lang="pl-PL" sz="1100" b="1">
              <a:solidFill>
                <a:srgbClr val="C00000"/>
              </a:solidFill>
            </a:rPr>
            <a:t>Datę wstąpienia po raz pierwszy do służby (w komórce C4) </a:t>
          </a:r>
          <a:r>
            <a:rPr lang="pl-PL" sz="1100"/>
            <a:t>i rodzaj służby;</a:t>
          </a:r>
        </a:p>
        <a:p>
          <a:r>
            <a:rPr lang="pl-PL" sz="1100"/>
            <a:t>    b)</a:t>
          </a:r>
          <a:r>
            <a:rPr lang="pl-PL" sz="1100" baseline="0"/>
            <a:t> D</a:t>
          </a:r>
          <a:r>
            <a:rPr lang="pl-PL" sz="1100"/>
            <a:t>atę zwolnienia</a:t>
          </a:r>
          <a:r>
            <a:rPr lang="pl-PL" sz="1100" baseline="0"/>
            <a:t> ze służby </a:t>
          </a:r>
          <a:r>
            <a:rPr lang="pl-PL" sz="1100"/>
            <a:t>i rodzaj służby;</a:t>
          </a:r>
        </a:p>
        <a:p>
          <a:r>
            <a:rPr lang="pl-PL" sz="1100"/>
            <a:t>    c)</a:t>
          </a:r>
          <a:r>
            <a:rPr lang="pl-PL" sz="1100" baseline="0"/>
            <a:t> Kwotę uposażenia z miesiąca zwolnienia ze służby (podstawę wymiaru emerytury - do komórki K13), tj. sumę kwoty uposażenia zasadniczego </a:t>
          </a:r>
          <a:br>
            <a:rPr lang="pl-PL" sz="1100" baseline="0"/>
          </a:br>
          <a:r>
            <a:rPr lang="pl-PL" sz="1100" baseline="0"/>
            <a:t>        wraz z dodatkami o charakterze  stałym i  1/12 nagrody rocznej. Do podstawy wymiaru dolicza się miesięczną wysokość pobieranego </a:t>
          </a:r>
          <a:br>
            <a:rPr lang="pl-PL" sz="1100" baseline="0"/>
          </a:br>
          <a:r>
            <a:rPr lang="pl-PL" sz="1100" baseline="0"/>
            <a:t>        świadczenia za długoletnią służbę (K14), jeżeli funkcjonariusz na dzień zwolnienia ze służby posiada </a:t>
          </a:r>
          <a:r>
            <a:rPr lang="pl-PL" sz="1100" b="1" baseline="0"/>
            <a:t>co najmniej 32 lata wysługi emerytalnej, </a:t>
          </a:r>
          <a:br>
            <a:rPr lang="pl-PL" sz="1100" b="1" baseline="0"/>
          </a:br>
          <a:r>
            <a:rPr lang="pl-PL" sz="1100" b="1" baseline="0"/>
            <a:t>        tj. wartość w komórce H10&gt;=32. Podstawę wymiaru stanowi kwota z komórki K15 </a:t>
          </a:r>
          <a:r>
            <a:rPr lang="pl-PL" sz="1100" b="0" baseline="0"/>
            <a:t>(K15 = K14 + K13);</a:t>
          </a:r>
        </a:p>
        <a:p>
          <a:r>
            <a:rPr lang="pl-PL" sz="1100" baseline="0"/>
            <a:t>    d) Okresy służby i równorzędne ze służbą </a:t>
          </a:r>
          <a:r>
            <a:rPr lang="pl-PL" sz="1100" b="1" baseline="0"/>
            <a:t>(TABELA A.) </a:t>
          </a:r>
          <a:r>
            <a:rPr lang="pl-PL" sz="1100" baseline="0"/>
            <a:t>"Datę od" i "Datę do".</a:t>
          </a:r>
        </a:p>
        <a:p>
          <a:endParaRPr lang="pl-PL" sz="1100" baseline="0"/>
        </a:p>
        <a:p>
          <a:pPr marL="0" marR="0" lvl="0" indent="0" defTabSz="914400" eaLnBrk="1" fontAlgn="auto" latinLnBrk="0" hangingPunct="1">
            <a:lnSpc>
              <a:spcPct val="100000"/>
            </a:lnSpc>
            <a:spcBef>
              <a:spcPts val="0"/>
            </a:spcBef>
            <a:spcAft>
              <a:spcPts val="0"/>
            </a:spcAft>
            <a:buClrTx/>
            <a:buSzTx/>
            <a:buFontTx/>
            <a:buNone/>
            <a:tabLst/>
            <a:defRPr/>
          </a:pPr>
          <a:r>
            <a:rPr lang="pl-PL" sz="1100" b="1" baseline="0">
              <a:solidFill>
                <a:srgbClr val="C00000"/>
              </a:solidFill>
              <a:effectLst/>
              <a:latin typeface="+mn-lt"/>
              <a:ea typeface="+mn-ea"/>
              <a:cs typeface="+mn-cs"/>
            </a:rPr>
            <a:t>Uwaga - Daty wprowadzamy w formacie: RRRR-MM-DD, gdzie odpowiednio: RRRR-rok MM-miesiąc DD-dzień.</a:t>
          </a:r>
          <a:endParaRPr lang="pl-PL" sz="1100" b="1" baseline="0">
            <a:solidFill>
              <a:srgbClr val="C00000"/>
            </a:solidFill>
          </a:endParaRPr>
        </a:p>
        <a:p>
          <a:endParaRPr lang="pl-PL" sz="800" baseline="0"/>
        </a:p>
        <a:p>
          <a:r>
            <a:rPr lang="pl-PL" sz="1100" b="1" baseline="0"/>
            <a:t>2.  </a:t>
          </a:r>
          <a:r>
            <a:rPr lang="pl-PL" sz="1100" b="1">
              <a:solidFill>
                <a:schemeClr val="dk1"/>
              </a:solidFill>
              <a:effectLst/>
              <a:latin typeface="+mn-lt"/>
              <a:ea typeface="+mn-ea"/>
              <a:cs typeface="+mn-cs"/>
            </a:rPr>
            <a:t>Funkcjonariusz pozostający w służbie przed  02.01.1999 r. -</a:t>
          </a:r>
          <a:r>
            <a:rPr lang="pl-PL" sz="1100" b="1" baseline="0">
              <a:solidFill>
                <a:schemeClr val="dk1"/>
              </a:solidFill>
              <a:effectLst/>
              <a:latin typeface="+mn-lt"/>
              <a:ea typeface="+mn-ea"/>
              <a:cs typeface="+mn-cs"/>
            </a:rPr>
            <a:t> który posiada okresy składkowe lub nieskładkowe przypadające przed służbą </a:t>
          </a:r>
        </a:p>
        <a:p>
          <a:r>
            <a:rPr lang="pl-PL" sz="1100" b="1" baseline="0">
              <a:solidFill>
                <a:schemeClr val="dk1"/>
              </a:solidFill>
              <a:effectLst/>
              <a:latin typeface="+mn-lt"/>
              <a:ea typeface="+mn-ea"/>
              <a:cs typeface="+mn-cs"/>
            </a:rPr>
            <a:t>     dodatkowo wypełnia TABELĘ B. - Okresy składkowe  i TABELĘ C. - Okresy nieskładkowe.</a:t>
          </a:r>
        </a:p>
        <a:p>
          <a:endParaRPr lang="pl-PL" sz="800" b="1" baseline="0">
            <a:solidFill>
              <a:schemeClr val="dk1"/>
            </a:solidFill>
            <a:effectLst/>
            <a:latin typeface="+mn-lt"/>
            <a:ea typeface="+mn-ea"/>
            <a:cs typeface="+mn-cs"/>
          </a:endParaRPr>
        </a:p>
        <a:p>
          <a:r>
            <a:rPr lang="pl-PL" sz="1100" b="1" baseline="0">
              <a:solidFill>
                <a:schemeClr val="dk1"/>
              </a:solidFill>
              <a:effectLst/>
              <a:latin typeface="+mn-lt"/>
              <a:ea typeface="+mn-ea"/>
              <a:cs typeface="+mn-cs"/>
            </a:rPr>
            <a:t>Jeżeli funkcjonariusz </a:t>
          </a:r>
          <a:r>
            <a:rPr lang="pl-PL" sz="1100" b="1" baseline="0">
              <a:solidFill>
                <a:srgbClr val="C00000"/>
              </a:solidFill>
              <a:effectLst/>
              <a:latin typeface="+mn-lt"/>
              <a:ea typeface="+mn-ea"/>
              <a:cs typeface="+mn-cs"/>
            </a:rPr>
            <a:t>przed 01.01.2013 r</a:t>
          </a:r>
          <a:r>
            <a:rPr lang="pl-PL" sz="1100" b="1" baseline="0">
              <a:solidFill>
                <a:schemeClr val="dk1"/>
              </a:solidFill>
              <a:effectLst/>
              <a:latin typeface="+mn-lt"/>
              <a:ea typeface="+mn-ea"/>
              <a:cs typeface="+mn-cs"/>
            </a:rPr>
            <a:t>. pełnił służbę w Straży Granicznej, np. w strażnicach, granicznych punktach kontrolnych, to każdy rok służby pełnionej w tych jednostkach zostanie zaliczony na podstawie art. 74 ust. 2 ustawy o Straży Granicznej w wymiarze półtorakrotnym. W takim </a:t>
          </a:r>
        </a:p>
        <a:p>
          <a:r>
            <a:rPr lang="pl-PL" sz="1100" b="1" baseline="0">
              <a:solidFill>
                <a:schemeClr val="dk1"/>
              </a:solidFill>
              <a:effectLst/>
              <a:latin typeface="+mn-lt"/>
              <a:ea typeface="+mn-ea"/>
              <a:cs typeface="+mn-cs"/>
            </a:rPr>
            <a:t>przypadku funkcjonariusz dodatkowo powinien wypełnić TABELĘ D.</a:t>
          </a:r>
          <a:endParaRPr lang="pl-PL">
            <a:effectLst/>
          </a:endParaRPr>
        </a:p>
        <a:p>
          <a:r>
            <a:rPr lang="pl-PL" sz="1100" b="1" baseline="0">
              <a:solidFill>
                <a:srgbClr val="C00000"/>
              </a:solidFill>
              <a:effectLst/>
              <a:latin typeface="+mn-lt"/>
              <a:ea typeface="+mn-ea"/>
              <a:cs typeface="+mn-cs"/>
            </a:rPr>
            <a:t>Uwaga</a:t>
          </a:r>
          <a:endParaRPr lang="pl-PL">
            <a:solidFill>
              <a:srgbClr val="C00000"/>
            </a:solidFill>
            <a:effectLst/>
          </a:endParaRPr>
        </a:p>
        <a:p>
          <a:r>
            <a:rPr lang="pl-PL" sz="1100" baseline="0">
              <a:solidFill>
                <a:srgbClr val="C00000"/>
              </a:solidFill>
              <a:effectLst/>
              <a:latin typeface="+mn-lt"/>
              <a:ea typeface="+mn-ea"/>
              <a:cs typeface="+mn-cs"/>
            </a:rPr>
            <a:t>W </a:t>
          </a:r>
          <a:r>
            <a:rPr lang="pl-PL" sz="1100" b="1" baseline="0">
              <a:solidFill>
                <a:srgbClr val="C00000"/>
              </a:solidFill>
              <a:effectLst/>
              <a:latin typeface="+mn-lt"/>
              <a:ea typeface="+mn-ea"/>
              <a:cs typeface="+mn-cs"/>
            </a:rPr>
            <a:t>TABELI A</a:t>
          </a:r>
          <a:r>
            <a:rPr lang="pl-PL" sz="1100" baseline="0">
              <a:solidFill>
                <a:srgbClr val="C00000"/>
              </a:solidFill>
              <a:effectLst/>
              <a:latin typeface="+mn-lt"/>
              <a:ea typeface="+mn-ea"/>
              <a:cs typeface="+mn-cs"/>
            </a:rPr>
            <a:t>. należy wskazać okresy służby i równorzędne zaliczone </a:t>
          </a:r>
          <a:r>
            <a:rPr lang="pl-PL" sz="1100" b="1" baseline="0">
              <a:solidFill>
                <a:srgbClr val="C00000"/>
              </a:solidFill>
              <a:effectLst/>
              <a:latin typeface="+mn-lt"/>
              <a:ea typeface="+mn-ea"/>
              <a:cs typeface="+mn-cs"/>
            </a:rPr>
            <a:t>w wymiarze pojedynczym, a w TABELI D</a:t>
          </a:r>
          <a:r>
            <a:rPr lang="pl-PL" sz="1100" baseline="0">
              <a:solidFill>
                <a:srgbClr val="C00000"/>
              </a:solidFill>
              <a:effectLst/>
              <a:latin typeface="+mn-lt"/>
              <a:ea typeface="+mn-ea"/>
              <a:cs typeface="+mn-cs"/>
            </a:rPr>
            <a:t>. </a:t>
          </a:r>
          <a:r>
            <a:rPr lang="pl-PL" sz="1100" b="1" baseline="0">
              <a:solidFill>
                <a:srgbClr val="C00000"/>
              </a:solidFill>
              <a:effectLst/>
              <a:latin typeface="+mn-lt"/>
              <a:ea typeface="+mn-ea"/>
              <a:cs typeface="+mn-cs"/>
            </a:rPr>
            <a:t>w wymiarze półtorakrotnym</a:t>
          </a:r>
          <a:r>
            <a:rPr lang="pl-PL" sz="1100" baseline="0">
              <a:solidFill>
                <a:srgbClr val="C00000"/>
              </a:solidFill>
              <a:effectLst/>
              <a:latin typeface="+mn-lt"/>
              <a:ea typeface="+mn-ea"/>
              <a:cs typeface="+mn-cs"/>
            </a:rPr>
            <a:t>.</a:t>
          </a:r>
        </a:p>
        <a:p>
          <a:r>
            <a:rPr lang="pl-PL" sz="1100" b="1" baseline="0">
              <a:solidFill>
                <a:srgbClr val="C00000"/>
              </a:solidFill>
              <a:effectLst/>
              <a:latin typeface="+mn-lt"/>
              <a:ea typeface="+mn-ea"/>
              <a:cs typeface="+mn-cs"/>
            </a:rPr>
            <a:t>Okresy muszą być rozłączne i nie mogą się pokrywać. Do</a:t>
          </a:r>
          <a:r>
            <a:rPr lang="pl-PL" sz="1100" baseline="0">
              <a:solidFill>
                <a:srgbClr val="C00000"/>
              </a:solidFill>
              <a:effectLst/>
              <a:latin typeface="+mn-lt"/>
              <a:ea typeface="+mn-ea"/>
              <a:cs typeface="+mn-cs"/>
            </a:rPr>
            <a:t> </a:t>
          </a:r>
          <a:r>
            <a:rPr lang="pl-PL" sz="1100" b="1" baseline="0">
              <a:solidFill>
                <a:srgbClr val="C00000"/>
              </a:solidFill>
              <a:effectLst/>
              <a:latin typeface="+mn-lt"/>
              <a:ea typeface="+mn-ea"/>
              <a:cs typeface="+mn-cs"/>
            </a:rPr>
            <a:t>prawa do emerytury </a:t>
          </a:r>
          <a:r>
            <a:rPr lang="pl-PL" sz="1100" baseline="0">
              <a:solidFill>
                <a:srgbClr val="C00000"/>
              </a:solidFill>
              <a:effectLst/>
              <a:latin typeface="+mn-lt"/>
              <a:ea typeface="+mn-ea"/>
              <a:cs typeface="+mn-cs"/>
            </a:rPr>
            <a:t>okresy w </a:t>
          </a:r>
          <a:r>
            <a:rPr lang="pl-PL" sz="1100" b="1" baseline="0">
              <a:solidFill>
                <a:srgbClr val="C00000"/>
              </a:solidFill>
              <a:effectLst/>
              <a:latin typeface="+mn-lt"/>
              <a:ea typeface="+mn-ea"/>
              <a:cs typeface="+mn-cs"/>
            </a:rPr>
            <a:t>TABELI D.</a:t>
          </a:r>
          <a:r>
            <a:rPr lang="pl-PL" sz="1100" baseline="0">
              <a:solidFill>
                <a:srgbClr val="C00000"/>
              </a:solidFill>
              <a:effectLst/>
              <a:latin typeface="+mn-lt"/>
              <a:ea typeface="+mn-ea"/>
              <a:cs typeface="+mn-cs"/>
            </a:rPr>
            <a:t>  zostaną zaliczone</a:t>
          </a:r>
          <a:r>
            <a:rPr lang="pl-PL" sz="1100" baseline="0">
              <a:solidFill>
                <a:schemeClr val="dk1"/>
              </a:solidFill>
              <a:effectLst/>
              <a:latin typeface="+mn-lt"/>
              <a:ea typeface="+mn-ea"/>
              <a:cs typeface="+mn-cs"/>
            </a:rPr>
            <a:t> </a:t>
          </a:r>
          <a:r>
            <a:rPr lang="pl-PL" sz="1100" b="1" baseline="0">
              <a:solidFill>
                <a:srgbClr val="C00000"/>
              </a:solidFill>
              <a:effectLst/>
              <a:latin typeface="+mn-lt"/>
              <a:ea typeface="+mn-ea"/>
              <a:cs typeface="+mn-cs"/>
            </a:rPr>
            <a:t>w wymiarze pojedynczym</a:t>
          </a:r>
          <a:r>
            <a:rPr lang="pl-PL" sz="1100" baseline="0">
              <a:solidFill>
                <a:srgbClr val="C00000"/>
              </a:solidFill>
              <a:effectLst/>
              <a:latin typeface="+mn-lt"/>
              <a:ea typeface="+mn-ea"/>
              <a:cs typeface="+mn-cs"/>
            </a:rPr>
            <a:t>.</a:t>
          </a:r>
        </a:p>
        <a:p>
          <a:endParaRPr lang="pl-PL" sz="800" baseline="0">
            <a:solidFill>
              <a:schemeClr val="dk1"/>
            </a:solidFill>
            <a:effectLst/>
            <a:latin typeface="+mn-lt"/>
            <a:ea typeface="+mn-ea"/>
            <a:cs typeface="+mn-cs"/>
          </a:endParaRPr>
        </a:p>
        <a:p>
          <a:r>
            <a:rPr lang="pl-PL" sz="1100" b="1" baseline="0">
              <a:solidFill>
                <a:schemeClr val="dk1"/>
              </a:solidFill>
              <a:effectLst/>
              <a:latin typeface="+mn-lt"/>
              <a:ea typeface="+mn-ea"/>
              <a:cs typeface="+mn-cs"/>
            </a:rPr>
            <a:t>3. </a:t>
          </a:r>
          <a:r>
            <a:rPr lang="pl-PL" sz="1100" b="1">
              <a:solidFill>
                <a:schemeClr val="dk1"/>
              </a:solidFill>
              <a:effectLst/>
              <a:latin typeface="+mn-lt"/>
              <a:ea typeface="+mn-ea"/>
              <a:cs typeface="+mn-cs"/>
            </a:rPr>
            <a:t>Funkcjonariusz przyjęty do służby po raz pierwszy po</a:t>
          </a:r>
          <a:r>
            <a:rPr lang="pl-PL" sz="1100" b="1" baseline="0">
              <a:solidFill>
                <a:schemeClr val="dk1"/>
              </a:solidFill>
              <a:effectLst/>
              <a:latin typeface="+mn-lt"/>
              <a:ea typeface="+mn-ea"/>
              <a:cs typeface="+mn-cs"/>
            </a:rPr>
            <a:t> 01.01.1999 r. i przed 01.10.2003 r., który posiada co najmniej 25 lat służby ustalonej </a:t>
          </a:r>
          <a:br>
            <a:rPr lang="pl-PL" sz="1100" b="1" baseline="0">
              <a:solidFill>
                <a:schemeClr val="dk1"/>
              </a:solidFill>
              <a:effectLst/>
              <a:latin typeface="+mn-lt"/>
              <a:ea typeface="+mn-ea"/>
              <a:cs typeface="+mn-cs"/>
            </a:rPr>
          </a:br>
          <a:r>
            <a:rPr lang="pl-PL" sz="1100" b="1" baseline="0">
              <a:solidFill>
                <a:schemeClr val="dk1"/>
              </a:solidFill>
              <a:effectLst/>
              <a:latin typeface="+mn-lt"/>
              <a:ea typeface="+mn-ea"/>
              <a:cs typeface="+mn-cs"/>
            </a:rPr>
            <a:t>   w  wymiarze pojedynczym (liczonej wraz z okresami równorzędnymi ze służbą)  może obliczyć wysokość emerytury ustalonej  na podstwie </a:t>
          </a:r>
          <a:br>
            <a:rPr lang="pl-PL" sz="1100" b="1" baseline="0">
              <a:solidFill>
                <a:schemeClr val="dk1"/>
              </a:solidFill>
              <a:effectLst/>
              <a:latin typeface="+mn-lt"/>
              <a:ea typeface="+mn-ea"/>
              <a:cs typeface="+mn-cs"/>
            </a:rPr>
          </a:br>
          <a:r>
            <a:rPr lang="pl-PL" sz="1100" b="1" baseline="0">
              <a:solidFill>
                <a:schemeClr val="dk1"/>
              </a:solidFill>
              <a:effectLst/>
              <a:latin typeface="+mn-lt"/>
              <a:ea typeface="+mn-ea"/>
              <a:cs typeface="+mn-cs"/>
            </a:rPr>
            <a:t>   art. 15aa ustawy zaopatrzeniowej wypełniając      odpowiednie dane w zakładce "art. 15aa", </a:t>
          </a:r>
          <a:r>
            <a:rPr lang="pl-PL" sz="1100" b="1" baseline="0">
              <a:solidFill>
                <a:srgbClr val="C00000"/>
              </a:solidFill>
              <a:effectLst/>
              <a:latin typeface="+mn-lt"/>
              <a:ea typeface="+mn-ea"/>
              <a:cs typeface="+mn-cs"/>
            </a:rPr>
            <a:t>w szczególności pole w komórce C4 - "Data wstąpienia</a:t>
          </a:r>
        </a:p>
        <a:p>
          <a:r>
            <a:rPr lang="pl-PL" sz="1100" b="1" baseline="0">
              <a:solidFill>
                <a:srgbClr val="C00000"/>
              </a:solidFill>
              <a:effectLst/>
              <a:latin typeface="+mn-lt"/>
              <a:ea typeface="+mn-ea"/>
              <a:cs typeface="+mn-cs"/>
            </a:rPr>
            <a:t>    po raz pierwszy do służby".</a:t>
          </a:r>
        </a:p>
        <a:p>
          <a:r>
            <a:rPr lang="pl-PL" sz="1100" b="1" baseline="0">
              <a:solidFill>
                <a:schemeClr val="dk1"/>
              </a:solidFill>
              <a:effectLst/>
              <a:latin typeface="+mn-lt"/>
              <a:ea typeface="+mn-ea"/>
              <a:cs typeface="+mn-cs"/>
            </a:rPr>
            <a:t>    </a:t>
          </a:r>
          <a:r>
            <a:rPr lang="pl-PL" sz="1100" b="0" baseline="0">
              <a:solidFill>
                <a:schemeClr val="dk1"/>
              </a:solidFill>
              <a:effectLst/>
              <a:latin typeface="+mn-lt"/>
              <a:ea typeface="+mn-ea"/>
              <a:cs typeface="+mn-cs"/>
            </a:rPr>
            <a:t>Do podstawy  wymiaru (K12) dolicza się miesięczną wysokość pobieranego świadczenia za długoletnią służbę, </a:t>
          </a:r>
          <a:br>
            <a:rPr lang="pl-PL" sz="1100" b="0" baseline="0">
              <a:solidFill>
                <a:schemeClr val="dk1"/>
              </a:solidFill>
              <a:effectLst/>
              <a:latin typeface="+mn-lt"/>
              <a:ea typeface="+mn-ea"/>
              <a:cs typeface="+mn-cs"/>
            </a:rPr>
          </a:br>
          <a:r>
            <a:rPr lang="pl-PL" sz="1100" b="0" baseline="0">
              <a:solidFill>
                <a:schemeClr val="dk1"/>
              </a:solidFill>
              <a:effectLst/>
              <a:latin typeface="+mn-lt"/>
              <a:ea typeface="+mn-ea"/>
              <a:cs typeface="+mn-cs"/>
            </a:rPr>
            <a:t>    jeżeli funkcjonariusz na dzień zwolnienia ze służby posiada co najmniej </a:t>
          </a:r>
          <a:r>
            <a:rPr lang="pl-PL" sz="1100" b="1" baseline="0">
              <a:solidFill>
                <a:sysClr val="windowText" lastClr="000000"/>
              </a:solidFill>
              <a:effectLst/>
              <a:latin typeface="+mn-lt"/>
              <a:ea typeface="+mn-ea"/>
              <a:cs typeface="+mn-cs"/>
            </a:rPr>
            <a:t>32 lata wysługi emerytalnej </a:t>
          </a:r>
          <a:r>
            <a:rPr lang="pl-PL" sz="1100" b="1" baseline="0">
              <a:solidFill>
                <a:schemeClr val="dk1"/>
              </a:solidFill>
              <a:effectLst/>
              <a:latin typeface="+mn-lt"/>
              <a:ea typeface="+mn-ea"/>
              <a:cs typeface="+mn-cs"/>
            </a:rPr>
            <a:t>(pod warunkiem, że wartość w komórce H9&gt;=32).</a:t>
          </a:r>
        </a:p>
        <a:p>
          <a:pPr marL="0" marR="0" lvl="0" indent="0" defTabSz="914400" eaLnBrk="1" fontAlgn="auto" latinLnBrk="0" hangingPunct="1">
            <a:lnSpc>
              <a:spcPct val="100000"/>
            </a:lnSpc>
            <a:spcBef>
              <a:spcPts val="0"/>
            </a:spcBef>
            <a:spcAft>
              <a:spcPts val="0"/>
            </a:spcAft>
            <a:buClrTx/>
            <a:buSzTx/>
            <a:buFontTx/>
            <a:buNone/>
            <a:tabLst/>
            <a:defRPr/>
          </a:pPr>
          <a:r>
            <a:rPr lang="pl-PL" sz="1100" b="1" baseline="0">
              <a:solidFill>
                <a:schemeClr val="dk1"/>
              </a:solidFill>
              <a:effectLst/>
              <a:latin typeface="+mn-lt"/>
              <a:ea typeface="+mn-ea"/>
              <a:cs typeface="+mn-cs"/>
            </a:rPr>
            <a:t>    Podstawę wymiaru stanowi kwota z komórki K14 </a:t>
          </a:r>
          <a:r>
            <a:rPr lang="pl-PL" sz="1100" b="0" baseline="0">
              <a:solidFill>
                <a:schemeClr val="dk1"/>
              </a:solidFill>
              <a:effectLst/>
              <a:latin typeface="+mn-lt"/>
              <a:ea typeface="+mn-ea"/>
              <a:cs typeface="+mn-cs"/>
            </a:rPr>
            <a:t>(K14 = K12 + K13).</a:t>
          </a:r>
          <a:endParaRPr lang="pl-PL">
            <a:effectLst/>
          </a:endParaRPr>
        </a:p>
        <a:p>
          <a:endParaRPr lang="pl-PL" sz="1100" b="1" baseline="0">
            <a:solidFill>
              <a:schemeClr val="dk1"/>
            </a:solidFill>
            <a:effectLst/>
            <a:latin typeface="+mn-lt"/>
            <a:ea typeface="+mn-ea"/>
            <a:cs typeface="+mn-cs"/>
          </a:endParaRPr>
        </a:p>
        <a:p>
          <a:r>
            <a:rPr lang="pl-PL" sz="1100" b="1" baseline="0">
              <a:solidFill>
                <a:schemeClr val="dk1"/>
              </a:solidFill>
              <a:effectLst/>
              <a:latin typeface="+mn-lt"/>
              <a:ea typeface="+mn-ea"/>
              <a:cs typeface="+mn-cs"/>
            </a:rPr>
            <a:t>4. </a:t>
          </a:r>
          <a:r>
            <a:rPr lang="pl-PL" sz="1100" b="1">
              <a:solidFill>
                <a:schemeClr val="dk1"/>
              </a:solidFill>
              <a:effectLst/>
              <a:latin typeface="+mn-lt"/>
              <a:ea typeface="+mn-ea"/>
              <a:cs typeface="+mn-cs"/>
            </a:rPr>
            <a:t>Funkcjonariusz przyjęty do służby po raz pierwszy po</a:t>
          </a:r>
          <a:r>
            <a:rPr lang="pl-PL" sz="1100" b="1" baseline="0">
              <a:solidFill>
                <a:schemeClr val="dk1"/>
              </a:solidFill>
              <a:effectLst/>
              <a:latin typeface="+mn-lt"/>
              <a:ea typeface="+mn-ea"/>
              <a:cs typeface="+mn-cs"/>
            </a:rPr>
            <a:t> 31.12.2012 r.  albo przyjęty przed tą datą, który posiada co najmniej 25 lat służby (liczonej </a:t>
          </a:r>
          <a:endParaRPr lang="pl-PL">
            <a:effectLst/>
          </a:endParaRPr>
        </a:p>
        <a:p>
          <a:r>
            <a:rPr lang="pl-PL" sz="1100" b="1" baseline="0">
              <a:solidFill>
                <a:schemeClr val="dk1"/>
              </a:solidFill>
              <a:effectLst/>
              <a:latin typeface="+mn-lt"/>
              <a:ea typeface="+mn-ea"/>
              <a:cs typeface="+mn-cs"/>
            </a:rPr>
            <a:t>   wraz z okresami równorzędnymi ze służbą) i wybrał sposób obliczenia emerytury na podstawie art. 18h wypełnia:</a:t>
          </a:r>
          <a:endParaRPr lang="pl-PL">
            <a:effectLst/>
          </a:endParaRPr>
        </a:p>
        <a:p>
          <a:r>
            <a:rPr lang="pl-PL" sz="1100" b="1" baseline="0">
              <a:solidFill>
                <a:schemeClr val="dk1"/>
              </a:solidFill>
              <a:effectLst/>
              <a:latin typeface="+mn-lt"/>
              <a:ea typeface="+mn-ea"/>
              <a:cs typeface="+mn-cs"/>
            </a:rPr>
            <a:t>    a) </a:t>
          </a:r>
          <a:r>
            <a:rPr lang="pl-PL" sz="1100" b="0" baseline="0">
              <a:solidFill>
                <a:schemeClr val="dk1"/>
              </a:solidFill>
              <a:effectLst/>
              <a:latin typeface="+mn-lt"/>
              <a:ea typeface="+mn-ea"/>
              <a:cs typeface="+mn-cs"/>
            </a:rPr>
            <a:t>dane </a:t>
          </a:r>
          <a:r>
            <a:rPr lang="pl-PL" sz="1100" b="1" baseline="0">
              <a:solidFill>
                <a:srgbClr val="C00000"/>
              </a:solidFill>
              <a:effectLst/>
              <a:latin typeface="+mn-lt"/>
              <a:ea typeface="+mn-ea"/>
              <a:cs typeface="+mn-cs"/>
            </a:rPr>
            <a:t>w zakładce "Podstawa wymiaru 10 lat" </a:t>
          </a:r>
          <a:r>
            <a:rPr lang="pl-PL" sz="1100" b="0" baseline="0">
              <a:solidFill>
                <a:schemeClr val="dk1"/>
              </a:solidFill>
              <a:effectLst/>
              <a:latin typeface="+mn-lt"/>
              <a:ea typeface="+mn-ea"/>
              <a:cs typeface="+mn-cs"/>
            </a:rPr>
            <a:t>a następnie</a:t>
          </a:r>
          <a:endParaRPr lang="pl-PL">
            <a:effectLst/>
          </a:endParaRPr>
        </a:p>
        <a:p>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 b) </a:t>
          </a:r>
          <a:r>
            <a:rPr lang="pl-PL" sz="1100" b="0" baseline="0">
              <a:solidFill>
                <a:schemeClr val="dk1"/>
              </a:solidFill>
              <a:effectLst/>
              <a:latin typeface="+mn-lt"/>
              <a:ea typeface="+mn-ea"/>
              <a:cs typeface="+mn-cs"/>
            </a:rPr>
            <a:t>dane </a:t>
          </a:r>
          <a:r>
            <a:rPr lang="pl-PL" sz="1100" b="1" baseline="0">
              <a:solidFill>
                <a:srgbClr val="C00000"/>
              </a:solidFill>
              <a:effectLst/>
              <a:latin typeface="+mn-lt"/>
              <a:ea typeface="+mn-ea"/>
              <a:cs typeface="+mn-cs"/>
            </a:rPr>
            <a:t>w zakładce "art. 18e albo 18h". </a:t>
          </a:r>
          <a:endParaRPr lang="pl-PL">
            <a:solidFill>
              <a:srgbClr val="C00000"/>
            </a:solidFill>
            <a:effectLst/>
          </a:endParaRPr>
        </a:p>
        <a:p>
          <a:r>
            <a:rPr lang="pl-PL" sz="1100" b="1" baseline="0">
              <a:solidFill>
                <a:schemeClr val="dk1"/>
              </a:solidFill>
              <a:effectLst/>
              <a:latin typeface="+mn-lt"/>
              <a:ea typeface="+mn-ea"/>
              <a:cs typeface="+mn-cs"/>
            </a:rPr>
            <a:t>ad. a) W zakładce "Podstawa wymiaru 10 lat" należy obowiązkowo  wypełnić pola</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jasne, tj:</a:t>
          </a:r>
          <a:endParaRPr lang="pl-PL">
            <a:effectLst/>
          </a:endParaRPr>
        </a:p>
        <a:p>
          <a:r>
            <a:rPr lang="pl-PL" sz="1100" b="1">
              <a:solidFill>
                <a:srgbClr val="C00000"/>
              </a:solidFill>
              <a:effectLst/>
              <a:latin typeface="+mn-lt"/>
              <a:ea typeface="+mn-ea"/>
              <a:cs typeface="+mn-cs"/>
            </a:rPr>
            <a:t>    - w TABELI A. </a:t>
          </a:r>
          <a:r>
            <a:rPr lang="pl-PL" sz="1100" b="1">
              <a:solidFill>
                <a:schemeClr val="dk1"/>
              </a:solidFill>
              <a:effectLst/>
              <a:latin typeface="+mn-lt"/>
              <a:ea typeface="+mn-ea"/>
              <a:cs typeface="+mn-cs"/>
            </a:rPr>
            <a:t>w Kolumnie</a:t>
          </a:r>
          <a:r>
            <a:rPr lang="pl-PL" sz="1100" b="1" baseline="0">
              <a:solidFill>
                <a:schemeClr val="dk1"/>
              </a:solidFill>
              <a:effectLst/>
              <a:latin typeface="+mn-lt"/>
              <a:ea typeface="+mn-ea"/>
              <a:cs typeface="+mn-cs"/>
            </a:rPr>
            <a:t> 2 pt. "Rodzaj służby" </a:t>
          </a:r>
          <a:r>
            <a:rPr lang="pl-PL" sz="1100" b="0" baseline="0">
              <a:solidFill>
                <a:schemeClr val="dk1"/>
              </a:solidFill>
              <a:effectLst/>
              <a:latin typeface="+mn-lt"/>
              <a:ea typeface="+mn-ea"/>
              <a:cs typeface="+mn-cs"/>
            </a:rPr>
            <a:t>wybieramy dla każdego roku służbę, </a:t>
          </a:r>
          <a:r>
            <a:rPr lang="pl-PL" sz="1100" b="1" baseline="0">
              <a:solidFill>
                <a:schemeClr val="dk1"/>
              </a:solidFill>
              <a:effectLst/>
              <a:latin typeface="+mn-lt"/>
              <a:ea typeface="+mn-ea"/>
              <a:cs typeface="+mn-cs"/>
            </a:rPr>
            <a:t>w Kolumnie 3 pt</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"Roczne uposażenie funkcjonariusza</a:t>
          </a:r>
          <a:r>
            <a:rPr lang="pl-PL" sz="1100" b="0" baseline="0">
              <a:solidFill>
                <a:schemeClr val="dk1"/>
              </a:solidFill>
              <a:effectLst/>
              <a:latin typeface="+mn-lt"/>
              <a:ea typeface="+mn-ea"/>
              <a:cs typeface="+mn-cs"/>
            </a:rPr>
            <a:t>" </a:t>
          </a:r>
          <a:endParaRPr lang="pl-PL">
            <a:effectLst/>
          </a:endParaRPr>
        </a:p>
        <a:p>
          <a:r>
            <a:rPr lang="pl-PL" sz="1100" b="0" baseline="0">
              <a:solidFill>
                <a:schemeClr val="dk1"/>
              </a:solidFill>
              <a:effectLst/>
              <a:latin typeface="+mn-lt"/>
              <a:ea typeface="+mn-ea"/>
              <a:cs typeface="+mn-cs"/>
            </a:rPr>
            <a:t>     wprowadzamy sumę kwot rocznych uposażeń  należnych funkcjonariuszowi. Za kwotę uposażenia należnego  przyjmujemy </a:t>
          </a:r>
          <a:br>
            <a:rPr lang="pl-PL" sz="1100" b="0" baseline="0">
              <a:solidFill>
                <a:schemeClr val="dk1"/>
              </a:solidFill>
              <a:effectLst/>
              <a:latin typeface="+mn-lt"/>
              <a:ea typeface="+mn-ea"/>
              <a:cs typeface="+mn-cs"/>
            </a:rPr>
          </a:br>
          <a:r>
            <a:rPr lang="pl-PL" sz="1100" b="0" baseline="0">
              <a:solidFill>
                <a:schemeClr val="dk1"/>
              </a:solidFill>
              <a:effectLst/>
              <a:latin typeface="+mn-lt"/>
              <a:ea typeface="+mn-ea"/>
              <a:cs typeface="+mn-cs"/>
            </a:rPr>
            <a:t>     uposażenie zasadnicze wraz z dodatkami o charakterze stałym  i należną nagrodą roczną. </a:t>
          </a:r>
          <a:r>
            <a:rPr lang="pl-PL" sz="1100" b="1" baseline="0">
              <a:solidFill>
                <a:schemeClr val="dk1"/>
              </a:solidFill>
              <a:effectLst/>
              <a:latin typeface="+mn-lt"/>
              <a:ea typeface="+mn-ea"/>
              <a:cs typeface="+mn-cs"/>
            </a:rPr>
            <a:t>W</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komórce E31 systemowo zostanie obliczona suma </a:t>
          </a:r>
          <a:endParaRPr lang="pl-PL">
            <a:effectLst/>
          </a:endParaRPr>
        </a:p>
        <a:p>
          <a:r>
            <a:rPr lang="pl-PL" sz="1100" b="1" baseline="0">
              <a:solidFill>
                <a:schemeClr val="dk1"/>
              </a:solidFill>
              <a:effectLst/>
              <a:latin typeface="+mn-lt"/>
              <a:ea typeface="+mn-ea"/>
              <a:cs typeface="+mn-cs"/>
            </a:rPr>
            <a:t>     10  najkorzystniejszych wskaźników </a:t>
          </a:r>
          <a:r>
            <a:rPr lang="pl-PL" sz="1100" b="1" u="sng" baseline="0">
              <a:solidFill>
                <a:schemeClr val="dk1"/>
              </a:solidFill>
              <a:effectLst/>
              <a:latin typeface="+mn-lt"/>
              <a:ea typeface="+mn-ea"/>
              <a:cs typeface="+mn-cs"/>
            </a:rPr>
            <a:t>z  kolejnych 10 lat kalendarzowych. </a:t>
          </a:r>
          <a:r>
            <a:rPr lang="pl-PL" sz="1100" b="1" baseline="0">
              <a:solidFill>
                <a:schemeClr val="dk1"/>
              </a:solidFill>
              <a:effectLst/>
              <a:latin typeface="+mn-lt"/>
              <a:ea typeface="+mn-ea"/>
              <a:cs typeface="+mn-cs"/>
            </a:rPr>
            <a:t> W komórce E32 systemowo zostanie obliczony WWPW, tj.</a:t>
          </a:r>
          <a:endParaRPr lang="pl-PL">
            <a:effectLst/>
          </a:endParaRPr>
        </a:p>
        <a:p>
          <a:r>
            <a:rPr lang="pl-PL" sz="1100" b="1" baseline="0">
              <a:solidFill>
                <a:schemeClr val="dk1"/>
              </a:solidFill>
              <a:effectLst/>
              <a:latin typeface="+mn-lt"/>
              <a:ea typeface="+mn-ea"/>
              <a:cs typeface="+mn-cs"/>
            </a:rPr>
            <a:t>      Wskaźnik Wysokości Podstawy Wymiaru (średnia arytmetyczna wskaźników z kolejnych 10 lat kalendarzowych).</a:t>
          </a:r>
          <a:endParaRPr lang="pl-PL">
            <a:effectLst/>
          </a:endParaRPr>
        </a:p>
        <a:p>
          <a:r>
            <a:rPr lang="pl-PL" sz="1100" b="1" i="1" baseline="0">
              <a:solidFill>
                <a:srgbClr val="C00000"/>
              </a:solidFill>
              <a:effectLst/>
              <a:latin typeface="+mn-lt"/>
              <a:ea typeface="+mn-ea"/>
              <a:cs typeface="+mn-cs"/>
            </a:rPr>
            <a:t>     Uwaga</a:t>
          </a:r>
          <a:endParaRPr lang="pl-PL">
            <a:solidFill>
              <a:srgbClr val="C00000"/>
            </a:solidFill>
            <a:effectLst/>
          </a:endParaRPr>
        </a:p>
        <a:p>
          <a:r>
            <a:rPr lang="pl-PL" sz="1100" b="0" i="1" baseline="0">
              <a:solidFill>
                <a:schemeClr val="dk1"/>
              </a:solidFill>
              <a:effectLst/>
              <a:latin typeface="+mn-lt"/>
              <a:ea typeface="+mn-ea"/>
              <a:cs typeface="+mn-cs"/>
            </a:rPr>
            <a:t>     Jeżeli funkcjonariusz w danym roku kalendarzowym, pełnił służbę w różnych formacjach i ten rok zamierza uwzględnić w podstawie wymiaru, </a:t>
          </a:r>
          <a:endParaRPr lang="pl-PL">
            <a:effectLst/>
          </a:endParaRPr>
        </a:p>
        <a:p>
          <a:pPr eaLnBrk="1" fontAlgn="auto" latinLnBrk="0" hangingPunct="1"/>
          <a:r>
            <a:rPr lang="pl-PL" sz="1100" b="0" i="1" baseline="0">
              <a:solidFill>
                <a:schemeClr val="dk1"/>
              </a:solidFill>
              <a:effectLst/>
              <a:latin typeface="+mn-lt"/>
              <a:ea typeface="+mn-ea"/>
              <a:cs typeface="+mn-cs"/>
            </a:rPr>
            <a:t>     to powinien samodzielnie wyliczyć WWWP i wpisać obliczoną przez siebie wartość do kmórki </a:t>
          </a:r>
          <a:r>
            <a:rPr lang="pl-PL" sz="1100" b="1" i="1" baseline="0">
              <a:solidFill>
                <a:schemeClr val="dk1"/>
              </a:solidFill>
              <a:effectLst/>
              <a:latin typeface="+mn-lt"/>
              <a:ea typeface="+mn-ea"/>
              <a:cs typeface="+mn-cs"/>
            </a:rPr>
            <a:t>F35</a:t>
          </a:r>
          <a:r>
            <a:rPr lang="pl-PL" sz="1100" b="0" i="1" baseline="0">
              <a:solidFill>
                <a:schemeClr val="dk1"/>
              </a:solidFill>
              <a:effectLst/>
              <a:latin typeface="+mn-lt"/>
              <a:ea typeface="+mn-ea"/>
              <a:cs typeface="+mn-cs"/>
            </a:rPr>
            <a:t>. </a:t>
          </a:r>
          <a:r>
            <a:rPr lang="pl-PL" sz="1100" i="1" baseline="0">
              <a:solidFill>
                <a:schemeClr val="dk1"/>
              </a:solidFill>
              <a:effectLst/>
              <a:latin typeface="+mn-lt"/>
              <a:ea typeface="+mn-ea"/>
              <a:cs typeface="+mn-cs"/>
            </a:rPr>
            <a:t>Zatem, jeżeli komórka </a:t>
          </a:r>
          <a:r>
            <a:rPr lang="pl-PL" sz="1100" b="1" i="1" baseline="0">
              <a:solidFill>
                <a:schemeClr val="dk1"/>
              </a:solidFill>
              <a:effectLst/>
              <a:latin typeface="+mn-lt"/>
              <a:ea typeface="+mn-ea"/>
              <a:cs typeface="+mn-cs"/>
            </a:rPr>
            <a:t>F35&gt;0%</a:t>
          </a:r>
          <a:r>
            <a:rPr lang="pl-PL" sz="1100" i="1" baseline="0">
              <a:solidFill>
                <a:schemeClr val="dk1"/>
              </a:solidFill>
              <a:effectLst/>
              <a:latin typeface="+mn-lt"/>
              <a:ea typeface="+mn-ea"/>
              <a:cs typeface="+mn-cs"/>
            </a:rPr>
            <a:t>,  to podstawa  </a:t>
          </a:r>
          <a:endParaRPr lang="pl-PL">
            <a:effectLst/>
          </a:endParaRPr>
        </a:p>
        <a:p>
          <a:pPr eaLnBrk="1" fontAlgn="auto" latinLnBrk="0" hangingPunct="1"/>
          <a:r>
            <a:rPr lang="pl-PL" sz="1100" i="1" baseline="0">
              <a:solidFill>
                <a:schemeClr val="dk1"/>
              </a:solidFill>
              <a:effectLst/>
              <a:latin typeface="+mn-lt"/>
              <a:ea typeface="+mn-ea"/>
              <a:cs typeface="+mn-cs"/>
            </a:rPr>
            <a:t>     wymiaru zostanie  obliczona wg wskaźnika z komórki </a:t>
          </a:r>
          <a:r>
            <a:rPr lang="pl-PL" sz="1100" b="1" i="1" baseline="0">
              <a:solidFill>
                <a:schemeClr val="dk1"/>
              </a:solidFill>
              <a:effectLst/>
              <a:latin typeface="+mn-lt"/>
              <a:ea typeface="+mn-ea"/>
              <a:cs typeface="+mn-cs"/>
            </a:rPr>
            <a:t>F35.</a:t>
          </a:r>
          <a:r>
            <a:rPr lang="pl-PL" sz="1100" i="1" baseline="0">
              <a:solidFill>
                <a:schemeClr val="dk1"/>
              </a:solidFill>
              <a:effectLst/>
              <a:latin typeface="+mn-lt"/>
              <a:ea typeface="+mn-ea"/>
              <a:cs typeface="+mn-cs"/>
            </a:rPr>
            <a:t> Jeżeli komórka </a:t>
          </a:r>
          <a:r>
            <a:rPr lang="pl-PL" sz="1100" b="1" i="1" baseline="0">
              <a:solidFill>
                <a:schemeClr val="dk1"/>
              </a:solidFill>
              <a:effectLst/>
              <a:latin typeface="+mn-lt"/>
              <a:ea typeface="+mn-ea"/>
              <a:cs typeface="+mn-cs"/>
            </a:rPr>
            <a:t>F35=0%, </a:t>
          </a:r>
          <a:r>
            <a:rPr lang="pl-PL" sz="1100" i="1" baseline="0">
              <a:solidFill>
                <a:schemeClr val="dk1"/>
              </a:solidFill>
              <a:effectLst/>
              <a:latin typeface="+mn-lt"/>
              <a:ea typeface="+mn-ea"/>
              <a:cs typeface="+mn-cs"/>
            </a:rPr>
            <a:t>to do podstawy wymiaru przyjęty zostanie wskaźnik </a:t>
          </a:r>
          <a:r>
            <a:rPr lang="pl-PL" sz="1100" b="1" i="1" baseline="0">
              <a:solidFill>
                <a:schemeClr val="dk1"/>
              </a:solidFill>
              <a:effectLst/>
              <a:latin typeface="+mn-lt"/>
              <a:ea typeface="+mn-ea"/>
              <a:cs typeface="+mn-cs"/>
            </a:rPr>
            <a:t>WWPW  </a:t>
          </a:r>
          <a:endParaRPr lang="pl-PL">
            <a:effectLst/>
          </a:endParaRPr>
        </a:p>
        <a:p>
          <a:pPr eaLnBrk="1" fontAlgn="auto" latinLnBrk="0" hangingPunct="1"/>
          <a:r>
            <a:rPr lang="pl-PL" sz="1100" i="1" baseline="0">
              <a:solidFill>
                <a:schemeClr val="dk1"/>
              </a:solidFill>
              <a:effectLst/>
              <a:latin typeface="+mn-lt"/>
              <a:ea typeface="+mn-ea"/>
              <a:cs typeface="+mn-cs"/>
            </a:rPr>
            <a:t>    obliczony  automatycznie  w komórce </a:t>
          </a:r>
          <a:r>
            <a:rPr lang="pl-PL" sz="1100" b="1" i="1" baseline="0">
              <a:solidFill>
                <a:schemeClr val="dk1"/>
              </a:solidFill>
              <a:effectLst/>
              <a:latin typeface="+mn-lt"/>
              <a:ea typeface="+mn-ea"/>
              <a:cs typeface="+mn-cs"/>
            </a:rPr>
            <a:t>F32</a:t>
          </a:r>
          <a:r>
            <a:rPr lang="pl-PL" sz="1100" i="1" baseline="0">
              <a:solidFill>
                <a:schemeClr val="dk1"/>
              </a:solidFill>
              <a:effectLst/>
              <a:latin typeface="+mn-lt"/>
              <a:ea typeface="+mn-ea"/>
              <a:cs typeface="+mn-cs"/>
            </a:rPr>
            <a:t> </a:t>
          </a:r>
          <a:r>
            <a:rPr lang="pl-PL" sz="1100" b="1" i="1" baseline="0">
              <a:solidFill>
                <a:schemeClr val="dk1"/>
              </a:solidFill>
              <a:effectLst/>
              <a:latin typeface="+mn-lt"/>
              <a:ea typeface="+mn-ea"/>
              <a:cs typeface="+mn-cs"/>
            </a:rPr>
            <a:t>(na podstawie 10 kolejnych najkorzystniejszych wskaźników).</a:t>
          </a:r>
          <a:endParaRPr lang="pl-PL">
            <a:effectLst/>
          </a:endParaRPr>
        </a:p>
        <a:p>
          <a:r>
            <a:rPr lang="pl-PL" sz="1100" b="0" baseline="0">
              <a:solidFill>
                <a:schemeClr val="dk1"/>
              </a:solidFill>
              <a:effectLst/>
              <a:latin typeface="+mn-lt"/>
              <a:ea typeface="+mn-ea"/>
              <a:cs typeface="+mn-cs"/>
            </a:rPr>
            <a:t>   </a:t>
          </a:r>
          <a:r>
            <a:rPr lang="pl-PL" sz="1100" b="0" baseline="0">
              <a:solidFill>
                <a:srgbClr val="C00000"/>
              </a:solidFill>
              <a:effectLst/>
              <a:latin typeface="+mn-lt"/>
              <a:ea typeface="+mn-ea"/>
              <a:cs typeface="+mn-cs"/>
            </a:rPr>
            <a:t>- </a:t>
          </a:r>
          <a:r>
            <a:rPr lang="pl-PL" sz="1100" b="1" baseline="0">
              <a:solidFill>
                <a:srgbClr val="C00000"/>
              </a:solidFill>
              <a:effectLst/>
              <a:latin typeface="+mn-lt"/>
              <a:ea typeface="+mn-ea"/>
              <a:cs typeface="+mn-cs"/>
            </a:rPr>
            <a:t>w TABELI B. </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obowiązkowo</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wprowadzamy do komórki A48 - datę zwolnienia ze służby (w formacie daty RRRR-MM-DD) oraz </a:t>
          </a:r>
          <a:endParaRPr lang="pl-PL">
            <a:effectLst/>
          </a:endParaRPr>
        </a:p>
        <a:p>
          <a:r>
            <a:rPr lang="pl-PL" sz="1100" b="1" baseline="0">
              <a:solidFill>
                <a:schemeClr val="dk1"/>
              </a:solidFill>
              <a:effectLst/>
              <a:latin typeface="+mn-lt"/>
              <a:ea typeface="+mn-ea"/>
              <a:cs typeface="+mn-cs"/>
            </a:rPr>
            <a:t>      do komórki B48 - rodzaj służby z dnia zwolnienia.</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 </a:t>
          </a:r>
          <a:r>
            <a:rPr lang="pl-PL" sz="1100" b="0" baseline="0">
              <a:solidFill>
                <a:schemeClr val="dk1"/>
              </a:solidFill>
              <a:effectLst/>
              <a:latin typeface="+mn-lt"/>
              <a:ea typeface="+mn-ea"/>
              <a:cs typeface="+mn-cs"/>
            </a:rPr>
            <a:t>Na podstawie wprowadzonych danych, </a:t>
          </a:r>
          <a:r>
            <a:rPr lang="pl-PL" sz="1100" b="1" baseline="0">
              <a:solidFill>
                <a:schemeClr val="dk1"/>
              </a:solidFill>
              <a:effectLst/>
              <a:latin typeface="+mn-lt"/>
              <a:ea typeface="+mn-ea"/>
              <a:cs typeface="+mn-cs"/>
            </a:rPr>
            <a:t> do komórki C48</a:t>
          </a:r>
          <a:r>
            <a:rPr lang="pl-PL" sz="1100" b="0" baseline="0">
              <a:solidFill>
                <a:schemeClr val="dk1"/>
              </a:solidFill>
              <a:effectLst/>
              <a:latin typeface="+mn-lt"/>
              <a:ea typeface="+mn-ea"/>
              <a:cs typeface="+mn-cs"/>
            </a:rPr>
            <a:t> automatycznie zostanie pobrana</a:t>
          </a:r>
          <a:endParaRPr lang="pl-PL">
            <a:effectLst/>
          </a:endParaRPr>
        </a:p>
        <a:p>
          <a:r>
            <a:rPr lang="pl-PL" sz="1100" b="0" baseline="0">
              <a:solidFill>
                <a:schemeClr val="dk1"/>
              </a:solidFill>
              <a:effectLst/>
              <a:latin typeface="+mn-lt"/>
              <a:ea typeface="+mn-ea"/>
              <a:cs typeface="+mn-cs"/>
            </a:rPr>
            <a:t>      kwota  przeciętnego miesięcznego uposażenia z dnia zwolnienia ze służby. </a:t>
          </a:r>
          <a:r>
            <a:rPr lang="pl-PL" sz="1100" b="1" baseline="0">
              <a:solidFill>
                <a:schemeClr val="dk1"/>
              </a:solidFill>
              <a:effectLst/>
              <a:latin typeface="+mn-lt"/>
              <a:ea typeface="+mn-ea"/>
              <a:cs typeface="+mn-cs"/>
            </a:rPr>
            <a:t>Podstawę wymiaru emerytury, bez jej podwyższenia z tytułu </a:t>
          </a:r>
          <a:endParaRPr lang="pl-PL">
            <a:effectLst/>
          </a:endParaRPr>
        </a:p>
        <a:p>
          <a:r>
            <a:rPr lang="pl-PL" sz="1100" b="1" baseline="0">
              <a:solidFill>
                <a:schemeClr val="dk1"/>
              </a:solidFill>
              <a:effectLst/>
              <a:latin typeface="+mn-lt"/>
              <a:ea typeface="+mn-ea"/>
              <a:cs typeface="+mn-cs"/>
            </a:rPr>
            <a:t>     świadczenia za dugoletnią służbę stanowi kwota obliczona w komóce F49. </a:t>
          </a:r>
          <a:r>
            <a:rPr lang="pl-PL" sz="1100" b="0" baseline="0">
              <a:solidFill>
                <a:schemeClr val="dk1"/>
              </a:solidFill>
              <a:effectLst/>
              <a:latin typeface="+mn-lt"/>
              <a:ea typeface="+mn-ea"/>
              <a:cs typeface="+mn-cs"/>
            </a:rPr>
            <a:t>Kwota podstawy wymiaru z komórki </a:t>
          </a:r>
          <a:r>
            <a:rPr lang="pl-PL" sz="1100" b="1" baseline="0">
              <a:solidFill>
                <a:schemeClr val="dk1"/>
              </a:solidFill>
              <a:effectLst/>
              <a:latin typeface="+mn-lt"/>
              <a:ea typeface="+mn-ea"/>
              <a:cs typeface="+mn-cs"/>
            </a:rPr>
            <a:t>F49</a:t>
          </a:r>
          <a:r>
            <a:rPr lang="pl-PL" sz="1100" b="0" baseline="0">
              <a:solidFill>
                <a:schemeClr val="dk1"/>
              </a:solidFill>
              <a:effectLst/>
              <a:latin typeface="+mn-lt"/>
              <a:ea typeface="+mn-ea"/>
              <a:cs typeface="+mn-cs"/>
            </a:rPr>
            <a:t> oraz wskaźnik WWPW</a:t>
          </a:r>
        </a:p>
        <a:p>
          <a:r>
            <a:rPr lang="pl-PL" sz="1100" b="0" baseline="0">
              <a:solidFill>
                <a:schemeClr val="dk1"/>
              </a:solidFill>
              <a:effectLst/>
              <a:latin typeface="+mn-lt"/>
              <a:ea typeface="+mn-ea"/>
              <a:cs typeface="+mn-cs"/>
            </a:rPr>
            <a:t>     z komórki </a:t>
          </a:r>
          <a:r>
            <a:rPr lang="pl-PL" sz="1100" b="1" baseline="0">
              <a:solidFill>
                <a:schemeClr val="dk1"/>
              </a:solidFill>
              <a:effectLst/>
              <a:latin typeface="+mn-lt"/>
              <a:ea typeface="+mn-ea"/>
              <a:cs typeface="+mn-cs"/>
            </a:rPr>
            <a:t>F48</a:t>
          </a:r>
          <a:r>
            <a:rPr lang="pl-PL" sz="1100" b="0" baseline="0">
              <a:solidFill>
                <a:schemeClr val="dk1"/>
              </a:solidFill>
              <a:effectLst/>
              <a:latin typeface="+mn-lt"/>
              <a:ea typeface="+mn-ea"/>
              <a:cs typeface="+mn-cs"/>
            </a:rPr>
            <a:t> zostaną automatycznie przeniesione do zakładki: </a:t>
          </a:r>
          <a:r>
            <a:rPr lang="pl-PL" sz="1100" b="1">
              <a:solidFill>
                <a:schemeClr val="dk1"/>
              </a:solidFill>
              <a:effectLst/>
              <a:latin typeface="+mn-lt"/>
              <a:ea typeface="+mn-ea"/>
              <a:cs typeface="+mn-cs"/>
            </a:rPr>
            <a:t>"art. 18e albo 18h" .</a:t>
          </a:r>
          <a:br>
            <a:rPr lang="pl-PL" sz="1100" b="1" baseline="0">
              <a:solidFill>
                <a:schemeClr val="dk1"/>
              </a:solidFill>
              <a:effectLst/>
              <a:latin typeface="+mn-lt"/>
              <a:ea typeface="+mn-ea"/>
              <a:cs typeface="+mn-cs"/>
            </a:rPr>
          </a:br>
          <a:r>
            <a:rPr lang="pl-PL" sz="1100" b="1" baseline="0">
              <a:solidFill>
                <a:schemeClr val="dk1"/>
              </a:solidFill>
              <a:effectLst/>
              <a:latin typeface="+mn-lt"/>
              <a:ea typeface="+mn-ea"/>
              <a:cs typeface="+mn-cs"/>
            </a:rPr>
            <a:t>ad. b) W zakładce "art. 18e albo 18h" " należy obowiązkowo  wypełnić pola</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jasne, tj.:</a:t>
          </a:r>
          <a:endParaRPr lang="pl-PL">
            <a:effectLst/>
          </a:endParaRPr>
        </a:p>
        <a:p>
          <a:r>
            <a:rPr lang="pl-PL" sz="1100" b="1" baseline="0">
              <a:solidFill>
                <a:schemeClr val="dk1"/>
              </a:solidFill>
              <a:effectLst/>
              <a:latin typeface="+mn-lt"/>
              <a:ea typeface="+mn-ea"/>
              <a:cs typeface="+mn-cs"/>
            </a:rPr>
            <a:t>    - </a:t>
          </a:r>
          <a:r>
            <a:rPr lang="pl-PL" sz="1100" b="1">
              <a:solidFill>
                <a:schemeClr val="dk1"/>
              </a:solidFill>
              <a:effectLst/>
              <a:latin typeface="+mn-lt"/>
              <a:ea typeface="+mn-ea"/>
              <a:cs typeface="+mn-cs"/>
            </a:rPr>
            <a:t>Datę wstąpienia po raz pierwszy do służby (w komórce C4) i rodzaj służby (w komórce D4);</a:t>
          </a:r>
          <a:endParaRPr lang="pl-PL">
            <a:effectLst/>
          </a:endParaRPr>
        </a:p>
        <a:p>
          <a:pPr eaLnBrk="1" fontAlgn="auto" latinLnBrk="0" hangingPunct="1"/>
          <a:r>
            <a:rPr lang="pl-PL" sz="1100" baseline="0">
              <a:solidFill>
                <a:schemeClr val="dk1"/>
              </a:solidFill>
              <a:effectLst/>
              <a:latin typeface="+mn-lt"/>
              <a:ea typeface="+mn-ea"/>
              <a:cs typeface="+mn-cs"/>
            </a:rPr>
            <a:t>    - Okresy służby i równorzędne ze służbą </a:t>
          </a:r>
          <a:r>
            <a:rPr lang="pl-PL" sz="1100" b="1" baseline="0">
              <a:solidFill>
                <a:schemeClr val="dk1"/>
              </a:solidFill>
              <a:effectLst/>
              <a:latin typeface="+mn-lt"/>
              <a:ea typeface="+mn-ea"/>
              <a:cs typeface="+mn-cs"/>
            </a:rPr>
            <a:t>(TABELA A.) </a:t>
          </a:r>
          <a:r>
            <a:rPr lang="pl-PL" sz="1100" baseline="0">
              <a:solidFill>
                <a:schemeClr val="dk1"/>
              </a:solidFill>
              <a:effectLst/>
              <a:latin typeface="+mn-lt"/>
              <a:ea typeface="+mn-ea"/>
              <a:cs typeface="+mn-cs"/>
            </a:rPr>
            <a:t>"Datę od" i "Datę do";</a:t>
          </a:r>
          <a:endParaRPr lang="pl-PL">
            <a:effectLst/>
          </a:endParaRPr>
        </a:p>
        <a:p>
          <a:r>
            <a:rPr lang="pl-PL" sz="1100">
              <a:solidFill>
                <a:schemeClr val="dk1"/>
              </a:solidFill>
              <a:effectLst/>
              <a:latin typeface="+mn-lt"/>
              <a:ea typeface="+mn-ea"/>
              <a:cs typeface="+mn-cs"/>
            </a:rPr>
            <a:t>    -</a:t>
          </a:r>
          <a:r>
            <a:rPr lang="pl-PL" sz="1100" baseline="0">
              <a:solidFill>
                <a:schemeClr val="dk1"/>
              </a:solidFill>
              <a:effectLst/>
              <a:latin typeface="+mn-lt"/>
              <a:ea typeface="+mn-ea"/>
              <a:cs typeface="+mn-cs"/>
            </a:rPr>
            <a:t> Data zwolnienia ze służby, r</a:t>
          </a:r>
          <a:r>
            <a:rPr lang="pl-PL" sz="1100">
              <a:solidFill>
                <a:schemeClr val="dk1"/>
              </a:solidFill>
              <a:effectLst/>
              <a:latin typeface="+mn-lt"/>
              <a:ea typeface="+mn-ea"/>
              <a:cs typeface="+mn-cs"/>
            </a:rPr>
            <a:t>odzaj służby,</a:t>
          </a:r>
          <a:r>
            <a:rPr lang="pl-PL" sz="1100" baseline="0">
              <a:solidFill>
                <a:schemeClr val="dk1"/>
              </a:solidFill>
              <a:effectLst/>
              <a:latin typeface="+mn-lt"/>
              <a:ea typeface="+mn-ea"/>
              <a:cs typeface="+mn-cs"/>
            </a:rPr>
            <a:t> </a:t>
          </a:r>
          <a:r>
            <a:rPr lang="pl-PL" sz="1100">
              <a:solidFill>
                <a:schemeClr val="dk1"/>
              </a:solidFill>
              <a:effectLst/>
              <a:latin typeface="+mn-lt"/>
              <a:ea typeface="+mn-ea"/>
              <a:cs typeface="+mn-cs"/>
            </a:rPr>
            <a:t>kwota podstawy wymiaru z 10 lat oraz wskaźnik WWPW pobierane są automatycznie z zakładki </a:t>
          </a:r>
        </a:p>
        <a:p>
          <a:r>
            <a:rPr lang="pl-PL" sz="1100" b="1">
              <a:solidFill>
                <a:schemeClr val="dk1"/>
              </a:solidFill>
              <a:effectLst/>
              <a:latin typeface="+mn-lt"/>
              <a:ea typeface="+mn-ea"/>
              <a:cs typeface="+mn-cs"/>
            </a:rPr>
            <a:t>      "Podstawa wymiaru 10 lat";</a:t>
          </a:r>
          <a:endParaRPr lang="pl-PL">
            <a:effectLst/>
          </a:endParaRPr>
        </a:p>
        <a:p>
          <a:r>
            <a:rPr lang="pl-PL" sz="1100" baseline="0">
              <a:solidFill>
                <a:schemeClr val="dk1"/>
              </a:solidFill>
              <a:effectLst/>
              <a:latin typeface="+mn-lt"/>
              <a:ea typeface="+mn-ea"/>
              <a:cs typeface="+mn-cs"/>
            </a:rPr>
            <a:t>    - Do podstawy wymiaru dolicza się  miesięczną wysokość pobieranego świadczenia za długoletnią służbę</a:t>
          </a:r>
          <a:r>
            <a:rPr lang="pl-PL" sz="1100" b="1" baseline="0">
              <a:solidFill>
                <a:schemeClr val="dk1"/>
              </a:solidFill>
              <a:effectLst/>
              <a:latin typeface="+mn-lt"/>
              <a:ea typeface="+mn-ea"/>
              <a:cs typeface="+mn-cs"/>
            </a:rPr>
            <a:t>, którą należy wpisać do komórki K14</a:t>
          </a:r>
          <a:r>
            <a:rPr lang="pl-PL" sz="1100" baseline="0">
              <a:solidFill>
                <a:schemeClr val="dk1"/>
              </a:solidFill>
              <a:effectLst/>
              <a:latin typeface="+mn-lt"/>
              <a:ea typeface="+mn-ea"/>
              <a:cs typeface="+mn-cs"/>
            </a:rPr>
            <a:t>, </a:t>
          </a:r>
          <a:endParaRPr lang="pl-PL">
            <a:effectLst/>
          </a:endParaRPr>
        </a:p>
        <a:p>
          <a:r>
            <a:rPr lang="pl-PL" sz="1100" baseline="0">
              <a:solidFill>
                <a:schemeClr val="dk1"/>
              </a:solidFill>
              <a:effectLst/>
              <a:latin typeface="+mn-lt"/>
              <a:ea typeface="+mn-ea"/>
              <a:cs typeface="+mn-cs"/>
            </a:rPr>
            <a:t>      wyłącznie w przypadku, gdy na dzień zwolnienia ze służby funkcjonariusz posiada </a:t>
          </a:r>
          <a:r>
            <a:rPr lang="pl-PL" sz="1100" b="1" baseline="0">
              <a:solidFill>
                <a:schemeClr val="dk1"/>
              </a:solidFill>
              <a:effectLst/>
              <a:latin typeface="+mn-lt"/>
              <a:ea typeface="+mn-ea"/>
              <a:cs typeface="+mn-cs"/>
            </a:rPr>
            <a:t>co najmniej 32 lata wysługi emerytalnej, </a:t>
          </a:r>
          <a:endParaRPr lang="pl-PL">
            <a:effectLst/>
          </a:endParaRPr>
        </a:p>
        <a:p>
          <a:r>
            <a:rPr lang="pl-PL" sz="1100" b="1" baseline="0">
              <a:solidFill>
                <a:schemeClr val="dk1"/>
              </a:solidFill>
              <a:effectLst/>
              <a:latin typeface="+mn-lt"/>
              <a:ea typeface="+mn-ea"/>
              <a:cs typeface="+mn-cs"/>
            </a:rPr>
            <a:t>      tj. gdy wartość w komórce H9&gt;=32. Podstawę wymiaru stanowi kwota z komórki K15 </a:t>
          </a:r>
          <a:r>
            <a:rPr lang="pl-PL" sz="1100" b="0" baseline="0">
              <a:solidFill>
                <a:schemeClr val="dk1"/>
              </a:solidFill>
              <a:effectLst/>
              <a:latin typeface="+mn-lt"/>
              <a:ea typeface="+mn-ea"/>
              <a:cs typeface="+mn-cs"/>
            </a:rPr>
            <a:t>(K15 = K13 + K14).</a:t>
          </a:r>
          <a:endParaRPr lang="pl-PL">
            <a:effectLst/>
          </a:endParaRPr>
        </a:p>
        <a:p>
          <a:endParaRPr lang="pl-PL" sz="1100" b="1" baseline="0">
            <a:solidFill>
              <a:schemeClr val="dk1"/>
            </a:solidFill>
            <a:effectLst/>
            <a:latin typeface="+mn-lt"/>
            <a:ea typeface="+mn-ea"/>
            <a:cs typeface="+mn-cs"/>
          </a:endParaRPr>
        </a:p>
        <a:p>
          <a:endParaRPr lang="pl-PL" sz="1100" b="1" baseline="0">
            <a:solidFill>
              <a:schemeClr val="dk1"/>
            </a:solidFill>
            <a:effectLst/>
            <a:latin typeface="+mn-lt"/>
            <a:ea typeface="+mn-ea"/>
            <a:cs typeface="+mn-cs"/>
          </a:endParaRPr>
        </a:p>
        <a:p>
          <a:endParaRPr lang="pl-PL">
            <a:effectLst/>
          </a:endParaRPr>
        </a:p>
        <a:p>
          <a:endParaRPr lang="pl-PL" sz="1100" b="1" baseline="0"/>
        </a:p>
        <a:p>
          <a:endParaRPr lang="pl-PL" sz="1100"/>
        </a:p>
      </xdr:txBody>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2:M28"/>
  <sheetViews>
    <sheetView showGridLines="0" tabSelected="1" workbookViewId="0"/>
  </sheetViews>
  <sheetFormatPr defaultRowHeight="14.4" x14ac:dyDescent="0.3"/>
  <cols>
    <col min="1" max="1" width="9.33203125" customWidth="1"/>
    <col min="2" max="2" width="9" customWidth="1"/>
    <col min="3" max="12" width="9.33203125" customWidth="1"/>
    <col min="13" max="13" width="14.44140625" customWidth="1"/>
    <col min="14" max="14" width="7.6640625" customWidth="1"/>
    <col min="15" max="15" width="8.88671875" customWidth="1"/>
    <col min="16" max="16" width="4.44140625" customWidth="1"/>
    <col min="17" max="18" width="9.33203125" customWidth="1"/>
    <col min="19" max="19" width="15.6640625" customWidth="1"/>
    <col min="20" max="20" width="9.33203125" customWidth="1"/>
  </cols>
  <sheetData>
    <row r="2" spans="1:13" x14ac:dyDescent="0.3">
      <c r="A2" s="98"/>
      <c r="B2" s="98"/>
      <c r="C2" s="98"/>
      <c r="D2" s="98"/>
      <c r="E2" s="98"/>
      <c r="F2" s="98"/>
      <c r="G2" s="98"/>
      <c r="H2" s="98"/>
    </row>
    <row r="4" spans="1:13" ht="14.4" customHeight="1" x14ac:dyDescent="0.3">
      <c r="A4" s="100" t="s">
        <v>64</v>
      </c>
      <c r="B4" s="99"/>
      <c r="C4" s="99"/>
      <c r="D4" s="99"/>
      <c r="E4" s="99"/>
      <c r="F4" s="99"/>
      <c r="G4" s="99"/>
      <c r="H4" s="99"/>
      <c r="I4" s="99"/>
      <c r="J4" s="99"/>
      <c r="K4" s="99"/>
      <c r="L4" s="99"/>
      <c r="M4" s="99"/>
    </row>
    <row r="5" spans="1:13" x14ac:dyDescent="0.3">
      <c r="A5" s="99"/>
      <c r="B5" s="99"/>
      <c r="C5" s="99"/>
      <c r="D5" s="99"/>
      <c r="E5" s="99"/>
      <c r="F5" s="99"/>
      <c r="G5" s="99"/>
      <c r="H5" s="99"/>
      <c r="I5" s="99"/>
      <c r="J5" s="99"/>
      <c r="K5" s="99"/>
      <c r="L5" s="99"/>
      <c r="M5" s="99"/>
    </row>
    <row r="6" spans="1:13" x14ac:dyDescent="0.3">
      <c r="A6" s="99"/>
      <c r="B6" s="99"/>
      <c r="C6" s="99"/>
      <c r="D6" s="99"/>
      <c r="E6" s="99"/>
      <c r="F6" s="99"/>
      <c r="G6" s="99"/>
      <c r="H6" s="99"/>
      <c r="I6" s="99"/>
      <c r="J6" s="99"/>
      <c r="K6" s="99"/>
      <c r="L6" s="99"/>
      <c r="M6" s="99"/>
    </row>
    <row r="7" spans="1:13" x14ac:dyDescent="0.3">
      <c r="A7" s="99"/>
      <c r="B7" s="99"/>
      <c r="C7" s="99"/>
      <c r="D7" s="99"/>
      <c r="E7" s="99"/>
      <c r="F7" s="99"/>
      <c r="G7" s="99"/>
      <c r="H7" s="99"/>
      <c r="I7" s="99"/>
      <c r="J7" s="99"/>
      <c r="K7" s="99"/>
      <c r="L7" s="99"/>
      <c r="M7" s="99"/>
    </row>
    <row r="8" spans="1:13" x14ac:dyDescent="0.3">
      <c r="A8" s="99"/>
      <c r="B8" s="99"/>
      <c r="C8" s="99"/>
      <c r="D8" s="99"/>
      <c r="E8" s="99"/>
      <c r="F8" s="99"/>
      <c r="G8" s="99"/>
      <c r="H8" s="99"/>
      <c r="I8" s="99"/>
      <c r="J8" s="99"/>
      <c r="K8" s="99"/>
      <c r="L8" s="99"/>
      <c r="M8" s="99"/>
    </row>
    <row r="9" spans="1:13" x14ac:dyDescent="0.3">
      <c r="A9" s="99"/>
      <c r="B9" s="99"/>
      <c r="C9" s="99"/>
      <c r="D9" s="99"/>
      <c r="E9" s="99"/>
      <c r="F9" s="99"/>
      <c r="G9" s="99"/>
      <c r="H9" s="99"/>
      <c r="I9" s="99"/>
      <c r="J9" s="99"/>
      <c r="K9" s="99"/>
      <c r="L9" s="99"/>
      <c r="M9" s="99"/>
    </row>
    <row r="10" spans="1:13" x14ac:dyDescent="0.3">
      <c r="A10" s="99"/>
      <c r="B10" s="99"/>
      <c r="C10" s="99"/>
      <c r="D10" s="99"/>
      <c r="E10" s="99"/>
      <c r="F10" s="99"/>
      <c r="G10" s="99"/>
      <c r="H10" s="99"/>
      <c r="I10" s="99"/>
      <c r="J10" s="99"/>
      <c r="K10" s="99"/>
      <c r="L10" s="99"/>
      <c r="M10" s="99"/>
    </row>
    <row r="11" spans="1:13" x14ac:dyDescent="0.3">
      <c r="A11" s="99"/>
      <c r="B11" s="99"/>
      <c r="C11" s="99"/>
      <c r="D11" s="99"/>
      <c r="E11" s="99"/>
      <c r="F11" s="99"/>
      <c r="G11" s="99"/>
      <c r="H11" s="99"/>
      <c r="I11" s="99"/>
      <c r="J11" s="99"/>
      <c r="K11" s="99"/>
      <c r="L11" s="99"/>
      <c r="M11" s="99"/>
    </row>
    <row r="12" spans="1:13" x14ac:dyDescent="0.3">
      <c r="A12" s="99"/>
      <c r="B12" s="99"/>
      <c r="C12" s="99"/>
      <c r="D12" s="99"/>
      <c r="E12" s="99"/>
      <c r="F12" s="99"/>
      <c r="G12" s="99"/>
      <c r="H12" s="99"/>
      <c r="I12" s="99"/>
      <c r="J12" s="99"/>
      <c r="K12" s="99"/>
      <c r="L12" s="99"/>
      <c r="M12" s="99"/>
    </row>
    <row r="13" spans="1:13" x14ac:dyDescent="0.3">
      <c r="A13" s="99"/>
      <c r="B13" s="99"/>
      <c r="C13" s="99"/>
      <c r="D13" s="99"/>
      <c r="E13" s="99"/>
      <c r="F13" s="99"/>
      <c r="G13" s="99"/>
      <c r="H13" s="99"/>
      <c r="I13" s="99"/>
      <c r="J13" s="99"/>
      <c r="K13" s="99"/>
      <c r="L13" s="99"/>
      <c r="M13" s="99"/>
    </row>
    <row r="14" spans="1:13" x14ac:dyDescent="0.3">
      <c r="A14" s="99"/>
      <c r="B14" s="99"/>
      <c r="C14" s="99"/>
      <c r="D14" s="99"/>
      <c r="E14" s="99"/>
      <c r="F14" s="99"/>
      <c r="G14" s="99"/>
      <c r="H14" s="99"/>
      <c r="I14" s="99"/>
      <c r="J14" s="99"/>
      <c r="K14" s="99"/>
      <c r="L14" s="99"/>
      <c r="M14" s="99"/>
    </row>
    <row r="15" spans="1:13" x14ac:dyDescent="0.3">
      <c r="A15" s="99"/>
      <c r="B15" s="99"/>
      <c r="C15" s="99"/>
      <c r="D15" s="99"/>
      <c r="E15" s="99"/>
      <c r="F15" s="99"/>
      <c r="G15" s="99"/>
      <c r="H15" s="99"/>
      <c r="I15" s="99"/>
      <c r="J15" s="99"/>
      <c r="K15" s="99"/>
      <c r="L15" s="99"/>
      <c r="M15" s="99"/>
    </row>
    <row r="16" spans="1:13" x14ac:dyDescent="0.3">
      <c r="A16" s="99"/>
      <c r="B16" s="99"/>
      <c r="C16" s="99"/>
      <c r="D16" s="99"/>
      <c r="E16" s="99"/>
      <c r="F16" s="99"/>
      <c r="G16" s="99"/>
      <c r="H16" s="99"/>
      <c r="I16" s="99"/>
      <c r="J16" s="99"/>
      <c r="K16" s="99"/>
      <c r="L16" s="99"/>
      <c r="M16" s="99"/>
    </row>
    <row r="17" spans="1:13" x14ac:dyDescent="0.3">
      <c r="A17" s="99"/>
      <c r="B17" s="99"/>
      <c r="C17" s="99"/>
      <c r="D17" s="99"/>
      <c r="E17" s="99"/>
      <c r="F17" s="99"/>
      <c r="G17" s="99"/>
      <c r="H17" s="99"/>
      <c r="I17" s="99"/>
      <c r="J17" s="99"/>
      <c r="K17" s="99"/>
      <c r="L17" s="99"/>
      <c r="M17" s="99"/>
    </row>
    <row r="18" spans="1:13" x14ac:dyDescent="0.3">
      <c r="A18" s="99"/>
      <c r="B18" s="99"/>
      <c r="C18" s="99"/>
      <c r="D18" s="99"/>
      <c r="E18" s="99"/>
      <c r="F18" s="99"/>
      <c r="G18" s="99"/>
      <c r="H18" s="99"/>
      <c r="I18" s="99"/>
      <c r="J18" s="99"/>
      <c r="K18" s="99"/>
      <c r="L18" s="99"/>
      <c r="M18" s="99"/>
    </row>
    <row r="19" spans="1:13" x14ac:dyDescent="0.3">
      <c r="A19" s="99"/>
      <c r="B19" s="99"/>
      <c r="C19" s="99"/>
      <c r="D19" s="99"/>
      <c r="E19" s="99"/>
      <c r="F19" s="99"/>
      <c r="G19" s="99"/>
      <c r="H19" s="99"/>
      <c r="I19" s="99"/>
      <c r="J19" s="99"/>
      <c r="K19" s="99"/>
      <c r="L19" s="99"/>
      <c r="M19" s="99"/>
    </row>
    <row r="20" spans="1:13" x14ac:dyDescent="0.3">
      <c r="A20" s="99"/>
      <c r="B20" s="99"/>
      <c r="C20" s="99"/>
      <c r="D20" s="99"/>
      <c r="E20" s="99"/>
      <c r="F20" s="99"/>
      <c r="G20" s="99"/>
      <c r="H20" s="99"/>
      <c r="I20" s="99"/>
      <c r="J20" s="99"/>
      <c r="K20" s="99"/>
      <c r="L20" s="99"/>
      <c r="M20" s="99"/>
    </row>
    <row r="21" spans="1:13" x14ac:dyDescent="0.3">
      <c r="A21" s="99"/>
      <c r="B21" s="99"/>
      <c r="C21" s="99"/>
      <c r="D21" s="99"/>
      <c r="E21" s="99"/>
      <c r="F21" s="99"/>
      <c r="G21" s="99"/>
      <c r="H21" s="99"/>
      <c r="I21" s="99"/>
      <c r="J21" s="99"/>
      <c r="K21" s="99"/>
      <c r="L21" s="99"/>
      <c r="M21" s="99"/>
    </row>
    <row r="22" spans="1:13" x14ac:dyDescent="0.3">
      <c r="A22" s="99"/>
      <c r="B22" s="99"/>
      <c r="C22" s="99"/>
      <c r="D22" s="99"/>
      <c r="E22" s="99"/>
      <c r="F22" s="99"/>
      <c r="G22" s="99"/>
      <c r="H22" s="99"/>
      <c r="I22" s="99"/>
      <c r="J22" s="99"/>
      <c r="K22" s="99"/>
      <c r="L22" s="99"/>
      <c r="M22" s="99"/>
    </row>
    <row r="23" spans="1:13" x14ac:dyDescent="0.3">
      <c r="A23" s="99"/>
      <c r="B23" s="99"/>
      <c r="C23" s="99"/>
      <c r="D23" s="99"/>
      <c r="E23" s="99"/>
      <c r="F23" s="99"/>
      <c r="G23" s="99"/>
      <c r="H23" s="99"/>
      <c r="I23" s="99"/>
      <c r="J23" s="99"/>
      <c r="K23" s="99"/>
      <c r="L23" s="99"/>
      <c r="M23" s="99"/>
    </row>
    <row r="24" spans="1:13" x14ac:dyDescent="0.3">
      <c r="A24" s="99"/>
      <c r="B24" s="99"/>
      <c r="C24" s="99"/>
      <c r="D24" s="99"/>
      <c r="E24" s="99"/>
      <c r="F24" s="99"/>
      <c r="G24" s="99"/>
      <c r="H24" s="99"/>
      <c r="I24" s="99"/>
      <c r="J24" s="99"/>
      <c r="K24" s="99"/>
      <c r="L24" s="99"/>
      <c r="M24" s="99"/>
    </row>
    <row r="25" spans="1:13" x14ac:dyDescent="0.3">
      <c r="A25" s="99"/>
      <c r="B25" s="99"/>
      <c r="C25" s="99"/>
      <c r="D25" s="99"/>
      <c r="E25" s="99"/>
      <c r="F25" s="99"/>
      <c r="G25" s="99"/>
      <c r="H25" s="99"/>
      <c r="I25" s="99"/>
      <c r="J25" s="99"/>
      <c r="K25" s="99"/>
      <c r="L25" s="99"/>
      <c r="M25" s="99"/>
    </row>
    <row r="26" spans="1:13" x14ac:dyDescent="0.3">
      <c r="A26" s="99"/>
      <c r="B26" s="99"/>
      <c r="C26" s="99"/>
      <c r="D26" s="99"/>
      <c r="E26" s="99"/>
      <c r="F26" s="99"/>
      <c r="G26" s="99"/>
      <c r="H26" s="99"/>
      <c r="I26" s="99"/>
      <c r="J26" s="99"/>
      <c r="K26" s="99"/>
      <c r="L26" s="99"/>
      <c r="M26" s="99"/>
    </row>
    <row r="27" spans="1:13" x14ac:dyDescent="0.3">
      <c r="A27" s="99"/>
      <c r="B27" s="99"/>
      <c r="C27" s="99"/>
      <c r="D27" s="99"/>
      <c r="E27" s="99"/>
      <c r="F27" s="99"/>
      <c r="G27" s="99"/>
      <c r="H27" s="99"/>
      <c r="I27" s="99"/>
      <c r="J27" s="99"/>
      <c r="K27" s="99"/>
      <c r="L27" s="99"/>
      <c r="M27" s="99"/>
    </row>
    <row r="28" spans="1:13" x14ac:dyDescent="0.3">
      <c r="A28" s="99"/>
      <c r="B28" s="99"/>
      <c r="C28" s="99"/>
      <c r="D28" s="99"/>
      <c r="E28" s="99"/>
      <c r="F28" s="99"/>
      <c r="G28" s="99"/>
      <c r="H28" s="99"/>
      <c r="I28" s="99"/>
      <c r="J28" s="99"/>
      <c r="K28" s="99"/>
      <c r="L28" s="99"/>
      <c r="M28" s="99"/>
    </row>
  </sheetData>
  <sheetProtection algorithmName="SHA-512" hashValue="vs8UsKz4UGjO4kb/VFixF+xGHAkbD94pdXT+oxQeb9YkOKFuhUXnrr9ataBFAtnCoTl7gqOo9hDz5VVoRsEBmA==" saltValue="OxMpHvnNc5eys81wPjE38Q==" spinCount="100000" sheet="1" objects="1" scenarios="1"/>
  <pageMargins left="0.39370078740157483" right="0.39370078740157483" top="0.43307086614173229" bottom="0.35433070866141736" header="0.31496062992125984" footer="0.31496062992125984"/>
  <pageSetup paperSize="9" scale="61" fitToWidth="2"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A102"/>
  <sheetViews>
    <sheetView showGridLines="0" topLeftCell="F1" workbookViewId="0">
      <selection activeCell="H10" sqref="H10"/>
    </sheetView>
  </sheetViews>
  <sheetFormatPr defaultColWidth="8.88671875" defaultRowHeight="14.4" x14ac:dyDescent="0.3"/>
  <cols>
    <col min="1" max="1" width="19.109375" style="2" customWidth="1"/>
    <col min="2" max="2" width="20.44140625" style="2" customWidth="1"/>
    <col min="3" max="3" width="12.6640625" style="2" customWidth="1"/>
    <col min="4" max="4" width="13.88671875" style="2" customWidth="1"/>
    <col min="5" max="5" width="15.6640625" style="2" customWidth="1"/>
    <col min="6" max="6" width="3" style="2" customWidth="1"/>
    <col min="7" max="7" width="66.33203125" style="2" customWidth="1"/>
    <col min="8" max="8" width="11.109375" style="101" customWidth="1"/>
    <col min="9" max="9" width="10.6640625" style="101" customWidth="1"/>
    <col min="10" max="10" width="9.6640625" style="101" customWidth="1"/>
    <col min="11" max="11" width="13.5546875" style="2" customWidth="1"/>
    <col min="12" max="12" width="21" style="2" customWidth="1"/>
    <col min="13" max="13" width="10.88671875" style="2" customWidth="1"/>
    <col min="14" max="14" width="12.6640625" style="2" customWidth="1"/>
    <col min="15" max="15" width="11.44140625" style="2" customWidth="1"/>
    <col min="16" max="16" width="11.5546875" style="2" customWidth="1"/>
    <col min="17" max="16384" width="8.88671875" style="2"/>
  </cols>
  <sheetData>
    <row r="1" spans="1:27" ht="14.4" customHeight="1" x14ac:dyDescent="0.35">
      <c r="A1" s="461" t="s">
        <v>93</v>
      </c>
      <c r="B1" s="461"/>
      <c r="C1" s="461"/>
      <c r="D1" s="461"/>
      <c r="E1" s="461"/>
      <c r="F1" s="123"/>
      <c r="H1" s="124"/>
      <c r="I1" s="124"/>
      <c r="J1" s="124"/>
      <c r="K1" s="124"/>
      <c r="M1" s="106">
        <v>36161</v>
      </c>
      <c r="N1" s="106">
        <v>36162</v>
      </c>
      <c r="O1" s="106">
        <v>37895</v>
      </c>
      <c r="P1" s="106">
        <v>41275</v>
      </c>
      <c r="Q1" s="113"/>
      <c r="R1" s="114">
        <v>0.09</v>
      </c>
      <c r="S1" s="114">
        <v>0.12</v>
      </c>
      <c r="T1" s="115">
        <v>300</v>
      </c>
      <c r="U1" s="113"/>
      <c r="V1" s="113"/>
      <c r="W1" s="113"/>
      <c r="X1" s="113"/>
      <c r="Y1" s="113"/>
      <c r="Z1" s="113"/>
      <c r="AA1" s="113"/>
    </row>
    <row r="2" spans="1:27" ht="23.4" customHeight="1" thickBot="1" x14ac:dyDescent="0.35">
      <c r="A2" s="461"/>
      <c r="B2" s="461"/>
      <c r="C2" s="461"/>
      <c r="D2" s="461"/>
      <c r="E2" s="461"/>
      <c r="F2" s="123"/>
      <c r="G2" s="453" t="s">
        <v>92</v>
      </c>
      <c r="H2" s="453"/>
      <c r="I2" s="453"/>
      <c r="J2" s="453"/>
      <c r="K2" s="453"/>
      <c r="M2" s="106"/>
      <c r="N2" s="106"/>
      <c r="O2" s="106"/>
      <c r="P2" s="106"/>
      <c r="Q2" s="113"/>
      <c r="R2" s="114"/>
      <c r="S2" s="114"/>
      <c r="T2" s="115"/>
      <c r="U2" s="113"/>
      <c r="V2" s="113"/>
      <c r="W2" s="113"/>
      <c r="X2" s="113"/>
      <c r="Y2" s="113"/>
      <c r="Z2" s="113"/>
      <c r="AA2" s="113"/>
    </row>
    <row r="3" spans="1:27" ht="31.2" customHeight="1" thickBot="1" x14ac:dyDescent="0.35">
      <c r="A3" s="465" t="s">
        <v>75</v>
      </c>
      <c r="B3" s="466"/>
      <c r="C3" s="130" t="s">
        <v>79</v>
      </c>
      <c r="D3" s="132" t="s">
        <v>0</v>
      </c>
      <c r="E3" s="131" t="s">
        <v>32</v>
      </c>
      <c r="F3" s="123"/>
      <c r="G3" s="117" t="s">
        <v>87</v>
      </c>
      <c r="H3" s="19" t="s">
        <v>16</v>
      </c>
      <c r="I3" s="20" t="s">
        <v>17</v>
      </c>
      <c r="J3" s="21" t="s">
        <v>18</v>
      </c>
      <c r="K3" s="22" t="s">
        <v>26</v>
      </c>
      <c r="L3" s="23"/>
      <c r="M3" s="23"/>
      <c r="N3" s="106"/>
      <c r="O3" s="106"/>
      <c r="P3" s="106"/>
      <c r="Q3" s="113"/>
      <c r="R3" s="114"/>
      <c r="S3" s="114"/>
      <c r="T3" s="115"/>
      <c r="U3" s="113"/>
      <c r="V3" s="113"/>
      <c r="W3" s="113"/>
      <c r="X3" s="113"/>
      <c r="Y3" s="113"/>
      <c r="Z3" s="113"/>
      <c r="AA3" s="113"/>
    </row>
    <row r="4" spans="1:27" ht="31.2" customHeight="1" thickBot="1" x14ac:dyDescent="0.35">
      <c r="A4" s="467" t="s">
        <v>82</v>
      </c>
      <c r="B4" s="468"/>
      <c r="C4" s="135"/>
      <c r="D4" s="133"/>
      <c r="E4" s="471" t="str">
        <f>IF(AND($C$4&lt;$N$1,$C$4&lt;&gt;""),"art. 15",IF(AND($C$4&gt;$M$1,$C$4&lt;$P$1,$C$4&lt;&gt;""),"art. 15a",IF($C$4="","proszę obowiązkowo wprowadzić do komórki C4 datę wstąpienia po raz pierwszy do służby","poza zakresem")))</f>
        <v>proszę obowiązkowo wprowadzić do komórki C4 datę wstąpienia po raz pierwszy do służby</v>
      </c>
      <c r="F4" s="123"/>
      <c r="G4" s="24" t="s">
        <v>33</v>
      </c>
      <c r="H4" s="25">
        <f>C97</f>
        <v>0</v>
      </c>
      <c r="I4" s="26">
        <f>D97</f>
        <v>0</v>
      </c>
      <c r="J4" s="27">
        <f>E97</f>
        <v>0</v>
      </c>
      <c r="K4" s="4" t="str">
        <f>IF(C102&lt;15,"brak prawa",IF(AND(H5&lt;3,(J4+J5)&gt;30),ROUND(0.4+(H4-15)*0.026+(I4+1)*0.026/12,4),ROUND(0.4+(H4-15)*0.026+I4*0.026/12,4)))</f>
        <v>brak prawa</v>
      </c>
      <c r="L4" s="1" t="str">
        <f>IF(AND(H5&lt;3,(J4+J5)&gt;30),"+1 mies. po 2,6% za sumę dni","")</f>
        <v/>
      </c>
      <c r="M4" s="28"/>
      <c r="N4" s="106"/>
      <c r="O4" s="106"/>
      <c r="P4" s="106"/>
      <c r="Q4" s="113"/>
      <c r="R4" s="114"/>
      <c r="S4" s="114"/>
      <c r="T4" s="115"/>
      <c r="U4" s="113"/>
      <c r="V4" s="113"/>
      <c r="W4" s="113"/>
      <c r="X4" s="113"/>
      <c r="Y4" s="113"/>
      <c r="Z4" s="113"/>
      <c r="AA4" s="113"/>
    </row>
    <row r="5" spans="1:27" ht="31.2" customHeight="1" thickBot="1" x14ac:dyDescent="0.35">
      <c r="A5" s="476" t="s">
        <v>14</v>
      </c>
      <c r="B5" s="477"/>
      <c r="C5" s="258"/>
      <c r="D5" s="134"/>
      <c r="E5" s="472"/>
      <c r="F5" s="123"/>
      <c r="G5" s="29" t="s">
        <v>20</v>
      </c>
      <c r="H5" s="30">
        <f>IF(AND($C$4&lt;$N$1,$C$4&lt;&gt;""),C41,0)</f>
        <v>0</v>
      </c>
      <c r="I5" s="31">
        <f>IF(AND($C$4&lt;$N$1,$C$4&lt;&gt;""),D41,0)</f>
        <v>0</v>
      </c>
      <c r="J5" s="32">
        <f>IF(AND($C$4&lt;$N$1,$C$4&lt;&gt;""),E41,0)</f>
        <v>0</v>
      </c>
      <c r="K5" s="33">
        <f>IF(H5&lt;3,ROUND(H5*0.026+I5*0.026/12,4),ROUND(0.078+(H5-3)*0.013+I5*0.013/12,4))</f>
        <v>0</v>
      </c>
      <c r="L5" s="112" t="str">
        <f>IF($E$4="art. 15a","nie dolicza się - art. 15a","")</f>
        <v/>
      </c>
      <c r="M5" s="111"/>
      <c r="N5" s="106"/>
      <c r="O5" s="106"/>
      <c r="P5" s="106"/>
      <c r="Q5" s="113"/>
      <c r="R5" s="114"/>
      <c r="S5" s="114"/>
      <c r="T5" s="115"/>
      <c r="U5" s="113"/>
      <c r="V5" s="113"/>
      <c r="W5" s="113"/>
      <c r="X5" s="113"/>
      <c r="Y5" s="113"/>
      <c r="Z5" s="113"/>
      <c r="AA5" s="113"/>
    </row>
    <row r="6" spans="1:27" ht="31.2" customHeight="1" thickBot="1" x14ac:dyDescent="0.35">
      <c r="A6" s="116"/>
      <c r="B6" s="116"/>
      <c r="C6" s="116"/>
      <c r="D6" s="116"/>
      <c r="E6" s="116"/>
      <c r="F6" s="123"/>
      <c r="G6" s="34" t="s">
        <v>21</v>
      </c>
      <c r="H6" s="35">
        <f>IF(AND($C$4&lt;$N$1,$C$4&lt;&gt;""),C56,0)</f>
        <v>0</v>
      </c>
      <c r="I6" s="36">
        <f>IF(AND($C$4&lt;$N$1,$C$4&lt;&gt;""),D56,0)</f>
        <v>0</v>
      </c>
      <c r="J6" s="37">
        <f>IF(AND($C$4&lt;$N$1,$C$4&lt;&gt;""),E56,0)</f>
        <v>0</v>
      </c>
      <c r="K6" s="5">
        <f>ROUND(H6*0.007+I6*0.007/12,4)</f>
        <v>0</v>
      </c>
      <c r="L6" s="112" t="str">
        <f>IF($E$4="art. 15a","nie dolicza się - art. 15a","")</f>
        <v/>
      </c>
      <c r="M6" s="111"/>
      <c r="N6" s="106"/>
      <c r="O6" s="106"/>
      <c r="P6" s="106"/>
      <c r="Q6" s="113"/>
      <c r="R6" s="114"/>
      <c r="S6" s="114"/>
      <c r="T6" s="115"/>
      <c r="U6" s="113"/>
      <c r="V6" s="113"/>
      <c r="W6" s="113"/>
      <c r="X6" s="113"/>
      <c r="Y6" s="113"/>
      <c r="Z6" s="113"/>
      <c r="AA6" s="113"/>
    </row>
    <row r="7" spans="1:27" ht="31.95" customHeight="1" thickBot="1" x14ac:dyDescent="0.35">
      <c r="A7" s="454" t="s">
        <v>89</v>
      </c>
      <c r="B7" s="454"/>
      <c r="C7" s="454"/>
      <c r="D7" s="454"/>
      <c r="E7" s="454"/>
      <c r="G7" s="39"/>
      <c r="H7" s="489" t="s">
        <v>85</v>
      </c>
      <c r="I7" s="490"/>
      <c r="J7" s="491"/>
      <c r="K7" s="107">
        <f>MIN(SUM(K4:K6),0.75)</f>
        <v>0</v>
      </c>
      <c r="L7" s="38"/>
      <c r="M7" s="38"/>
      <c r="N7" s="106"/>
      <c r="O7" s="106"/>
      <c r="P7" s="106"/>
      <c r="Q7" s="113"/>
      <c r="R7" s="114"/>
      <c r="S7" s="114"/>
      <c r="T7" s="115"/>
      <c r="U7" s="113"/>
      <c r="V7" s="113"/>
      <c r="W7" s="113"/>
      <c r="X7" s="113"/>
      <c r="Y7" s="113"/>
      <c r="Z7" s="113"/>
      <c r="AA7" s="113"/>
    </row>
    <row r="8" spans="1:27" ht="22.2" customHeight="1" thickBot="1" x14ac:dyDescent="0.35">
      <c r="A8" s="473" t="s">
        <v>47</v>
      </c>
      <c r="B8" s="474"/>
      <c r="C8" s="474"/>
      <c r="D8" s="474"/>
      <c r="E8" s="475"/>
      <c r="K8" s="41"/>
      <c r="L8" s="38"/>
      <c r="M8" s="38"/>
    </row>
    <row r="9" spans="1:27" ht="22.95" customHeight="1" thickBot="1" x14ac:dyDescent="0.35">
      <c r="A9" s="406" t="s">
        <v>30</v>
      </c>
      <c r="B9" s="407" t="s">
        <v>31</v>
      </c>
      <c r="C9" s="8" t="s">
        <v>25</v>
      </c>
      <c r="D9" s="10" t="s">
        <v>27</v>
      </c>
      <c r="E9" s="9" t="s">
        <v>18</v>
      </c>
      <c r="G9" s="455" t="s">
        <v>72</v>
      </c>
      <c r="H9" s="102" t="s">
        <v>16</v>
      </c>
      <c r="I9" s="20" t="s">
        <v>17</v>
      </c>
      <c r="J9" s="103" t="s">
        <v>18</v>
      </c>
      <c r="K9" s="41"/>
    </row>
    <row r="10" spans="1:27" ht="22.95" customHeight="1" thickBot="1" x14ac:dyDescent="0.35">
      <c r="A10" s="409"/>
      <c r="B10" s="410"/>
      <c r="C10" s="403">
        <f>IF((ISBLANK(A10)=TRUE),0,DATEDIF(A10,B10+1,"Y"))</f>
        <v>0</v>
      </c>
      <c r="D10" s="12">
        <f>IF((ISBLANK(A10)=TRUE),0,DATEDIF(A10,B10+1,"YM"))</f>
        <v>0</v>
      </c>
      <c r="E10" s="13">
        <f>IF((ISBLANK(A10)=TRUE),0,DATEDIF(A10,B10+1,"MD"))</f>
        <v>0</v>
      </c>
      <c r="G10" s="456"/>
      <c r="H10" s="104">
        <f>IF($E$4="art. 15",SUM(H4:H6)+INT((SUM(I4:I6)+INT(SUM(J4:J6)/30))/12),IF($E$4="art. 15a",SUM(H4:H4)+INT((SUM(I4:I4)+INT(SUM(J4:J4)/30))/12),0))</f>
        <v>0</v>
      </c>
      <c r="I10" s="104">
        <f>IF($E$4="art. 15",MOD(SUM(I4:I6)+INT(SUM(J4:J6)/30),12),IF($E$4="art. 15a",MOD(SUM(I4:I4)+INT(SUM(J4:J4)/30),12),0))</f>
        <v>0</v>
      </c>
      <c r="J10" s="105">
        <f>IF($E$4="art. 15",MOD(SUM(J4:J6),30),IF($E$4="art. 15a",MOD(SUM(J4:J4),30),0))</f>
        <v>0</v>
      </c>
    </row>
    <row r="11" spans="1:27" ht="22.95" customHeight="1" x14ac:dyDescent="0.3">
      <c r="A11" s="411"/>
      <c r="B11" s="412"/>
      <c r="C11" s="404">
        <f>IF((ISBLANK(A11)=TRUE),0,DATEDIF(A11,B11+1,"Y"))</f>
        <v>0</v>
      </c>
      <c r="D11" s="16">
        <f>IF((ISBLANK(A11)=TRUE),0,DATEDIF(A11,B11+1,"YM"))</f>
        <v>0</v>
      </c>
      <c r="E11" s="17">
        <f>IF((ISBLANK(A11)=TRUE),0,DATEDIF(A11,B11+1,"MD"))</f>
        <v>0</v>
      </c>
    </row>
    <row r="12" spans="1:27" ht="22.95" customHeight="1" thickBot="1" x14ac:dyDescent="0.35">
      <c r="A12" s="411"/>
      <c r="B12" s="412"/>
      <c r="C12" s="404">
        <f>IF((ISBLANK(A12)=TRUE),0,DATEDIF(A12,B12+1,"Y"))</f>
        <v>0</v>
      </c>
      <c r="D12" s="16">
        <f>IF((ISBLANK(A12)=TRUE),0,DATEDIF(A12,B12+1,"YM"))</f>
        <v>0</v>
      </c>
      <c r="E12" s="17">
        <f>IF((ISBLANK(A12)=TRUE),0,DATEDIF(A12,B12+1,"MD"))</f>
        <v>0</v>
      </c>
      <c r="G12" s="457" t="str">
        <f>IF($E$4="art. 15","Obliczenie wysokości emerytury na podstawie art. 15 ustawy",IF($E$4="art. 15a","Obliczenie wysokości emerytury na podstawie art. 15a ustawy",""))</f>
        <v/>
      </c>
      <c r="H12" s="457"/>
      <c r="I12" s="457"/>
      <c r="J12" s="457"/>
      <c r="K12" s="6"/>
    </row>
    <row r="13" spans="1:27" ht="22.95" customHeight="1" thickBot="1" x14ac:dyDescent="0.35">
      <c r="A13" s="411"/>
      <c r="B13" s="412"/>
      <c r="C13" s="404">
        <f t="shared" ref="C13:C20" si="0">IF((ISBLANK(A13)=TRUE),0,DATEDIF(A13,B13+1,"Y"))</f>
        <v>0</v>
      </c>
      <c r="D13" s="16">
        <f t="shared" ref="D13:D20" si="1">IF((ISBLANK(A13)=TRUE),0,DATEDIF(A13,B13+1,"YM"))</f>
        <v>0</v>
      </c>
      <c r="E13" s="17">
        <f t="shared" ref="E13:E20" si="2">IF((ISBLANK(A13)=TRUE),0,DATEDIF(A13,B13+1,"MD"))</f>
        <v>0</v>
      </c>
      <c r="G13" s="492" t="s">
        <v>77</v>
      </c>
      <c r="H13" s="493"/>
      <c r="I13" s="493"/>
      <c r="J13" s="494"/>
      <c r="K13" s="3"/>
    </row>
    <row r="14" spans="1:27" ht="22.95" customHeight="1" thickBot="1" x14ac:dyDescent="0.35">
      <c r="A14" s="411"/>
      <c r="B14" s="412"/>
      <c r="C14" s="404">
        <f t="shared" si="0"/>
        <v>0</v>
      </c>
      <c r="D14" s="16">
        <f t="shared" si="1"/>
        <v>0</v>
      </c>
      <c r="E14" s="17">
        <f t="shared" si="2"/>
        <v>0</v>
      </c>
      <c r="G14" s="495" t="s">
        <v>78</v>
      </c>
      <c r="H14" s="496"/>
      <c r="I14" s="496"/>
      <c r="J14" s="497"/>
      <c r="K14" s="110"/>
      <c r="L14" s="125" t="str">
        <f>IF($H$10&lt;32,"wysługa (H10) &lt;32 lata","")</f>
        <v>wysługa (H10) &lt;32 lata</v>
      </c>
    </row>
    <row r="15" spans="1:27" ht="22.95" customHeight="1" thickBot="1" x14ac:dyDescent="0.35">
      <c r="A15" s="411"/>
      <c r="B15" s="412"/>
      <c r="C15" s="404">
        <f t="shared" si="0"/>
        <v>0</v>
      </c>
      <c r="D15" s="16">
        <f t="shared" si="1"/>
        <v>0</v>
      </c>
      <c r="E15" s="17">
        <f t="shared" si="2"/>
        <v>0</v>
      </c>
      <c r="G15" s="498" t="s">
        <v>76</v>
      </c>
      <c r="H15" s="499"/>
      <c r="I15" s="499"/>
      <c r="J15" s="500"/>
      <c r="K15" s="293">
        <f>K13+K14</f>
        <v>0</v>
      </c>
    </row>
    <row r="16" spans="1:27" ht="22.95" customHeight="1" thickBot="1" x14ac:dyDescent="0.35">
      <c r="A16" s="411"/>
      <c r="B16" s="412"/>
      <c r="C16" s="404">
        <f t="shared" si="0"/>
        <v>0</v>
      </c>
      <c r="D16" s="16">
        <f>IF((ISBLANK(A16)=TRUE),0,DATEDIF(A16,B16+1,"YM"))</f>
        <v>0</v>
      </c>
      <c r="E16" s="17">
        <f>IF((ISBLANK(A16)=TRUE),0,DATEDIF(A16,B16+1,"MD"))</f>
        <v>0</v>
      </c>
      <c r="G16" s="501" t="s">
        <v>24</v>
      </c>
      <c r="H16" s="502"/>
      <c r="I16" s="502"/>
      <c r="J16" s="503"/>
      <c r="K16" s="44">
        <f>K7</f>
        <v>0</v>
      </c>
    </row>
    <row r="17" spans="1:14" ht="22.95" customHeight="1" thickBot="1" x14ac:dyDescent="0.35">
      <c r="A17" s="411"/>
      <c r="B17" s="412"/>
      <c r="C17" s="404">
        <f t="shared" si="0"/>
        <v>0</v>
      </c>
      <c r="D17" s="16">
        <f>IF((ISBLANK(A17)=TRUE),0,DATEDIF(A17,B17+1,"YM"))</f>
        <v>0</v>
      </c>
      <c r="E17" s="17">
        <f>IF((ISBLANK(A17)=TRUE),0,DATEDIF(A17,B17+1,"MD"))</f>
        <v>0</v>
      </c>
      <c r="G17" s="504" t="s">
        <v>60</v>
      </c>
      <c r="H17" s="505"/>
      <c r="I17" s="505"/>
      <c r="J17" s="506"/>
      <c r="K17" s="294">
        <f>ROUND(K15*K16,2)</f>
        <v>0</v>
      </c>
    </row>
    <row r="18" spans="1:14" ht="22.95" customHeight="1" x14ac:dyDescent="0.3">
      <c r="A18" s="411"/>
      <c r="B18" s="412"/>
      <c r="C18" s="404">
        <f t="shared" si="0"/>
        <v>0</v>
      </c>
      <c r="D18" s="16">
        <f t="shared" si="1"/>
        <v>0</v>
      </c>
      <c r="E18" s="17">
        <f t="shared" si="2"/>
        <v>0</v>
      </c>
      <c r="G18" s="458" t="s">
        <v>62</v>
      </c>
      <c r="H18" s="459"/>
      <c r="I18" s="459"/>
      <c r="J18" s="460"/>
      <c r="K18" s="47">
        <f>MAX(ROUND(K17*$R$1,2),0)</f>
        <v>0</v>
      </c>
      <c r="L18" s="101"/>
      <c r="N18" s="38"/>
    </row>
    <row r="19" spans="1:14" ht="22.95" customHeight="1" thickBot="1" x14ac:dyDescent="0.35">
      <c r="A19" s="411"/>
      <c r="B19" s="412"/>
      <c r="C19" s="404">
        <f t="shared" si="0"/>
        <v>0</v>
      </c>
      <c r="D19" s="16">
        <f t="shared" si="1"/>
        <v>0</v>
      </c>
      <c r="E19" s="17">
        <f t="shared" si="2"/>
        <v>0</v>
      </c>
      <c r="G19" s="507" t="s">
        <v>63</v>
      </c>
      <c r="H19" s="508"/>
      <c r="I19" s="508"/>
      <c r="J19" s="509"/>
      <c r="K19" s="48">
        <f>MAX(ROUND(ROUND(K17,0)*$S$1-$T$1,0),0)</f>
        <v>0</v>
      </c>
      <c r="L19" s="101"/>
      <c r="N19" s="38"/>
    </row>
    <row r="20" spans="1:14" ht="22.95" customHeight="1" thickBot="1" x14ac:dyDescent="0.35">
      <c r="A20" s="413"/>
      <c r="B20" s="414"/>
      <c r="C20" s="405">
        <f t="shared" si="0"/>
        <v>0</v>
      </c>
      <c r="D20" s="42">
        <f t="shared" si="1"/>
        <v>0</v>
      </c>
      <c r="E20" s="43">
        <f t="shared" si="2"/>
        <v>0</v>
      </c>
      <c r="G20" s="448" t="s">
        <v>59</v>
      </c>
      <c r="H20" s="449"/>
      <c r="I20" s="449"/>
      <c r="J20" s="450"/>
      <c r="K20" s="295">
        <f>K17-K18-K19</f>
        <v>0</v>
      </c>
      <c r="L20" s="52"/>
      <c r="M20" s="14"/>
      <c r="N20" s="38"/>
    </row>
    <row r="21" spans="1:14" ht="22.95" customHeight="1" thickBot="1" x14ac:dyDescent="0.35">
      <c r="A21" s="469" t="s">
        <v>28</v>
      </c>
      <c r="B21" s="470"/>
      <c r="C21" s="45">
        <f>SUM(C10:C20)+INT((SUM(D10:D20)+INT(SUM(E10:E20)/30))/12)</f>
        <v>0</v>
      </c>
      <c r="D21" s="45">
        <f>MOD(SUM(D10:D20)+INT(SUM(E10:E20)/30),12)</f>
        <v>0</v>
      </c>
      <c r="E21" s="46">
        <f>MOD(SUM(E10:E20),30)</f>
        <v>0</v>
      </c>
      <c r="L21" s="52"/>
      <c r="M21" s="53"/>
      <c r="N21" s="38"/>
    </row>
    <row r="22" spans="1:14" ht="19.95" customHeight="1" thickBot="1" x14ac:dyDescent="0.35">
      <c r="A22" s="101"/>
      <c r="B22" s="101"/>
      <c r="C22" s="101"/>
      <c r="D22" s="101"/>
      <c r="E22" s="101"/>
      <c r="G22" s="451" t="s">
        <v>80</v>
      </c>
      <c r="H22" s="451"/>
      <c r="I22" s="451"/>
      <c r="J22" s="451"/>
      <c r="K22" s="451"/>
    </row>
    <row r="23" spans="1:14" ht="19.95" customHeight="1" thickBot="1" x14ac:dyDescent="0.35">
      <c r="A23" s="462" t="s">
        <v>48</v>
      </c>
      <c r="B23" s="463"/>
      <c r="C23" s="463"/>
      <c r="D23" s="463"/>
      <c r="E23" s="464"/>
      <c r="G23" s="451"/>
      <c r="H23" s="451"/>
      <c r="I23" s="451"/>
      <c r="J23" s="451"/>
      <c r="K23" s="451"/>
    </row>
    <row r="24" spans="1:14" ht="22.2" customHeight="1" thickBot="1" x14ac:dyDescent="0.35">
      <c r="A24" s="415" t="s">
        <v>30</v>
      </c>
      <c r="B24" s="416" t="s">
        <v>31</v>
      </c>
      <c r="C24" s="49" t="s">
        <v>25</v>
      </c>
      <c r="D24" s="50" t="s">
        <v>27</v>
      </c>
      <c r="E24" s="51" t="s">
        <v>18</v>
      </c>
      <c r="G24" s="451"/>
      <c r="H24" s="451"/>
      <c r="I24" s="451"/>
      <c r="J24" s="451"/>
      <c r="K24" s="451"/>
    </row>
    <row r="25" spans="1:14" ht="19.95" customHeight="1" x14ac:dyDescent="0.3">
      <c r="A25" s="409"/>
      <c r="B25" s="410"/>
      <c r="C25" s="403">
        <f>IF((ISBLANK(A25)=TRUE),0,DATEDIF(A25,B25+1,"Y"))</f>
        <v>0</v>
      </c>
      <c r="D25" s="12">
        <f t="shared" ref="D25:D40" si="3">IF((ISBLANK(A25)=TRUE),0,DATEDIF(A25,B25+1,"YM"))</f>
        <v>0</v>
      </c>
      <c r="E25" s="13">
        <f t="shared" ref="E25:E40" si="4">IF((ISBLANK(A25)=TRUE),0,DATEDIF(A25,B25+1,"MD"))</f>
        <v>0</v>
      </c>
    </row>
    <row r="26" spans="1:14" ht="19.95" customHeight="1" x14ac:dyDescent="0.3">
      <c r="A26" s="411"/>
      <c r="B26" s="412"/>
      <c r="C26" s="404">
        <f>IF((ISBLANK(A26)=TRUE),0,DATEDIF(A26,B26+1,"Y"))</f>
        <v>0</v>
      </c>
      <c r="D26" s="16">
        <f t="shared" si="3"/>
        <v>0</v>
      </c>
      <c r="E26" s="17">
        <f t="shared" si="4"/>
        <v>0</v>
      </c>
      <c r="G26" s="452" t="s">
        <v>65</v>
      </c>
      <c r="H26" s="452"/>
      <c r="I26" s="452"/>
      <c r="J26" s="452"/>
      <c r="K26" s="452"/>
    </row>
    <row r="27" spans="1:14" ht="19.95" customHeight="1" x14ac:dyDescent="0.3">
      <c r="A27" s="411"/>
      <c r="B27" s="412"/>
      <c r="C27" s="404">
        <f>IF((ISBLANK(A27)=TRUE),0,DATEDIF(A27,B27+1,"Y"))</f>
        <v>0</v>
      </c>
      <c r="D27" s="16">
        <f t="shared" si="3"/>
        <v>0</v>
      </c>
      <c r="E27" s="17">
        <f t="shared" si="4"/>
        <v>0</v>
      </c>
      <c r="G27" s="452"/>
      <c r="H27" s="452"/>
      <c r="I27" s="452"/>
      <c r="J27" s="452"/>
      <c r="K27" s="452"/>
    </row>
    <row r="28" spans="1:14" ht="19.95" customHeight="1" x14ac:dyDescent="0.3">
      <c r="A28" s="411"/>
      <c r="B28" s="412"/>
      <c r="C28" s="404">
        <f t="shared" ref="C28:C40" si="5">IF((ISBLANK(A28)=TRUE),0,DATEDIF(A28,B28+1,"Y"))</f>
        <v>0</v>
      </c>
      <c r="D28" s="16">
        <f t="shared" si="3"/>
        <v>0</v>
      </c>
      <c r="E28" s="17">
        <f t="shared" si="4"/>
        <v>0</v>
      </c>
      <c r="G28" s="452"/>
      <c r="H28" s="452"/>
      <c r="I28" s="452"/>
      <c r="J28" s="452"/>
      <c r="K28" s="452"/>
    </row>
    <row r="29" spans="1:14" ht="19.95" customHeight="1" x14ac:dyDescent="0.3">
      <c r="A29" s="411"/>
      <c r="B29" s="412"/>
      <c r="C29" s="404">
        <f t="shared" si="5"/>
        <v>0</v>
      </c>
      <c r="D29" s="16">
        <f t="shared" si="3"/>
        <v>0</v>
      </c>
      <c r="E29" s="17">
        <f t="shared" si="4"/>
        <v>0</v>
      </c>
      <c r="H29" s="2"/>
      <c r="I29" s="2"/>
      <c r="J29" s="2"/>
      <c r="N29" s="53"/>
    </row>
    <row r="30" spans="1:14" ht="19.95" customHeight="1" x14ac:dyDescent="0.3">
      <c r="A30" s="411"/>
      <c r="B30" s="412"/>
      <c r="C30" s="404">
        <f t="shared" si="5"/>
        <v>0</v>
      </c>
      <c r="D30" s="16">
        <f t="shared" si="3"/>
        <v>0</v>
      </c>
      <c r="E30" s="17">
        <f t="shared" si="4"/>
        <v>0</v>
      </c>
      <c r="H30" s="2"/>
      <c r="I30" s="2"/>
      <c r="J30" s="2"/>
      <c r="N30" s="14"/>
    </row>
    <row r="31" spans="1:14" ht="19.95" customHeight="1" x14ac:dyDescent="0.3">
      <c r="A31" s="411"/>
      <c r="B31" s="412"/>
      <c r="C31" s="404">
        <f t="shared" si="5"/>
        <v>0</v>
      </c>
      <c r="D31" s="16">
        <f t="shared" si="3"/>
        <v>0</v>
      </c>
      <c r="E31" s="17">
        <f t="shared" si="4"/>
        <v>0</v>
      </c>
      <c r="H31" s="2"/>
      <c r="I31" s="2"/>
      <c r="J31" s="2"/>
    </row>
    <row r="32" spans="1:14" ht="19.95" customHeight="1" x14ac:dyDescent="0.3">
      <c r="A32" s="411"/>
      <c r="B32" s="412"/>
      <c r="C32" s="404">
        <f t="shared" si="5"/>
        <v>0</v>
      </c>
      <c r="D32" s="16">
        <f t="shared" si="3"/>
        <v>0</v>
      </c>
      <c r="E32" s="17">
        <f t="shared" si="4"/>
        <v>0</v>
      </c>
      <c r="H32" s="2"/>
      <c r="I32" s="2"/>
      <c r="J32" s="2"/>
    </row>
    <row r="33" spans="1:11" ht="19.95" customHeight="1" x14ac:dyDescent="0.3">
      <c r="A33" s="411"/>
      <c r="B33" s="412"/>
      <c r="C33" s="404">
        <f t="shared" ref="C33:C37" si="6">IF((ISBLANK(A33)=TRUE),0,DATEDIF(A33,B33+1,"Y"))</f>
        <v>0</v>
      </c>
      <c r="D33" s="16">
        <f t="shared" ref="D33:D37" si="7">IF((ISBLANK(A33)=TRUE),0,DATEDIF(A33,B33+1,"YM"))</f>
        <v>0</v>
      </c>
      <c r="E33" s="17">
        <f t="shared" ref="E33:E37" si="8">IF((ISBLANK(A33)=TRUE),0,DATEDIF(A33,B33+1,"MD"))</f>
        <v>0</v>
      </c>
      <c r="H33" s="2"/>
      <c r="I33" s="2"/>
      <c r="J33" s="2"/>
    </row>
    <row r="34" spans="1:11" ht="19.95" customHeight="1" x14ac:dyDescent="0.3">
      <c r="A34" s="411"/>
      <c r="B34" s="412"/>
      <c r="C34" s="404">
        <f t="shared" si="6"/>
        <v>0</v>
      </c>
      <c r="D34" s="16">
        <f t="shared" si="7"/>
        <v>0</v>
      </c>
      <c r="E34" s="17">
        <f t="shared" si="8"/>
        <v>0</v>
      </c>
      <c r="H34" s="2"/>
      <c r="I34" s="2"/>
      <c r="J34" s="2"/>
    </row>
    <row r="35" spans="1:11" ht="19.95" customHeight="1" x14ac:dyDescent="0.3">
      <c r="A35" s="411"/>
      <c r="B35" s="412"/>
      <c r="C35" s="404">
        <f t="shared" si="6"/>
        <v>0</v>
      </c>
      <c r="D35" s="16">
        <f t="shared" si="7"/>
        <v>0</v>
      </c>
      <c r="E35" s="17">
        <f t="shared" si="8"/>
        <v>0</v>
      </c>
      <c r="H35" s="2"/>
      <c r="I35" s="2"/>
      <c r="J35" s="2"/>
    </row>
    <row r="36" spans="1:11" ht="19.95" customHeight="1" x14ac:dyDescent="0.3">
      <c r="A36" s="411"/>
      <c r="B36" s="412"/>
      <c r="C36" s="404">
        <f t="shared" si="6"/>
        <v>0</v>
      </c>
      <c r="D36" s="16">
        <f t="shared" si="7"/>
        <v>0</v>
      </c>
      <c r="E36" s="17">
        <f t="shared" si="8"/>
        <v>0</v>
      </c>
      <c r="H36" s="2"/>
      <c r="I36" s="2"/>
      <c r="J36" s="2"/>
    </row>
    <row r="37" spans="1:11" ht="19.95" customHeight="1" x14ac:dyDescent="0.3">
      <c r="A37" s="411"/>
      <c r="B37" s="412"/>
      <c r="C37" s="404">
        <f t="shared" si="6"/>
        <v>0</v>
      </c>
      <c r="D37" s="16">
        <f t="shared" si="7"/>
        <v>0</v>
      </c>
      <c r="E37" s="17">
        <f t="shared" si="8"/>
        <v>0</v>
      </c>
      <c r="H37" s="2"/>
      <c r="I37" s="2"/>
      <c r="J37" s="2"/>
    </row>
    <row r="38" spans="1:11" ht="19.95" customHeight="1" x14ac:dyDescent="0.3">
      <c r="A38" s="411"/>
      <c r="B38" s="412"/>
      <c r="C38" s="404">
        <f t="shared" si="5"/>
        <v>0</v>
      </c>
      <c r="D38" s="16">
        <f t="shared" si="3"/>
        <v>0</v>
      </c>
      <c r="E38" s="17">
        <f t="shared" si="4"/>
        <v>0</v>
      </c>
      <c r="H38" s="2"/>
      <c r="I38" s="2"/>
      <c r="J38" s="2"/>
    </row>
    <row r="39" spans="1:11" ht="19.95" customHeight="1" x14ac:dyDescent="0.3">
      <c r="A39" s="411"/>
      <c r="B39" s="412"/>
      <c r="C39" s="404">
        <f t="shared" si="5"/>
        <v>0</v>
      </c>
      <c r="D39" s="16">
        <f t="shared" si="3"/>
        <v>0</v>
      </c>
      <c r="E39" s="17">
        <f t="shared" si="4"/>
        <v>0</v>
      </c>
      <c r="H39" s="2"/>
      <c r="I39" s="2"/>
      <c r="J39" s="2"/>
    </row>
    <row r="40" spans="1:11" ht="19.95" customHeight="1" thickBot="1" x14ac:dyDescent="0.35">
      <c r="A40" s="413"/>
      <c r="B40" s="414"/>
      <c r="C40" s="405">
        <f t="shared" si="5"/>
        <v>0</v>
      </c>
      <c r="D40" s="42">
        <f t="shared" si="3"/>
        <v>0</v>
      </c>
      <c r="E40" s="43">
        <f t="shared" si="4"/>
        <v>0</v>
      </c>
      <c r="H40" s="2"/>
      <c r="I40" s="2"/>
      <c r="J40" s="2"/>
    </row>
    <row r="41" spans="1:11" ht="19.95" customHeight="1" thickBot="1" x14ac:dyDescent="0.35">
      <c r="A41" s="480" t="s">
        <v>28</v>
      </c>
      <c r="B41" s="481"/>
      <c r="C41" s="54">
        <f>SUM(C25:C40)+INT((SUM(D25:D40)+INT(SUM(E25:E40)/30))/12)</f>
        <v>0</v>
      </c>
      <c r="D41" s="55">
        <f>MOD(SUM(D25:D40)+INT(SUM(E25:E40)/30),12)</f>
        <v>0</v>
      </c>
      <c r="E41" s="56">
        <f>MOD(SUM(E25:E40),30)</f>
        <v>0</v>
      </c>
      <c r="H41" s="2"/>
      <c r="I41" s="2"/>
      <c r="J41" s="2"/>
    </row>
    <row r="42" spans="1:11" ht="19.95" customHeight="1" thickBot="1" x14ac:dyDescent="0.35">
      <c r="A42" s="58"/>
      <c r="B42" s="58"/>
      <c r="C42" s="59"/>
      <c r="D42" s="59"/>
      <c r="E42" s="59"/>
      <c r="H42" s="2"/>
      <c r="I42" s="2"/>
      <c r="J42" s="2"/>
    </row>
    <row r="43" spans="1:11" ht="19.95" customHeight="1" thickBot="1" x14ac:dyDescent="0.35">
      <c r="A43" s="486" t="s">
        <v>49</v>
      </c>
      <c r="B43" s="487"/>
      <c r="C43" s="487"/>
      <c r="D43" s="487"/>
      <c r="E43" s="488"/>
      <c r="G43" s="53"/>
      <c r="H43" s="40"/>
      <c r="I43" s="40"/>
      <c r="J43" s="40"/>
      <c r="K43" s="53"/>
    </row>
    <row r="44" spans="1:11" ht="19.95" customHeight="1" thickBot="1" x14ac:dyDescent="0.35">
      <c r="A44" s="417" t="s">
        <v>30</v>
      </c>
      <c r="B44" s="418" t="s">
        <v>31</v>
      </c>
      <c r="C44" s="60" t="s">
        <v>25</v>
      </c>
      <c r="D44" s="61" t="s">
        <v>27</v>
      </c>
      <c r="E44" s="62" t="s">
        <v>18</v>
      </c>
      <c r="G44" s="53"/>
      <c r="H44" s="40"/>
      <c r="I44" s="40"/>
      <c r="J44" s="40"/>
      <c r="K44" s="53"/>
    </row>
    <row r="45" spans="1:11" ht="19.95" customHeight="1" x14ac:dyDescent="0.3">
      <c r="A45" s="408"/>
      <c r="B45" s="408"/>
      <c r="C45" s="403">
        <f>IF((ISBLANK(A45)=TRUE),0,DATEDIF(A45,B45+1,"Y"))</f>
        <v>0</v>
      </c>
      <c r="D45" s="12">
        <f t="shared" ref="D45:D55" si="9">IF((ISBLANK(A45)=TRUE),0,DATEDIF(A45,B45+1,"YM"))</f>
        <v>0</v>
      </c>
      <c r="E45" s="13">
        <f t="shared" ref="E45:E55" si="10">IF((ISBLANK(A45)=TRUE),0,DATEDIF(A45,B45+1,"MD"))</f>
        <v>0</v>
      </c>
      <c r="G45" s="53"/>
      <c r="H45" s="40"/>
      <c r="I45" s="40"/>
      <c r="J45" s="40"/>
      <c r="K45" s="53"/>
    </row>
    <row r="46" spans="1:11" ht="19.95" customHeight="1" x14ac:dyDescent="0.3">
      <c r="A46" s="408"/>
      <c r="B46" s="408"/>
      <c r="C46" s="404">
        <f>IF((ISBLANK(A46)=TRUE),0,DATEDIF(A46,B46+1,"Y"))</f>
        <v>0</v>
      </c>
      <c r="D46" s="16">
        <f t="shared" si="9"/>
        <v>0</v>
      </c>
      <c r="E46" s="17">
        <f t="shared" si="10"/>
        <v>0</v>
      </c>
      <c r="G46" s="525"/>
      <c r="H46" s="525"/>
      <c r="I46" s="40"/>
      <c r="J46" s="40"/>
      <c r="K46" s="53"/>
    </row>
    <row r="47" spans="1:11" ht="19.95" customHeight="1" x14ac:dyDescent="0.3">
      <c r="A47" s="408"/>
      <c r="B47" s="408"/>
      <c r="C47" s="404">
        <f>IF((ISBLANK(A47)=TRUE),0,DATEDIF(A47,B47+1,"Y"))</f>
        <v>0</v>
      </c>
      <c r="D47" s="16">
        <f t="shared" si="9"/>
        <v>0</v>
      </c>
      <c r="E47" s="17">
        <f t="shared" si="10"/>
        <v>0</v>
      </c>
      <c r="G47" s="53"/>
      <c r="H47" s="40"/>
      <c r="I47" s="40"/>
      <c r="J47" s="40"/>
      <c r="K47" s="53"/>
    </row>
    <row r="48" spans="1:11" ht="19.95" customHeight="1" x14ac:dyDescent="0.3">
      <c r="A48" s="408"/>
      <c r="B48" s="408"/>
      <c r="C48" s="404">
        <f t="shared" ref="C48:C55" si="11">IF((ISBLANK(A48)=TRUE),0,DATEDIF(A48,B48+1,"Y"))</f>
        <v>0</v>
      </c>
      <c r="D48" s="16">
        <f t="shared" si="9"/>
        <v>0</v>
      </c>
      <c r="E48" s="17">
        <f t="shared" si="10"/>
        <v>0</v>
      </c>
      <c r="G48" s="478"/>
      <c r="H48" s="478"/>
      <c r="I48" s="478"/>
      <c r="J48" s="478"/>
      <c r="K48" s="53"/>
    </row>
    <row r="49" spans="1:11" ht="19.95" customHeight="1" x14ac:dyDescent="0.3">
      <c r="A49" s="408"/>
      <c r="B49" s="408"/>
      <c r="C49" s="404">
        <f t="shared" si="11"/>
        <v>0</v>
      </c>
      <c r="D49" s="16">
        <f t="shared" si="9"/>
        <v>0</v>
      </c>
      <c r="E49" s="17">
        <f t="shared" si="10"/>
        <v>0</v>
      </c>
      <c r="G49" s="479"/>
      <c r="H49" s="479"/>
      <c r="I49" s="479"/>
      <c r="J49" s="479"/>
      <c r="K49" s="53"/>
    </row>
    <row r="50" spans="1:11" ht="19.95" customHeight="1" x14ac:dyDescent="0.3">
      <c r="A50" s="408"/>
      <c r="B50" s="408"/>
      <c r="C50" s="404">
        <f t="shared" si="11"/>
        <v>0</v>
      </c>
      <c r="D50" s="16">
        <f t="shared" si="9"/>
        <v>0</v>
      </c>
      <c r="E50" s="17">
        <f t="shared" si="10"/>
        <v>0</v>
      </c>
      <c r="G50" s="484"/>
      <c r="H50" s="484"/>
      <c r="I50" s="484"/>
      <c r="J50" s="484"/>
      <c r="K50" s="53"/>
    </row>
    <row r="51" spans="1:11" ht="19.95" customHeight="1" x14ac:dyDescent="0.3">
      <c r="A51" s="408"/>
      <c r="B51" s="408"/>
      <c r="C51" s="404">
        <f t="shared" si="11"/>
        <v>0</v>
      </c>
      <c r="D51" s="16">
        <f t="shared" si="9"/>
        <v>0</v>
      </c>
      <c r="E51" s="17">
        <f t="shared" si="10"/>
        <v>0</v>
      </c>
      <c r="G51" s="485"/>
      <c r="H51" s="485"/>
      <c r="I51" s="485"/>
      <c r="J51" s="485"/>
      <c r="K51" s="53"/>
    </row>
    <row r="52" spans="1:11" ht="19.95" customHeight="1" x14ac:dyDescent="0.3">
      <c r="A52" s="408"/>
      <c r="B52" s="408"/>
      <c r="C52" s="404">
        <f t="shared" si="11"/>
        <v>0</v>
      </c>
      <c r="D52" s="16">
        <f t="shared" si="9"/>
        <v>0</v>
      </c>
      <c r="E52" s="17">
        <f t="shared" si="10"/>
        <v>0</v>
      </c>
      <c r="G52" s="485"/>
      <c r="H52" s="485"/>
      <c r="I52" s="485"/>
      <c r="J52" s="485"/>
      <c r="K52" s="53"/>
    </row>
    <row r="53" spans="1:11" ht="19.95" customHeight="1" x14ac:dyDescent="0.3">
      <c r="A53" s="408"/>
      <c r="B53" s="408"/>
      <c r="C53" s="404">
        <f t="shared" si="11"/>
        <v>0</v>
      </c>
      <c r="D53" s="16">
        <f t="shared" si="9"/>
        <v>0</v>
      </c>
      <c r="E53" s="17">
        <f t="shared" si="10"/>
        <v>0</v>
      </c>
      <c r="G53" s="485"/>
      <c r="H53" s="485"/>
      <c r="I53" s="485"/>
      <c r="J53" s="485"/>
      <c r="K53" s="53"/>
    </row>
    <row r="54" spans="1:11" ht="19.95" customHeight="1" x14ac:dyDescent="0.3">
      <c r="A54" s="408"/>
      <c r="B54" s="408"/>
      <c r="C54" s="404">
        <f t="shared" si="11"/>
        <v>0</v>
      </c>
      <c r="D54" s="16">
        <f t="shared" si="9"/>
        <v>0</v>
      </c>
      <c r="E54" s="17">
        <f t="shared" si="10"/>
        <v>0</v>
      </c>
      <c r="G54" s="485"/>
      <c r="H54" s="485"/>
      <c r="I54" s="485"/>
      <c r="J54" s="485"/>
      <c r="K54" s="53"/>
    </row>
    <row r="55" spans="1:11" ht="19.95" customHeight="1" thickBot="1" x14ac:dyDescent="0.35">
      <c r="A55" s="408"/>
      <c r="B55" s="408"/>
      <c r="C55" s="405">
        <f t="shared" si="11"/>
        <v>0</v>
      </c>
      <c r="D55" s="42">
        <f t="shared" si="9"/>
        <v>0</v>
      </c>
      <c r="E55" s="43">
        <f t="shared" si="10"/>
        <v>0</v>
      </c>
      <c r="G55" s="485"/>
      <c r="H55" s="485"/>
      <c r="I55" s="485"/>
      <c r="J55" s="485"/>
      <c r="K55" s="53"/>
    </row>
    <row r="56" spans="1:11" ht="19.95" customHeight="1" thickBot="1" x14ac:dyDescent="0.35">
      <c r="A56" s="482" t="s">
        <v>28</v>
      </c>
      <c r="B56" s="483"/>
      <c r="C56" s="63">
        <f>SUM(C45:C55)+INT((SUM(D45:D55)+INT(SUM(E45:E55)/30))/12)</f>
        <v>0</v>
      </c>
      <c r="D56" s="64">
        <f>MOD(SUM(D45:D55)+INT(SUM(E45:E55)/30),12)</f>
        <v>0</v>
      </c>
      <c r="E56" s="65">
        <f>MOD(SUM(E45:E55),30)</f>
        <v>0</v>
      </c>
      <c r="G56" s="53"/>
      <c r="H56" s="40"/>
      <c r="I56" s="40"/>
      <c r="J56" s="40"/>
      <c r="K56" s="53"/>
    </row>
    <row r="57" spans="1:11" ht="19.95" customHeight="1" thickBot="1" x14ac:dyDescent="0.35">
      <c r="A57" s="58"/>
      <c r="B57" s="58"/>
      <c r="C57" s="59"/>
      <c r="D57" s="59"/>
      <c r="E57" s="59"/>
      <c r="G57" s="510"/>
      <c r="H57" s="510"/>
      <c r="I57" s="510"/>
      <c r="J57" s="510"/>
      <c r="K57" s="53"/>
    </row>
    <row r="58" spans="1:11" ht="33.6" customHeight="1" thickBot="1" x14ac:dyDescent="0.35">
      <c r="A58" s="516" t="s">
        <v>91</v>
      </c>
      <c r="B58" s="523"/>
      <c r="C58" s="523"/>
      <c r="D58" s="523"/>
      <c r="E58" s="524"/>
      <c r="G58" s="510"/>
      <c r="H58" s="510"/>
      <c r="I58" s="510"/>
      <c r="J58" s="510"/>
      <c r="K58" s="53"/>
    </row>
    <row r="59" spans="1:11" ht="19.95" customHeight="1" thickBot="1" x14ac:dyDescent="0.35">
      <c r="A59" s="66" t="s">
        <v>30</v>
      </c>
      <c r="B59" s="67" t="s">
        <v>31</v>
      </c>
      <c r="C59" s="66" t="s">
        <v>25</v>
      </c>
      <c r="D59" s="68" t="s">
        <v>27</v>
      </c>
      <c r="E59" s="69" t="s">
        <v>18</v>
      </c>
      <c r="G59" s="53"/>
      <c r="H59" s="53"/>
      <c r="I59" s="53"/>
      <c r="J59" s="53"/>
      <c r="K59" s="53"/>
    </row>
    <row r="60" spans="1:11" ht="19.95" customHeight="1" x14ac:dyDescent="0.3">
      <c r="A60" s="409"/>
      <c r="B60" s="410"/>
      <c r="C60" s="11">
        <f>IF( B60&gt;$B$93,"błąd",IF((ISBLANK(A60)=TRUE),0,DATEDIF(A60,B60+1,"Y")))</f>
        <v>0</v>
      </c>
      <c r="D60" s="12">
        <f>IF(B60&gt;$B$93, "błąd",IF((ISBLANK(A60)=TRUE),0,DATEDIF(A60,B60+1,"YM")))</f>
        <v>0</v>
      </c>
      <c r="E60" s="13">
        <f>IF(B60&gt;$B$93,"błąd",IF((ISBLANK(A60)=TRUE),0,DATEDIF(A60,B60+1,"MD")))</f>
        <v>0</v>
      </c>
      <c r="G60" s="53"/>
      <c r="H60" s="53"/>
      <c r="I60" s="53"/>
      <c r="J60" s="53"/>
      <c r="K60" s="53"/>
    </row>
    <row r="61" spans="1:11" ht="19.95" customHeight="1" x14ac:dyDescent="0.3">
      <c r="A61" s="411"/>
      <c r="B61" s="412"/>
      <c r="C61" s="70">
        <f>IF( B61&gt;$B$93,"błąd",IF((ISBLANK(A61)=TRUE),0,DATEDIF(A61,B61+1,"Y")))</f>
        <v>0</v>
      </c>
      <c r="D61" s="71">
        <f>IF(B61&gt;$B$93, "błąd",IF((ISBLANK(A61)=TRUE),0,DATEDIF(A61,B61+1,"YM")))</f>
        <v>0</v>
      </c>
      <c r="E61" s="72">
        <f>IF(B61&gt;$B$93,"błąd",IF((ISBLANK(A61)=TRUE),0,DATEDIF(A61,B61+1,"MD")))</f>
        <v>0</v>
      </c>
      <c r="G61" s="53"/>
      <c r="H61" s="53"/>
      <c r="I61" s="53"/>
      <c r="J61" s="53"/>
      <c r="K61" s="53"/>
    </row>
    <row r="62" spans="1:11" ht="19.95" customHeight="1" x14ac:dyDescent="0.3">
      <c r="A62" s="411"/>
      <c r="B62" s="412"/>
      <c r="C62" s="70">
        <f t="shared" ref="C62:C89" si="12">IF( B62&gt;$B$93,"błąd",IF((ISBLANK(A62)=TRUE),0,DATEDIF(A62,B62+1,"Y")))</f>
        <v>0</v>
      </c>
      <c r="D62" s="71">
        <f t="shared" ref="D62:D89" si="13">IF(B62&gt;$B$93, "błąd",IF((ISBLANK(A62)=TRUE),0,DATEDIF(A62,B62+1,"YM")))</f>
        <v>0</v>
      </c>
      <c r="E62" s="72">
        <f t="shared" ref="E62:E89" si="14">IF(B62&gt;$B$93,"błąd",IF((ISBLANK(A62)=TRUE),0,DATEDIF(A62,B62+1,"MD")))</f>
        <v>0</v>
      </c>
      <c r="G62" s="53"/>
      <c r="H62" s="53"/>
      <c r="I62" s="53"/>
      <c r="J62" s="53"/>
      <c r="K62" s="53"/>
    </row>
    <row r="63" spans="1:11" ht="19.95" customHeight="1" x14ac:dyDescent="0.3">
      <c r="A63" s="411"/>
      <c r="B63" s="412"/>
      <c r="C63" s="70">
        <f t="shared" si="12"/>
        <v>0</v>
      </c>
      <c r="D63" s="71">
        <f t="shared" si="13"/>
        <v>0</v>
      </c>
      <c r="E63" s="72">
        <f t="shared" si="14"/>
        <v>0</v>
      </c>
      <c r="G63" s="53"/>
      <c r="H63" s="53"/>
      <c r="I63" s="53"/>
      <c r="J63" s="53"/>
      <c r="K63" s="53"/>
    </row>
    <row r="64" spans="1:11" ht="19.95" customHeight="1" x14ac:dyDescent="0.3">
      <c r="A64" s="411"/>
      <c r="B64" s="412"/>
      <c r="C64" s="70">
        <f t="shared" si="12"/>
        <v>0</v>
      </c>
      <c r="D64" s="71">
        <f t="shared" si="13"/>
        <v>0</v>
      </c>
      <c r="E64" s="72">
        <f t="shared" si="14"/>
        <v>0</v>
      </c>
      <c r="G64" s="53"/>
      <c r="H64" s="53"/>
      <c r="I64" s="53"/>
      <c r="J64" s="53"/>
      <c r="K64" s="53"/>
    </row>
    <row r="65" spans="1:11" ht="19.95" customHeight="1" x14ac:dyDescent="0.3">
      <c r="A65" s="411"/>
      <c r="B65" s="412"/>
      <c r="C65" s="70">
        <f t="shared" si="12"/>
        <v>0</v>
      </c>
      <c r="D65" s="71">
        <f t="shared" si="13"/>
        <v>0</v>
      </c>
      <c r="E65" s="72">
        <f t="shared" si="14"/>
        <v>0</v>
      </c>
      <c r="G65" s="53"/>
      <c r="H65" s="53"/>
      <c r="I65" s="53"/>
      <c r="J65" s="53"/>
      <c r="K65" s="53"/>
    </row>
    <row r="66" spans="1:11" ht="19.95" customHeight="1" x14ac:dyDescent="0.3">
      <c r="A66" s="411"/>
      <c r="B66" s="412"/>
      <c r="C66" s="70">
        <f t="shared" si="12"/>
        <v>0</v>
      </c>
      <c r="D66" s="71">
        <f t="shared" si="13"/>
        <v>0</v>
      </c>
      <c r="E66" s="72">
        <f t="shared" si="14"/>
        <v>0</v>
      </c>
      <c r="G66" s="53"/>
      <c r="H66" s="53"/>
      <c r="I66" s="53"/>
      <c r="J66" s="53"/>
      <c r="K66" s="53"/>
    </row>
    <row r="67" spans="1:11" ht="19.95" customHeight="1" x14ac:dyDescent="0.3">
      <c r="A67" s="411"/>
      <c r="B67" s="412"/>
      <c r="C67" s="70">
        <f t="shared" si="12"/>
        <v>0</v>
      </c>
      <c r="D67" s="71">
        <f t="shared" si="13"/>
        <v>0</v>
      </c>
      <c r="E67" s="72">
        <f t="shared" si="14"/>
        <v>0</v>
      </c>
      <c r="G67" s="53"/>
      <c r="H67" s="53"/>
      <c r="I67" s="53"/>
      <c r="J67" s="53"/>
      <c r="K67" s="53"/>
    </row>
    <row r="68" spans="1:11" ht="19.95" customHeight="1" x14ac:dyDescent="0.3">
      <c r="A68" s="411"/>
      <c r="B68" s="412"/>
      <c r="C68" s="70">
        <f t="shared" si="12"/>
        <v>0</v>
      </c>
      <c r="D68" s="71">
        <f t="shared" si="13"/>
        <v>0</v>
      </c>
      <c r="E68" s="72">
        <f t="shared" si="14"/>
        <v>0</v>
      </c>
      <c r="G68" s="53"/>
      <c r="H68" s="53"/>
      <c r="I68" s="53"/>
      <c r="J68" s="53"/>
      <c r="K68" s="53"/>
    </row>
    <row r="69" spans="1:11" ht="19.95" customHeight="1" x14ac:dyDescent="0.3">
      <c r="A69" s="411"/>
      <c r="B69" s="412"/>
      <c r="C69" s="70">
        <f t="shared" si="12"/>
        <v>0</v>
      </c>
      <c r="D69" s="71">
        <f t="shared" si="13"/>
        <v>0</v>
      </c>
      <c r="E69" s="72">
        <f t="shared" si="14"/>
        <v>0</v>
      </c>
      <c r="G69" s="53"/>
      <c r="H69" s="53"/>
      <c r="I69" s="53"/>
      <c r="J69" s="53"/>
      <c r="K69" s="53"/>
    </row>
    <row r="70" spans="1:11" ht="19.95" customHeight="1" x14ac:dyDescent="0.3">
      <c r="A70" s="411"/>
      <c r="B70" s="412"/>
      <c r="C70" s="70">
        <f t="shared" si="12"/>
        <v>0</v>
      </c>
      <c r="D70" s="71">
        <f t="shared" si="13"/>
        <v>0</v>
      </c>
      <c r="E70" s="72">
        <f t="shared" si="14"/>
        <v>0</v>
      </c>
      <c r="G70" s="53"/>
      <c r="H70" s="53"/>
      <c r="I70" s="53"/>
      <c r="J70" s="53"/>
      <c r="K70" s="53"/>
    </row>
    <row r="71" spans="1:11" ht="19.95" customHeight="1" x14ac:dyDescent="0.3">
      <c r="A71" s="411"/>
      <c r="B71" s="412"/>
      <c r="C71" s="70">
        <f t="shared" si="12"/>
        <v>0</v>
      </c>
      <c r="D71" s="71">
        <f t="shared" si="13"/>
        <v>0</v>
      </c>
      <c r="E71" s="72">
        <f t="shared" si="14"/>
        <v>0</v>
      </c>
      <c r="G71" s="53"/>
      <c r="H71" s="53"/>
      <c r="I71" s="53"/>
      <c r="J71" s="53"/>
      <c r="K71" s="53"/>
    </row>
    <row r="72" spans="1:11" ht="19.95" customHeight="1" x14ac:dyDescent="0.3">
      <c r="A72" s="411"/>
      <c r="B72" s="412"/>
      <c r="C72" s="70">
        <f t="shared" si="12"/>
        <v>0</v>
      </c>
      <c r="D72" s="71">
        <f t="shared" si="13"/>
        <v>0</v>
      </c>
      <c r="E72" s="72">
        <f t="shared" si="14"/>
        <v>0</v>
      </c>
      <c r="G72" s="53"/>
      <c r="H72" s="53"/>
      <c r="I72" s="53"/>
      <c r="J72" s="53"/>
      <c r="K72" s="53"/>
    </row>
    <row r="73" spans="1:11" ht="19.95" customHeight="1" x14ac:dyDescent="0.3">
      <c r="A73" s="411"/>
      <c r="B73" s="412"/>
      <c r="C73" s="70">
        <f t="shared" si="12"/>
        <v>0</v>
      </c>
      <c r="D73" s="71">
        <f t="shared" si="13"/>
        <v>0</v>
      </c>
      <c r="E73" s="72">
        <f t="shared" si="14"/>
        <v>0</v>
      </c>
      <c r="G73" s="53"/>
      <c r="H73" s="53"/>
      <c r="I73" s="53"/>
      <c r="J73" s="53"/>
      <c r="K73" s="53"/>
    </row>
    <row r="74" spans="1:11" ht="19.95" customHeight="1" x14ac:dyDescent="0.3">
      <c r="A74" s="411"/>
      <c r="B74" s="412"/>
      <c r="C74" s="70">
        <f t="shared" si="12"/>
        <v>0</v>
      </c>
      <c r="D74" s="71">
        <f t="shared" si="13"/>
        <v>0</v>
      </c>
      <c r="E74" s="72">
        <f t="shared" si="14"/>
        <v>0</v>
      </c>
      <c r="G74" s="53"/>
      <c r="H74" s="53"/>
      <c r="I74" s="53"/>
      <c r="J74" s="53"/>
      <c r="K74" s="53"/>
    </row>
    <row r="75" spans="1:11" ht="19.95" customHeight="1" x14ac:dyDescent="0.3">
      <c r="A75" s="411"/>
      <c r="B75" s="412"/>
      <c r="C75" s="70">
        <f t="shared" si="12"/>
        <v>0</v>
      </c>
      <c r="D75" s="71">
        <f t="shared" si="13"/>
        <v>0</v>
      </c>
      <c r="E75" s="72">
        <f t="shared" si="14"/>
        <v>0</v>
      </c>
      <c r="G75" s="53"/>
      <c r="H75" s="53"/>
      <c r="I75" s="53"/>
      <c r="J75" s="53"/>
      <c r="K75" s="53"/>
    </row>
    <row r="76" spans="1:11" ht="19.95" customHeight="1" x14ac:dyDescent="0.3">
      <c r="A76" s="411"/>
      <c r="B76" s="412"/>
      <c r="C76" s="70">
        <f t="shared" si="12"/>
        <v>0</v>
      </c>
      <c r="D76" s="71">
        <f t="shared" si="13"/>
        <v>0</v>
      </c>
      <c r="E76" s="72">
        <f t="shared" si="14"/>
        <v>0</v>
      </c>
      <c r="G76" s="53"/>
      <c r="H76" s="53"/>
      <c r="I76" s="53"/>
      <c r="J76" s="53"/>
      <c r="K76" s="53"/>
    </row>
    <row r="77" spans="1:11" ht="19.95" customHeight="1" x14ac:dyDescent="0.3">
      <c r="A77" s="411"/>
      <c r="B77" s="412"/>
      <c r="C77" s="70">
        <f t="shared" si="12"/>
        <v>0</v>
      </c>
      <c r="D77" s="71">
        <f t="shared" si="13"/>
        <v>0</v>
      </c>
      <c r="E77" s="72">
        <f t="shared" si="14"/>
        <v>0</v>
      </c>
      <c r="G77" s="53"/>
      <c r="H77" s="53"/>
      <c r="I77" s="53"/>
      <c r="J77" s="53"/>
      <c r="K77" s="53"/>
    </row>
    <row r="78" spans="1:11" ht="19.95" customHeight="1" x14ac:dyDescent="0.3">
      <c r="A78" s="411"/>
      <c r="B78" s="412"/>
      <c r="C78" s="70">
        <f t="shared" si="12"/>
        <v>0</v>
      </c>
      <c r="D78" s="71">
        <f t="shared" si="13"/>
        <v>0</v>
      </c>
      <c r="E78" s="72">
        <f t="shared" si="14"/>
        <v>0</v>
      </c>
      <c r="G78" s="53"/>
      <c r="H78" s="53"/>
      <c r="I78" s="53"/>
      <c r="J78" s="53"/>
      <c r="K78" s="53"/>
    </row>
    <row r="79" spans="1:11" ht="19.95" customHeight="1" x14ac:dyDescent="0.3">
      <c r="A79" s="411"/>
      <c r="B79" s="412"/>
      <c r="C79" s="70">
        <f t="shared" si="12"/>
        <v>0</v>
      </c>
      <c r="D79" s="71">
        <f t="shared" si="13"/>
        <v>0</v>
      </c>
      <c r="E79" s="72">
        <f t="shared" si="14"/>
        <v>0</v>
      </c>
      <c r="G79" s="53"/>
      <c r="H79" s="53"/>
      <c r="I79" s="53"/>
      <c r="J79" s="53"/>
      <c r="K79" s="53"/>
    </row>
    <row r="80" spans="1:11" ht="19.95" customHeight="1" x14ac:dyDescent="0.3">
      <c r="A80" s="411"/>
      <c r="B80" s="412"/>
      <c r="C80" s="70">
        <f t="shared" si="12"/>
        <v>0</v>
      </c>
      <c r="D80" s="71">
        <f t="shared" si="13"/>
        <v>0</v>
      </c>
      <c r="E80" s="72">
        <f t="shared" si="14"/>
        <v>0</v>
      </c>
      <c r="G80" s="53"/>
      <c r="H80" s="53"/>
      <c r="I80" s="53"/>
      <c r="J80" s="53"/>
      <c r="K80" s="53"/>
    </row>
    <row r="81" spans="1:11" ht="19.95" customHeight="1" x14ac:dyDescent="0.3">
      <c r="A81" s="411"/>
      <c r="B81" s="412"/>
      <c r="C81" s="70">
        <f t="shared" si="12"/>
        <v>0</v>
      </c>
      <c r="D81" s="71">
        <f t="shared" si="13"/>
        <v>0</v>
      </c>
      <c r="E81" s="72">
        <f t="shared" si="14"/>
        <v>0</v>
      </c>
      <c r="G81" s="53"/>
      <c r="H81" s="53"/>
      <c r="I81" s="53"/>
      <c r="J81" s="53"/>
      <c r="K81" s="53"/>
    </row>
    <row r="82" spans="1:11" ht="19.95" customHeight="1" x14ac:dyDescent="0.3">
      <c r="A82" s="411"/>
      <c r="B82" s="412"/>
      <c r="C82" s="70">
        <f t="shared" si="12"/>
        <v>0</v>
      </c>
      <c r="D82" s="71">
        <f t="shared" si="13"/>
        <v>0</v>
      </c>
      <c r="E82" s="72">
        <f t="shared" si="14"/>
        <v>0</v>
      </c>
      <c r="G82" s="53"/>
      <c r="H82" s="53"/>
      <c r="I82" s="53"/>
      <c r="J82" s="53"/>
      <c r="K82" s="53"/>
    </row>
    <row r="83" spans="1:11" ht="19.95" customHeight="1" x14ac:dyDescent="0.3">
      <c r="A83" s="411"/>
      <c r="B83" s="412"/>
      <c r="C83" s="70">
        <f t="shared" si="12"/>
        <v>0</v>
      </c>
      <c r="D83" s="71">
        <f t="shared" si="13"/>
        <v>0</v>
      </c>
      <c r="E83" s="72">
        <f t="shared" si="14"/>
        <v>0</v>
      </c>
      <c r="G83" s="53"/>
      <c r="H83" s="53"/>
      <c r="I83" s="53"/>
      <c r="J83" s="53"/>
      <c r="K83" s="53"/>
    </row>
    <row r="84" spans="1:11" ht="19.95" customHeight="1" x14ac:dyDescent="0.3">
      <c r="A84" s="411"/>
      <c r="B84" s="412"/>
      <c r="C84" s="70">
        <f t="shared" si="12"/>
        <v>0</v>
      </c>
      <c r="D84" s="71">
        <f t="shared" si="13"/>
        <v>0</v>
      </c>
      <c r="E84" s="72">
        <f t="shared" si="14"/>
        <v>0</v>
      </c>
      <c r="G84" s="53"/>
      <c r="H84" s="53"/>
      <c r="I84" s="53"/>
      <c r="J84" s="53"/>
      <c r="K84" s="53"/>
    </row>
    <row r="85" spans="1:11" ht="19.95" customHeight="1" x14ac:dyDescent="0.3">
      <c r="A85" s="411"/>
      <c r="B85" s="412"/>
      <c r="C85" s="70">
        <f t="shared" si="12"/>
        <v>0</v>
      </c>
      <c r="D85" s="71">
        <f t="shared" si="13"/>
        <v>0</v>
      </c>
      <c r="E85" s="72">
        <f t="shared" si="14"/>
        <v>0</v>
      </c>
      <c r="G85" s="53"/>
      <c r="H85" s="53"/>
      <c r="I85" s="53"/>
      <c r="J85" s="53"/>
      <c r="K85" s="53"/>
    </row>
    <row r="86" spans="1:11" ht="19.95" customHeight="1" x14ac:dyDescent="0.3">
      <c r="A86" s="411"/>
      <c r="B86" s="412"/>
      <c r="C86" s="70">
        <f t="shared" si="12"/>
        <v>0</v>
      </c>
      <c r="D86" s="71">
        <f t="shared" si="13"/>
        <v>0</v>
      </c>
      <c r="E86" s="72">
        <f t="shared" si="14"/>
        <v>0</v>
      </c>
      <c r="G86" s="53"/>
      <c r="H86" s="53"/>
      <c r="I86" s="53"/>
      <c r="J86" s="53"/>
      <c r="K86" s="53"/>
    </row>
    <row r="87" spans="1:11" ht="19.95" customHeight="1" x14ac:dyDescent="0.3">
      <c r="A87" s="411"/>
      <c r="B87" s="412"/>
      <c r="C87" s="70">
        <f t="shared" si="12"/>
        <v>0</v>
      </c>
      <c r="D87" s="71">
        <f t="shared" si="13"/>
        <v>0</v>
      </c>
      <c r="E87" s="72">
        <f t="shared" si="14"/>
        <v>0</v>
      </c>
      <c r="G87" s="53"/>
      <c r="H87" s="53"/>
      <c r="I87" s="53"/>
      <c r="J87" s="53"/>
      <c r="K87" s="53"/>
    </row>
    <row r="88" spans="1:11" ht="19.95" customHeight="1" x14ac:dyDescent="0.3">
      <c r="A88" s="411"/>
      <c r="B88" s="412"/>
      <c r="C88" s="70">
        <f t="shared" si="12"/>
        <v>0</v>
      </c>
      <c r="D88" s="71">
        <f t="shared" si="13"/>
        <v>0</v>
      </c>
      <c r="E88" s="72">
        <f t="shared" si="14"/>
        <v>0</v>
      </c>
      <c r="G88" s="53"/>
      <c r="H88" s="53"/>
      <c r="I88" s="53"/>
      <c r="J88" s="53"/>
      <c r="K88" s="53"/>
    </row>
    <row r="89" spans="1:11" ht="19.95" customHeight="1" x14ac:dyDescent="0.3">
      <c r="A89" s="411"/>
      <c r="B89" s="412"/>
      <c r="C89" s="70">
        <f t="shared" si="12"/>
        <v>0</v>
      </c>
      <c r="D89" s="71">
        <f t="shared" si="13"/>
        <v>0</v>
      </c>
      <c r="E89" s="72">
        <f t="shared" si="14"/>
        <v>0</v>
      </c>
      <c r="G89" s="53"/>
      <c r="H89" s="53"/>
      <c r="I89" s="53"/>
      <c r="J89" s="53"/>
      <c r="K89" s="53"/>
    </row>
    <row r="90" spans="1:11" ht="19.95" customHeight="1" thickBot="1" x14ac:dyDescent="0.35">
      <c r="A90" s="413"/>
      <c r="B90" s="414"/>
      <c r="C90" s="70">
        <f>IF( B90&gt;$B$93,"błąd",IF((ISBLANK(A90)=TRUE),0,DATEDIF(A90,B90+1,"Y")))</f>
        <v>0</v>
      </c>
      <c r="D90" s="71">
        <f>IF(B90&gt;$B$93, "błąd",IF((ISBLANK(A90)=TRUE),0,DATEDIF(A90,B90+1,"YM")))</f>
        <v>0</v>
      </c>
      <c r="E90" s="72">
        <f>IF(B90&gt;$B$93,"błąd",IF((ISBLANK(A90)=TRUE),0,DATEDIF(A90,B90+1,"MD")))</f>
        <v>0</v>
      </c>
      <c r="G90" s="53"/>
      <c r="H90" s="53"/>
      <c r="I90" s="53"/>
      <c r="J90" s="53"/>
      <c r="K90" s="53"/>
    </row>
    <row r="91" spans="1:11" ht="19.95" customHeight="1" thickBot="1" x14ac:dyDescent="0.35">
      <c r="A91" s="522" t="s">
        <v>94</v>
      </c>
      <c r="B91" s="517"/>
      <c r="C91" s="73">
        <f>SUM(C60:C90)+INT((SUM(D60:D90)+INT(SUM(E60:E90)/30))/12)</f>
        <v>0</v>
      </c>
      <c r="D91" s="73">
        <f>MOD(SUM(D60:D90)+INT(SUM(E60:E90)/30),12)</f>
        <v>0</v>
      </c>
      <c r="E91" s="74">
        <f>MOD(SUM(E60:E90),30)</f>
        <v>0</v>
      </c>
      <c r="G91" s="53"/>
      <c r="H91" s="53"/>
      <c r="I91" s="53"/>
      <c r="J91" s="53"/>
    </row>
    <row r="92" spans="1:11" ht="19.95" customHeight="1" thickBot="1" x14ac:dyDescent="0.35">
      <c r="A92" s="520" t="s">
        <v>95</v>
      </c>
      <c r="B92" s="521"/>
      <c r="C92" s="121">
        <f>INT(C91*1.5)+INT((D91+IF(MOD(C91*1.5,1)=0.5,6,0))/12)</f>
        <v>0</v>
      </c>
      <c r="D92" s="75">
        <f>MOD((D91+IF(MOD(C91*1.5,1)=0.5,6,0)),12)</f>
        <v>0</v>
      </c>
      <c r="E92" s="76">
        <f>E91</f>
        <v>0</v>
      </c>
    </row>
    <row r="93" spans="1:11" ht="19.95" customHeight="1" x14ac:dyDescent="0.3">
      <c r="A93" s="6"/>
      <c r="B93" s="77">
        <v>41274</v>
      </c>
      <c r="C93" s="78"/>
      <c r="D93" s="78"/>
      <c r="E93" s="78"/>
    </row>
    <row r="94" spans="1:11" ht="25.95" customHeight="1" thickBot="1" x14ac:dyDescent="0.35">
      <c r="A94" s="513" t="s">
        <v>50</v>
      </c>
      <c r="B94" s="513"/>
      <c r="C94" s="513"/>
      <c r="D94" s="513"/>
      <c r="E94" s="513"/>
    </row>
    <row r="95" spans="1:11" ht="22.95" customHeight="1" thickBot="1" x14ac:dyDescent="0.35">
      <c r="A95" s="514" t="s">
        <v>51</v>
      </c>
      <c r="B95" s="515"/>
      <c r="C95" s="79">
        <f>C21</f>
        <v>0</v>
      </c>
      <c r="D95" s="80">
        <f>D21</f>
        <v>0</v>
      </c>
      <c r="E95" s="119">
        <f>E21</f>
        <v>0</v>
      </c>
    </row>
    <row r="96" spans="1:11" ht="25.2" customHeight="1" thickBot="1" x14ac:dyDescent="0.35">
      <c r="A96" s="518" t="s">
        <v>52</v>
      </c>
      <c r="B96" s="519"/>
      <c r="C96" s="81">
        <f>C92</f>
        <v>0</v>
      </c>
      <c r="D96" s="82">
        <f>D92</f>
        <v>0</v>
      </c>
      <c r="E96" s="83">
        <f>E92</f>
        <v>0</v>
      </c>
    </row>
    <row r="97" spans="1:5" ht="29.4" customHeight="1" thickBot="1" x14ac:dyDescent="0.35">
      <c r="A97" s="511" t="s">
        <v>67</v>
      </c>
      <c r="B97" s="512"/>
      <c r="C97" s="84">
        <f>SUM(C95:C96)+INT((SUM(D95:D96)+INT(SUM(E95:E96)/30))/12)</f>
        <v>0</v>
      </c>
      <c r="D97" s="85">
        <f>MOD((D95+D96)+INT((E95+E96)/30),12)</f>
        <v>0</v>
      </c>
      <c r="E97" s="86">
        <f>MOD((E95+E96),30)</f>
        <v>0</v>
      </c>
    </row>
    <row r="99" spans="1:5" ht="21.6" customHeight="1" thickBot="1" x14ac:dyDescent="0.35">
      <c r="A99" s="513" t="s">
        <v>66</v>
      </c>
      <c r="B99" s="513"/>
      <c r="C99" s="513"/>
      <c r="D99" s="513"/>
      <c r="E99" s="513"/>
    </row>
    <row r="100" spans="1:5" ht="30.6" customHeight="1" thickBot="1" x14ac:dyDescent="0.35">
      <c r="A100" s="514" t="s">
        <v>51</v>
      </c>
      <c r="B100" s="515"/>
      <c r="C100" s="80">
        <f>C21</f>
        <v>0</v>
      </c>
      <c r="D100" s="80">
        <f t="shared" ref="D100:E100" si="15">D21</f>
        <v>0</v>
      </c>
      <c r="E100" s="119">
        <f t="shared" si="15"/>
        <v>0</v>
      </c>
    </row>
    <row r="101" spans="1:5" ht="32.4" customHeight="1" thickBot="1" x14ac:dyDescent="0.35">
      <c r="A101" s="516" t="s">
        <v>53</v>
      </c>
      <c r="B101" s="517"/>
      <c r="C101" s="82">
        <f>C91</f>
        <v>0</v>
      </c>
      <c r="D101" s="82">
        <f t="shared" ref="D101:E101" si="16">D91</f>
        <v>0</v>
      </c>
      <c r="E101" s="83">
        <f t="shared" si="16"/>
        <v>0</v>
      </c>
    </row>
    <row r="102" spans="1:5" ht="48.6" customHeight="1" thickBot="1" x14ac:dyDescent="0.35">
      <c r="A102" s="511" t="s">
        <v>68</v>
      </c>
      <c r="B102" s="512"/>
      <c r="C102" s="84">
        <f>SUM(C100:C101)+INT((SUM(D100:D101)+INT(SUM(E100:E101)/30))/12)</f>
        <v>0</v>
      </c>
      <c r="D102" s="85">
        <f>MOD((D100+D101)+INT((E100+E101)/30),12)</f>
        <v>0</v>
      </c>
      <c r="E102" s="86">
        <f>MOD((E100+E101),30)</f>
        <v>0</v>
      </c>
    </row>
  </sheetData>
  <sheetProtection algorithmName="SHA-512" hashValue="A48UZHl8zHw6OIqHmDE6oVMxeCu+U+DwAcdR5oYICym0JIcr5S9zv7MiLECGUh0Og3SM9R9UDBTnElQCvG+m7Q==" saltValue="K7jn69BZv6UD+1tViKqAnw==" spinCount="100000" sheet="1" objects="1" scenarios="1"/>
  <mergeCells count="48">
    <mergeCell ref="G17:J17"/>
    <mergeCell ref="G19:J19"/>
    <mergeCell ref="G57:J57"/>
    <mergeCell ref="G58:J58"/>
    <mergeCell ref="A102:B102"/>
    <mergeCell ref="A94:E94"/>
    <mergeCell ref="A99:E99"/>
    <mergeCell ref="A100:B100"/>
    <mergeCell ref="A101:B101"/>
    <mergeCell ref="A95:B95"/>
    <mergeCell ref="A96:B96"/>
    <mergeCell ref="A97:B97"/>
    <mergeCell ref="A92:B92"/>
    <mergeCell ref="A91:B91"/>
    <mergeCell ref="A58:E58"/>
    <mergeCell ref="G46:H46"/>
    <mergeCell ref="H7:J7"/>
    <mergeCell ref="G13:J13"/>
    <mergeCell ref="G14:J14"/>
    <mergeCell ref="G15:J15"/>
    <mergeCell ref="G16:J16"/>
    <mergeCell ref="G48:J48"/>
    <mergeCell ref="G49:J49"/>
    <mergeCell ref="A41:B41"/>
    <mergeCell ref="A56:B56"/>
    <mergeCell ref="G50:J50"/>
    <mergeCell ref="G51:J51"/>
    <mergeCell ref="G52:J52"/>
    <mergeCell ref="G53:J53"/>
    <mergeCell ref="G54:J54"/>
    <mergeCell ref="G55:J55"/>
    <mergeCell ref="A43:E43"/>
    <mergeCell ref="G20:J20"/>
    <mergeCell ref="G22:K24"/>
    <mergeCell ref="G26:K28"/>
    <mergeCell ref="G2:K2"/>
    <mergeCell ref="A7:E7"/>
    <mergeCell ref="G9:G10"/>
    <mergeCell ref="G12:J12"/>
    <mergeCell ref="G18:J18"/>
    <mergeCell ref="A1:E2"/>
    <mergeCell ref="A23:E23"/>
    <mergeCell ref="A3:B3"/>
    <mergeCell ref="A4:B4"/>
    <mergeCell ref="A21:B21"/>
    <mergeCell ref="E4:E5"/>
    <mergeCell ref="A8:E8"/>
    <mergeCell ref="A5:B5"/>
  </mergeCells>
  <conditionalFormatting sqref="K14">
    <cfRule type="expression" dxfId="37" priority="1">
      <formula>$H$10&lt;32</formula>
    </cfRule>
  </conditionalFormatting>
  <dataValidations count="3">
    <dataValidation type="date" allowBlank="1" showErrorMessage="1" error="Data musi być wcześniejsza od 2013-01-01" prompt="Proszę wypenić pole w formacie daty, _x000a_tj.: RRRR-MM-DD, gdzie:_x000a_RRRR - rok_x000a_MM - miesiąc_x000a_DD - dzień_x000a_" sqref="C4" xr:uid="{00000000-0002-0000-0100-000000000000}">
      <formula1>1</formula1>
      <formula2>41274</formula2>
    </dataValidation>
    <dataValidation type="date" allowBlank="1" showErrorMessage="1" error="Data musi być wcześniejsza od 2013-01-01" prompt="Proszę wypenić pole w formacie daty, _x000a_tj.: RRRR-MM-DD, gdzie:_x000a_RRRR - rok_x000a_MM - miesiąc_x000a_DD - dzień_x000a_" sqref="C5" xr:uid="{00000000-0002-0000-0100-000001000000}">
      <formula1>1</formula1>
      <formula2>402133</formula2>
    </dataValidation>
    <dataValidation type="date" allowBlank="1" showInputMessage="1" showErrorMessage="1" error="Data w formacie RRRR-MM-DD" sqref="A10:B20 A25:B40 A45:B55 A60:B90" xr:uid="{00000000-0002-0000-0100-000002000000}">
      <formula1>1</formula1>
      <formula2>401434</formula2>
    </dataValidation>
  </dataValidations>
  <pageMargins left="0.70866141732283472" right="0.70866141732283472" top="0.39370078740157483" bottom="0.15748031496062992" header="0.17" footer="0.15748031496062992"/>
  <pageSetup paperSize="9" scale="95" orientation="landscape" r:id="rId1"/>
  <headerFooter>
    <oddHeader xml:space="preserve">&amp;C&amp;"-,Pogrubiony"KALKULATOR EMERYTALNY </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3000000}">
          <x14:formula1>
            <xm:f>Roboczy!$A$1:$A$17</xm:f>
          </x14:formula1>
          <xm:sqref>D4</xm:sqref>
        </x14:dataValidation>
        <x14:dataValidation type="list" allowBlank="1" showInputMessage="1" showErrorMessage="1" xr:uid="{00000000-0002-0000-0100-000004000000}">
          <x14:formula1>
            <xm:f>Roboczy!$C$18:$C$23</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Z89"/>
  <sheetViews>
    <sheetView showGridLines="0" workbookViewId="0">
      <selection activeCell="G2" sqref="G2:K2"/>
    </sheetView>
  </sheetViews>
  <sheetFormatPr defaultColWidth="8.88671875" defaultRowHeight="14.4" x14ac:dyDescent="0.3"/>
  <cols>
    <col min="1" max="1" width="19.109375" style="2" customWidth="1"/>
    <col min="2" max="2" width="21.44140625" style="2" customWidth="1"/>
    <col min="3" max="3" width="12.6640625" style="2" customWidth="1"/>
    <col min="4" max="4" width="13.33203125" style="2" customWidth="1"/>
    <col min="5" max="5" width="14.5546875" style="2" customWidth="1"/>
    <col min="6" max="6" width="3.6640625" style="2" customWidth="1"/>
    <col min="7" max="7" width="64.6640625" style="101" customWidth="1"/>
    <col min="8" max="8" width="10.6640625" style="101" customWidth="1"/>
    <col min="9" max="9" width="10.44140625" style="101" customWidth="1"/>
    <col min="10" max="10" width="10.33203125" style="2" customWidth="1"/>
    <col min="11" max="11" width="19.5546875" style="2" customWidth="1"/>
    <col min="12" max="12" width="22.44140625" style="2" customWidth="1"/>
    <col min="13" max="13" width="12.6640625" style="2" customWidth="1"/>
    <col min="14" max="14" width="11.44140625" style="2" customWidth="1"/>
    <col min="15" max="15" width="11.5546875" style="2" customWidth="1"/>
    <col min="16" max="16" width="15.109375" style="2" customWidth="1"/>
    <col min="17" max="16384" width="8.88671875" style="2"/>
  </cols>
  <sheetData>
    <row r="1" spans="1:26" ht="17.399999999999999" customHeight="1" x14ac:dyDescent="0.3">
      <c r="A1" s="461" t="s">
        <v>93</v>
      </c>
      <c r="B1" s="461"/>
      <c r="C1" s="461"/>
      <c r="D1" s="461"/>
      <c r="E1" s="461"/>
      <c r="F1" s="123"/>
      <c r="L1" s="106">
        <v>36161</v>
      </c>
      <c r="M1" s="106">
        <v>36161</v>
      </c>
      <c r="N1" s="106">
        <v>36162</v>
      </c>
      <c r="O1" s="106">
        <v>37895</v>
      </c>
      <c r="P1" s="106">
        <v>41275</v>
      </c>
      <c r="Q1" s="113"/>
      <c r="R1" s="114">
        <v>0.09</v>
      </c>
      <c r="S1" s="114">
        <v>0.12</v>
      </c>
      <c r="T1" s="115">
        <v>300</v>
      </c>
      <c r="U1" s="118"/>
      <c r="V1" s="118"/>
      <c r="W1" s="118"/>
      <c r="X1" s="113"/>
      <c r="Y1" s="113"/>
      <c r="Z1" s="108"/>
    </row>
    <row r="2" spans="1:26" ht="25.2" customHeight="1" thickBot="1" x14ac:dyDescent="0.35">
      <c r="A2" s="461"/>
      <c r="B2" s="461"/>
      <c r="C2" s="461"/>
      <c r="D2" s="461"/>
      <c r="E2" s="461"/>
      <c r="F2" s="123"/>
      <c r="G2" s="533" t="s">
        <v>84</v>
      </c>
      <c r="H2" s="533"/>
      <c r="I2" s="533"/>
      <c r="J2" s="533"/>
      <c r="K2" s="533"/>
      <c r="L2" s="106"/>
      <c r="M2" s="106"/>
      <c r="N2" s="106"/>
      <c r="O2" s="106"/>
      <c r="P2" s="106"/>
      <c r="Q2" s="113"/>
      <c r="R2" s="114"/>
      <c r="S2" s="114"/>
      <c r="T2" s="115"/>
      <c r="U2" s="113"/>
      <c r="V2" s="113"/>
      <c r="W2" s="113"/>
      <c r="X2" s="113"/>
      <c r="Y2" s="113"/>
      <c r="Z2" s="108"/>
    </row>
    <row r="3" spans="1:26" ht="31.2" customHeight="1" thickBot="1" x14ac:dyDescent="0.35">
      <c r="A3" s="536" t="s">
        <v>88</v>
      </c>
      <c r="B3" s="537"/>
      <c r="C3" s="127" t="s">
        <v>15</v>
      </c>
      <c r="D3" s="128" t="s">
        <v>0</v>
      </c>
      <c r="E3" s="131" t="s">
        <v>32</v>
      </c>
      <c r="F3" s="123"/>
      <c r="G3" s="117" t="s">
        <v>86</v>
      </c>
      <c r="H3" s="19" t="s">
        <v>16</v>
      </c>
      <c r="I3" s="20" t="s">
        <v>17</v>
      </c>
      <c r="J3" s="21" t="s">
        <v>18</v>
      </c>
      <c r="K3" s="22" t="s">
        <v>26</v>
      </c>
      <c r="L3" s="106"/>
      <c r="M3" s="106"/>
      <c r="N3" s="106"/>
      <c r="O3" s="106"/>
      <c r="P3" s="106"/>
      <c r="Q3" s="113"/>
      <c r="R3" s="114"/>
      <c r="S3" s="114"/>
      <c r="T3" s="115"/>
      <c r="U3" s="113"/>
      <c r="V3" s="113"/>
      <c r="W3" s="113"/>
      <c r="X3" s="113"/>
      <c r="Y3" s="113"/>
      <c r="Z3" s="108"/>
    </row>
    <row r="4" spans="1:26" ht="34.5" customHeight="1" thickBot="1" x14ac:dyDescent="0.35">
      <c r="A4" s="467" t="s">
        <v>82</v>
      </c>
      <c r="B4" s="468"/>
      <c r="C4" s="135"/>
      <c r="D4" s="126"/>
      <c r="E4" s="471" t="str">
        <f>IF(AND($C$4&lt;$O$1,$C$4&gt;$M$1),"art. 15aa",IF($C$4="","proszę obowiązkowo wprowadzić do komórki C4 datę wstąpienia po raz pierwszy do służby","poza zakresem"))</f>
        <v>proszę obowiązkowo wprowadzić do komórki C4 datę wstąpienia po raz pierwszy do służby</v>
      </c>
      <c r="F4" s="123"/>
      <c r="G4" s="24" t="s">
        <v>195</v>
      </c>
      <c r="H4" s="399">
        <f>$C$84</f>
        <v>0</v>
      </c>
      <c r="I4" s="400">
        <f>$D$84</f>
        <v>0</v>
      </c>
      <c r="J4" s="401">
        <f>$E$84</f>
        <v>0</v>
      </c>
      <c r="K4" s="397">
        <f>IF($C$89=0,0,IF($C$89&lt;25, "brak prawa do doliczenia okesów składkowych;
(C89)&lt;25 lat",ROUND(0.4+(H4-15)*0.026+I4*0.026/12,4)))</f>
        <v>0</v>
      </c>
      <c r="L4" s="532" t="str">
        <f>IF($C$89=0,"",IF($C$89&lt;25," (C89)&lt;25 lat;
brak 25 lat służby ustalonej  w wymiarze pojedynczym liczonej wraz z okresami równorzędnymi ze służbą
",""))</f>
        <v/>
      </c>
      <c r="M4" s="106"/>
      <c r="N4" s="106"/>
      <c r="O4" s="106"/>
      <c r="P4" s="106"/>
      <c r="Q4" s="113"/>
      <c r="R4" s="114"/>
      <c r="S4" s="114"/>
      <c r="T4" s="115"/>
      <c r="U4" s="113"/>
      <c r="V4" s="113"/>
      <c r="W4" s="113"/>
      <c r="X4" s="113"/>
      <c r="Y4" s="113"/>
      <c r="Z4" s="108"/>
    </row>
    <row r="5" spans="1:26" ht="31.2" customHeight="1" thickBot="1" x14ac:dyDescent="0.35">
      <c r="A5" s="534" t="s">
        <v>14</v>
      </c>
      <c r="B5" s="535"/>
      <c r="C5" s="258"/>
      <c r="D5" s="129"/>
      <c r="E5" s="472"/>
      <c r="F5" s="123"/>
      <c r="G5" s="87" t="s">
        <v>34</v>
      </c>
      <c r="H5" s="402">
        <f>IF(AND($C$89&gt;=25,$C$4&gt;$M$1,$C$4&lt;$O$1),C41,0)</f>
        <v>0</v>
      </c>
      <c r="I5" s="402">
        <f>IF(AND($C$89&gt;=25,$C$4&gt;$M$1,$C$4&lt;$O$1),D41,0)</f>
        <v>0</v>
      </c>
      <c r="J5" s="402">
        <f>IF(AND($C$89&gt;=25,$C$4&gt;$M$1,$C$4&lt;$O$1),E41,0)</f>
        <v>0</v>
      </c>
      <c r="K5" s="398">
        <f>IF($C$89&lt;25,0,ROUND(H5*0.013+I5*0.013/12,4))</f>
        <v>0</v>
      </c>
      <c r="L5" s="532"/>
      <c r="M5" s="106"/>
      <c r="N5" s="106"/>
      <c r="O5" s="106"/>
      <c r="P5" s="106"/>
      <c r="Q5" s="113"/>
      <c r="R5" s="114"/>
      <c r="S5" s="114"/>
      <c r="T5" s="115"/>
      <c r="U5" s="113"/>
      <c r="V5" s="113"/>
      <c r="W5" s="113"/>
      <c r="X5" s="113"/>
      <c r="Y5" s="113"/>
      <c r="Z5" s="108"/>
    </row>
    <row r="6" spans="1:26" ht="31.2" customHeight="1" thickBot="1" x14ac:dyDescent="0.35">
      <c r="F6" s="123"/>
      <c r="G6" s="39"/>
      <c r="H6" s="489" t="s">
        <v>85</v>
      </c>
      <c r="I6" s="490"/>
      <c r="J6" s="491"/>
      <c r="K6" s="107">
        <f>MIN(SUM(K4:K5),0.75)</f>
        <v>0</v>
      </c>
      <c r="L6" s="532"/>
      <c r="M6" s="106"/>
      <c r="N6" s="106"/>
      <c r="O6" s="106"/>
      <c r="P6" s="106"/>
      <c r="Q6" s="113"/>
      <c r="R6" s="114"/>
      <c r="S6" s="114"/>
      <c r="T6" s="115"/>
      <c r="U6" s="113"/>
      <c r="V6" s="113"/>
      <c r="W6" s="113"/>
      <c r="X6" s="113"/>
      <c r="Y6" s="113"/>
      <c r="Z6" s="108"/>
    </row>
    <row r="7" spans="1:26" ht="31.2" customHeight="1" thickBot="1" x14ac:dyDescent="0.35">
      <c r="A7" s="454" t="s">
        <v>89</v>
      </c>
      <c r="B7" s="454"/>
      <c r="C7" s="454"/>
      <c r="D7" s="454"/>
      <c r="E7" s="454"/>
      <c r="G7" s="39"/>
      <c r="H7" s="40"/>
      <c r="I7" s="40"/>
      <c r="J7" s="40"/>
      <c r="K7" s="41"/>
      <c r="L7" s="106"/>
      <c r="M7" s="106"/>
      <c r="N7" s="106"/>
      <c r="O7" s="106"/>
      <c r="P7" s="106"/>
      <c r="Q7" s="113"/>
      <c r="R7" s="114"/>
      <c r="S7" s="114"/>
      <c r="T7" s="115"/>
      <c r="U7" s="113"/>
      <c r="V7" s="113"/>
      <c r="W7" s="113"/>
      <c r="X7" s="113"/>
      <c r="Y7" s="113"/>
      <c r="Z7" s="108"/>
    </row>
    <row r="8" spans="1:26" ht="22.95" customHeight="1" thickBot="1" x14ac:dyDescent="0.35">
      <c r="A8" s="473" t="s">
        <v>47</v>
      </c>
      <c r="B8" s="474"/>
      <c r="C8" s="474"/>
      <c r="D8" s="474"/>
      <c r="E8" s="475"/>
      <c r="G8" s="455" t="s">
        <v>72</v>
      </c>
      <c r="H8" s="102" t="s">
        <v>16</v>
      </c>
      <c r="I8" s="20" t="s">
        <v>17</v>
      </c>
      <c r="J8" s="103" t="s">
        <v>18</v>
      </c>
      <c r="K8" s="41"/>
      <c r="L8" s="7"/>
      <c r="M8" s="108"/>
      <c r="N8" s="108"/>
      <c r="O8" s="108"/>
      <c r="P8" s="108"/>
      <c r="Q8" s="108"/>
      <c r="R8" s="108"/>
      <c r="S8" s="108"/>
      <c r="T8" s="108"/>
      <c r="U8" s="108"/>
      <c r="V8" s="108"/>
      <c r="W8" s="108"/>
      <c r="X8" s="108"/>
      <c r="Y8" s="108"/>
      <c r="Z8" s="108"/>
    </row>
    <row r="9" spans="1:26" ht="22.95" customHeight="1" thickBot="1" x14ac:dyDescent="0.35">
      <c r="A9" s="406" t="s">
        <v>30</v>
      </c>
      <c r="B9" s="407" t="s">
        <v>31</v>
      </c>
      <c r="C9" s="8" t="s">
        <v>25</v>
      </c>
      <c r="D9" s="10" t="s">
        <v>27</v>
      </c>
      <c r="E9" s="9" t="s">
        <v>18</v>
      </c>
      <c r="G9" s="456"/>
      <c r="H9" s="104">
        <f>IF($H$4&gt;=25,SUM(H4:H5)+INT((SUM(I4:I5)+INT(SUM(J4:J5)/30))/12),$H$4)</f>
        <v>0</v>
      </c>
      <c r="I9" s="104">
        <f>IF($H$4&gt;=25,MOD(SUM(I4:I5)+INT(SUM(J4:J5)/30),12),$I$4)</f>
        <v>0</v>
      </c>
      <c r="J9" s="105">
        <f>IF($H$4&gt;=25,MOD(SUM(J4:J5),30),$J$4)</f>
        <v>0</v>
      </c>
      <c r="L9" s="7"/>
    </row>
    <row r="10" spans="1:26" ht="22.95" customHeight="1" x14ac:dyDescent="0.3">
      <c r="A10" s="409"/>
      <c r="B10" s="410"/>
      <c r="C10" s="403">
        <f>IF((ISBLANK(A10)=TRUE),0,DATEDIF(A10,B10+1,"Y"))</f>
        <v>0</v>
      </c>
      <c r="D10" s="12">
        <f>IF((ISBLANK(A10)=TRUE),0,DATEDIF(A10,B10+1,"YM"))</f>
        <v>0</v>
      </c>
      <c r="E10" s="13">
        <f>IF((ISBLANK(A10)=TRUE),0,DATEDIF(A10,B10+1,"MD"))</f>
        <v>0</v>
      </c>
      <c r="L10" s="7"/>
    </row>
    <row r="11" spans="1:26" ht="22.95" customHeight="1" thickBot="1" x14ac:dyDescent="0.35">
      <c r="A11" s="411"/>
      <c r="B11" s="412"/>
      <c r="C11" s="404">
        <f>IF((ISBLANK(A11)=TRUE),0,DATEDIF(A11,B11+1,"Y"))</f>
        <v>0</v>
      </c>
      <c r="D11" s="16">
        <f>IF((ISBLANK(A11)=TRUE),0,DATEDIF(A11,B11+1,"YM"))</f>
        <v>0</v>
      </c>
      <c r="E11" s="17">
        <f>IF((ISBLANK(A11)=TRUE),0,DATEDIF(A11,B11+1,"MD"))</f>
        <v>0</v>
      </c>
      <c r="G11" s="457" t="str">
        <f>IF($E$4="art. 15aa","Obliczenie wysokości emerytury na podstawie art. 15aa ustawy","")</f>
        <v/>
      </c>
      <c r="H11" s="457"/>
      <c r="I11" s="457"/>
      <c r="J11" s="457"/>
      <c r="L11" s="7"/>
    </row>
    <row r="12" spans="1:26" ht="22.95" customHeight="1" thickBot="1" x14ac:dyDescent="0.35">
      <c r="A12" s="411"/>
      <c r="B12" s="412"/>
      <c r="C12" s="404">
        <f>IF((ISBLANK(A12)=TRUE),0,DATEDIF(A12,B12+1,"Y"))</f>
        <v>0</v>
      </c>
      <c r="D12" s="16">
        <f>IF((ISBLANK(A12)=TRUE),0,DATEDIF(A12,B12+1,"YM"))</f>
        <v>0</v>
      </c>
      <c r="E12" s="17">
        <f>IF((ISBLANK(A12)=TRUE),0,DATEDIF(A12,B12+1,"MD"))</f>
        <v>0</v>
      </c>
      <c r="G12" s="492" t="s">
        <v>77</v>
      </c>
      <c r="H12" s="493"/>
      <c r="I12" s="493"/>
      <c r="J12" s="494"/>
      <c r="K12" s="3"/>
      <c r="L12" s="23"/>
    </row>
    <row r="13" spans="1:26" ht="22.95" customHeight="1" thickBot="1" x14ac:dyDescent="0.35">
      <c r="A13" s="411"/>
      <c r="B13" s="412"/>
      <c r="C13" s="404">
        <f t="shared" ref="C13:C20" si="0">IF((ISBLANK(A13)=TRUE),0,DATEDIF(A13,B13+1,"Y"))</f>
        <v>0</v>
      </c>
      <c r="D13" s="16">
        <f t="shared" ref="D13:D20" si="1">IF((ISBLANK(A13)=TRUE),0,DATEDIF(A13,B13+1,"YM"))</f>
        <v>0</v>
      </c>
      <c r="E13" s="17">
        <f t="shared" ref="E13:E20" si="2">IF((ISBLANK(A13)=TRUE),0,DATEDIF(A13,B13+1,"MD"))</f>
        <v>0</v>
      </c>
      <c r="G13" s="495" t="s">
        <v>78</v>
      </c>
      <c r="H13" s="496"/>
      <c r="I13" s="496"/>
      <c r="J13" s="497"/>
      <c r="K13" s="110"/>
      <c r="L13" s="125" t="str">
        <f>IF($H$9&lt;32,"wysługa (H9)&lt;32 lata","")</f>
        <v>wysługa (H9)&lt;32 lata</v>
      </c>
    </row>
    <row r="14" spans="1:26" ht="22.95" customHeight="1" thickBot="1" x14ac:dyDescent="0.35">
      <c r="A14" s="411"/>
      <c r="B14" s="412"/>
      <c r="C14" s="404">
        <f t="shared" si="0"/>
        <v>0</v>
      </c>
      <c r="D14" s="16">
        <f t="shared" si="1"/>
        <v>0</v>
      </c>
      <c r="E14" s="17">
        <f t="shared" si="2"/>
        <v>0</v>
      </c>
      <c r="G14" s="498" t="s">
        <v>76</v>
      </c>
      <c r="H14" s="499"/>
      <c r="I14" s="499"/>
      <c r="J14" s="500"/>
      <c r="K14" s="293">
        <f>K12+K13</f>
        <v>0</v>
      </c>
    </row>
    <row r="15" spans="1:26" ht="22.95" customHeight="1" thickBot="1" x14ac:dyDescent="0.35">
      <c r="A15" s="411"/>
      <c r="B15" s="412"/>
      <c r="C15" s="404">
        <f t="shared" si="0"/>
        <v>0</v>
      </c>
      <c r="D15" s="16">
        <f t="shared" si="1"/>
        <v>0</v>
      </c>
      <c r="E15" s="17">
        <f t="shared" si="2"/>
        <v>0</v>
      </c>
      <c r="G15" s="501" t="s">
        <v>24</v>
      </c>
      <c r="H15" s="502"/>
      <c r="I15" s="502"/>
      <c r="J15" s="503"/>
      <c r="K15" s="44">
        <f>K6</f>
        <v>0</v>
      </c>
      <c r="L15" s="38"/>
    </row>
    <row r="16" spans="1:26" ht="22.95" customHeight="1" thickBot="1" x14ac:dyDescent="0.35">
      <c r="A16" s="411"/>
      <c r="B16" s="412"/>
      <c r="C16" s="404">
        <f t="shared" si="0"/>
        <v>0</v>
      </c>
      <c r="D16" s="16">
        <f>IF((ISBLANK(A16)=TRUE),0,DATEDIF(A16,B16+1,"YM"))</f>
        <v>0</v>
      </c>
      <c r="E16" s="17">
        <f>IF((ISBLANK(A16)=TRUE),0,DATEDIF(A16,B16+1,"MD"))</f>
        <v>0</v>
      </c>
      <c r="G16" s="529" t="s">
        <v>60</v>
      </c>
      <c r="H16" s="530"/>
      <c r="I16" s="530"/>
      <c r="J16" s="531"/>
      <c r="K16" s="294">
        <f>ROUND(K14*K15,2)</f>
        <v>0</v>
      </c>
      <c r="L16" s="38"/>
    </row>
    <row r="17" spans="1:13" ht="22.95" customHeight="1" x14ac:dyDescent="0.3">
      <c r="A17" s="411"/>
      <c r="B17" s="412"/>
      <c r="C17" s="404">
        <f t="shared" si="0"/>
        <v>0</v>
      </c>
      <c r="D17" s="16">
        <f>IF((ISBLANK(A17)=TRUE),0,DATEDIF(A17,B17+1,"YM"))</f>
        <v>0</v>
      </c>
      <c r="E17" s="17">
        <f>IF((ISBLANK(A17)=TRUE),0,DATEDIF(A17,B17+1,"MD"))</f>
        <v>0</v>
      </c>
      <c r="G17" s="458" t="s">
        <v>62</v>
      </c>
      <c r="H17" s="459"/>
      <c r="I17" s="459"/>
      <c r="J17" s="460"/>
      <c r="K17" s="88">
        <f>MAX(ROUND(K16*$R$1,2),0)</f>
        <v>0</v>
      </c>
      <c r="L17" s="38"/>
    </row>
    <row r="18" spans="1:13" ht="22.95" customHeight="1" thickBot="1" x14ac:dyDescent="0.35">
      <c r="A18" s="411"/>
      <c r="B18" s="412"/>
      <c r="C18" s="404">
        <f t="shared" si="0"/>
        <v>0</v>
      </c>
      <c r="D18" s="16">
        <f t="shared" si="1"/>
        <v>0</v>
      </c>
      <c r="E18" s="17">
        <f t="shared" si="2"/>
        <v>0</v>
      </c>
      <c r="G18" s="507" t="s">
        <v>63</v>
      </c>
      <c r="H18" s="508"/>
      <c r="I18" s="508"/>
      <c r="J18" s="509"/>
      <c r="K18" s="48">
        <f>MAX(ROUND(ROUND(K16,0)*$S$1-$T$1,0),0)</f>
        <v>0</v>
      </c>
      <c r="M18" s="38"/>
    </row>
    <row r="19" spans="1:13" ht="22.95" customHeight="1" thickBot="1" x14ac:dyDescent="0.35">
      <c r="A19" s="411"/>
      <c r="B19" s="412"/>
      <c r="C19" s="404">
        <f t="shared" si="0"/>
        <v>0</v>
      </c>
      <c r="D19" s="16">
        <f t="shared" si="1"/>
        <v>0</v>
      </c>
      <c r="E19" s="17">
        <f t="shared" si="2"/>
        <v>0</v>
      </c>
      <c r="G19" s="448" t="s">
        <v>59</v>
      </c>
      <c r="H19" s="449"/>
      <c r="I19" s="449"/>
      <c r="J19" s="450"/>
      <c r="K19" s="295">
        <f>K16-K17-K18</f>
        <v>0</v>
      </c>
      <c r="M19" s="38"/>
    </row>
    <row r="20" spans="1:13" ht="19.95" customHeight="1" thickBot="1" x14ac:dyDescent="0.35">
      <c r="A20" s="413"/>
      <c r="B20" s="414"/>
      <c r="C20" s="405">
        <f t="shared" si="0"/>
        <v>0</v>
      </c>
      <c r="D20" s="42">
        <f t="shared" si="1"/>
        <v>0</v>
      </c>
      <c r="E20" s="43">
        <f t="shared" si="2"/>
        <v>0</v>
      </c>
      <c r="M20" s="38"/>
    </row>
    <row r="21" spans="1:13" ht="19.95" customHeight="1" thickBot="1" x14ac:dyDescent="0.35">
      <c r="A21" s="469" t="s">
        <v>28</v>
      </c>
      <c r="B21" s="470"/>
      <c r="C21" s="45">
        <f>SUM(C10:C20)+INT((SUM(D10:D20)+INT(SUM(E10:E20)/30))/12)</f>
        <v>0</v>
      </c>
      <c r="D21" s="45">
        <f>MOD(SUM(D10:D20)+INT(SUM(E10:E20)/30),12)</f>
        <v>0</v>
      </c>
      <c r="E21" s="46">
        <f>MOD(SUM(E10:E20),30)</f>
        <v>0</v>
      </c>
      <c r="G21" s="451" t="s">
        <v>81</v>
      </c>
      <c r="H21" s="451"/>
      <c r="I21" s="451"/>
      <c r="J21" s="451"/>
      <c r="K21" s="451"/>
      <c r="M21" s="38"/>
    </row>
    <row r="22" spans="1:13" ht="19.95" customHeight="1" thickBot="1" x14ac:dyDescent="0.35">
      <c r="A22" s="101"/>
      <c r="B22" s="101"/>
      <c r="C22" s="101"/>
      <c r="D22" s="101"/>
      <c r="E22" s="101"/>
      <c r="G22" s="451"/>
      <c r="H22" s="451"/>
      <c r="I22" s="451"/>
      <c r="J22" s="451"/>
      <c r="K22" s="451"/>
    </row>
    <row r="23" spans="1:13" ht="19.95" customHeight="1" thickBot="1" x14ac:dyDescent="0.35">
      <c r="A23" s="462" t="s">
        <v>48</v>
      </c>
      <c r="B23" s="463"/>
      <c r="C23" s="463"/>
      <c r="D23" s="463"/>
      <c r="E23" s="464"/>
      <c r="G23" s="451"/>
      <c r="H23" s="451"/>
      <c r="I23" s="451"/>
      <c r="J23" s="451"/>
      <c r="K23" s="451"/>
    </row>
    <row r="24" spans="1:13" ht="19.95" customHeight="1" thickBot="1" x14ac:dyDescent="0.35">
      <c r="A24" s="415" t="s">
        <v>30</v>
      </c>
      <c r="B24" s="416" t="s">
        <v>31</v>
      </c>
      <c r="C24" s="49" t="s">
        <v>25</v>
      </c>
      <c r="D24" s="50" t="s">
        <v>27</v>
      </c>
      <c r="E24" s="51" t="s">
        <v>18</v>
      </c>
      <c r="G24" s="2"/>
      <c r="J24" s="101"/>
    </row>
    <row r="25" spans="1:13" ht="19.95" customHeight="1" x14ac:dyDescent="0.3">
      <c r="A25" s="409"/>
      <c r="B25" s="410"/>
      <c r="C25" s="403">
        <f>IF((ISBLANK(A25)=TRUE),0,DATEDIF(A25,B25+1,"Y"))</f>
        <v>0</v>
      </c>
      <c r="D25" s="12">
        <f t="shared" ref="D25:D40" si="3">IF((ISBLANK(A25)=TRUE),0,DATEDIF(A25,B25+1,"YM"))</f>
        <v>0</v>
      </c>
      <c r="E25" s="13">
        <f t="shared" ref="E25:E40" si="4">IF((ISBLANK(A25)=TRUE),0,DATEDIF(A25,B25+1,"MD"))</f>
        <v>0</v>
      </c>
      <c r="G25" s="452" t="s">
        <v>65</v>
      </c>
      <c r="H25" s="452"/>
      <c r="I25" s="452"/>
      <c r="J25" s="452"/>
      <c r="K25" s="452"/>
    </row>
    <row r="26" spans="1:13" ht="19.95" customHeight="1" x14ac:dyDescent="0.3">
      <c r="A26" s="411"/>
      <c r="B26" s="412"/>
      <c r="C26" s="404">
        <f>IF((ISBLANK(A26)=TRUE),0,DATEDIF(A26,B26+1,"Y"))</f>
        <v>0</v>
      </c>
      <c r="D26" s="16">
        <f t="shared" si="3"/>
        <v>0</v>
      </c>
      <c r="E26" s="17">
        <f t="shared" si="4"/>
        <v>0</v>
      </c>
      <c r="G26" s="452"/>
      <c r="H26" s="452"/>
      <c r="I26" s="452"/>
      <c r="J26" s="452"/>
      <c r="K26" s="452"/>
    </row>
    <row r="27" spans="1:13" ht="19.95" customHeight="1" x14ac:dyDescent="0.3">
      <c r="A27" s="411"/>
      <c r="B27" s="412"/>
      <c r="C27" s="404">
        <f>IF((ISBLANK(A27)=TRUE),0,DATEDIF(A27,B27+1,"Y"))</f>
        <v>0</v>
      </c>
      <c r="D27" s="16">
        <f t="shared" si="3"/>
        <v>0</v>
      </c>
      <c r="E27" s="17">
        <f t="shared" si="4"/>
        <v>0</v>
      </c>
      <c r="G27" s="452"/>
      <c r="H27" s="452"/>
      <c r="I27" s="452"/>
      <c r="J27" s="452"/>
      <c r="K27" s="452"/>
    </row>
    <row r="28" spans="1:13" ht="19.95" customHeight="1" x14ac:dyDescent="0.3">
      <c r="A28" s="411"/>
      <c r="B28" s="412"/>
      <c r="C28" s="404">
        <f t="shared" ref="C28:C40" si="5">IF((ISBLANK(A28)=TRUE),0,DATEDIF(A28,B28+1,"Y"))</f>
        <v>0</v>
      </c>
      <c r="D28" s="16">
        <f t="shared" si="3"/>
        <v>0</v>
      </c>
      <c r="E28" s="17">
        <f t="shared" si="4"/>
        <v>0</v>
      </c>
      <c r="G28" s="2"/>
      <c r="H28" s="2"/>
      <c r="I28" s="2"/>
    </row>
    <row r="29" spans="1:13" ht="19.95" customHeight="1" x14ac:dyDescent="0.3">
      <c r="A29" s="411"/>
      <c r="B29" s="412"/>
      <c r="C29" s="404">
        <f t="shared" si="5"/>
        <v>0</v>
      </c>
      <c r="D29" s="16">
        <f t="shared" si="3"/>
        <v>0</v>
      </c>
      <c r="E29" s="17">
        <f t="shared" si="4"/>
        <v>0</v>
      </c>
      <c r="G29" s="2"/>
      <c r="H29" s="2"/>
      <c r="I29" s="2"/>
      <c r="L29" s="14"/>
      <c r="M29" s="53"/>
    </row>
    <row r="30" spans="1:13" ht="19.95" customHeight="1" x14ac:dyDescent="0.3">
      <c r="A30" s="411"/>
      <c r="B30" s="412"/>
      <c r="C30" s="404">
        <f t="shared" si="5"/>
        <v>0</v>
      </c>
      <c r="D30" s="16">
        <f t="shared" si="3"/>
        <v>0</v>
      </c>
      <c r="E30" s="17">
        <f t="shared" si="4"/>
        <v>0</v>
      </c>
      <c r="G30" s="2"/>
      <c r="H30" s="2"/>
      <c r="I30" s="2"/>
      <c r="L30" s="53"/>
      <c r="M30" s="14"/>
    </row>
    <row r="31" spans="1:13" ht="19.95" customHeight="1" x14ac:dyDescent="0.3">
      <c r="A31" s="411"/>
      <c r="B31" s="412"/>
      <c r="C31" s="404">
        <f t="shared" si="5"/>
        <v>0</v>
      </c>
      <c r="D31" s="16">
        <f t="shared" si="3"/>
        <v>0</v>
      </c>
      <c r="E31" s="17">
        <f t="shared" si="4"/>
        <v>0</v>
      </c>
      <c r="G31" s="2"/>
      <c r="H31" s="2"/>
      <c r="I31" s="2"/>
    </row>
    <row r="32" spans="1:13" ht="19.95" customHeight="1" x14ac:dyDescent="0.3">
      <c r="A32" s="411"/>
      <c r="B32" s="412"/>
      <c r="C32" s="404">
        <f t="shared" ref="C32:C36" si="6">IF((ISBLANK(A32)=TRUE),0,DATEDIF(A32,B32+1,"Y"))</f>
        <v>0</v>
      </c>
      <c r="D32" s="16">
        <f t="shared" ref="D32:D36" si="7">IF((ISBLANK(A32)=TRUE),0,DATEDIF(A32,B32+1,"YM"))</f>
        <v>0</v>
      </c>
      <c r="E32" s="17">
        <f t="shared" ref="E32:E36" si="8">IF((ISBLANK(A32)=TRUE),0,DATEDIF(A32,B32+1,"MD"))</f>
        <v>0</v>
      </c>
      <c r="G32" s="2"/>
      <c r="H32" s="2"/>
      <c r="I32" s="2"/>
    </row>
    <row r="33" spans="1:10" ht="19.95" customHeight="1" x14ac:dyDescent="0.3">
      <c r="A33" s="411"/>
      <c r="B33" s="412"/>
      <c r="C33" s="404">
        <f t="shared" si="6"/>
        <v>0</v>
      </c>
      <c r="D33" s="16">
        <f t="shared" si="7"/>
        <v>0</v>
      </c>
      <c r="E33" s="17">
        <f t="shared" si="8"/>
        <v>0</v>
      </c>
      <c r="G33" s="2"/>
      <c r="H33" s="2"/>
      <c r="I33" s="2"/>
    </row>
    <row r="34" spans="1:10" ht="19.95" customHeight="1" x14ac:dyDescent="0.3">
      <c r="A34" s="411"/>
      <c r="B34" s="412"/>
      <c r="C34" s="404">
        <f t="shared" si="6"/>
        <v>0</v>
      </c>
      <c r="D34" s="16">
        <f t="shared" si="7"/>
        <v>0</v>
      </c>
      <c r="E34" s="17">
        <f t="shared" si="8"/>
        <v>0</v>
      </c>
      <c r="G34" s="2"/>
      <c r="H34" s="2"/>
      <c r="I34" s="2"/>
    </row>
    <row r="35" spans="1:10" ht="19.95" customHeight="1" x14ac:dyDescent="0.3">
      <c r="A35" s="411"/>
      <c r="B35" s="412"/>
      <c r="C35" s="404">
        <f t="shared" si="6"/>
        <v>0</v>
      </c>
      <c r="D35" s="16">
        <f t="shared" si="7"/>
        <v>0</v>
      </c>
      <c r="E35" s="17">
        <f t="shared" si="8"/>
        <v>0</v>
      </c>
      <c r="G35" s="2"/>
      <c r="H35" s="2"/>
      <c r="I35" s="2"/>
    </row>
    <row r="36" spans="1:10" ht="19.95" customHeight="1" x14ac:dyDescent="0.3">
      <c r="A36" s="411"/>
      <c r="B36" s="412"/>
      <c r="C36" s="404">
        <f t="shared" si="6"/>
        <v>0</v>
      </c>
      <c r="D36" s="16">
        <f t="shared" si="7"/>
        <v>0</v>
      </c>
      <c r="E36" s="17">
        <f t="shared" si="8"/>
        <v>0</v>
      </c>
      <c r="G36" s="2"/>
      <c r="H36" s="2"/>
      <c r="I36" s="2"/>
    </row>
    <row r="37" spans="1:10" ht="19.95" customHeight="1" x14ac:dyDescent="0.3">
      <c r="A37" s="411"/>
      <c r="B37" s="412"/>
      <c r="C37" s="404">
        <f t="shared" si="5"/>
        <v>0</v>
      </c>
      <c r="D37" s="16">
        <f t="shared" si="3"/>
        <v>0</v>
      </c>
      <c r="E37" s="17">
        <f t="shared" si="4"/>
        <v>0</v>
      </c>
      <c r="G37" s="2"/>
      <c r="H37" s="2"/>
      <c r="I37" s="2"/>
    </row>
    <row r="38" spans="1:10" ht="19.95" customHeight="1" x14ac:dyDescent="0.3">
      <c r="A38" s="411"/>
      <c r="B38" s="412"/>
      <c r="C38" s="404">
        <f t="shared" si="5"/>
        <v>0</v>
      </c>
      <c r="D38" s="16">
        <f t="shared" si="3"/>
        <v>0</v>
      </c>
      <c r="E38" s="17">
        <f t="shared" si="4"/>
        <v>0</v>
      </c>
      <c r="G38" s="2"/>
      <c r="H38" s="2"/>
      <c r="I38" s="2"/>
    </row>
    <row r="39" spans="1:10" ht="19.95" customHeight="1" x14ac:dyDescent="0.3">
      <c r="A39" s="411"/>
      <c r="B39" s="412"/>
      <c r="C39" s="404">
        <f t="shared" si="5"/>
        <v>0</v>
      </c>
      <c r="D39" s="16">
        <f t="shared" si="3"/>
        <v>0</v>
      </c>
      <c r="E39" s="17">
        <f t="shared" si="4"/>
        <v>0</v>
      </c>
      <c r="G39" s="2"/>
      <c r="H39" s="2"/>
      <c r="I39" s="2"/>
    </row>
    <row r="40" spans="1:10" ht="19.95" customHeight="1" thickBot="1" x14ac:dyDescent="0.35">
      <c r="A40" s="413"/>
      <c r="B40" s="414"/>
      <c r="C40" s="405">
        <f t="shared" si="5"/>
        <v>0</v>
      </c>
      <c r="D40" s="42">
        <f t="shared" si="3"/>
        <v>0</v>
      </c>
      <c r="E40" s="43">
        <f t="shared" si="4"/>
        <v>0</v>
      </c>
      <c r="G40" s="2"/>
      <c r="H40" s="2"/>
      <c r="I40" s="2"/>
    </row>
    <row r="41" spans="1:10" ht="19.95" customHeight="1" thickBot="1" x14ac:dyDescent="0.35">
      <c r="A41" s="480" t="s">
        <v>28</v>
      </c>
      <c r="B41" s="481"/>
      <c r="C41" s="54">
        <f>SUM(C25:C40)+INT((SUM(D25:D40)+INT(SUM(E25:E40)/30))/12)</f>
        <v>0</v>
      </c>
      <c r="D41" s="55">
        <f>MOD(SUM(D25:D40)+INT(SUM(E25:E40)/30),12)</f>
        <v>0</v>
      </c>
      <c r="E41" s="56">
        <f>MOD(SUM(E25:E40),30)</f>
        <v>0</v>
      </c>
      <c r="G41" s="57"/>
    </row>
    <row r="42" spans="1:10" ht="19.95" customHeight="1" x14ac:dyDescent="0.3">
      <c r="A42" s="58"/>
      <c r="B42" s="58"/>
      <c r="C42" s="59"/>
      <c r="D42" s="59"/>
      <c r="E42" s="59"/>
    </row>
    <row r="43" spans="1:10" ht="19.95" customHeight="1" thickBot="1" x14ac:dyDescent="0.35">
      <c r="A43" s="58"/>
      <c r="B43" s="58"/>
      <c r="C43" s="59"/>
      <c r="D43" s="59"/>
      <c r="E43" s="59"/>
    </row>
    <row r="44" spans="1:10" ht="39" customHeight="1" thickBot="1" x14ac:dyDescent="0.35">
      <c r="A44" s="516" t="s">
        <v>90</v>
      </c>
      <c r="B44" s="523"/>
      <c r="C44" s="523"/>
      <c r="D44" s="523"/>
      <c r="E44" s="524"/>
      <c r="G44" s="53"/>
      <c r="H44" s="53"/>
      <c r="I44" s="53"/>
      <c r="J44" s="53"/>
    </row>
    <row r="45" spans="1:10" ht="19.95" customHeight="1" thickBot="1" x14ac:dyDescent="0.35">
      <c r="A45" s="66" t="s">
        <v>30</v>
      </c>
      <c r="B45" s="67" t="s">
        <v>31</v>
      </c>
      <c r="C45" s="66" t="s">
        <v>25</v>
      </c>
      <c r="D45" s="68" t="s">
        <v>27</v>
      </c>
      <c r="E45" s="69" t="s">
        <v>18</v>
      </c>
      <c r="G45" s="120"/>
      <c r="H45" s="120"/>
      <c r="I45" s="120"/>
      <c r="J45" s="53"/>
    </row>
    <row r="46" spans="1:10" ht="19.95" customHeight="1" x14ac:dyDescent="0.3">
      <c r="A46" s="409"/>
      <c r="B46" s="410"/>
      <c r="C46" s="11">
        <f t="shared" ref="C46:C76" si="9">IF( B46&gt;$B$79,"błąd",IF((ISBLANK(A46)=TRUE),0,DATEDIF(A46,B46+1,"Y")))</f>
        <v>0</v>
      </c>
      <c r="D46" s="12">
        <f t="shared" ref="D46:D76" si="10">IF(B46&gt;$B$79, "błąd",IF((ISBLANK(A46)=TRUE),0,DATEDIF(A46,B46+1,"YM")))</f>
        <v>0</v>
      </c>
      <c r="E46" s="13">
        <f t="shared" ref="E46:E76" si="11">IF(B46&gt;$B$79,"błąd",IF((ISBLANK(A46)=TRUE),0,DATEDIF(A46,B46+1,"MD")))</f>
        <v>0</v>
      </c>
      <c r="G46" s="89"/>
      <c r="H46" s="89"/>
      <c r="I46" s="89"/>
      <c r="J46" s="53"/>
    </row>
    <row r="47" spans="1:10" ht="19.95" customHeight="1" x14ac:dyDescent="0.3">
      <c r="A47" s="411"/>
      <c r="B47" s="412"/>
      <c r="C47" s="70">
        <f t="shared" si="9"/>
        <v>0</v>
      </c>
      <c r="D47" s="71">
        <f t="shared" si="10"/>
        <v>0</v>
      </c>
      <c r="E47" s="72">
        <f t="shared" si="11"/>
        <v>0</v>
      </c>
      <c r="G47" s="18"/>
      <c r="H47" s="18"/>
      <c r="I47" s="18"/>
      <c r="J47" s="53"/>
    </row>
    <row r="48" spans="1:10" ht="19.95" customHeight="1" x14ac:dyDescent="0.3">
      <c r="A48" s="411"/>
      <c r="B48" s="412"/>
      <c r="C48" s="70">
        <f t="shared" si="9"/>
        <v>0</v>
      </c>
      <c r="D48" s="71">
        <f t="shared" si="10"/>
        <v>0</v>
      </c>
      <c r="E48" s="72">
        <f t="shared" si="11"/>
        <v>0</v>
      </c>
      <c r="G48" s="90"/>
      <c r="H48" s="90"/>
      <c r="I48" s="90"/>
      <c r="J48" s="53"/>
    </row>
    <row r="49" spans="1:10" ht="19.95" customHeight="1" x14ac:dyDescent="0.3">
      <c r="A49" s="411"/>
      <c r="B49" s="412"/>
      <c r="C49" s="70">
        <f t="shared" si="9"/>
        <v>0</v>
      </c>
      <c r="D49" s="71">
        <f t="shared" si="10"/>
        <v>0</v>
      </c>
      <c r="E49" s="72">
        <f t="shared" si="11"/>
        <v>0</v>
      </c>
      <c r="G49" s="90"/>
      <c r="H49" s="90"/>
      <c r="I49" s="90"/>
      <c r="J49" s="53"/>
    </row>
    <row r="50" spans="1:10" ht="19.95" customHeight="1" x14ac:dyDescent="0.3">
      <c r="A50" s="411"/>
      <c r="B50" s="412"/>
      <c r="C50" s="70">
        <f t="shared" si="9"/>
        <v>0</v>
      </c>
      <c r="D50" s="71">
        <f t="shared" si="10"/>
        <v>0</v>
      </c>
      <c r="E50" s="72">
        <f t="shared" si="11"/>
        <v>0</v>
      </c>
      <c r="G50" s="40"/>
      <c r="H50" s="40"/>
      <c r="I50" s="40"/>
      <c r="J50" s="53"/>
    </row>
    <row r="51" spans="1:10" ht="19.95" customHeight="1" x14ac:dyDescent="0.3">
      <c r="A51" s="411"/>
      <c r="B51" s="412"/>
      <c r="C51" s="70">
        <f t="shared" si="9"/>
        <v>0</v>
      </c>
      <c r="D51" s="71">
        <f t="shared" si="10"/>
        <v>0</v>
      </c>
      <c r="E51" s="72">
        <f t="shared" si="11"/>
        <v>0</v>
      </c>
      <c r="G51" s="40"/>
      <c r="H51" s="40"/>
      <c r="I51" s="40"/>
      <c r="J51" s="53"/>
    </row>
    <row r="52" spans="1:10" ht="19.95" customHeight="1" x14ac:dyDescent="0.3">
      <c r="A52" s="411"/>
      <c r="B52" s="412"/>
      <c r="C52" s="70">
        <f t="shared" si="9"/>
        <v>0</v>
      </c>
      <c r="D52" s="71">
        <f t="shared" si="10"/>
        <v>0</v>
      </c>
      <c r="E52" s="72">
        <f t="shared" si="11"/>
        <v>0</v>
      </c>
      <c r="G52" s="40"/>
      <c r="H52" s="40"/>
      <c r="I52" s="40"/>
      <c r="J52" s="53"/>
    </row>
    <row r="53" spans="1:10" ht="19.95" customHeight="1" x14ac:dyDescent="0.3">
      <c r="A53" s="411"/>
      <c r="B53" s="412"/>
      <c r="C53" s="70">
        <f t="shared" si="9"/>
        <v>0</v>
      </c>
      <c r="D53" s="71">
        <f t="shared" si="10"/>
        <v>0</v>
      </c>
      <c r="E53" s="72">
        <f t="shared" si="11"/>
        <v>0</v>
      </c>
      <c r="G53" s="40"/>
      <c r="H53" s="40"/>
      <c r="I53" s="40"/>
      <c r="J53" s="53"/>
    </row>
    <row r="54" spans="1:10" ht="19.95" customHeight="1" x14ac:dyDescent="0.3">
      <c r="A54" s="411"/>
      <c r="B54" s="412"/>
      <c r="C54" s="70">
        <f t="shared" si="9"/>
        <v>0</v>
      </c>
      <c r="D54" s="71">
        <f t="shared" si="10"/>
        <v>0</v>
      </c>
      <c r="E54" s="72">
        <f t="shared" si="11"/>
        <v>0</v>
      </c>
      <c r="G54" s="40"/>
      <c r="H54" s="40"/>
      <c r="I54" s="40"/>
      <c r="J54" s="53"/>
    </row>
    <row r="55" spans="1:10" ht="19.95" customHeight="1" x14ac:dyDescent="0.3">
      <c r="A55" s="411"/>
      <c r="B55" s="412"/>
      <c r="C55" s="70">
        <f t="shared" si="9"/>
        <v>0</v>
      </c>
      <c r="D55" s="71">
        <f t="shared" si="10"/>
        <v>0</v>
      </c>
      <c r="E55" s="72">
        <f t="shared" si="11"/>
        <v>0</v>
      </c>
      <c r="G55" s="40"/>
      <c r="H55" s="40"/>
      <c r="I55" s="40"/>
      <c r="J55" s="53"/>
    </row>
    <row r="56" spans="1:10" ht="19.95" customHeight="1" x14ac:dyDescent="0.3">
      <c r="A56" s="411"/>
      <c r="B56" s="412"/>
      <c r="C56" s="70">
        <f t="shared" si="9"/>
        <v>0</v>
      </c>
      <c r="D56" s="71">
        <f t="shared" si="10"/>
        <v>0</v>
      </c>
      <c r="E56" s="72">
        <f t="shared" si="11"/>
        <v>0</v>
      </c>
      <c r="G56" s="40"/>
      <c r="H56" s="40"/>
      <c r="I56" s="40"/>
      <c r="J56" s="53"/>
    </row>
    <row r="57" spans="1:10" ht="19.95" customHeight="1" x14ac:dyDescent="0.3">
      <c r="A57" s="411"/>
      <c r="B57" s="412"/>
      <c r="C57" s="70">
        <f t="shared" si="9"/>
        <v>0</v>
      </c>
      <c r="D57" s="71">
        <f t="shared" si="10"/>
        <v>0</v>
      </c>
      <c r="E57" s="72">
        <f t="shared" si="11"/>
        <v>0</v>
      </c>
      <c r="G57" s="40"/>
      <c r="H57" s="40"/>
      <c r="I57" s="40"/>
      <c r="J57" s="53"/>
    </row>
    <row r="58" spans="1:10" ht="19.95" customHeight="1" x14ac:dyDescent="0.3">
      <c r="A58" s="411"/>
      <c r="B58" s="412"/>
      <c r="C58" s="70">
        <f t="shared" si="9"/>
        <v>0</v>
      </c>
      <c r="D58" s="71">
        <f t="shared" si="10"/>
        <v>0</v>
      </c>
      <c r="E58" s="72">
        <f t="shared" si="11"/>
        <v>0</v>
      </c>
      <c r="G58" s="40"/>
      <c r="H58" s="40"/>
      <c r="I58" s="40"/>
      <c r="J58" s="53"/>
    </row>
    <row r="59" spans="1:10" ht="19.95" customHeight="1" x14ac:dyDescent="0.3">
      <c r="A59" s="411"/>
      <c r="B59" s="412"/>
      <c r="C59" s="70">
        <f t="shared" si="9"/>
        <v>0</v>
      </c>
      <c r="D59" s="71">
        <f t="shared" si="10"/>
        <v>0</v>
      </c>
      <c r="E59" s="72">
        <f t="shared" si="11"/>
        <v>0</v>
      </c>
      <c r="G59" s="40"/>
      <c r="H59" s="40"/>
      <c r="I59" s="40"/>
      <c r="J59" s="53"/>
    </row>
    <row r="60" spans="1:10" ht="19.95" customHeight="1" x14ac:dyDescent="0.3">
      <c r="A60" s="411"/>
      <c r="B60" s="412"/>
      <c r="C60" s="70">
        <f t="shared" si="9"/>
        <v>0</v>
      </c>
      <c r="D60" s="71">
        <f t="shared" si="10"/>
        <v>0</v>
      </c>
      <c r="E60" s="72">
        <f t="shared" si="11"/>
        <v>0</v>
      </c>
      <c r="G60" s="40"/>
      <c r="H60" s="40"/>
      <c r="I60" s="40"/>
      <c r="J60" s="53"/>
    </row>
    <row r="61" spans="1:10" ht="19.95" customHeight="1" x14ac:dyDescent="0.3">
      <c r="A61" s="411"/>
      <c r="B61" s="412"/>
      <c r="C61" s="70">
        <f t="shared" si="9"/>
        <v>0</v>
      </c>
      <c r="D61" s="71">
        <f t="shared" si="10"/>
        <v>0</v>
      </c>
      <c r="E61" s="72">
        <f t="shared" si="11"/>
        <v>0</v>
      </c>
      <c r="G61" s="40"/>
      <c r="H61" s="40"/>
      <c r="I61" s="40"/>
      <c r="J61" s="53"/>
    </row>
    <row r="62" spans="1:10" ht="19.95" customHeight="1" x14ac:dyDescent="0.3">
      <c r="A62" s="411"/>
      <c r="B62" s="412"/>
      <c r="C62" s="70">
        <f t="shared" si="9"/>
        <v>0</v>
      </c>
      <c r="D62" s="71">
        <f t="shared" si="10"/>
        <v>0</v>
      </c>
      <c r="E62" s="72">
        <f t="shared" si="11"/>
        <v>0</v>
      </c>
      <c r="G62" s="40"/>
      <c r="H62" s="40"/>
      <c r="I62" s="40"/>
      <c r="J62" s="53"/>
    </row>
    <row r="63" spans="1:10" ht="19.95" customHeight="1" x14ac:dyDescent="0.3">
      <c r="A63" s="411"/>
      <c r="B63" s="412"/>
      <c r="C63" s="70">
        <f t="shared" si="9"/>
        <v>0</v>
      </c>
      <c r="D63" s="71">
        <f t="shared" si="10"/>
        <v>0</v>
      </c>
      <c r="E63" s="72">
        <f t="shared" si="11"/>
        <v>0</v>
      </c>
      <c r="G63" s="40"/>
      <c r="H63" s="40"/>
      <c r="I63" s="40"/>
      <c r="J63" s="53"/>
    </row>
    <row r="64" spans="1:10" ht="19.95" customHeight="1" x14ac:dyDescent="0.3">
      <c r="A64" s="411"/>
      <c r="B64" s="412"/>
      <c r="C64" s="70">
        <f t="shared" si="9"/>
        <v>0</v>
      </c>
      <c r="D64" s="71">
        <f t="shared" si="10"/>
        <v>0</v>
      </c>
      <c r="E64" s="72">
        <f t="shared" si="11"/>
        <v>0</v>
      </c>
      <c r="G64" s="40"/>
      <c r="H64" s="40"/>
      <c r="I64" s="40"/>
      <c r="J64" s="53"/>
    </row>
    <row r="65" spans="1:10" ht="19.95" customHeight="1" x14ac:dyDescent="0.3">
      <c r="A65" s="411"/>
      <c r="B65" s="412"/>
      <c r="C65" s="70">
        <f t="shared" si="9"/>
        <v>0</v>
      </c>
      <c r="D65" s="71">
        <f t="shared" si="10"/>
        <v>0</v>
      </c>
      <c r="E65" s="72">
        <f t="shared" si="11"/>
        <v>0</v>
      </c>
      <c r="G65" s="40"/>
      <c r="H65" s="40"/>
      <c r="I65" s="40"/>
      <c r="J65" s="53"/>
    </row>
    <row r="66" spans="1:10" ht="19.95" customHeight="1" x14ac:dyDescent="0.3">
      <c r="A66" s="411"/>
      <c r="B66" s="412"/>
      <c r="C66" s="70">
        <f t="shared" si="9"/>
        <v>0</v>
      </c>
      <c r="D66" s="71">
        <f t="shared" si="10"/>
        <v>0</v>
      </c>
      <c r="E66" s="72">
        <f t="shared" si="11"/>
        <v>0</v>
      </c>
      <c r="G66" s="40"/>
      <c r="H66" s="40"/>
      <c r="I66" s="40"/>
      <c r="J66" s="53"/>
    </row>
    <row r="67" spans="1:10" ht="19.95" customHeight="1" x14ac:dyDescent="0.3">
      <c r="A67" s="411"/>
      <c r="B67" s="412"/>
      <c r="C67" s="70">
        <f t="shared" si="9"/>
        <v>0</v>
      </c>
      <c r="D67" s="71">
        <f t="shared" si="10"/>
        <v>0</v>
      </c>
      <c r="E67" s="72">
        <f t="shared" si="11"/>
        <v>0</v>
      </c>
      <c r="G67" s="40"/>
      <c r="H67" s="40"/>
      <c r="I67" s="40"/>
      <c r="J67" s="53"/>
    </row>
    <row r="68" spans="1:10" ht="19.95" customHeight="1" x14ac:dyDescent="0.3">
      <c r="A68" s="411"/>
      <c r="B68" s="412"/>
      <c r="C68" s="70">
        <f t="shared" si="9"/>
        <v>0</v>
      </c>
      <c r="D68" s="71">
        <f t="shared" si="10"/>
        <v>0</v>
      </c>
      <c r="E68" s="72">
        <f t="shared" si="11"/>
        <v>0</v>
      </c>
      <c r="G68" s="40"/>
      <c r="H68" s="40"/>
      <c r="I68" s="40"/>
      <c r="J68" s="53"/>
    </row>
    <row r="69" spans="1:10" ht="19.95" customHeight="1" x14ac:dyDescent="0.3">
      <c r="A69" s="411"/>
      <c r="B69" s="412"/>
      <c r="C69" s="70">
        <f t="shared" si="9"/>
        <v>0</v>
      </c>
      <c r="D69" s="71">
        <f t="shared" si="10"/>
        <v>0</v>
      </c>
      <c r="E69" s="72">
        <f t="shared" si="11"/>
        <v>0</v>
      </c>
      <c r="G69" s="40"/>
      <c r="H69" s="40"/>
      <c r="I69" s="40"/>
      <c r="J69" s="53"/>
    </row>
    <row r="70" spans="1:10" ht="19.95" customHeight="1" x14ac:dyDescent="0.3">
      <c r="A70" s="411"/>
      <c r="B70" s="412"/>
      <c r="C70" s="70">
        <f t="shared" si="9"/>
        <v>0</v>
      </c>
      <c r="D70" s="71">
        <f t="shared" si="10"/>
        <v>0</v>
      </c>
      <c r="E70" s="72">
        <f t="shared" si="11"/>
        <v>0</v>
      </c>
      <c r="G70" s="40"/>
      <c r="H70" s="40"/>
      <c r="I70" s="40"/>
      <c r="J70" s="53"/>
    </row>
    <row r="71" spans="1:10" ht="19.95" customHeight="1" x14ac:dyDescent="0.3">
      <c r="A71" s="411"/>
      <c r="B71" s="412"/>
      <c r="C71" s="70">
        <f t="shared" si="9"/>
        <v>0</v>
      </c>
      <c r="D71" s="71">
        <f t="shared" si="10"/>
        <v>0</v>
      </c>
      <c r="E71" s="72">
        <f t="shared" si="11"/>
        <v>0</v>
      </c>
      <c r="G71" s="40"/>
      <c r="H71" s="40"/>
      <c r="I71" s="40"/>
      <c r="J71" s="53"/>
    </row>
    <row r="72" spans="1:10" ht="19.95" customHeight="1" x14ac:dyDescent="0.3">
      <c r="A72" s="411"/>
      <c r="B72" s="412"/>
      <c r="C72" s="70">
        <f t="shared" si="9"/>
        <v>0</v>
      </c>
      <c r="D72" s="71">
        <f t="shared" si="10"/>
        <v>0</v>
      </c>
      <c r="E72" s="72">
        <f t="shared" si="11"/>
        <v>0</v>
      </c>
      <c r="G72" s="40"/>
      <c r="H72" s="40"/>
      <c r="I72" s="40"/>
      <c r="J72" s="53"/>
    </row>
    <row r="73" spans="1:10" ht="19.95" customHeight="1" x14ac:dyDescent="0.3">
      <c r="A73" s="411"/>
      <c r="B73" s="412"/>
      <c r="C73" s="70">
        <f t="shared" si="9"/>
        <v>0</v>
      </c>
      <c r="D73" s="71">
        <f t="shared" si="10"/>
        <v>0</v>
      </c>
      <c r="E73" s="72">
        <f t="shared" si="11"/>
        <v>0</v>
      </c>
      <c r="G73" s="40"/>
      <c r="H73" s="40"/>
      <c r="I73" s="40"/>
      <c r="J73" s="53"/>
    </row>
    <row r="74" spans="1:10" ht="19.95" customHeight="1" x14ac:dyDescent="0.3">
      <c r="A74" s="411"/>
      <c r="B74" s="412"/>
      <c r="C74" s="70">
        <f t="shared" si="9"/>
        <v>0</v>
      </c>
      <c r="D74" s="71">
        <f t="shared" si="10"/>
        <v>0</v>
      </c>
      <c r="E74" s="72">
        <f t="shared" si="11"/>
        <v>0</v>
      </c>
      <c r="G74" s="40"/>
      <c r="H74" s="40"/>
      <c r="I74" s="40"/>
      <c r="J74" s="53"/>
    </row>
    <row r="75" spans="1:10" ht="19.95" customHeight="1" x14ac:dyDescent="0.3">
      <c r="A75" s="411"/>
      <c r="B75" s="412"/>
      <c r="C75" s="70">
        <f t="shared" si="9"/>
        <v>0</v>
      </c>
      <c r="D75" s="71">
        <f t="shared" si="10"/>
        <v>0</v>
      </c>
      <c r="E75" s="72">
        <f t="shared" si="11"/>
        <v>0</v>
      </c>
      <c r="G75" s="40"/>
      <c r="H75" s="40"/>
      <c r="I75" s="40"/>
      <c r="J75" s="53"/>
    </row>
    <row r="76" spans="1:10" ht="19.95" customHeight="1" thickBot="1" x14ac:dyDescent="0.35">
      <c r="A76" s="413"/>
      <c r="B76" s="414"/>
      <c r="C76" s="70">
        <f t="shared" si="9"/>
        <v>0</v>
      </c>
      <c r="D76" s="71">
        <f t="shared" si="10"/>
        <v>0</v>
      </c>
      <c r="E76" s="72">
        <f t="shared" si="11"/>
        <v>0</v>
      </c>
      <c r="G76" s="40"/>
      <c r="H76" s="40"/>
      <c r="I76" s="40"/>
      <c r="J76" s="53"/>
    </row>
    <row r="77" spans="1:10" ht="22.95" customHeight="1" thickBot="1" x14ac:dyDescent="0.35">
      <c r="A77" s="522" t="s">
        <v>94</v>
      </c>
      <c r="B77" s="517"/>
      <c r="C77" s="73">
        <f>SUM(C46:C76)+INT((SUM(D46:D76)+INT(SUM(E46:E76)/30))/12)</f>
        <v>0</v>
      </c>
      <c r="D77" s="73">
        <f>MOD(SUM(D46:D76)+INT(SUM(E46:E76)/30),12)</f>
        <v>0</v>
      </c>
      <c r="E77" s="74">
        <f>MOD(SUM(E46:E76),30)</f>
        <v>0</v>
      </c>
    </row>
    <row r="78" spans="1:10" ht="22.95" customHeight="1" thickBot="1" x14ac:dyDescent="0.35">
      <c r="A78" s="520" t="s">
        <v>95</v>
      </c>
      <c r="B78" s="528"/>
      <c r="C78" s="121">
        <f>INT(C77*1.5)+INT((D77+IF(MOD(C77*1.5,1)=0.5,6,0))/12)</f>
        <v>0</v>
      </c>
      <c r="D78" s="75">
        <f>MOD((D77+IF(MOD(C77*1.5,1)=0.5,6,0)),12)</f>
        <v>0</v>
      </c>
      <c r="E78" s="76">
        <f>E77</f>
        <v>0</v>
      </c>
    </row>
    <row r="79" spans="1:10" ht="19.95" customHeight="1" x14ac:dyDescent="0.3">
      <c r="A79" s="6"/>
      <c r="B79" s="77">
        <v>41274</v>
      </c>
      <c r="C79" s="78"/>
      <c r="D79" s="78"/>
      <c r="E79" s="78"/>
    </row>
    <row r="80" spans="1:10" ht="19.95" customHeight="1" x14ac:dyDescent="0.3">
      <c r="A80" s="6"/>
      <c r="B80" s="6"/>
      <c r="C80" s="78"/>
      <c r="D80" s="78"/>
      <c r="E80" s="78"/>
    </row>
    <row r="81" spans="1:5" ht="15" thickBot="1" x14ac:dyDescent="0.35">
      <c r="A81" s="526" t="s">
        <v>50</v>
      </c>
      <c r="B81" s="526"/>
      <c r="C81" s="526"/>
      <c r="D81" s="526"/>
      <c r="E81" s="526"/>
    </row>
    <row r="82" spans="1:5" ht="34.950000000000003" customHeight="1" thickBot="1" x14ac:dyDescent="0.35">
      <c r="A82" s="514" t="s">
        <v>51</v>
      </c>
      <c r="B82" s="515"/>
      <c r="C82" s="79">
        <f>C21</f>
        <v>0</v>
      </c>
      <c r="D82" s="79">
        <f>D21</f>
        <v>0</v>
      </c>
      <c r="E82" s="80">
        <f>E21</f>
        <v>0</v>
      </c>
    </row>
    <row r="83" spans="1:5" ht="31.95" customHeight="1" thickBot="1" x14ac:dyDescent="0.35">
      <c r="A83" s="518" t="s">
        <v>52</v>
      </c>
      <c r="B83" s="519"/>
      <c r="C83" s="91">
        <f>C78</f>
        <v>0</v>
      </c>
      <c r="D83" s="92">
        <f>D78</f>
        <v>0</v>
      </c>
      <c r="E83" s="83">
        <f>E78</f>
        <v>0</v>
      </c>
    </row>
    <row r="84" spans="1:5" ht="40.200000000000003" customHeight="1" thickBot="1" x14ac:dyDescent="0.35">
      <c r="A84" s="511" t="s">
        <v>70</v>
      </c>
      <c r="B84" s="512"/>
      <c r="C84" s="84">
        <f>SUM(C82:C83)+INT((SUM(D82:D83)+INT(SUM(E82:E83)/30))/12)</f>
        <v>0</v>
      </c>
      <c r="D84" s="85">
        <f>MOD((D82+D83)+INT((E82+E83)/30),12)</f>
        <v>0</v>
      </c>
      <c r="E84" s="86">
        <f>MOD((E82+E83),30)</f>
        <v>0</v>
      </c>
    </row>
    <row r="86" spans="1:5" ht="15" thickBot="1" x14ac:dyDescent="0.35">
      <c r="A86" s="527" t="s">
        <v>66</v>
      </c>
      <c r="B86" s="527"/>
      <c r="C86" s="527"/>
      <c r="D86" s="527"/>
      <c r="E86" s="527"/>
    </row>
    <row r="87" spans="1:5" ht="36" customHeight="1" thickBot="1" x14ac:dyDescent="0.35">
      <c r="A87" s="514" t="s">
        <v>51</v>
      </c>
      <c r="B87" s="515"/>
      <c r="C87" s="80">
        <f>C21</f>
        <v>0</v>
      </c>
      <c r="D87" s="80">
        <f t="shared" ref="D87:E87" si="12">D8</f>
        <v>0</v>
      </c>
      <c r="E87" s="119">
        <f t="shared" si="12"/>
        <v>0</v>
      </c>
    </row>
    <row r="88" spans="1:5" ht="48.6" customHeight="1" thickBot="1" x14ac:dyDescent="0.35">
      <c r="A88" s="516" t="s">
        <v>53</v>
      </c>
      <c r="B88" s="517"/>
      <c r="C88" s="82">
        <f>C77</f>
        <v>0</v>
      </c>
      <c r="D88" s="82">
        <f>D77</f>
        <v>0</v>
      </c>
      <c r="E88" s="83">
        <f>E77</f>
        <v>0</v>
      </c>
    </row>
    <row r="89" spans="1:5" ht="58.95" customHeight="1" thickBot="1" x14ac:dyDescent="0.35">
      <c r="A89" s="511" t="s">
        <v>69</v>
      </c>
      <c r="B89" s="512"/>
      <c r="C89" s="84">
        <f>SUM(C87:C88)+INT((SUM(D87:D88)+INT(SUM(E87:E88)/30))/12)</f>
        <v>0</v>
      </c>
      <c r="D89" s="85">
        <f>MOD((D87+D88)+INT((E87+E88)/30),12)</f>
        <v>0</v>
      </c>
      <c r="E89" s="86">
        <f>MOD((E87+E88),30)</f>
        <v>0</v>
      </c>
    </row>
  </sheetData>
  <sheetProtection algorithmName="SHA-512" hashValue="713zJ3aFsMXn11TgnPgA4AdgLT5l0Z8+5D5Q04+CexXsofz82CcZoqyQnqv9b1rO8Q4JHM1P6Djz9YCBLa9qpQ==" saltValue="uyJyzFGmWE1UAmytt7lf+w==" spinCount="100000" sheet="1" objects="1" scenarios="1"/>
  <mergeCells count="36">
    <mergeCell ref="L4:L6"/>
    <mergeCell ref="G2:K2"/>
    <mergeCell ref="A1:E2"/>
    <mergeCell ref="A41:B41"/>
    <mergeCell ref="A44:E44"/>
    <mergeCell ref="A5:B5"/>
    <mergeCell ref="A4:B4"/>
    <mergeCell ref="A7:E7"/>
    <mergeCell ref="A3:B3"/>
    <mergeCell ref="E4:E5"/>
    <mergeCell ref="H6:J6"/>
    <mergeCell ref="G18:J18"/>
    <mergeCell ref="G8:G9"/>
    <mergeCell ref="A8:E8"/>
    <mergeCell ref="G11:J11"/>
    <mergeCell ref="A78:B78"/>
    <mergeCell ref="A77:B77"/>
    <mergeCell ref="G19:J19"/>
    <mergeCell ref="G21:K23"/>
    <mergeCell ref="G12:J12"/>
    <mergeCell ref="G13:J13"/>
    <mergeCell ref="G14:J14"/>
    <mergeCell ref="G15:J15"/>
    <mergeCell ref="A23:E23"/>
    <mergeCell ref="A21:B21"/>
    <mergeCell ref="G25:K27"/>
    <mergeCell ref="G16:J16"/>
    <mergeCell ref="G17:J17"/>
    <mergeCell ref="A89:B89"/>
    <mergeCell ref="A84:B84"/>
    <mergeCell ref="A82:B82"/>
    <mergeCell ref="A83:B83"/>
    <mergeCell ref="A81:E81"/>
    <mergeCell ref="A86:E86"/>
    <mergeCell ref="A87:B87"/>
    <mergeCell ref="A88:B88"/>
  </mergeCells>
  <conditionalFormatting sqref="K13">
    <cfRule type="expression" dxfId="36" priority="1">
      <formula>$H$9&lt;32</formula>
    </cfRule>
  </conditionalFormatting>
  <dataValidations count="3">
    <dataValidation type="date" allowBlank="1" showErrorMessage="1" error="Data musi być późniejsza od 1999-01-01 i wcześniejsza od 2003-10-01" prompt="Proszę wypenić pole w formacie daty, _x000a_tj.: RRRR-MM-DD, gdzie:_x000a_RRRR - rok_x000a_MM - miesiąc_x000a_DD - dzień_x000a_" sqref="C4" xr:uid="{00000000-0002-0000-0200-000000000000}">
      <formula1>36162</formula1>
      <formula2>37894</formula2>
    </dataValidation>
    <dataValidation type="date" allowBlank="1" showErrorMessage="1" error="Data musi być późniejsza od 1999-01-01 i wcześniejsza od 2003-10-01" prompt="Proszę wypenić pole w formacie daty, _x000a_tj.: RRRR-MM-DD, gdzie:_x000a_RRRR - rok_x000a_MM - miesiąc_x000a_DD - dzień_x000a_" sqref="C5" xr:uid="{00000000-0002-0000-0200-000001000000}">
      <formula1>36162</formula1>
      <formula2>402133</formula2>
    </dataValidation>
    <dataValidation type="date" allowBlank="1" showInputMessage="1" showErrorMessage="1" error="Data w formacie RRRR-MM-DD" sqref="A10:B20 A25:B40 A46:B76" xr:uid="{00000000-0002-0000-0200-000002000000}">
      <formula1>1</formula1>
      <formula2>401434</formula2>
    </dataValidation>
  </dataValidations>
  <pageMargins left="0.33" right="0.28000000000000003" top="0.45" bottom="0.21" header="0.17" footer="0.17"/>
  <pageSetup paperSize="9" orientation="landscape" r:id="rId1"/>
  <headerFooter>
    <oddHeader xml:space="preserve">&amp;C&amp;"-,Pogrubiony"KALKULATOR EMERYTALNY </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3000000}">
          <x14:formula1>
            <xm:f>Roboczy!$A$1:$A$17</xm:f>
          </x14:formula1>
          <xm:sqref>D4</xm:sqref>
        </x14:dataValidation>
        <x14:dataValidation type="list" allowBlank="1" showInputMessage="1" showErrorMessage="1" xr:uid="{00000000-0002-0000-0200-000004000000}">
          <x14:formula1>
            <xm:f>Roboczy!$C$18:$C$23</xm:f>
          </x14:formula1>
          <xm:sqref>D5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M68"/>
  <sheetViews>
    <sheetView showGridLines="0" topLeftCell="A37" workbookViewId="0">
      <selection activeCell="A48" sqref="A48"/>
    </sheetView>
  </sheetViews>
  <sheetFormatPr defaultColWidth="8.88671875" defaultRowHeight="14.4" x14ac:dyDescent="0.3"/>
  <cols>
    <col min="1" max="1" width="20.6640625" style="59" customWidth="1"/>
    <col min="2" max="2" width="13.88671875" style="59" customWidth="1"/>
    <col min="3" max="3" width="18.5546875" style="248" customWidth="1"/>
    <col min="4" max="4" width="17.33203125" style="249" customWidth="1"/>
    <col min="5" max="5" width="14.6640625" style="247" hidden="1" customWidth="1"/>
    <col min="6" max="6" width="20.109375" style="250" customWidth="1"/>
    <col min="7" max="7" width="11.33203125" style="272" hidden="1" customWidth="1"/>
    <col min="8" max="8" width="7.33203125" style="113" hidden="1" customWidth="1"/>
    <col min="9" max="10" width="8.88671875" style="113" hidden="1" customWidth="1"/>
    <col min="11" max="11" width="10.109375" style="113" hidden="1" customWidth="1"/>
    <col min="12" max="12" width="5.33203125" style="113" hidden="1" customWidth="1"/>
    <col min="13" max="13" width="6.33203125" style="113" hidden="1" customWidth="1"/>
    <col min="14" max="16384" width="8.88671875" style="2"/>
  </cols>
  <sheetData>
    <row r="1" spans="1:13" ht="37.200000000000003" customHeight="1" thickBot="1" x14ac:dyDescent="0.35">
      <c r="A1" s="579" t="s">
        <v>112</v>
      </c>
      <c r="B1" s="527"/>
      <c r="C1" s="527"/>
      <c r="D1" s="527"/>
      <c r="E1" s="527"/>
      <c r="F1" s="527"/>
      <c r="G1" s="259"/>
    </row>
    <row r="2" spans="1:13" ht="31.95" customHeight="1" thickBot="1" x14ac:dyDescent="0.35">
      <c r="A2" s="586" t="s">
        <v>113</v>
      </c>
      <c r="B2" s="587"/>
      <c r="C2" s="587"/>
      <c r="D2" s="587"/>
      <c r="E2" s="587"/>
      <c r="F2" s="588"/>
      <c r="G2" s="260"/>
    </row>
    <row r="3" spans="1:13" ht="105.6" customHeight="1" thickBot="1" x14ac:dyDescent="0.35">
      <c r="A3" s="212" t="s">
        <v>25</v>
      </c>
      <c r="B3" s="213" t="s">
        <v>186</v>
      </c>
      <c r="C3" s="214" t="s">
        <v>187</v>
      </c>
      <c r="D3" s="215" t="s">
        <v>188</v>
      </c>
      <c r="E3" s="216" t="s">
        <v>114</v>
      </c>
      <c r="F3" s="217" t="s">
        <v>189</v>
      </c>
      <c r="G3" s="261" t="s">
        <v>115</v>
      </c>
    </row>
    <row r="4" spans="1:13" ht="11.4" customHeight="1" thickBot="1" x14ac:dyDescent="0.35">
      <c r="A4" s="218">
        <v>1</v>
      </c>
      <c r="B4" s="324">
        <v>2</v>
      </c>
      <c r="C4" s="254">
        <v>3</v>
      </c>
      <c r="D4" s="290">
        <v>4</v>
      </c>
      <c r="E4" s="219">
        <v>5</v>
      </c>
      <c r="F4" s="219">
        <v>5</v>
      </c>
      <c r="G4" s="262"/>
      <c r="H4" s="220"/>
    </row>
    <row r="5" spans="1:13" ht="16.2" customHeight="1" x14ac:dyDescent="0.3">
      <c r="A5" s="325">
        <v>2000</v>
      </c>
      <c r="B5" s="375"/>
      <c r="C5" s="221"/>
      <c r="D5" s="291">
        <f>IFERROR(HLOOKUP($B5,PRZECIĘTNE!$B$3:$J$31,4,0),0)</f>
        <v>0</v>
      </c>
      <c r="E5" s="288">
        <f>IFERROR(ROUND(C5/D5,4),0)</f>
        <v>0</v>
      </c>
      <c r="F5" s="251">
        <f t="shared" ref="F5:F30" si="0">E5</f>
        <v>0</v>
      </c>
      <c r="G5" s="263">
        <v>1</v>
      </c>
      <c r="I5" s="113">
        <v>5</v>
      </c>
    </row>
    <row r="6" spans="1:13" ht="16.2" customHeight="1" x14ac:dyDescent="0.3">
      <c r="A6" s="326">
        <v>2001</v>
      </c>
      <c r="B6" s="376"/>
      <c r="C6" s="223"/>
      <c r="D6" s="222">
        <f>IFERROR(HLOOKUP($B6,PRZECIĘTNE!$B$3:$J$31,5,0),0)</f>
        <v>0</v>
      </c>
      <c r="E6" s="288">
        <f t="shared" ref="E6:E30" si="1">IFERROR(ROUND(C6/D6,4),0)</f>
        <v>0</v>
      </c>
      <c r="F6" s="224">
        <f t="shared" si="0"/>
        <v>0</v>
      </c>
      <c r="G6" s="263">
        <v>2</v>
      </c>
      <c r="I6" s="113">
        <v>6</v>
      </c>
    </row>
    <row r="7" spans="1:13" ht="16.2" customHeight="1" x14ac:dyDescent="0.3">
      <c r="A7" s="326">
        <v>2002</v>
      </c>
      <c r="B7" s="376"/>
      <c r="C7" s="223"/>
      <c r="D7" s="222">
        <f>IFERROR(HLOOKUP($B7,PRZECIĘTNE!$B$3:$J$31,6,0),0)</f>
        <v>0</v>
      </c>
      <c r="E7" s="288">
        <f t="shared" si="1"/>
        <v>0</v>
      </c>
      <c r="F7" s="224">
        <f t="shared" si="0"/>
        <v>0</v>
      </c>
      <c r="G7" s="263">
        <v>3</v>
      </c>
      <c r="I7" s="113">
        <v>7</v>
      </c>
    </row>
    <row r="8" spans="1:13" ht="16.2" customHeight="1" x14ac:dyDescent="0.3">
      <c r="A8" s="326">
        <v>2003</v>
      </c>
      <c r="B8" s="376"/>
      <c r="C8" s="223"/>
      <c r="D8" s="222">
        <f>IFERROR(HLOOKUP($B8,PRZECIĘTNE!$B$3:$J$31,7,0),0)</f>
        <v>0</v>
      </c>
      <c r="E8" s="288">
        <f t="shared" si="1"/>
        <v>0</v>
      </c>
      <c r="F8" s="224">
        <f t="shared" si="0"/>
        <v>0</v>
      </c>
      <c r="G8" s="263">
        <v>4</v>
      </c>
      <c r="I8" s="113">
        <v>8</v>
      </c>
    </row>
    <row r="9" spans="1:13" ht="16.2" customHeight="1" x14ac:dyDescent="0.3">
      <c r="A9" s="326">
        <v>2004</v>
      </c>
      <c r="B9" s="376"/>
      <c r="C9" s="223"/>
      <c r="D9" s="222">
        <f>IFERROR(HLOOKUP($B9,PRZECIĘTNE!$B$3:$J$31,8,0),0)</f>
        <v>0</v>
      </c>
      <c r="E9" s="288">
        <f t="shared" si="1"/>
        <v>0</v>
      </c>
      <c r="F9" s="224">
        <f t="shared" si="0"/>
        <v>0</v>
      </c>
      <c r="G9" s="263">
        <v>5</v>
      </c>
      <c r="I9" s="113">
        <v>9</v>
      </c>
    </row>
    <row r="10" spans="1:13" ht="16.2" customHeight="1" x14ac:dyDescent="0.3">
      <c r="A10" s="326">
        <v>2005</v>
      </c>
      <c r="B10" s="376"/>
      <c r="C10" s="223"/>
      <c r="D10" s="222">
        <f>IFERROR(HLOOKUP($B10,PRZECIĘTNE!$B$3:$J$31,9,0),0)</f>
        <v>0</v>
      </c>
      <c r="E10" s="288">
        <f t="shared" si="1"/>
        <v>0</v>
      </c>
      <c r="F10" s="224">
        <f t="shared" si="0"/>
        <v>0</v>
      </c>
      <c r="G10" s="263">
        <v>6</v>
      </c>
      <c r="I10" s="113">
        <v>10</v>
      </c>
    </row>
    <row r="11" spans="1:13" ht="16.2" customHeight="1" x14ac:dyDescent="0.3">
      <c r="A11" s="326">
        <v>2006</v>
      </c>
      <c r="B11" s="376"/>
      <c r="C11" s="223"/>
      <c r="D11" s="222">
        <f>IFERROR(HLOOKUP($B11,PRZECIĘTNE!$B$3:$J$31,10,0),0)</f>
        <v>0</v>
      </c>
      <c r="E11" s="288">
        <f t="shared" si="1"/>
        <v>0</v>
      </c>
      <c r="F11" s="224">
        <f t="shared" si="0"/>
        <v>0</v>
      </c>
      <c r="G11" s="263">
        <v>7</v>
      </c>
      <c r="I11" s="113">
        <v>11</v>
      </c>
    </row>
    <row r="12" spans="1:13" ht="16.2" customHeight="1" x14ac:dyDescent="0.3">
      <c r="A12" s="326">
        <v>2007</v>
      </c>
      <c r="B12" s="376"/>
      <c r="C12" s="223"/>
      <c r="D12" s="222">
        <f>IFERROR(HLOOKUP($B12,PRZECIĘTNE!$B$3:$J$31,11,0),0)</f>
        <v>0</v>
      </c>
      <c r="E12" s="288">
        <f t="shared" si="1"/>
        <v>0</v>
      </c>
      <c r="F12" s="224">
        <f t="shared" si="0"/>
        <v>0</v>
      </c>
      <c r="G12" s="263">
        <v>8</v>
      </c>
      <c r="I12" s="113">
        <v>12</v>
      </c>
    </row>
    <row r="13" spans="1:13" ht="16.2" customHeight="1" x14ac:dyDescent="0.3">
      <c r="A13" s="326">
        <v>2008</v>
      </c>
      <c r="B13" s="376"/>
      <c r="C13" s="223"/>
      <c r="D13" s="222">
        <f>IFERROR(HLOOKUP($B13,PRZECIĘTNE!$B$3:$J$31,12,0),0)</f>
        <v>0</v>
      </c>
      <c r="E13" s="288">
        <f t="shared" si="1"/>
        <v>0</v>
      </c>
      <c r="F13" s="224">
        <f t="shared" si="0"/>
        <v>0</v>
      </c>
      <c r="G13" s="263">
        <v>9</v>
      </c>
      <c r="I13" s="113">
        <v>13</v>
      </c>
    </row>
    <row r="14" spans="1:13" ht="16.2" customHeight="1" x14ac:dyDescent="0.3">
      <c r="A14" s="326">
        <v>2009</v>
      </c>
      <c r="B14" s="376"/>
      <c r="C14" s="223"/>
      <c r="D14" s="222">
        <f>IFERROR(HLOOKUP($B14,PRZECIĘTNE!$B$3:$J$31,13,0),0)</f>
        <v>0</v>
      </c>
      <c r="E14" s="288">
        <f t="shared" si="1"/>
        <v>0</v>
      </c>
      <c r="F14" s="224">
        <f t="shared" si="0"/>
        <v>0</v>
      </c>
      <c r="G14" s="264">
        <f t="shared" ref="G14:G30" si="2">SUM($F5:$F14)</f>
        <v>0</v>
      </c>
      <c r="I14" s="113">
        <v>14</v>
      </c>
      <c r="J14" s="113" t="s">
        <v>116</v>
      </c>
      <c r="K14" s="113" t="s">
        <v>117</v>
      </c>
      <c r="L14" s="113" t="s">
        <v>118</v>
      </c>
      <c r="M14" s="113" t="s">
        <v>119</v>
      </c>
    </row>
    <row r="15" spans="1:13" ht="16.2" customHeight="1" x14ac:dyDescent="0.3">
      <c r="A15" s="326">
        <v>2010</v>
      </c>
      <c r="B15" s="376"/>
      <c r="C15" s="223"/>
      <c r="D15" s="222">
        <f>IFERROR(HLOOKUP($B15,PRZECIĘTNE!$B$3:$J$31,14,0),0)</f>
        <v>0</v>
      </c>
      <c r="E15" s="288">
        <f t="shared" si="1"/>
        <v>0</v>
      </c>
      <c r="F15" s="224">
        <f t="shared" si="0"/>
        <v>0</v>
      </c>
      <c r="G15" s="264">
        <f t="shared" si="2"/>
        <v>0</v>
      </c>
      <c r="I15" s="113">
        <v>15</v>
      </c>
      <c r="J15" s="113" t="s">
        <v>120</v>
      </c>
      <c r="K15" s="113" t="s">
        <v>117</v>
      </c>
      <c r="L15" s="113" t="s">
        <v>121</v>
      </c>
      <c r="M15" s="113" t="s">
        <v>122</v>
      </c>
    </row>
    <row r="16" spans="1:13" ht="16.2" customHeight="1" x14ac:dyDescent="0.3">
      <c r="A16" s="326">
        <v>2011</v>
      </c>
      <c r="B16" s="376"/>
      <c r="C16" s="223"/>
      <c r="D16" s="222">
        <f>IFERROR(HLOOKUP($B16,PRZECIĘTNE!$B$3:$J$31,15,0),0)</f>
        <v>0</v>
      </c>
      <c r="E16" s="288">
        <f t="shared" si="1"/>
        <v>0</v>
      </c>
      <c r="F16" s="224">
        <f t="shared" si="0"/>
        <v>0</v>
      </c>
      <c r="G16" s="264">
        <f t="shared" si="2"/>
        <v>0</v>
      </c>
      <c r="I16" s="113">
        <v>16</v>
      </c>
      <c r="J16" s="113" t="s">
        <v>123</v>
      </c>
      <c r="K16" s="113" t="s">
        <v>117</v>
      </c>
      <c r="L16" s="113" t="s">
        <v>124</v>
      </c>
      <c r="M16" s="113" t="s">
        <v>125</v>
      </c>
    </row>
    <row r="17" spans="1:13" ht="16.2" customHeight="1" x14ac:dyDescent="0.3">
      <c r="A17" s="326">
        <v>2012</v>
      </c>
      <c r="B17" s="376"/>
      <c r="C17" s="223"/>
      <c r="D17" s="222">
        <f>IFERROR(HLOOKUP($B17,PRZECIĘTNE!$B$3:$J$31,16,0),0)</f>
        <v>0</v>
      </c>
      <c r="E17" s="288">
        <f t="shared" si="1"/>
        <v>0</v>
      </c>
      <c r="F17" s="224">
        <f t="shared" si="0"/>
        <v>0</v>
      </c>
      <c r="G17" s="264">
        <f t="shared" si="2"/>
        <v>0</v>
      </c>
      <c r="I17" s="113">
        <v>17</v>
      </c>
      <c r="J17" s="113" t="s">
        <v>126</v>
      </c>
      <c r="K17" s="113" t="s">
        <v>117</v>
      </c>
      <c r="L17" s="113" t="s">
        <v>127</v>
      </c>
      <c r="M17" s="113" t="s">
        <v>128</v>
      </c>
    </row>
    <row r="18" spans="1:13" ht="16.2" customHeight="1" x14ac:dyDescent="0.3">
      <c r="A18" s="326">
        <v>2013</v>
      </c>
      <c r="B18" s="376"/>
      <c r="C18" s="223"/>
      <c r="D18" s="222">
        <f>IFERROR(HLOOKUP($B18,PRZECIĘTNE!$B$3:$J$31,17,0),0)</f>
        <v>0</v>
      </c>
      <c r="E18" s="288">
        <f t="shared" si="1"/>
        <v>0</v>
      </c>
      <c r="F18" s="224">
        <f t="shared" si="0"/>
        <v>0</v>
      </c>
      <c r="G18" s="264">
        <f t="shared" si="2"/>
        <v>0</v>
      </c>
      <c r="I18" s="113">
        <v>18</v>
      </c>
      <c r="J18" s="113" t="s">
        <v>129</v>
      </c>
      <c r="K18" s="113" t="s">
        <v>117</v>
      </c>
      <c r="L18" s="113" t="s">
        <v>130</v>
      </c>
      <c r="M18" s="113" t="s">
        <v>131</v>
      </c>
    </row>
    <row r="19" spans="1:13" ht="16.2" customHeight="1" x14ac:dyDescent="0.3">
      <c r="A19" s="326">
        <v>2014</v>
      </c>
      <c r="B19" s="376"/>
      <c r="C19" s="223"/>
      <c r="D19" s="222">
        <f>IFERROR(HLOOKUP($B19,PRZECIĘTNE!$B$3:$J$31,18,0),0)</f>
        <v>0</v>
      </c>
      <c r="E19" s="288">
        <f t="shared" si="1"/>
        <v>0</v>
      </c>
      <c r="F19" s="224">
        <f t="shared" si="0"/>
        <v>0</v>
      </c>
      <c r="G19" s="264">
        <f t="shared" si="2"/>
        <v>0</v>
      </c>
      <c r="I19" s="113">
        <v>19</v>
      </c>
      <c r="J19" s="113" t="s">
        <v>132</v>
      </c>
      <c r="K19" s="113" t="s">
        <v>117</v>
      </c>
      <c r="L19" s="113" t="s">
        <v>133</v>
      </c>
      <c r="M19" s="113" t="s">
        <v>134</v>
      </c>
    </row>
    <row r="20" spans="1:13" ht="16.2" customHeight="1" x14ac:dyDescent="0.3">
      <c r="A20" s="326">
        <v>2015</v>
      </c>
      <c r="B20" s="376"/>
      <c r="C20" s="223"/>
      <c r="D20" s="222">
        <f>IFERROR(HLOOKUP($B20,PRZECIĘTNE!$B$3:$J$31,19,0),0)</f>
        <v>0</v>
      </c>
      <c r="E20" s="288">
        <f t="shared" si="1"/>
        <v>0</v>
      </c>
      <c r="F20" s="224">
        <f t="shared" si="0"/>
        <v>0</v>
      </c>
      <c r="G20" s="264">
        <f t="shared" si="2"/>
        <v>0</v>
      </c>
      <c r="I20" s="113">
        <v>20</v>
      </c>
      <c r="J20" s="113" t="s">
        <v>135</v>
      </c>
      <c r="K20" s="113" t="s">
        <v>117</v>
      </c>
      <c r="L20" s="113" t="s">
        <v>136</v>
      </c>
      <c r="M20" s="113" t="s">
        <v>137</v>
      </c>
    </row>
    <row r="21" spans="1:13" ht="16.2" customHeight="1" x14ac:dyDescent="0.3">
      <c r="A21" s="327">
        <v>2016</v>
      </c>
      <c r="B21" s="376"/>
      <c r="C21" s="225"/>
      <c r="D21" s="222">
        <f>IFERROR(HLOOKUP($B21,PRZECIĘTNE!$B$3:$J$31,20,0),0)</f>
        <v>0</v>
      </c>
      <c r="E21" s="288">
        <f t="shared" si="1"/>
        <v>0</v>
      </c>
      <c r="F21" s="226">
        <f t="shared" si="0"/>
        <v>0</v>
      </c>
      <c r="G21" s="265">
        <f t="shared" si="2"/>
        <v>0</v>
      </c>
      <c r="H21" s="227" t="s">
        <v>138</v>
      </c>
      <c r="I21" s="227">
        <v>21</v>
      </c>
      <c r="J21" s="227" t="s">
        <v>139</v>
      </c>
      <c r="K21" s="227" t="s">
        <v>117</v>
      </c>
      <c r="L21" s="227" t="s">
        <v>140</v>
      </c>
      <c r="M21" s="227" t="s">
        <v>141</v>
      </c>
    </row>
    <row r="22" spans="1:13" ht="16.2" customHeight="1" x14ac:dyDescent="0.3">
      <c r="A22" s="326">
        <v>2017</v>
      </c>
      <c r="B22" s="376"/>
      <c r="C22" s="223"/>
      <c r="D22" s="222">
        <f>IFERROR(HLOOKUP($B22,PRZECIĘTNE!$B$3:$J$31,21,0),0)</f>
        <v>0</v>
      </c>
      <c r="E22" s="288">
        <f t="shared" si="1"/>
        <v>0</v>
      </c>
      <c r="F22" s="224">
        <f t="shared" si="0"/>
        <v>0</v>
      </c>
      <c r="G22" s="265">
        <f t="shared" si="2"/>
        <v>0</v>
      </c>
      <c r="H22" s="228"/>
      <c r="I22" s="113">
        <v>22</v>
      </c>
      <c r="J22" s="113" t="s">
        <v>142</v>
      </c>
      <c r="K22" s="113" t="s">
        <v>117</v>
      </c>
      <c r="L22" s="113" t="s">
        <v>143</v>
      </c>
      <c r="M22" s="113" t="s">
        <v>144</v>
      </c>
    </row>
    <row r="23" spans="1:13" ht="16.2" customHeight="1" x14ac:dyDescent="0.3">
      <c r="A23" s="326">
        <v>2018</v>
      </c>
      <c r="B23" s="376"/>
      <c r="C23" s="229"/>
      <c r="D23" s="222">
        <f>IFERROR(HLOOKUP($B23,PRZECIĘTNE!$B$3:$J$31,22,0),0)</f>
        <v>0</v>
      </c>
      <c r="E23" s="288">
        <f t="shared" si="1"/>
        <v>0</v>
      </c>
      <c r="F23" s="224">
        <f t="shared" si="0"/>
        <v>0</v>
      </c>
      <c r="G23" s="264">
        <f t="shared" si="2"/>
        <v>0</v>
      </c>
      <c r="H23" s="228"/>
      <c r="I23" s="113">
        <v>23</v>
      </c>
      <c r="J23" s="113" t="s">
        <v>145</v>
      </c>
      <c r="K23" s="113" t="s">
        <v>117</v>
      </c>
      <c r="L23" s="113" t="s">
        <v>119</v>
      </c>
      <c r="M23" s="113" t="s">
        <v>146</v>
      </c>
    </row>
    <row r="24" spans="1:13" ht="16.2" customHeight="1" x14ac:dyDescent="0.3">
      <c r="A24" s="326">
        <v>2019</v>
      </c>
      <c r="B24" s="376"/>
      <c r="C24" s="223"/>
      <c r="D24" s="222">
        <f>IFERROR(HLOOKUP($B24,PRZECIĘTNE!$B$3:$J$31,23,0),0)</f>
        <v>0</v>
      </c>
      <c r="E24" s="288">
        <f t="shared" si="1"/>
        <v>0</v>
      </c>
      <c r="F24" s="224">
        <f t="shared" si="0"/>
        <v>0</v>
      </c>
      <c r="G24" s="265">
        <f t="shared" si="2"/>
        <v>0</v>
      </c>
      <c r="H24" s="113" t="s">
        <v>147</v>
      </c>
      <c r="I24" s="113">
        <v>24</v>
      </c>
      <c r="J24" s="113" t="s">
        <v>148</v>
      </c>
      <c r="K24" s="113" t="s">
        <v>117</v>
      </c>
      <c r="L24" s="113" t="s">
        <v>122</v>
      </c>
      <c r="M24" s="113" t="s">
        <v>149</v>
      </c>
    </row>
    <row r="25" spans="1:13" ht="16.2" customHeight="1" x14ac:dyDescent="0.3">
      <c r="A25" s="326">
        <v>2020</v>
      </c>
      <c r="B25" s="376"/>
      <c r="C25" s="223"/>
      <c r="D25" s="222">
        <f>IFERROR(HLOOKUP($B25,PRZECIĘTNE!$B$3:$J$31,24,0),0)</f>
        <v>0</v>
      </c>
      <c r="E25" s="288">
        <f t="shared" si="1"/>
        <v>0</v>
      </c>
      <c r="F25" s="224">
        <f t="shared" si="0"/>
        <v>0</v>
      </c>
      <c r="G25" s="264">
        <f t="shared" si="2"/>
        <v>0</v>
      </c>
      <c r="H25" s="113" t="s">
        <v>147</v>
      </c>
      <c r="I25" s="113">
        <v>25</v>
      </c>
      <c r="J25" s="113" t="s">
        <v>150</v>
      </c>
      <c r="K25" s="113" t="s">
        <v>117</v>
      </c>
      <c r="L25" s="113" t="s">
        <v>125</v>
      </c>
      <c r="M25" s="113" t="s">
        <v>151</v>
      </c>
    </row>
    <row r="26" spans="1:13" ht="16.2" customHeight="1" x14ac:dyDescent="0.3">
      <c r="A26" s="326">
        <v>2021</v>
      </c>
      <c r="B26" s="376"/>
      <c r="C26" s="223"/>
      <c r="D26" s="222">
        <f>IFERROR(HLOOKUP($B26,PRZECIĘTNE!$B$3:$J$31,25,0),0)</f>
        <v>0</v>
      </c>
      <c r="E26" s="288">
        <f t="shared" si="1"/>
        <v>0</v>
      </c>
      <c r="F26" s="224">
        <f t="shared" si="0"/>
        <v>0</v>
      </c>
      <c r="G26" s="264">
        <f t="shared" si="2"/>
        <v>0</v>
      </c>
      <c r="I26" s="113">
        <v>26</v>
      </c>
      <c r="J26" s="113" t="s">
        <v>152</v>
      </c>
      <c r="K26" s="113" t="s">
        <v>117</v>
      </c>
      <c r="L26" s="113" t="s">
        <v>128</v>
      </c>
      <c r="M26" s="113" t="s">
        <v>153</v>
      </c>
    </row>
    <row r="27" spans="1:13" ht="16.2" customHeight="1" x14ac:dyDescent="0.3">
      <c r="A27" s="326">
        <v>2022</v>
      </c>
      <c r="B27" s="376"/>
      <c r="C27" s="223"/>
      <c r="D27" s="222">
        <f>IFERROR(HLOOKUP($B27,PRZECIĘTNE!$B$3:$J$31,26,0),0)</f>
        <v>0</v>
      </c>
      <c r="E27" s="288">
        <f t="shared" si="1"/>
        <v>0</v>
      </c>
      <c r="F27" s="224">
        <f t="shared" si="0"/>
        <v>0</v>
      </c>
      <c r="G27" s="264">
        <f t="shared" si="2"/>
        <v>0</v>
      </c>
      <c r="I27" s="113">
        <v>27</v>
      </c>
      <c r="J27" s="113" t="s">
        <v>154</v>
      </c>
      <c r="K27" s="113" t="s">
        <v>117</v>
      </c>
      <c r="L27" s="113" t="s">
        <v>131</v>
      </c>
      <c r="M27" s="113" t="s">
        <v>155</v>
      </c>
    </row>
    <row r="28" spans="1:13" ht="16.2" customHeight="1" x14ac:dyDescent="0.3">
      <c r="A28" s="326">
        <v>2023</v>
      </c>
      <c r="B28" s="376"/>
      <c r="C28" s="223"/>
      <c r="D28" s="222">
        <f>IFERROR(HLOOKUP($B28,PRZECIĘTNE!$B$3:$J$31,27,0),0)</f>
        <v>0</v>
      </c>
      <c r="E28" s="288">
        <f t="shared" si="1"/>
        <v>0</v>
      </c>
      <c r="F28" s="224">
        <f t="shared" si="0"/>
        <v>0</v>
      </c>
      <c r="G28" s="264">
        <f t="shared" si="2"/>
        <v>0</v>
      </c>
      <c r="I28" s="113">
        <v>28</v>
      </c>
      <c r="J28" s="113" t="s">
        <v>156</v>
      </c>
      <c r="K28" s="113" t="s">
        <v>117</v>
      </c>
      <c r="L28" s="113" t="s">
        <v>134</v>
      </c>
      <c r="M28" s="113" t="s">
        <v>157</v>
      </c>
    </row>
    <row r="29" spans="1:13" ht="16.2" customHeight="1" x14ac:dyDescent="0.3">
      <c r="A29" s="326">
        <v>2024</v>
      </c>
      <c r="B29" s="376"/>
      <c r="C29" s="225"/>
      <c r="D29" s="222">
        <f>IFERROR(HLOOKUP($B29,PRZECIĘTNE!$B$3:$J$31,28,0),0)</f>
        <v>0</v>
      </c>
      <c r="E29" s="288">
        <f t="shared" si="1"/>
        <v>0</v>
      </c>
      <c r="F29" s="224">
        <f t="shared" si="0"/>
        <v>0</v>
      </c>
      <c r="G29" s="264">
        <f t="shared" si="2"/>
        <v>0</v>
      </c>
      <c r="I29" s="113">
        <v>29</v>
      </c>
      <c r="J29" s="113" t="s">
        <v>158</v>
      </c>
      <c r="K29" s="113" t="s">
        <v>117</v>
      </c>
      <c r="L29" s="113" t="s">
        <v>137</v>
      </c>
      <c r="M29" s="113" t="s">
        <v>159</v>
      </c>
    </row>
    <row r="30" spans="1:13" ht="16.2" customHeight="1" thickBot="1" x14ac:dyDescent="0.35">
      <c r="A30" s="328">
        <v>2025</v>
      </c>
      <c r="B30" s="377"/>
      <c r="C30" s="253"/>
      <c r="D30" s="292">
        <f>IFERROR(HLOOKUP($B30,PRZECIĘTNE!$B$3:$J$31,29,0),0)</f>
        <v>0</v>
      </c>
      <c r="E30" s="289">
        <f t="shared" si="1"/>
        <v>0</v>
      </c>
      <c r="F30" s="230">
        <f t="shared" si="0"/>
        <v>0</v>
      </c>
      <c r="G30" s="264">
        <f t="shared" si="2"/>
        <v>0</v>
      </c>
      <c r="I30" s="113">
        <v>30</v>
      </c>
      <c r="J30" s="227" t="s">
        <v>160</v>
      </c>
      <c r="K30" s="113" t="s">
        <v>117</v>
      </c>
      <c r="L30" s="113" t="s">
        <v>141</v>
      </c>
      <c r="M30" s="113" t="s">
        <v>161</v>
      </c>
    </row>
    <row r="31" spans="1:13" ht="21.6" customHeight="1" thickBot="1" x14ac:dyDescent="0.35">
      <c r="A31" s="589" t="s">
        <v>162</v>
      </c>
      <c r="B31" s="590"/>
      <c r="C31" s="590"/>
      <c r="D31" s="590"/>
      <c r="E31" s="591"/>
      <c r="F31" s="252">
        <f>MAX($G14:$G30)</f>
        <v>0</v>
      </c>
      <c r="G31" s="266">
        <f>MAX($G14:$G30)</f>
        <v>0</v>
      </c>
      <c r="L31" s="231"/>
    </row>
    <row r="32" spans="1:13" ht="28.2" customHeight="1" thickBot="1" x14ac:dyDescent="0.35">
      <c r="A32" s="592" t="s">
        <v>163</v>
      </c>
      <c r="B32" s="593"/>
      <c r="C32" s="593"/>
      <c r="D32" s="593"/>
      <c r="E32" s="594"/>
      <c r="F32" s="232">
        <f>ROUND(F31/10,4)</f>
        <v>0</v>
      </c>
      <c r="G32" s="267"/>
    </row>
    <row r="33" spans="1:13" ht="21.6" customHeight="1" x14ac:dyDescent="0.3">
      <c r="A33" s="595" t="s">
        <v>164</v>
      </c>
      <c r="B33" s="595"/>
      <c r="C33" s="595"/>
      <c r="D33" s="595"/>
      <c r="E33" s="595"/>
      <c r="F33" s="595"/>
      <c r="G33" s="267"/>
    </row>
    <row r="34" spans="1:13" ht="19.2" customHeight="1" thickBot="1" x14ac:dyDescent="0.35">
      <c r="A34" s="233"/>
      <c r="B34" s="233"/>
      <c r="C34" s="233"/>
      <c r="D34" s="233"/>
      <c r="E34" s="233"/>
      <c r="F34" s="234"/>
      <c r="G34" s="268"/>
      <c r="K34" s="115"/>
    </row>
    <row r="35" spans="1:13" ht="32.4" customHeight="1" thickBot="1" x14ac:dyDescent="0.35">
      <c r="A35" s="583" t="s">
        <v>165</v>
      </c>
      <c r="B35" s="584"/>
      <c r="C35" s="584"/>
      <c r="D35" s="584"/>
      <c r="E35" s="585"/>
      <c r="F35" s="235">
        <v>0</v>
      </c>
      <c r="G35" s="269"/>
      <c r="K35" s="115"/>
    </row>
    <row r="36" spans="1:13" ht="16.2" customHeight="1" thickBot="1" x14ac:dyDescent="0.35">
      <c r="A36" s="236"/>
      <c r="B36" s="236"/>
      <c r="C36" s="236"/>
      <c r="D36" s="236"/>
      <c r="E36" s="236"/>
      <c r="F36" s="237"/>
      <c r="G36" s="267"/>
      <c r="K36" s="238"/>
    </row>
    <row r="37" spans="1:13" ht="16.2" customHeight="1" x14ac:dyDescent="0.3">
      <c r="A37" s="568" t="s">
        <v>166</v>
      </c>
      <c r="B37" s="569"/>
      <c r="C37" s="569"/>
      <c r="D37" s="569"/>
      <c r="E37" s="570"/>
      <c r="F37" s="574">
        <f>IF(F35&gt;0%, F35,F32)</f>
        <v>0</v>
      </c>
      <c r="G37" s="270"/>
    </row>
    <row r="38" spans="1:13" ht="16.2" customHeight="1" thickBot="1" x14ac:dyDescent="0.35">
      <c r="A38" s="571"/>
      <c r="B38" s="572"/>
      <c r="C38" s="572"/>
      <c r="D38" s="572"/>
      <c r="E38" s="573"/>
      <c r="F38" s="575"/>
      <c r="G38" s="270"/>
    </row>
    <row r="39" spans="1:13" ht="16.2" customHeight="1" x14ac:dyDescent="0.3">
      <c r="A39" s="576" t="s">
        <v>177</v>
      </c>
      <c r="B39" s="576"/>
      <c r="C39" s="576"/>
      <c r="D39" s="576"/>
      <c r="E39" s="576"/>
      <c r="F39" s="576"/>
      <c r="G39" s="271"/>
    </row>
    <row r="40" spans="1:13" ht="42.6" customHeight="1" x14ac:dyDescent="0.3">
      <c r="A40" s="577"/>
      <c r="B40" s="577"/>
      <c r="C40" s="577"/>
      <c r="D40" s="577"/>
      <c r="E40" s="577"/>
      <c r="F40" s="577"/>
      <c r="G40" s="271"/>
    </row>
    <row r="41" spans="1:13" ht="16.2" customHeight="1" x14ac:dyDescent="0.3">
      <c r="A41" s="577"/>
      <c r="B41" s="577"/>
      <c r="C41" s="577"/>
      <c r="D41" s="577"/>
      <c r="E41" s="577"/>
      <c r="F41" s="577"/>
      <c r="G41" s="267"/>
      <c r="I41" s="228"/>
      <c r="J41" s="228"/>
    </row>
    <row r="42" spans="1:13" ht="16.2" customHeight="1" x14ac:dyDescent="0.3">
      <c r="A42" s="239"/>
      <c r="B42" s="239"/>
      <c r="C42" s="239"/>
      <c r="D42" s="239"/>
      <c r="E42" s="239"/>
      <c r="F42" s="239"/>
    </row>
    <row r="43" spans="1:13" ht="20.399999999999999" customHeight="1" x14ac:dyDescent="0.3">
      <c r="A43" s="578" t="s">
        <v>167</v>
      </c>
      <c r="B43" s="578"/>
      <c r="C43" s="578"/>
      <c r="D43" s="578"/>
      <c r="E43" s="578"/>
      <c r="F43" s="578"/>
      <c r="I43" s="228"/>
      <c r="J43" s="228"/>
      <c r="K43" s="228"/>
      <c r="L43" s="228"/>
      <c r="M43" s="228"/>
    </row>
    <row r="44" spans="1:13" ht="20.399999999999999" customHeight="1" thickBot="1" x14ac:dyDescent="0.35">
      <c r="A44" s="579"/>
      <c r="B44" s="579"/>
      <c r="C44" s="579"/>
      <c r="D44" s="579"/>
      <c r="E44" s="579"/>
      <c r="F44" s="579"/>
      <c r="I44" s="228"/>
      <c r="J44" s="228"/>
      <c r="K44" s="228"/>
      <c r="L44" s="228"/>
      <c r="M44" s="228"/>
    </row>
    <row r="45" spans="1:13" ht="21.6" customHeight="1" thickBot="1" x14ac:dyDescent="0.35">
      <c r="A45" s="580" t="s">
        <v>168</v>
      </c>
      <c r="B45" s="581"/>
      <c r="C45" s="581"/>
      <c r="D45" s="581"/>
      <c r="E45" s="581"/>
      <c r="F45" s="582"/>
      <c r="G45" s="273"/>
      <c r="I45" s="565"/>
      <c r="J45" s="565"/>
      <c r="K45" s="565"/>
      <c r="L45" s="552"/>
      <c r="M45" s="228"/>
    </row>
    <row r="46" spans="1:13" ht="33.6" customHeight="1" x14ac:dyDescent="0.3">
      <c r="A46" s="553" t="s">
        <v>169</v>
      </c>
      <c r="B46" s="555" t="s">
        <v>185</v>
      </c>
      <c r="C46" s="557" t="s">
        <v>170</v>
      </c>
      <c r="D46" s="558"/>
      <c r="E46" s="561" t="s">
        <v>171</v>
      </c>
      <c r="F46" s="562"/>
      <c r="G46" s="274"/>
      <c r="I46" s="565"/>
      <c r="J46" s="565"/>
      <c r="K46" s="565"/>
      <c r="L46" s="552"/>
      <c r="M46" s="228"/>
    </row>
    <row r="47" spans="1:13" ht="62.4" customHeight="1" thickBot="1" x14ac:dyDescent="0.35">
      <c r="A47" s="554"/>
      <c r="B47" s="556"/>
      <c r="C47" s="559"/>
      <c r="D47" s="560"/>
      <c r="E47" s="563"/>
      <c r="F47" s="564"/>
      <c r="G47" s="274"/>
      <c r="I47" s="240"/>
      <c r="J47" s="240"/>
      <c r="K47" s="228"/>
      <c r="L47" s="241"/>
      <c r="M47" s="228"/>
    </row>
    <row r="48" spans="1:13" ht="30" customHeight="1" thickBot="1" x14ac:dyDescent="0.35">
      <c r="A48" s="330"/>
      <c r="B48" s="329"/>
      <c r="C48" s="566">
        <f>IF(OR($A$48="",$B$48=""),0,IF($B$48="Policja",LOOKUP($A$48,PRZECIĘTNE!$L$4:$L$7,PRZECIĘTNE!$M$4:$M$7),IF($B$48="PSP",LOOKUP($A$48,PRZECIĘTNE!$L$4:$L$7,PRZECIĘTNE!$N$4:$N$7),IF($B$48="SG",LOOKUP($A$48,PRZECIĘTNE!$L$4:$L$7,PRZECIĘTNE!$O$4:$O$7),IF($B$48="SOP",LOOKUP($A$48,PRZECIĘTNE!$L$4:$L$7,PRZECIĘTNE!$P$4:$P$7),IF($B$48="ABW",LOOKUP($A$48,PRZECIĘTNE!$L$4:$L$7,PRZECIĘTNE!$Q$4:$Q$7),IF($B$48="AW",LOOKUP($A$48,PRZECIĘTNE!$L$4:$L$7,PRZECIĘTNE!$R$4:$R$7),IF($B$48="CBA",LOOKUP($A$48,PRZECIĘTNE!$L$4:$L$7,PRZECIĘTNE!$S$4:$S$7)))))))))</f>
        <v>0</v>
      </c>
      <c r="D48" s="567">
        <v>0</v>
      </c>
      <c r="E48" s="321"/>
      <c r="F48" s="322">
        <f>F37</f>
        <v>0</v>
      </c>
      <c r="G48" s="275"/>
      <c r="I48" s="242"/>
      <c r="J48" s="242"/>
      <c r="K48" s="242"/>
      <c r="L48" s="243"/>
      <c r="M48" s="228"/>
    </row>
    <row r="49" spans="1:13" ht="37.200000000000003" customHeight="1" thickBot="1" x14ac:dyDescent="0.35">
      <c r="A49" s="538" t="s">
        <v>172</v>
      </c>
      <c r="B49" s="539"/>
      <c r="C49" s="539"/>
      <c r="D49" s="540"/>
      <c r="F49" s="323">
        <f>ROUND(C48*F48,2)</f>
        <v>0</v>
      </c>
      <c r="G49" s="276"/>
      <c r="I49" s="228"/>
      <c r="J49" s="228"/>
      <c r="K49" s="228"/>
      <c r="L49" s="228"/>
      <c r="M49" s="228"/>
    </row>
    <row r="50" spans="1:13" ht="11.4" customHeight="1" x14ac:dyDescent="0.3">
      <c r="A50" s="244"/>
      <c r="B50" s="244"/>
      <c r="C50" s="244"/>
      <c r="D50" s="244"/>
      <c r="E50" s="245"/>
      <c r="F50" s="245"/>
      <c r="G50" s="276"/>
      <c r="I50" s="228"/>
      <c r="J50" s="228"/>
      <c r="K50" s="228"/>
      <c r="L50" s="228"/>
      <c r="M50" s="228"/>
    </row>
    <row r="51" spans="1:13" ht="14.4" customHeight="1" thickBot="1" x14ac:dyDescent="0.35">
      <c r="A51" s="541"/>
      <c r="B51" s="541"/>
      <c r="C51" s="541"/>
      <c r="D51" s="541"/>
      <c r="E51" s="541"/>
      <c r="F51" s="246"/>
      <c r="G51" s="277"/>
    </row>
    <row r="52" spans="1:13" ht="14.4" customHeight="1" x14ac:dyDescent="0.3">
      <c r="A52" s="543" t="s">
        <v>183</v>
      </c>
      <c r="B52" s="544"/>
      <c r="C52" s="544"/>
      <c r="D52" s="544"/>
      <c r="E52" s="544"/>
      <c r="F52" s="545"/>
      <c r="G52" s="277"/>
    </row>
    <row r="53" spans="1:13" ht="14.4" customHeight="1" x14ac:dyDescent="0.3">
      <c r="A53" s="546" t="s">
        <v>184</v>
      </c>
      <c r="B53" s="547"/>
      <c r="C53" s="547"/>
      <c r="D53" s="547"/>
      <c r="E53" s="547"/>
      <c r="F53" s="548"/>
      <c r="G53" s="277"/>
    </row>
    <row r="54" spans="1:13" ht="49.2" customHeight="1" thickBot="1" x14ac:dyDescent="0.35">
      <c r="A54" s="549"/>
      <c r="B54" s="550"/>
      <c r="C54" s="550"/>
      <c r="D54" s="550"/>
      <c r="E54" s="550"/>
      <c r="F54" s="551"/>
      <c r="G54" s="277"/>
    </row>
    <row r="55" spans="1:13" ht="14.4" customHeight="1" x14ac:dyDescent="0.3">
      <c r="A55" s="284"/>
      <c r="B55" s="284"/>
      <c r="C55" s="284"/>
      <c r="D55" s="284"/>
      <c r="E55" s="284"/>
      <c r="F55" s="246"/>
      <c r="G55" s="277"/>
    </row>
    <row r="56" spans="1:13" ht="7.2" customHeight="1" x14ac:dyDescent="0.3">
      <c r="A56" s="101"/>
      <c r="B56" s="101"/>
      <c r="C56" s="101"/>
      <c r="D56" s="101"/>
      <c r="F56" s="246"/>
      <c r="G56" s="277"/>
    </row>
    <row r="57" spans="1:13" ht="14.4" customHeight="1" x14ac:dyDescent="0.3">
      <c r="A57" s="542" t="s">
        <v>191</v>
      </c>
      <c r="B57" s="542"/>
      <c r="C57" s="542"/>
      <c r="D57" s="542"/>
      <c r="E57" s="542"/>
      <c r="F57" s="542"/>
      <c r="G57" s="278"/>
    </row>
    <row r="58" spans="1:13" ht="15.6" customHeight="1" x14ac:dyDescent="0.3">
      <c r="A58" s="542"/>
      <c r="B58" s="542"/>
      <c r="C58" s="542"/>
      <c r="D58" s="542"/>
      <c r="E58" s="542"/>
      <c r="F58" s="542"/>
      <c r="G58" s="278"/>
    </row>
    <row r="59" spans="1:13" ht="14.4" customHeight="1" x14ac:dyDescent="0.3">
      <c r="A59" s="542"/>
      <c r="B59" s="542"/>
      <c r="C59" s="542"/>
      <c r="D59" s="542"/>
      <c r="E59" s="542"/>
      <c r="F59" s="542"/>
      <c r="G59" s="278"/>
    </row>
    <row r="60" spans="1:13" ht="14.4" customHeight="1" x14ac:dyDescent="0.3">
      <c r="A60" s="542"/>
      <c r="B60" s="542"/>
      <c r="C60" s="542"/>
      <c r="D60" s="542"/>
      <c r="E60" s="542"/>
      <c r="F60" s="542"/>
      <c r="G60" s="278"/>
    </row>
    <row r="61" spans="1:13" ht="14.4" customHeight="1" x14ac:dyDescent="0.3">
      <c r="G61" s="277"/>
    </row>
    <row r="62" spans="1:13" ht="14.4" customHeight="1" x14ac:dyDescent="0.3">
      <c r="A62" s="452" t="s">
        <v>65</v>
      </c>
      <c r="B62" s="452"/>
      <c r="C62" s="452"/>
      <c r="D62" s="452"/>
      <c r="E62" s="452"/>
      <c r="F62" s="452"/>
      <c r="G62" s="277"/>
    </row>
    <row r="63" spans="1:13" ht="15.6" customHeight="1" x14ac:dyDescent="0.3">
      <c r="A63" s="452"/>
      <c r="B63" s="452"/>
      <c r="C63" s="452"/>
      <c r="D63" s="452"/>
      <c r="E63" s="452"/>
      <c r="F63" s="452"/>
    </row>
    <row r="64" spans="1:13" ht="15.6" customHeight="1" x14ac:dyDescent="0.3">
      <c r="A64" s="452"/>
      <c r="B64" s="452"/>
      <c r="C64" s="452"/>
      <c r="D64" s="452"/>
      <c r="E64" s="452"/>
      <c r="F64" s="452"/>
    </row>
    <row r="65" spans="1:6" ht="14.4" customHeight="1" x14ac:dyDescent="0.3">
      <c r="A65" s="452"/>
      <c r="B65" s="452"/>
      <c r="C65" s="452"/>
      <c r="D65" s="452"/>
      <c r="E65" s="452"/>
      <c r="F65" s="452"/>
    </row>
    <row r="66" spans="1:6" ht="14.4" customHeight="1" x14ac:dyDescent="0.3">
      <c r="A66" s="452"/>
      <c r="B66" s="452"/>
      <c r="C66" s="452"/>
      <c r="D66" s="452"/>
      <c r="E66" s="452"/>
      <c r="F66" s="452"/>
    </row>
    <row r="67" spans="1:6" ht="14.4" customHeight="1" x14ac:dyDescent="0.3"/>
    <row r="68" spans="1:6" ht="14.4" customHeight="1" x14ac:dyDescent="0.3"/>
  </sheetData>
  <sheetProtection algorithmName="SHA-512" hashValue="mu8baVjEh0Jp+eDZCnuv1TkDwgWsTQnJRMLI7gZG7tHvLiiURS78W7aaAOgRiRpbsThRQ2EYerzSttyiYbTpnA==" saltValue="FwqG65GCU/nBXg0vo+NLmw==" spinCount="100000" sheet="1" objects="1" scenarios="1"/>
  <mergeCells count="24">
    <mergeCell ref="A35:E35"/>
    <mergeCell ref="A1:F1"/>
    <mergeCell ref="A2:F2"/>
    <mergeCell ref="A31:E31"/>
    <mergeCell ref="A32:E32"/>
    <mergeCell ref="A33:F33"/>
    <mergeCell ref="C48:D48"/>
    <mergeCell ref="A37:E38"/>
    <mergeCell ref="F37:F38"/>
    <mergeCell ref="A39:F41"/>
    <mergeCell ref="A43:F44"/>
    <mergeCell ref="A45:F45"/>
    <mergeCell ref="L45:L46"/>
    <mergeCell ref="A46:A47"/>
    <mergeCell ref="B46:B47"/>
    <mergeCell ref="C46:D47"/>
    <mergeCell ref="E46:F47"/>
    <mergeCell ref="I45:K46"/>
    <mergeCell ref="A49:D49"/>
    <mergeCell ref="A51:E51"/>
    <mergeCell ref="A57:F60"/>
    <mergeCell ref="A62:F66"/>
    <mergeCell ref="A52:F52"/>
    <mergeCell ref="A53:F54"/>
  </mergeCells>
  <conditionalFormatting sqref="A5:A14">
    <cfRule type="expression" dxfId="35" priority="1">
      <formula>$G$14=$F$31</formula>
    </cfRule>
  </conditionalFormatting>
  <conditionalFormatting sqref="A6:A15">
    <cfRule type="expression" dxfId="34" priority="2">
      <formula>$G$15=$F$31</formula>
    </cfRule>
  </conditionalFormatting>
  <conditionalFormatting sqref="A7:A16">
    <cfRule type="expression" dxfId="33" priority="3">
      <formula>$G$16=$F$31</formula>
    </cfRule>
  </conditionalFormatting>
  <conditionalFormatting sqref="A8:A17">
    <cfRule type="expression" dxfId="32" priority="4">
      <formula>$G$17=$F$31</formula>
    </cfRule>
  </conditionalFormatting>
  <conditionalFormatting sqref="A9:A18">
    <cfRule type="expression" dxfId="31" priority="5">
      <formula>$G$18=$G$31</formula>
    </cfRule>
  </conditionalFormatting>
  <conditionalFormatting sqref="A10:A19">
    <cfRule type="expression" dxfId="30" priority="6">
      <formula>$G$19=$F$31</formula>
    </cfRule>
  </conditionalFormatting>
  <conditionalFormatting sqref="A11:A20">
    <cfRule type="expression" dxfId="29" priority="7">
      <formula>$G$20=$F$31</formula>
    </cfRule>
  </conditionalFormatting>
  <conditionalFormatting sqref="A12:A21">
    <cfRule type="expression" dxfId="28" priority="8">
      <formula>$G$21=$F$31</formula>
    </cfRule>
  </conditionalFormatting>
  <conditionalFormatting sqref="A13:A22">
    <cfRule type="expression" dxfId="27" priority="9">
      <formula>$G$22=$F$31</formula>
    </cfRule>
  </conditionalFormatting>
  <conditionalFormatting sqref="A14:A23">
    <cfRule type="expression" dxfId="26" priority="10">
      <formula>$G$23=$F$31</formula>
    </cfRule>
  </conditionalFormatting>
  <conditionalFormatting sqref="A15:A24">
    <cfRule type="expression" dxfId="25" priority="11">
      <formula>$G$24=$G$31</formula>
    </cfRule>
  </conditionalFormatting>
  <conditionalFormatting sqref="A16:A25">
    <cfRule type="expression" dxfId="24" priority="12">
      <formula>$G$25=$F$31</formula>
    </cfRule>
  </conditionalFormatting>
  <conditionalFormatting sqref="A17:A26">
    <cfRule type="expression" dxfId="23" priority="13">
      <formula>$G$26=$F$31</formula>
    </cfRule>
  </conditionalFormatting>
  <conditionalFormatting sqref="A18:A27">
    <cfRule type="expression" dxfId="22" priority="14">
      <formula>$G$27=$F$31</formula>
    </cfRule>
  </conditionalFormatting>
  <conditionalFormatting sqref="A19:A28">
    <cfRule type="expression" dxfId="21" priority="15">
      <formula>$G$28=$F$31</formula>
    </cfRule>
  </conditionalFormatting>
  <conditionalFormatting sqref="A20:A29">
    <cfRule type="expression" dxfId="20" priority="16">
      <formula>$G$29=$F$31</formula>
    </cfRule>
  </conditionalFormatting>
  <conditionalFormatting sqref="A21:A30">
    <cfRule type="expression" dxfId="19" priority="17">
      <formula>$G$30=$F$31</formula>
    </cfRule>
  </conditionalFormatting>
  <conditionalFormatting sqref="F5:F14">
    <cfRule type="expression" dxfId="18" priority="18">
      <formula>$G$14=$F$31</formula>
    </cfRule>
  </conditionalFormatting>
  <conditionalFormatting sqref="F6:F15">
    <cfRule type="expression" dxfId="17" priority="19">
      <formula>$G$15=$F$31</formula>
    </cfRule>
  </conditionalFormatting>
  <conditionalFormatting sqref="F7:F16">
    <cfRule type="expression" dxfId="16" priority="20">
      <formula>$G$16=$F$31</formula>
    </cfRule>
  </conditionalFormatting>
  <conditionalFormatting sqref="F8:F17">
    <cfRule type="expression" dxfId="15" priority="21">
      <formula>$G$17=$F$31</formula>
    </cfRule>
  </conditionalFormatting>
  <conditionalFormatting sqref="F9:F18">
    <cfRule type="expression" dxfId="14" priority="22">
      <formula>$G$18=$G$31</formula>
    </cfRule>
  </conditionalFormatting>
  <conditionalFormatting sqref="F10:F19">
    <cfRule type="expression" dxfId="13" priority="23">
      <formula>$G$19=$F$31</formula>
    </cfRule>
  </conditionalFormatting>
  <conditionalFormatting sqref="F11:F20">
    <cfRule type="expression" dxfId="12" priority="24">
      <formula>$G$20=$F$31</formula>
    </cfRule>
  </conditionalFormatting>
  <conditionalFormatting sqref="F12:F21">
    <cfRule type="expression" dxfId="11" priority="25">
      <formula>$G$21=$F$31</formula>
    </cfRule>
  </conditionalFormatting>
  <conditionalFormatting sqref="F13:F22">
    <cfRule type="expression" dxfId="10" priority="26">
      <formula>$G$22=$F$31</formula>
    </cfRule>
  </conditionalFormatting>
  <conditionalFormatting sqref="F14:F23">
    <cfRule type="expression" dxfId="9" priority="27">
      <formula>$G$23=$F$31</formula>
    </cfRule>
  </conditionalFormatting>
  <conditionalFormatting sqref="F15:F24">
    <cfRule type="expression" dxfId="8" priority="28">
      <formula>$G$24=$G$31</formula>
    </cfRule>
  </conditionalFormatting>
  <conditionalFormatting sqref="F16:F25">
    <cfRule type="expression" dxfId="7" priority="29">
      <formula>$G$25=$F$31</formula>
    </cfRule>
  </conditionalFormatting>
  <conditionalFormatting sqref="F17:F26">
    <cfRule type="expression" dxfId="6" priority="30">
      <formula>$G$26=$F$31</formula>
    </cfRule>
  </conditionalFormatting>
  <conditionalFormatting sqref="F18:F27">
    <cfRule type="expression" dxfId="5" priority="31">
      <formula>$G$27=$F$31</formula>
    </cfRule>
  </conditionalFormatting>
  <conditionalFormatting sqref="F19:F28">
    <cfRule type="expression" dxfId="4" priority="32">
      <formula>$G$28=$F$31</formula>
    </cfRule>
  </conditionalFormatting>
  <conditionalFormatting sqref="F20:F29">
    <cfRule type="expression" dxfId="3" priority="33">
      <formula>$G$29=$F$31</formula>
    </cfRule>
  </conditionalFormatting>
  <conditionalFormatting sqref="F21:F30">
    <cfRule type="expression" dxfId="2" priority="34">
      <formula>$G$30=$F$31</formula>
    </cfRule>
  </conditionalFormatting>
  <conditionalFormatting sqref="G21">
    <cfRule type="expression" dxfId="1" priority="35">
      <formula>SUM($F$12:$F$21)=$F$21</formula>
    </cfRule>
  </conditionalFormatting>
  <dataValidations count="1">
    <dataValidation type="date" allowBlank="1" showInputMessage="1" showErrorMessage="1" error="Data w formacie RRRR-MM-DD_x000a_Data &gt;=2025-01-01 (art. 18h)" sqref="A48" xr:uid="{00000000-0002-0000-0300-000000000000}">
      <formula1>45658</formula1>
      <formula2>402133</formula2>
    </dataValidation>
  </dataValidations>
  <pageMargins left="0.70866141732283472" right="0.70866141732283472" top="0.23622047244094491" bottom="0.19685039370078741" header="0.15748031496062992" footer="0.15748031496062992"/>
  <pageSetup paperSize="9" scale="63"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Roboczy!$I$18:$I$21</xm:f>
          </x14:formula1>
          <xm:sqref>B48</xm:sqref>
        </x14:dataValidation>
        <x14:dataValidation type="list" allowBlank="1" showInputMessage="1" showErrorMessage="1" error="Wubierz służbę ze słownika" xr:uid="{00000000-0002-0000-0300-000002000000}">
          <x14:formula1>
            <xm:f>PRZECIĘTNE!$A$3:$J$3</xm:f>
          </x14:formula1>
          <xm:sqref>B5:B30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Y36"/>
  <sheetViews>
    <sheetView showGridLines="0" topLeftCell="A19" workbookViewId="0">
      <selection activeCell="A5" sqref="A5:B5"/>
    </sheetView>
  </sheetViews>
  <sheetFormatPr defaultColWidth="8.88671875" defaultRowHeight="14.4" x14ac:dyDescent="0.3"/>
  <cols>
    <col min="1" max="1" width="22.109375" style="2" customWidth="1"/>
    <col min="2" max="2" width="25.109375" style="2" customWidth="1"/>
    <col min="3" max="4" width="12.6640625" style="2" customWidth="1"/>
    <col min="5" max="5" width="15" style="2" customWidth="1"/>
    <col min="6" max="6" width="3.88671875" style="2" customWidth="1"/>
    <col min="7" max="7" width="64.6640625" style="2" customWidth="1"/>
    <col min="8" max="8" width="12" style="101" customWidth="1"/>
    <col min="9" max="9" width="10.6640625" style="101" customWidth="1"/>
    <col min="10" max="10" width="10" style="101" customWidth="1"/>
    <col min="11" max="11" width="14.109375" style="2" customWidth="1"/>
    <col min="12" max="12" width="19.33203125" style="2" customWidth="1"/>
    <col min="13" max="13" width="10.88671875" style="2" customWidth="1"/>
    <col min="14" max="14" width="12.6640625" style="2" customWidth="1"/>
    <col min="15" max="15" width="11.44140625" style="2" customWidth="1"/>
    <col min="16" max="16" width="11.5546875" style="2" customWidth="1"/>
    <col min="17" max="16384" width="8.88671875" style="2"/>
  </cols>
  <sheetData>
    <row r="1" spans="1:25" ht="16.2" customHeight="1" x14ac:dyDescent="0.3">
      <c r="A1" s="461" t="s">
        <v>174</v>
      </c>
      <c r="B1" s="461"/>
      <c r="C1" s="461"/>
      <c r="D1" s="461"/>
      <c r="E1" s="461"/>
      <c r="F1" s="123"/>
      <c r="G1" s="596" t="s">
        <v>83</v>
      </c>
      <c r="H1" s="596"/>
      <c r="I1" s="596"/>
      <c r="J1" s="596"/>
      <c r="K1" s="596"/>
      <c r="L1" s="108"/>
      <c r="M1" s="106">
        <v>36161</v>
      </c>
      <c r="N1" s="106">
        <v>36162</v>
      </c>
      <c r="O1" s="106">
        <v>37895</v>
      </c>
      <c r="P1" s="106">
        <v>41275</v>
      </c>
      <c r="Q1" s="113"/>
      <c r="R1" s="114">
        <v>0.09</v>
      </c>
      <c r="S1" s="114">
        <v>0.12</v>
      </c>
      <c r="T1" s="115">
        <v>300</v>
      </c>
      <c r="U1" s="113"/>
      <c r="V1" s="113"/>
      <c r="W1" s="113"/>
      <c r="X1" s="113"/>
      <c r="Y1" s="118"/>
    </row>
    <row r="2" spans="1:25" ht="22.95" customHeight="1" thickBot="1" x14ac:dyDescent="0.35">
      <c r="A2" s="461"/>
      <c r="B2" s="461"/>
      <c r="C2" s="461"/>
      <c r="D2" s="461"/>
      <c r="E2" s="461"/>
      <c r="G2" s="596" t="s">
        <v>173</v>
      </c>
      <c r="H2" s="596"/>
      <c r="I2" s="596"/>
      <c r="J2" s="596"/>
      <c r="K2" s="596"/>
      <c r="L2" s="108"/>
      <c r="M2" s="106"/>
      <c r="N2" s="106"/>
      <c r="O2" s="106"/>
      <c r="P2" s="106"/>
      <c r="Q2" s="113"/>
      <c r="R2" s="114"/>
      <c r="S2" s="114"/>
      <c r="T2" s="115"/>
      <c r="U2" s="113"/>
      <c r="V2" s="113"/>
      <c r="W2" s="113"/>
      <c r="X2" s="113"/>
      <c r="Y2" s="118"/>
    </row>
    <row r="3" spans="1:25" ht="31.2" customHeight="1" thickBot="1" x14ac:dyDescent="0.35">
      <c r="A3" s="601" t="s">
        <v>71</v>
      </c>
      <c r="B3" s="602"/>
      <c r="C3" s="127" t="s">
        <v>15</v>
      </c>
      <c r="D3" s="128" t="s">
        <v>0</v>
      </c>
      <c r="E3" s="131" t="s">
        <v>32</v>
      </c>
      <c r="G3" s="117" t="s">
        <v>86</v>
      </c>
      <c r="H3" s="19" t="s">
        <v>16</v>
      </c>
      <c r="I3" s="20" t="s">
        <v>17</v>
      </c>
      <c r="J3" s="21" t="s">
        <v>18</v>
      </c>
      <c r="K3" s="22" t="s">
        <v>26</v>
      </c>
      <c r="L3" s="108"/>
      <c r="M3" s="106"/>
      <c r="N3" s="106"/>
      <c r="O3" s="106"/>
      <c r="P3" s="106"/>
      <c r="Q3" s="113"/>
      <c r="R3" s="114"/>
      <c r="S3" s="114"/>
      <c r="T3" s="115"/>
      <c r="U3" s="113"/>
      <c r="V3" s="113"/>
      <c r="W3" s="113"/>
    </row>
    <row r="4" spans="1:25" ht="31.2" customHeight="1" thickBot="1" x14ac:dyDescent="0.35">
      <c r="A4" s="467" t="s">
        <v>82</v>
      </c>
      <c r="B4" s="468"/>
      <c r="C4" s="135"/>
      <c r="D4" s="126"/>
      <c r="E4" s="599" t="str">
        <f>IF($C$4&gt;=$P$1,"art. 18e",IF(C4="","proszę obowiązkowo wprowadzić do komórki C4 datę wstąpienia po raz pierwszy do służby ","został wybrany 
art. 18h"))</f>
        <v xml:space="preserve">proszę obowiązkowo wprowadzić do komórki C4 datę wstąpienia po raz pierwszy do służby </v>
      </c>
      <c r="G4" s="93" t="s">
        <v>33</v>
      </c>
      <c r="H4" s="94">
        <f>$C$24</f>
        <v>0</v>
      </c>
      <c r="I4" s="94">
        <f>$D$24</f>
        <v>0</v>
      </c>
      <c r="J4" s="94">
        <f>$E$24</f>
        <v>0</v>
      </c>
      <c r="K4" s="95" t="str">
        <f>IF(C24&lt;25, "brak prawa",IF(H4&lt;25,0,ROUND(0.6+(H4-25)*0.03+I4*0.03/12,4)))</f>
        <v>brak prawa</v>
      </c>
      <c r="L4" s="108"/>
      <c r="M4" s="106"/>
      <c r="N4" s="106"/>
      <c r="O4" s="106"/>
      <c r="P4" s="106"/>
      <c r="Q4" s="113"/>
      <c r="R4" s="114"/>
      <c r="S4" s="114"/>
      <c r="T4" s="115"/>
      <c r="U4" s="113"/>
      <c r="V4" s="113"/>
      <c r="W4" s="113"/>
    </row>
    <row r="5" spans="1:25" ht="41.25" customHeight="1" thickBot="1" x14ac:dyDescent="0.35">
      <c r="A5" s="534" t="s">
        <v>14</v>
      </c>
      <c r="B5" s="535"/>
      <c r="C5" s="331" t="str">
        <f>IF('Podstawa wymiaru 10 lat'!A48="","",'Podstawa wymiaru 10 lat'!A48)</f>
        <v/>
      </c>
      <c r="D5" s="332" t="str">
        <f>IF('Podstawa wymiaru 10 lat'!B48="","",'Podstawa wymiaru 10 lat'!B48)</f>
        <v/>
      </c>
      <c r="E5" s="600"/>
      <c r="G5" s="39"/>
      <c r="H5" s="489" t="s">
        <v>85</v>
      </c>
      <c r="I5" s="490"/>
      <c r="J5" s="491"/>
      <c r="K5" s="96">
        <f>IF(K4="brak prawa",0,MIN(K4,0.75))</f>
        <v>0</v>
      </c>
      <c r="L5" s="108"/>
      <c r="M5" s="106"/>
      <c r="N5" s="106"/>
      <c r="O5" s="106"/>
      <c r="P5" s="106"/>
      <c r="Q5" s="113"/>
      <c r="R5" s="114"/>
      <c r="S5" s="114"/>
      <c r="T5" s="115"/>
      <c r="U5" s="113"/>
      <c r="V5" s="113"/>
      <c r="W5" s="113"/>
    </row>
    <row r="6" spans="1:25" ht="14.4" customHeight="1" x14ac:dyDescent="0.3">
      <c r="A6" s="116"/>
      <c r="B6" s="116"/>
      <c r="C6" s="116"/>
      <c r="D6" s="116"/>
      <c r="E6" s="116"/>
      <c r="G6" s="39"/>
      <c r="H6" s="2"/>
      <c r="I6" s="2"/>
      <c r="J6" s="2"/>
      <c r="K6" s="97"/>
      <c r="L6" s="108"/>
      <c r="M6" s="106"/>
      <c r="N6" s="106"/>
      <c r="O6" s="106"/>
      <c r="P6" s="106"/>
      <c r="Q6" s="113"/>
      <c r="R6" s="114"/>
      <c r="S6" s="114"/>
      <c r="T6" s="115"/>
      <c r="U6" s="113"/>
      <c r="V6" s="113"/>
      <c r="W6" s="113"/>
    </row>
    <row r="7" spans="1:25" ht="30" customHeight="1" thickBot="1" x14ac:dyDescent="0.35">
      <c r="A7" s="454" t="s">
        <v>89</v>
      </c>
      <c r="B7" s="454"/>
      <c r="C7" s="454"/>
      <c r="D7" s="454"/>
      <c r="E7" s="454"/>
      <c r="G7" s="39"/>
      <c r="H7" s="40"/>
      <c r="I7" s="40"/>
      <c r="J7" s="40"/>
      <c r="K7" s="41"/>
      <c r="L7" s="108"/>
      <c r="M7" s="106"/>
      <c r="N7" s="106"/>
      <c r="O7" s="106"/>
      <c r="P7" s="106"/>
      <c r="Q7" s="113"/>
      <c r="R7" s="114"/>
      <c r="S7" s="114"/>
      <c r="T7" s="115"/>
      <c r="U7" s="113"/>
      <c r="V7" s="113"/>
      <c r="W7" s="113"/>
    </row>
    <row r="8" spans="1:25" ht="22.95" customHeight="1" thickBot="1" x14ac:dyDescent="0.35">
      <c r="A8" s="473" t="s">
        <v>29</v>
      </c>
      <c r="B8" s="474"/>
      <c r="C8" s="474"/>
      <c r="D8" s="474"/>
      <c r="E8" s="475"/>
      <c r="G8" s="455" t="s">
        <v>72</v>
      </c>
      <c r="H8" s="102" t="s">
        <v>16</v>
      </c>
      <c r="I8" s="103" t="s">
        <v>17</v>
      </c>
      <c r="J8" s="122" t="s">
        <v>18</v>
      </c>
      <c r="L8" s="7"/>
      <c r="M8" s="7"/>
    </row>
    <row r="9" spans="1:25" ht="22.95" customHeight="1" thickBot="1" x14ac:dyDescent="0.35">
      <c r="A9" s="8" t="s">
        <v>30</v>
      </c>
      <c r="B9" s="9" t="s">
        <v>31</v>
      </c>
      <c r="C9" s="8" t="s">
        <v>25</v>
      </c>
      <c r="D9" s="10" t="s">
        <v>27</v>
      </c>
      <c r="E9" s="9" t="s">
        <v>18</v>
      </c>
      <c r="G9" s="456"/>
      <c r="H9" s="104">
        <f>$C$24</f>
        <v>0</v>
      </c>
      <c r="I9" s="104">
        <f>$D$24</f>
        <v>0</v>
      </c>
      <c r="J9" s="105">
        <f>$E$24</f>
        <v>0</v>
      </c>
      <c r="L9" s="7"/>
      <c r="M9" s="7"/>
    </row>
    <row r="10" spans="1:25" ht="22.95" customHeight="1" x14ac:dyDescent="0.3">
      <c r="A10" s="409"/>
      <c r="B10" s="410"/>
      <c r="C10" s="11">
        <f>IF((ISBLANK(A10)=TRUE),0,DATEDIF(A10,B10+1,"Y"))</f>
        <v>0</v>
      </c>
      <c r="D10" s="12">
        <f>IF((ISBLANK(A10)=TRUE),0,DATEDIF(A10,B10+1,"YM"))</f>
        <v>0</v>
      </c>
      <c r="E10" s="13">
        <f>IF((ISBLANK(A10)=TRUE),0,DATEDIF(A10,B10+1,"MD"))</f>
        <v>0</v>
      </c>
      <c r="L10" s="14"/>
      <c r="M10" s="7"/>
    </row>
    <row r="11" spans="1:25" ht="22.95" customHeight="1" thickBot="1" x14ac:dyDescent="0.35">
      <c r="A11" s="411"/>
      <c r="B11" s="412"/>
      <c r="C11" s="15">
        <f>IF((ISBLANK(A11)=TRUE),0,DATEDIF(A11,B11+1,"Y"))</f>
        <v>0</v>
      </c>
      <c r="D11" s="16">
        <f>IF((ISBLANK(A11)=TRUE),0,DATEDIF(A11,B11+1,"YM"))</f>
        <v>0</v>
      </c>
      <c r="E11" s="17">
        <f>IF((ISBLANK(A11)=TRUE),0,DATEDIF(A11,B11+1,"MD"))</f>
        <v>0</v>
      </c>
      <c r="G11" s="597" t="s">
        <v>175</v>
      </c>
      <c r="H11" s="597"/>
      <c r="I11" s="597"/>
      <c r="J11" s="597"/>
      <c r="L11" s="14"/>
      <c r="M11" s="7"/>
    </row>
    <row r="12" spans="1:25" ht="22.95" customHeight="1" thickBot="1" x14ac:dyDescent="0.35">
      <c r="A12" s="411"/>
      <c r="B12" s="412"/>
      <c r="C12" s="15">
        <f>IF((ISBLANK(A12)=TRUE),0,DATEDIF(A12,B12+1,"Y"))</f>
        <v>0</v>
      </c>
      <c r="D12" s="16">
        <f>IF((ISBLANK(A12)=TRUE),0,DATEDIF(A12,B12+1,"YM"))</f>
        <v>0</v>
      </c>
      <c r="E12" s="17">
        <f>IF((ISBLANK(A12)=TRUE),0,DATEDIF(A12,B12+1,"MD"))</f>
        <v>0</v>
      </c>
      <c r="G12" s="603" t="s">
        <v>178</v>
      </c>
      <c r="H12" s="604"/>
      <c r="I12" s="604"/>
      <c r="J12" s="605"/>
      <c r="K12" s="285">
        <f>'Podstawa wymiaru 10 lat'!F48</f>
        <v>0</v>
      </c>
      <c r="L12" s="7"/>
      <c r="M12" s="7"/>
    </row>
    <row r="13" spans="1:25" ht="22.95" customHeight="1" thickBot="1" x14ac:dyDescent="0.35">
      <c r="A13" s="411"/>
      <c r="B13" s="412"/>
      <c r="C13" s="15">
        <f>IF((ISBLANK(A13)=TRUE),0,DATEDIF(A13,B13+1,"Y"))</f>
        <v>0</v>
      </c>
      <c r="D13" s="16">
        <f>IF((ISBLANK(A13)=TRUE),0,DATEDIF(A13,B13+1,"YM"))</f>
        <v>0</v>
      </c>
      <c r="E13" s="17">
        <f>IF((ISBLANK(A13)=TRUE),0,DATEDIF(A13,B13+1,"MD"))</f>
        <v>0</v>
      </c>
      <c r="G13" s="492" t="s">
        <v>73</v>
      </c>
      <c r="H13" s="493"/>
      <c r="I13" s="493"/>
      <c r="J13" s="494"/>
      <c r="K13" s="296" cm="1">
        <f t="array" ref="K13">'Podstawa wymiaru 10 lat'!F49:F49</f>
        <v>0</v>
      </c>
      <c r="L13" s="23"/>
      <c r="M13" s="23"/>
    </row>
    <row r="14" spans="1:25" ht="22.95" customHeight="1" thickBot="1" x14ac:dyDescent="0.35">
      <c r="A14" s="411"/>
      <c r="B14" s="412"/>
      <c r="C14" s="15">
        <f t="shared" ref="C14:C20" si="0">IF((ISBLANK(A14)=TRUE),0,DATEDIF(A14,B14+1,"Y"))</f>
        <v>0</v>
      </c>
      <c r="D14" s="16">
        <f t="shared" ref="D14:D20" si="1">IF((ISBLANK(A14)=TRUE),0,DATEDIF(A14,B14+1,"YM"))</f>
        <v>0</v>
      </c>
      <c r="E14" s="17">
        <f t="shared" ref="E14:E20" si="2">IF((ISBLANK(A14)=TRUE),0,DATEDIF(A14,B14+1,"MD"))</f>
        <v>0</v>
      </c>
      <c r="G14" s="495" t="s">
        <v>78</v>
      </c>
      <c r="H14" s="496"/>
      <c r="I14" s="496"/>
      <c r="J14" s="497"/>
      <c r="K14" s="110"/>
      <c r="L14" s="125" t="str">
        <f>IF($H$9&lt;32,"wysługa (H9) &lt;32 lata","")</f>
        <v>wysługa (H9) &lt;32 lata</v>
      </c>
      <c r="M14" s="28"/>
    </row>
    <row r="15" spans="1:25" ht="22.95" customHeight="1" thickBot="1" x14ac:dyDescent="0.35">
      <c r="A15" s="411"/>
      <c r="B15" s="412"/>
      <c r="C15" s="15">
        <f t="shared" si="0"/>
        <v>0</v>
      </c>
      <c r="D15" s="16">
        <f t="shared" si="1"/>
        <v>0</v>
      </c>
      <c r="E15" s="17">
        <f t="shared" si="2"/>
        <v>0</v>
      </c>
      <c r="G15" s="498" t="s">
        <v>76</v>
      </c>
      <c r="H15" s="499"/>
      <c r="I15" s="499"/>
      <c r="J15" s="500"/>
      <c r="K15" s="293">
        <f>K13+K14</f>
        <v>0</v>
      </c>
      <c r="L15" s="28"/>
      <c r="M15" s="28"/>
    </row>
    <row r="16" spans="1:25" ht="22.95" customHeight="1" thickBot="1" x14ac:dyDescent="0.35">
      <c r="A16" s="411"/>
      <c r="B16" s="412"/>
      <c r="C16" s="15">
        <f t="shared" si="0"/>
        <v>0</v>
      </c>
      <c r="D16" s="16">
        <f t="shared" si="1"/>
        <v>0</v>
      </c>
      <c r="E16" s="17">
        <f t="shared" si="2"/>
        <v>0</v>
      </c>
      <c r="G16" s="501" t="s">
        <v>24</v>
      </c>
      <c r="H16" s="502"/>
      <c r="I16" s="502"/>
      <c r="J16" s="503"/>
      <c r="K16" s="44">
        <f>K5</f>
        <v>0</v>
      </c>
      <c r="M16" s="38"/>
    </row>
    <row r="17" spans="1:14" ht="22.95" customHeight="1" thickBot="1" x14ac:dyDescent="0.35">
      <c r="A17" s="411"/>
      <c r="B17" s="412"/>
      <c r="C17" s="15">
        <f t="shared" si="0"/>
        <v>0</v>
      </c>
      <c r="D17" s="16">
        <f>IF((ISBLANK(A17)=TRUE),0,DATEDIF(A17,B17+1,"YM"))</f>
        <v>0</v>
      </c>
      <c r="E17" s="17">
        <f>IF((ISBLANK(A17)=TRUE),0,DATEDIF(A17,B17+1,"MD"))</f>
        <v>0</v>
      </c>
      <c r="G17" s="529" t="s">
        <v>60</v>
      </c>
      <c r="H17" s="530"/>
      <c r="I17" s="530"/>
      <c r="J17" s="531"/>
      <c r="K17" s="294">
        <f>ROUND(K15*K16,2)</f>
        <v>0</v>
      </c>
      <c r="L17" s="38"/>
      <c r="M17" s="38"/>
    </row>
    <row r="18" spans="1:14" ht="22.95" customHeight="1" x14ac:dyDescent="0.3">
      <c r="A18" s="411"/>
      <c r="B18" s="412"/>
      <c r="C18" s="15">
        <f t="shared" si="0"/>
        <v>0</v>
      </c>
      <c r="D18" s="16">
        <f>IF((ISBLANK(A18)=TRUE),0,DATEDIF(A18,B18+1,"YM"))</f>
        <v>0</v>
      </c>
      <c r="E18" s="17">
        <f>IF((ISBLANK(A18)=TRUE),0,DATEDIF(A18,B18+1,"MD"))</f>
        <v>0</v>
      </c>
      <c r="G18" s="458" t="s">
        <v>62</v>
      </c>
      <c r="H18" s="459"/>
      <c r="I18" s="459"/>
      <c r="J18" s="460"/>
      <c r="K18" s="88">
        <f>MAX(ROUND(K17*$R$1,2),0)</f>
        <v>0</v>
      </c>
      <c r="L18" s="38"/>
      <c r="M18" s="38"/>
    </row>
    <row r="19" spans="1:14" ht="22.95" customHeight="1" thickBot="1" x14ac:dyDescent="0.35">
      <c r="A19" s="411"/>
      <c r="B19" s="412"/>
      <c r="C19" s="15">
        <f t="shared" si="0"/>
        <v>0</v>
      </c>
      <c r="D19" s="16">
        <f t="shared" si="1"/>
        <v>0</v>
      </c>
      <c r="E19" s="17">
        <f t="shared" si="2"/>
        <v>0</v>
      </c>
      <c r="G19" s="507" t="s">
        <v>63</v>
      </c>
      <c r="H19" s="508"/>
      <c r="I19" s="508"/>
      <c r="J19" s="509"/>
      <c r="K19" s="48">
        <f>MAX(ROUND(ROUND(K17,0)*$S$1-$T$1,0),0)</f>
        <v>0</v>
      </c>
      <c r="N19" s="38"/>
    </row>
    <row r="20" spans="1:14" ht="22.95" customHeight="1" thickBot="1" x14ac:dyDescent="0.35">
      <c r="A20" s="411"/>
      <c r="B20" s="412"/>
      <c r="C20" s="15">
        <f t="shared" si="0"/>
        <v>0</v>
      </c>
      <c r="D20" s="16">
        <f t="shared" si="1"/>
        <v>0</v>
      </c>
      <c r="E20" s="17">
        <f t="shared" si="2"/>
        <v>0</v>
      </c>
      <c r="G20" s="448" t="s">
        <v>61</v>
      </c>
      <c r="H20" s="449"/>
      <c r="I20" s="449"/>
      <c r="J20" s="450"/>
      <c r="K20" s="295">
        <f>K17-K18-K19</f>
        <v>0</v>
      </c>
      <c r="N20" s="38"/>
    </row>
    <row r="21" spans="1:14" ht="22.95" customHeight="1" x14ac:dyDescent="0.3">
      <c r="A21" s="411"/>
      <c r="B21" s="412"/>
      <c r="C21" s="15">
        <f t="shared" ref="C21:C23" si="3">IF((ISBLANK(A21)=TRUE),0,DATEDIF(A21,B21+1,"Y"))</f>
        <v>0</v>
      </c>
      <c r="D21" s="16">
        <f t="shared" ref="D21:D23" si="4">IF((ISBLANK(A21)=TRUE),0,DATEDIF(A21,B21+1,"YM"))</f>
        <v>0</v>
      </c>
      <c r="E21" s="17">
        <f t="shared" ref="E21:E23" si="5">IF((ISBLANK(A21)=TRUE),0,DATEDIF(A21,B21+1,"MD"))</f>
        <v>0</v>
      </c>
      <c r="N21" s="38"/>
    </row>
    <row r="22" spans="1:14" ht="19.95" customHeight="1" x14ac:dyDescent="0.3">
      <c r="A22" s="411"/>
      <c r="B22" s="412"/>
      <c r="C22" s="15">
        <f t="shared" si="3"/>
        <v>0</v>
      </c>
      <c r="D22" s="16">
        <f t="shared" si="4"/>
        <v>0</v>
      </c>
      <c r="E22" s="17">
        <f t="shared" si="5"/>
        <v>0</v>
      </c>
      <c r="G22" s="606" t="s">
        <v>176</v>
      </c>
      <c r="H22" s="606"/>
      <c r="I22" s="606"/>
      <c r="J22" s="606"/>
      <c r="K22" s="606"/>
      <c r="N22" s="38"/>
    </row>
    <row r="23" spans="1:14" ht="22.95" customHeight="1" thickBot="1" x14ac:dyDescent="0.35">
      <c r="A23" s="413"/>
      <c r="B23" s="414"/>
      <c r="C23" s="15">
        <f t="shared" si="3"/>
        <v>0</v>
      </c>
      <c r="D23" s="16">
        <f t="shared" si="4"/>
        <v>0</v>
      </c>
      <c r="E23" s="17">
        <f t="shared" si="5"/>
        <v>0</v>
      </c>
      <c r="G23" s="606"/>
      <c r="H23" s="606"/>
      <c r="I23" s="606"/>
      <c r="J23" s="606"/>
      <c r="K23" s="606"/>
    </row>
    <row r="24" spans="1:14" ht="22.95" customHeight="1" thickBot="1" x14ac:dyDescent="0.35">
      <c r="A24" s="473" t="s">
        <v>28</v>
      </c>
      <c r="B24" s="598"/>
      <c r="C24" s="45">
        <f>SUM(C10:C23)+INT((SUM(D10:D23)+INT(SUM(E10:E23)/30))/12)</f>
        <v>0</v>
      </c>
      <c r="D24" s="45">
        <f>MOD(SUM(D10:D21)+INT(SUM(E10:E21)/30),12)</f>
        <v>0</v>
      </c>
      <c r="E24" s="46">
        <f>MOD(SUM(E10:E21),30)</f>
        <v>0</v>
      </c>
      <c r="G24" s="606"/>
      <c r="H24" s="606"/>
      <c r="I24" s="606"/>
      <c r="J24" s="606"/>
      <c r="K24" s="606"/>
    </row>
    <row r="25" spans="1:14" ht="22.95" customHeight="1" x14ac:dyDescent="0.3">
      <c r="G25" s="109"/>
      <c r="H25" s="109"/>
      <c r="I25" s="109"/>
      <c r="J25" s="109"/>
      <c r="K25" s="109"/>
    </row>
    <row r="26" spans="1:14" ht="22.95" customHeight="1" x14ac:dyDescent="0.3">
      <c r="G26" s="452" t="s">
        <v>65</v>
      </c>
      <c r="H26" s="452"/>
      <c r="I26" s="452"/>
      <c r="J26" s="452"/>
      <c r="K26" s="452"/>
    </row>
    <row r="27" spans="1:14" ht="22.95" customHeight="1" x14ac:dyDescent="0.3">
      <c r="G27" s="452"/>
      <c r="H27" s="452"/>
      <c r="I27" s="452"/>
      <c r="J27" s="452"/>
      <c r="K27" s="452"/>
    </row>
    <row r="28" spans="1:14" ht="22.95" customHeight="1" x14ac:dyDescent="0.3">
      <c r="G28" s="452"/>
      <c r="H28" s="452"/>
      <c r="I28" s="452"/>
      <c r="J28" s="452"/>
      <c r="K28" s="452"/>
    </row>
    <row r="29" spans="1:14" ht="22.95" customHeight="1" x14ac:dyDescent="0.3"/>
    <row r="30" spans="1:14" ht="17.399999999999999" customHeight="1" x14ac:dyDescent="0.3"/>
    <row r="31" spans="1:14" ht="15" customHeight="1" x14ac:dyDescent="0.3"/>
    <row r="32" spans="1:14" ht="18.600000000000001" customHeight="1" x14ac:dyDescent="0.3"/>
    <row r="33" ht="14.4" customHeight="1" x14ac:dyDescent="0.3"/>
    <row r="34" ht="14.4" customHeight="1" x14ac:dyDescent="0.3"/>
    <row r="35" ht="31.95" customHeight="1" x14ac:dyDescent="0.3"/>
    <row r="36" ht="14.4" customHeight="1" x14ac:dyDescent="0.3"/>
  </sheetData>
  <sheetProtection algorithmName="SHA-512" hashValue="W2vdD8oPh43UEF0CtGcbXAqETBPnuu7Yom/VlSY7KpyiyuANEYOANUyOscu7saNoXXbxcxXVWSEY6vD+klVY5w==" saltValue="Mo7yYQ7ZIGtcXXWvMJ1OGw==" spinCount="100000" sheet="1" objects="1" scenarios="1"/>
  <mergeCells count="24">
    <mergeCell ref="G15:J15"/>
    <mergeCell ref="G16:J16"/>
    <mergeCell ref="G26:K28"/>
    <mergeCell ref="G8:G9"/>
    <mergeCell ref="G18:J18"/>
    <mergeCell ref="G19:J19"/>
    <mergeCell ref="G20:J20"/>
    <mergeCell ref="G22:K24"/>
    <mergeCell ref="G1:K1"/>
    <mergeCell ref="G11:J11"/>
    <mergeCell ref="G2:K2"/>
    <mergeCell ref="A1:E2"/>
    <mergeCell ref="A24:B24"/>
    <mergeCell ref="A8:E8"/>
    <mergeCell ref="E4:E5"/>
    <mergeCell ref="A3:B3"/>
    <mergeCell ref="A4:B4"/>
    <mergeCell ref="A5:B5"/>
    <mergeCell ref="A7:E7"/>
    <mergeCell ref="H5:J5"/>
    <mergeCell ref="G12:J12"/>
    <mergeCell ref="G13:J13"/>
    <mergeCell ref="G14:J14"/>
    <mergeCell ref="G17:J17"/>
  </mergeCells>
  <conditionalFormatting sqref="K14">
    <cfRule type="expression" dxfId="0" priority="1">
      <formula>$H$9&lt;32</formula>
    </cfRule>
  </conditionalFormatting>
  <dataValidations xWindow="238" yWindow="380" count="2">
    <dataValidation type="date" allowBlank="1" showErrorMessage="1" error="Data musi być późniejsza od 2012-12-31 _x000a_" prompt="Proszę wypenić pole w formacie daty, _x000a_tj.: RRRR-MM-DD, gdzie:_x000a_RRRR - rok_x000a_MM - miesiąc_x000a_DD - dzień" sqref="C4" xr:uid="{00000000-0002-0000-0400-000000000000}">
      <formula1>1</formula1>
      <formula2>402133</formula2>
    </dataValidation>
    <dataValidation type="date" allowBlank="1" showInputMessage="1" showErrorMessage="1" error="Data w formacie RRRR-MM-DD" sqref="A10:B23" xr:uid="{00000000-0002-0000-0400-000001000000}">
      <formula1>1</formula1>
      <formula2>401434</formula2>
    </dataValidation>
  </dataValidations>
  <pageMargins left="0.70866141732283472" right="0.70866141732283472" top="0.59" bottom="0.28000000000000003" header="0.31496062992125984" footer="0.17"/>
  <pageSetup paperSize="9" orientation="landscape" r:id="rId1"/>
  <headerFooter>
    <oddHeader xml:space="preserve">&amp;C&amp;"-,Pogrubiony"KALKULATOR EMERYTALNY </oddHeader>
  </headerFooter>
  <legacyDrawing r:id="rId2"/>
  <extLst>
    <ext xmlns:x14="http://schemas.microsoft.com/office/spreadsheetml/2009/9/main" uri="{CCE6A557-97BC-4b89-ADB6-D9C93CAAB3DF}">
      <x14:dataValidations xmlns:xm="http://schemas.microsoft.com/office/excel/2006/main" xWindow="238" yWindow="380" count="1">
        <x14:dataValidation type="list" allowBlank="1" showInputMessage="1" showErrorMessage="1" xr:uid="{00000000-0002-0000-0400-000002000000}">
          <x14:formula1>
            <xm:f>Roboczy!$B$2:$B$17</xm:f>
          </x14:formula1>
          <xm:sqref>D4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58"/>
  <sheetViews>
    <sheetView topLeftCell="W1" workbookViewId="0">
      <pane ySplit="7" topLeftCell="A26" activePane="bottomLeft" state="frozen"/>
      <selection pane="bottomLeft" activeCell="F32" sqref="F32"/>
    </sheetView>
  </sheetViews>
  <sheetFormatPr defaultRowHeight="14.4" x14ac:dyDescent="0.3"/>
  <cols>
    <col min="1" max="1" width="9.5546875" bestFit="1" customWidth="1"/>
    <col min="2" max="2" width="15.109375" customWidth="1"/>
    <col min="3" max="3" width="16" customWidth="1"/>
    <col min="4" max="4" width="16.88671875" customWidth="1"/>
    <col min="5" max="5" width="15.33203125" customWidth="1"/>
    <col min="6" max="6" width="17.109375" customWidth="1"/>
    <col min="7" max="7" width="13.88671875" customWidth="1"/>
    <col min="8" max="8" width="14.33203125" customWidth="1"/>
    <col min="9" max="9" width="13.5546875" customWidth="1"/>
    <col min="10" max="10" width="13.5546875" hidden="1" customWidth="1"/>
    <col min="11" max="11" width="12.88671875" customWidth="1"/>
    <col min="12" max="12" width="11.88671875" customWidth="1"/>
    <col min="13" max="13" width="13.5546875" hidden="1" customWidth="1"/>
    <col min="14" max="14" width="12" hidden="1" customWidth="1"/>
    <col min="15" max="15" width="15.6640625" hidden="1" customWidth="1"/>
    <col min="16" max="16" width="15.109375" hidden="1" customWidth="1"/>
    <col min="17" max="17" width="14.5546875" customWidth="1"/>
    <col min="18" max="18" width="15.6640625" customWidth="1"/>
    <col min="19" max="19" width="15" customWidth="1"/>
  </cols>
  <sheetData>
    <row r="1" spans="1:19" ht="15" thickBot="1" x14ac:dyDescent="0.35">
      <c r="J1" s="367"/>
      <c r="K1" s="367"/>
    </row>
    <row r="2" spans="1:19" ht="15" thickBot="1" x14ac:dyDescent="0.35">
      <c r="E2" s="378" t="s">
        <v>194</v>
      </c>
      <c r="F2" s="139"/>
      <c r="G2" s="139"/>
      <c r="H2" s="365" t="s">
        <v>100</v>
      </c>
      <c r="J2" s="367"/>
      <c r="K2" s="367"/>
      <c r="L2" s="607" t="s">
        <v>102</v>
      </c>
      <c r="M2" s="608"/>
      <c r="N2" s="608"/>
      <c r="O2" s="608"/>
      <c r="P2" s="608"/>
      <c r="Q2" s="608"/>
      <c r="R2" s="608"/>
      <c r="S2" s="609"/>
    </row>
    <row r="3" spans="1:19" ht="15" thickBot="1" x14ac:dyDescent="0.35">
      <c r="A3" s="141"/>
      <c r="B3" s="142" t="s">
        <v>54</v>
      </c>
      <c r="C3" s="143" t="s">
        <v>7</v>
      </c>
      <c r="D3" s="144" t="s">
        <v>6</v>
      </c>
      <c r="E3" s="145" t="s">
        <v>179</v>
      </c>
      <c r="F3" s="147" t="s">
        <v>181</v>
      </c>
      <c r="G3" s="147" t="s">
        <v>182</v>
      </c>
      <c r="H3" s="147" t="s">
        <v>5</v>
      </c>
      <c r="I3" s="148" t="s">
        <v>190</v>
      </c>
      <c r="J3" s="149"/>
      <c r="L3" s="150" t="s">
        <v>30</v>
      </c>
      <c r="N3" s="368"/>
      <c r="O3" s="368"/>
      <c r="P3" s="368"/>
      <c r="Q3" s="610" t="s">
        <v>103</v>
      </c>
      <c r="R3" s="611"/>
      <c r="S3" s="612"/>
    </row>
    <row r="4" spans="1:19" ht="69.599999999999994" thickBot="1" x14ac:dyDescent="0.35">
      <c r="A4" s="151" t="s">
        <v>104</v>
      </c>
      <c r="B4" s="152" t="s">
        <v>105</v>
      </c>
      <c r="C4" s="153" t="s">
        <v>106</v>
      </c>
      <c r="D4" s="154" t="s">
        <v>107</v>
      </c>
      <c r="E4" s="156" t="s">
        <v>180</v>
      </c>
      <c r="F4" s="157" t="s">
        <v>181</v>
      </c>
      <c r="G4" s="157" t="s">
        <v>182</v>
      </c>
      <c r="H4" s="157" t="s">
        <v>5</v>
      </c>
      <c r="I4" s="364" t="s">
        <v>110</v>
      </c>
      <c r="J4" s="356" t="s">
        <v>111</v>
      </c>
      <c r="L4" s="160"/>
      <c r="M4" s="374" t="s">
        <v>54</v>
      </c>
      <c r="N4" s="162" t="s">
        <v>7</v>
      </c>
      <c r="O4" s="163" t="s">
        <v>6</v>
      </c>
      <c r="P4" s="297" t="s">
        <v>13</v>
      </c>
      <c r="Q4" s="353" t="s">
        <v>2</v>
      </c>
      <c r="R4" s="354" t="s">
        <v>3</v>
      </c>
      <c r="S4" s="355" t="s">
        <v>5</v>
      </c>
    </row>
    <row r="5" spans="1:19" ht="15" customHeight="1" thickBot="1" x14ac:dyDescent="0.35">
      <c r="A5" s="419">
        <v>1</v>
      </c>
      <c r="B5" s="420">
        <v>2</v>
      </c>
      <c r="C5" s="421">
        <v>3</v>
      </c>
      <c r="D5" s="422">
        <v>4</v>
      </c>
      <c r="E5" s="341">
        <v>5</v>
      </c>
      <c r="F5" s="341">
        <v>6</v>
      </c>
      <c r="G5" s="423">
        <v>7</v>
      </c>
      <c r="H5" s="382">
        <v>8</v>
      </c>
      <c r="I5" s="424">
        <v>9</v>
      </c>
      <c r="J5" s="357">
        <v>10</v>
      </c>
      <c r="L5" s="443">
        <v>45658</v>
      </c>
      <c r="M5" s="346">
        <v>9275.09</v>
      </c>
      <c r="N5" s="175">
        <v>9152.27</v>
      </c>
      <c r="O5" s="175">
        <v>9275.09</v>
      </c>
      <c r="P5" s="301">
        <v>10744.54</v>
      </c>
      <c r="Q5" s="444">
        <v>8465.7900000000009</v>
      </c>
      <c r="R5" s="175">
        <v>9584.33</v>
      </c>
      <c r="S5" s="445">
        <v>7676.24</v>
      </c>
    </row>
    <row r="6" spans="1:19" ht="15" customHeight="1" x14ac:dyDescent="0.3">
      <c r="A6" s="429">
        <v>2000</v>
      </c>
      <c r="B6" s="430">
        <v>26241.119999999999</v>
      </c>
      <c r="C6" s="431">
        <v>25441.56</v>
      </c>
      <c r="D6" s="432">
        <v>26459.159999999996</v>
      </c>
      <c r="E6" s="430">
        <v>0</v>
      </c>
      <c r="F6" s="433">
        <v>31692.840000000004</v>
      </c>
      <c r="G6" s="433">
        <v>31692.840000000004</v>
      </c>
      <c r="H6" s="433">
        <v>0</v>
      </c>
      <c r="I6" s="434">
        <v>27331.439999999999</v>
      </c>
      <c r="J6" s="358"/>
      <c r="L6" s="373">
        <v>46023</v>
      </c>
      <c r="M6" s="346">
        <v>9275.09</v>
      </c>
      <c r="N6" s="175">
        <v>9152.27</v>
      </c>
      <c r="O6" s="175">
        <v>9275.09</v>
      </c>
      <c r="P6" s="301">
        <v>10744.54</v>
      </c>
      <c r="Q6" s="446">
        <v>10865.84</v>
      </c>
      <c r="R6" s="351">
        <v>9871.8700000000008</v>
      </c>
      <c r="S6" s="352">
        <v>7906.54</v>
      </c>
    </row>
    <row r="7" spans="1:19" ht="15" customHeight="1" x14ac:dyDescent="0.3">
      <c r="A7" s="435">
        <v>2001</v>
      </c>
      <c r="B7" s="385">
        <v>30190.68</v>
      </c>
      <c r="C7" s="385">
        <v>27375</v>
      </c>
      <c r="D7" s="426">
        <v>30660</v>
      </c>
      <c r="E7" s="425">
        <v>24050.880000000001</v>
      </c>
      <c r="F7" s="184">
        <v>35196.36</v>
      </c>
      <c r="G7" s="184">
        <v>35196.36</v>
      </c>
      <c r="H7" s="184">
        <v>0</v>
      </c>
      <c r="I7" s="436">
        <v>32067.840000000004</v>
      </c>
      <c r="J7" s="359"/>
      <c r="L7" s="371"/>
      <c r="M7" s="347"/>
      <c r="N7" s="187"/>
      <c r="O7" s="187"/>
      <c r="P7" s="303"/>
      <c r="Q7" s="349"/>
      <c r="R7" s="187"/>
      <c r="S7" s="186"/>
    </row>
    <row r="8" spans="1:19" ht="15" customHeight="1" x14ac:dyDescent="0.3">
      <c r="A8" s="435">
        <v>2002</v>
      </c>
      <c r="B8" s="427">
        <v>30190.68</v>
      </c>
      <c r="C8" s="184">
        <v>27375</v>
      </c>
      <c r="D8" s="184">
        <v>30660</v>
      </c>
      <c r="E8" s="425">
        <v>32067.840000000004</v>
      </c>
      <c r="F8" s="184">
        <v>35196.36</v>
      </c>
      <c r="G8" s="184">
        <v>35196.36</v>
      </c>
      <c r="H8" s="184">
        <v>0</v>
      </c>
      <c r="I8" s="436">
        <v>32067.840000000004</v>
      </c>
      <c r="J8" s="360"/>
      <c r="L8" s="370"/>
      <c r="M8" s="345"/>
      <c r="N8" s="181"/>
      <c r="O8" s="181"/>
      <c r="P8" s="299"/>
      <c r="Q8" s="348"/>
      <c r="R8" s="181"/>
      <c r="S8" s="201"/>
    </row>
    <row r="9" spans="1:19" ht="15" customHeight="1" x14ac:dyDescent="0.3">
      <c r="A9" s="435">
        <v>2003</v>
      </c>
      <c r="B9" s="427">
        <v>31398.239999999998</v>
      </c>
      <c r="C9" s="184">
        <v>28469.879999999997</v>
      </c>
      <c r="D9" s="184">
        <v>31886.28</v>
      </c>
      <c r="E9" s="425">
        <v>33350.519999999997</v>
      </c>
      <c r="F9" s="184">
        <v>36604.199999999997</v>
      </c>
      <c r="G9" s="184">
        <v>40345.919999999998</v>
      </c>
      <c r="H9" s="184">
        <v>0</v>
      </c>
      <c r="I9" s="436">
        <v>33350.520000000004</v>
      </c>
      <c r="J9" s="359"/>
      <c r="L9" s="370"/>
      <c r="M9" s="369"/>
      <c r="N9" s="191"/>
      <c r="O9" s="191"/>
      <c r="P9" s="302"/>
      <c r="Q9" s="348"/>
      <c r="R9" s="181"/>
      <c r="S9" s="201"/>
    </row>
    <row r="10" spans="1:19" ht="15" customHeight="1" x14ac:dyDescent="0.3">
      <c r="A10" s="435">
        <v>2004</v>
      </c>
      <c r="B10" s="200">
        <v>32633.37</v>
      </c>
      <c r="C10" s="200">
        <v>29659.17</v>
      </c>
      <c r="D10" s="425">
        <v>33094.17</v>
      </c>
      <c r="E10" s="425">
        <v>34434.75</v>
      </c>
      <c r="F10" s="184">
        <v>37702.32</v>
      </c>
      <c r="G10" s="192">
        <v>41556.239999999998</v>
      </c>
      <c r="H10" s="192">
        <v>0</v>
      </c>
      <c r="I10" s="436">
        <v>34350.959999999999</v>
      </c>
      <c r="J10" s="359"/>
      <c r="L10" s="370"/>
      <c r="M10" s="345"/>
      <c r="N10" s="181"/>
      <c r="O10" s="181"/>
      <c r="P10" s="299"/>
      <c r="Q10" s="348"/>
      <c r="R10" s="181"/>
      <c r="S10" s="201"/>
    </row>
    <row r="11" spans="1:19" ht="15" customHeight="1" x14ac:dyDescent="0.3">
      <c r="A11" s="437">
        <v>2005</v>
      </c>
      <c r="B11" s="427">
        <v>34518.479999999996</v>
      </c>
      <c r="C11" s="184">
        <v>31584.36</v>
      </c>
      <c r="D11" s="184">
        <v>34863.72</v>
      </c>
      <c r="E11" s="385">
        <v>35726.639999999999</v>
      </c>
      <c r="F11" s="192">
        <v>40904.399999999994</v>
      </c>
      <c r="G11" s="184">
        <v>43665.840000000004</v>
      </c>
      <c r="H11" s="184">
        <v>0</v>
      </c>
      <c r="I11" s="436">
        <v>35640.300000000003</v>
      </c>
      <c r="J11" s="359"/>
      <c r="L11" s="370"/>
      <c r="M11" s="345"/>
      <c r="N11" s="181"/>
      <c r="O11" s="181"/>
      <c r="P11" s="299"/>
      <c r="Q11" s="348"/>
      <c r="R11" s="181"/>
      <c r="S11" s="201"/>
    </row>
    <row r="12" spans="1:19" ht="15" customHeight="1" x14ac:dyDescent="0.3">
      <c r="A12" s="437">
        <v>2006</v>
      </c>
      <c r="B12" s="427">
        <v>35561.760000000002</v>
      </c>
      <c r="C12" s="184">
        <v>32583.600000000002</v>
      </c>
      <c r="D12" s="184">
        <v>35912.04</v>
      </c>
      <c r="E12" s="385">
        <v>37313.520000000004</v>
      </c>
      <c r="F12" s="184">
        <v>41517.840000000004</v>
      </c>
      <c r="G12" s="184">
        <v>44320.800000000003</v>
      </c>
      <c r="H12" s="184">
        <v>0</v>
      </c>
      <c r="I12" s="436">
        <v>36963.120000000003</v>
      </c>
      <c r="J12" s="359"/>
      <c r="L12" s="370"/>
      <c r="M12" s="347"/>
      <c r="N12" s="187"/>
      <c r="O12" s="187"/>
      <c r="P12" s="303"/>
      <c r="Q12" s="349"/>
      <c r="R12" s="187"/>
      <c r="S12" s="186"/>
    </row>
    <row r="13" spans="1:19" ht="15" customHeight="1" thickBot="1" x14ac:dyDescent="0.35">
      <c r="A13" s="437">
        <v>2007</v>
      </c>
      <c r="B13" s="427">
        <v>38189.399999999994</v>
      </c>
      <c r="C13" s="184">
        <v>35386.559999999998</v>
      </c>
      <c r="D13" s="184">
        <v>38539.800000000003</v>
      </c>
      <c r="E13" s="385">
        <v>39941.279999999999</v>
      </c>
      <c r="F13" s="184">
        <v>51152.759999999995</v>
      </c>
      <c r="G13" s="184">
        <v>58685.520000000004</v>
      </c>
      <c r="H13" s="184">
        <v>28718.37</v>
      </c>
      <c r="I13" s="436">
        <v>39590.879999999997</v>
      </c>
      <c r="J13" s="359"/>
      <c r="L13" s="372"/>
      <c r="M13" s="345"/>
      <c r="N13" s="181"/>
      <c r="O13" s="181"/>
      <c r="P13" s="299"/>
      <c r="Q13" s="282"/>
      <c r="R13" s="283"/>
      <c r="S13" s="350"/>
    </row>
    <row r="14" spans="1:19" x14ac:dyDescent="0.3">
      <c r="A14" s="437">
        <v>2008</v>
      </c>
      <c r="B14" s="427">
        <v>44444.159999999996</v>
      </c>
      <c r="C14" s="184">
        <v>42472.92</v>
      </c>
      <c r="D14" s="184">
        <v>44802.600000000006</v>
      </c>
      <c r="E14" s="385">
        <v>46236.24</v>
      </c>
      <c r="F14" s="184">
        <v>59856.240000000005</v>
      </c>
      <c r="G14" s="184">
        <v>60931.56</v>
      </c>
      <c r="H14" s="184">
        <v>69891.03</v>
      </c>
      <c r="I14" s="436">
        <v>40501.56</v>
      </c>
      <c r="J14" s="359"/>
    </row>
    <row r="15" spans="1:19" x14ac:dyDescent="0.3">
      <c r="A15" s="437">
        <v>2009</v>
      </c>
      <c r="B15" s="427">
        <v>48440.639999999999</v>
      </c>
      <c r="C15" s="184">
        <v>47343.840000000004</v>
      </c>
      <c r="D15" s="184">
        <v>48806.159999999996</v>
      </c>
      <c r="E15" s="385">
        <v>50451.360000000001</v>
      </c>
      <c r="F15" s="184">
        <v>62150.28</v>
      </c>
      <c r="G15" s="184">
        <v>69644.759999999995</v>
      </c>
      <c r="H15" s="184">
        <v>63978.240000000005</v>
      </c>
      <c r="I15" s="436">
        <v>41311.68</v>
      </c>
      <c r="J15" s="359"/>
    </row>
    <row r="16" spans="1:19" x14ac:dyDescent="0.3">
      <c r="A16" s="437">
        <v>2010</v>
      </c>
      <c r="B16" s="427">
        <v>48440.639999999999</v>
      </c>
      <c r="C16" s="184">
        <v>47343.840000000004</v>
      </c>
      <c r="D16" s="184">
        <v>48806.159999999996</v>
      </c>
      <c r="E16" s="385">
        <v>50451.360000000001</v>
      </c>
      <c r="F16" s="184">
        <v>62150.28</v>
      </c>
      <c r="G16" s="184">
        <v>69644.759999999995</v>
      </c>
      <c r="H16" s="184">
        <v>63978.240000000005</v>
      </c>
      <c r="I16" s="436">
        <v>41311.68</v>
      </c>
      <c r="J16" s="359"/>
    </row>
    <row r="17" spans="1:13" x14ac:dyDescent="0.3">
      <c r="A17" s="437">
        <v>2011</v>
      </c>
      <c r="B17" s="427">
        <v>48440.639999999999</v>
      </c>
      <c r="C17" s="184">
        <v>47343.840000000004</v>
      </c>
      <c r="D17" s="184">
        <v>48806.159999999996</v>
      </c>
      <c r="E17" s="385">
        <v>50451.360000000001</v>
      </c>
      <c r="F17" s="184">
        <v>62150.28</v>
      </c>
      <c r="G17" s="184">
        <v>69644.759999999995</v>
      </c>
      <c r="H17" s="184">
        <v>63978.240000000005</v>
      </c>
      <c r="I17" s="436">
        <v>41311.68</v>
      </c>
      <c r="J17" s="359"/>
    </row>
    <row r="18" spans="1:13" x14ac:dyDescent="0.3">
      <c r="A18" s="438">
        <v>2012</v>
      </c>
      <c r="B18" s="184">
        <v>50451.360000000001</v>
      </c>
      <c r="C18" s="200">
        <v>48349.2</v>
      </c>
      <c r="D18" s="200">
        <v>49811.55</v>
      </c>
      <c r="E18" s="425">
        <v>51456.72</v>
      </c>
      <c r="F18" s="184">
        <v>62150.28</v>
      </c>
      <c r="G18" s="192">
        <v>69644.759999999995</v>
      </c>
      <c r="H18" s="192">
        <v>63978.240000000005</v>
      </c>
      <c r="I18" s="436">
        <v>46429.919999999998</v>
      </c>
      <c r="J18" s="359"/>
    </row>
    <row r="19" spans="1:13" x14ac:dyDescent="0.3">
      <c r="A19" s="437">
        <v>2013</v>
      </c>
      <c r="B19" s="427">
        <v>52462.080000000002</v>
      </c>
      <c r="C19" s="184">
        <v>51365.279999999999</v>
      </c>
      <c r="D19" s="184">
        <v>52827.72</v>
      </c>
      <c r="E19" s="385">
        <v>54472.799999999996</v>
      </c>
      <c r="F19" s="184">
        <v>62150.28</v>
      </c>
      <c r="G19" s="184">
        <v>69644.759999999995</v>
      </c>
      <c r="H19" s="184">
        <v>63978.240000000005</v>
      </c>
      <c r="I19" s="436">
        <v>51548.160000000003</v>
      </c>
      <c r="J19" s="359"/>
    </row>
    <row r="20" spans="1:13" x14ac:dyDescent="0.3">
      <c r="A20" s="437">
        <v>2014</v>
      </c>
      <c r="B20" s="427">
        <v>52462.080000000002</v>
      </c>
      <c r="C20" s="184">
        <v>51365.279999999999</v>
      </c>
      <c r="D20" s="184">
        <v>52827.72</v>
      </c>
      <c r="E20" s="385">
        <v>54472.799999999996</v>
      </c>
      <c r="F20" s="184">
        <v>62150.28</v>
      </c>
      <c r="G20" s="184">
        <v>69644.759999999995</v>
      </c>
      <c r="H20" s="184">
        <v>63978.240000000005</v>
      </c>
      <c r="I20" s="436">
        <v>51548.160000000003</v>
      </c>
      <c r="J20" s="359"/>
    </row>
    <row r="21" spans="1:13" x14ac:dyDescent="0.3">
      <c r="A21" s="437">
        <v>2015</v>
      </c>
      <c r="B21" s="427">
        <v>52462.080000000002</v>
      </c>
      <c r="C21" s="184">
        <v>51365.279999999999</v>
      </c>
      <c r="D21" s="184">
        <v>52827.72</v>
      </c>
      <c r="E21" s="385">
        <v>54472.799999999996</v>
      </c>
      <c r="F21" s="184">
        <v>62150.28</v>
      </c>
      <c r="G21" s="184">
        <v>69644.759999999995</v>
      </c>
      <c r="H21" s="184">
        <v>63978.240000000005</v>
      </c>
      <c r="I21" s="436">
        <v>51548.160000000003</v>
      </c>
      <c r="J21" s="359"/>
    </row>
    <row r="22" spans="1:13" x14ac:dyDescent="0.3">
      <c r="A22" s="437">
        <v>2016</v>
      </c>
      <c r="B22" s="427">
        <v>55021.200000000004</v>
      </c>
      <c r="C22" s="184">
        <v>53924.520000000004</v>
      </c>
      <c r="D22" s="184">
        <v>55386.84</v>
      </c>
      <c r="E22" s="385">
        <v>57214.799999999996</v>
      </c>
      <c r="F22" s="184">
        <v>65806.080000000002</v>
      </c>
      <c r="G22" s="184">
        <v>79881.36</v>
      </c>
      <c r="H22" s="184">
        <v>63978.240000000005</v>
      </c>
      <c r="I22" s="436">
        <v>53924.520000000004</v>
      </c>
      <c r="J22" s="359"/>
    </row>
    <row r="23" spans="1:13" x14ac:dyDescent="0.3">
      <c r="A23" s="439">
        <v>2017</v>
      </c>
      <c r="B23" s="427">
        <v>58311.600000000006</v>
      </c>
      <c r="C23" s="184">
        <v>57214.799999999996</v>
      </c>
      <c r="D23" s="184">
        <v>58677.120000000003</v>
      </c>
      <c r="E23" s="385">
        <v>60505.08</v>
      </c>
      <c r="F23" s="184">
        <v>65806.080000000002</v>
      </c>
      <c r="G23" s="184">
        <v>79881.36</v>
      </c>
      <c r="H23" s="184">
        <v>63978.240000000005</v>
      </c>
      <c r="I23" s="436">
        <v>58494.36</v>
      </c>
      <c r="J23" s="359"/>
    </row>
    <row r="24" spans="1:13" x14ac:dyDescent="0.3">
      <c r="A24" s="438">
        <v>2018</v>
      </c>
      <c r="B24" s="199">
        <v>59408.32</v>
      </c>
      <c r="C24" s="199">
        <v>58311.519999999997</v>
      </c>
      <c r="D24" s="199">
        <v>59530.16</v>
      </c>
      <c r="E24" s="200">
        <v>68791.8</v>
      </c>
      <c r="F24" s="200">
        <v>70558.799999999988</v>
      </c>
      <c r="G24" s="184">
        <v>79881.36</v>
      </c>
      <c r="H24" s="184">
        <v>63978.240000000005</v>
      </c>
      <c r="I24" s="436">
        <v>58494.36</v>
      </c>
      <c r="J24" s="359"/>
    </row>
    <row r="25" spans="1:13" x14ac:dyDescent="0.3">
      <c r="A25" s="437">
        <v>2019</v>
      </c>
      <c r="B25" s="427">
        <v>67816.92</v>
      </c>
      <c r="C25" s="184">
        <v>66720.12</v>
      </c>
      <c r="D25" s="184">
        <v>67816.92</v>
      </c>
      <c r="E25" s="184">
        <v>80795.28</v>
      </c>
      <c r="F25" s="184">
        <v>70558.799999999988</v>
      </c>
      <c r="G25" s="184">
        <v>79881.36</v>
      </c>
      <c r="H25" s="184">
        <v>63978.240000000005</v>
      </c>
      <c r="I25" s="436">
        <v>66354.48</v>
      </c>
      <c r="J25" s="359"/>
    </row>
    <row r="26" spans="1:13" x14ac:dyDescent="0.3">
      <c r="A26" s="437">
        <v>2020</v>
      </c>
      <c r="B26" s="427">
        <v>73823.64</v>
      </c>
      <c r="C26" s="184">
        <v>72738.600000000006</v>
      </c>
      <c r="D26" s="184">
        <v>73823.64</v>
      </c>
      <c r="E26" s="184">
        <v>86805.72</v>
      </c>
      <c r="F26" s="184">
        <v>74792.399999999994</v>
      </c>
      <c r="G26" s="184">
        <v>84674.4</v>
      </c>
      <c r="H26" s="184">
        <v>67817.040000000008</v>
      </c>
      <c r="I26" s="436">
        <v>73842.959999999992</v>
      </c>
      <c r="J26" s="359"/>
    </row>
    <row r="27" spans="1:13" x14ac:dyDescent="0.3">
      <c r="A27" s="437">
        <v>2021</v>
      </c>
      <c r="B27" s="427">
        <v>73823.64</v>
      </c>
      <c r="C27" s="184">
        <v>72738.600000000006</v>
      </c>
      <c r="D27" s="184">
        <v>73823.64</v>
      </c>
      <c r="E27" s="184">
        <v>86805.72</v>
      </c>
      <c r="F27" s="184">
        <v>74792.399999999994</v>
      </c>
      <c r="G27" s="184">
        <v>84674.4</v>
      </c>
      <c r="H27" s="184">
        <v>67817.040000000008</v>
      </c>
      <c r="I27" s="436">
        <v>73842.959999999992</v>
      </c>
      <c r="J27" s="359"/>
    </row>
    <row r="28" spans="1:13" x14ac:dyDescent="0.3">
      <c r="A28" s="437">
        <v>2022</v>
      </c>
      <c r="B28" s="427">
        <v>81942.240000000005</v>
      </c>
      <c r="C28" s="184">
        <v>80857.200000000012</v>
      </c>
      <c r="D28" s="184">
        <v>81942.240000000005</v>
      </c>
      <c r="E28" s="184">
        <v>94924.44</v>
      </c>
      <c r="F28" s="184">
        <v>74792.399999999994</v>
      </c>
      <c r="G28" s="184">
        <v>84674.4</v>
      </c>
      <c r="H28" s="184">
        <v>67817.040000000008</v>
      </c>
      <c r="I28" s="436">
        <v>81961.680000000008</v>
      </c>
      <c r="J28" s="361"/>
      <c r="K28" s="202"/>
      <c r="L28" s="202"/>
      <c r="M28" s="202"/>
    </row>
    <row r="29" spans="1:13" x14ac:dyDescent="0.3">
      <c r="A29" s="438">
        <v>2023</v>
      </c>
      <c r="B29" s="184">
        <v>87268.739999999991</v>
      </c>
      <c r="C29" s="184">
        <v>86113.099999999991</v>
      </c>
      <c r="D29" s="184">
        <v>87268.739999999991</v>
      </c>
      <c r="E29" s="200">
        <v>101094.74</v>
      </c>
      <c r="F29" s="184">
        <v>79654.099999999991</v>
      </c>
      <c r="G29" s="184">
        <v>90178.4</v>
      </c>
      <c r="H29" s="200">
        <v>72225.240000000005</v>
      </c>
      <c r="I29" s="436">
        <v>90770.68</v>
      </c>
      <c r="J29" s="359"/>
    </row>
    <row r="30" spans="1:13" x14ac:dyDescent="0.3">
      <c r="A30" s="437">
        <v>2024</v>
      </c>
      <c r="B30" s="184">
        <v>106000.92</v>
      </c>
      <c r="C30" s="184">
        <v>104597.28</v>
      </c>
      <c r="D30" s="184">
        <v>106000.92</v>
      </c>
      <c r="E30" s="184">
        <v>122794.56</v>
      </c>
      <c r="F30" s="184">
        <v>96751.799999999988</v>
      </c>
      <c r="G30" s="184">
        <v>109535.04000000001</v>
      </c>
      <c r="H30" s="184">
        <v>87728.4</v>
      </c>
      <c r="I30" s="436">
        <v>111039</v>
      </c>
      <c r="J30" s="359"/>
    </row>
    <row r="31" spans="1:13" x14ac:dyDescent="0.3">
      <c r="A31" s="437">
        <v>2025</v>
      </c>
      <c r="B31" s="184">
        <v>111301.08</v>
      </c>
      <c r="C31" s="184">
        <v>109827.24</v>
      </c>
      <c r="D31" s="184">
        <v>111301.08</v>
      </c>
      <c r="E31" s="184">
        <v>128934.48000000001</v>
      </c>
      <c r="F31" s="184">
        <v>101589.48000000001</v>
      </c>
      <c r="G31" s="184">
        <v>115011.95999999999</v>
      </c>
      <c r="H31" s="184">
        <v>92114.880000000005</v>
      </c>
      <c r="I31" s="436">
        <v>116591.04000000001</v>
      </c>
      <c r="J31" s="359"/>
    </row>
    <row r="32" spans="1:13" x14ac:dyDescent="0.3">
      <c r="A32" s="441">
        <v>2026</v>
      </c>
      <c r="B32" s="205">
        <v>114640.20000000001</v>
      </c>
      <c r="C32" s="205">
        <v>113122.20000000001</v>
      </c>
      <c r="D32" s="205">
        <v>114640.20000000001</v>
      </c>
      <c r="E32" s="205">
        <v>132802.68</v>
      </c>
      <c r="F32" s="447">
        <v>130390.08</v>
      </c>
      <c r="G32" s="205">
        <v>118462.44</v>
      </c>
      <c r="H32" s="428">
        <v>94878.48</v>
      </c>
      <c r="I32" s="440">
        <v>120088.92</v>
      </c>
      <c r="J32" s="362"/>
    </row>
    <row r="33" spans="1:10" x14ac:dyDescent="0.3">
      <c r="A33" s="441">
        <v>2027</v>
      </c>
      <c r="B33" s="205"/>
      <c r="C33" s="205"/>
      <c r="D33" s="205"/>
      <c r="E33" s="205"/>
      <c r="F33" s="205"/>
      <c r="G33" s="205"/>
      <c r="H33" s="205"/>
      <c r="I33" s="207"/>
      <c r="J33" s="362"/>
    </row>
    <row r="34" spans="1:10" x14ac:dyDescent="0.3">
      <c r="A34" s="441">
        <v>2028</v>
      </c>
      <c r="B34" s="205"/>
      <c r="C34" s="205"/>
      <c r="D34" s="205"/>
      <c r="E34" s="205"/>
      <c r="F34" s="205"/>
      <c r="G34" s="205"/>
      <c r="H34" s="205"/>
      <c r="I34" s="207"/>
      <c r="J34" s="362"/>
    </row>
    <row r="35" spans="1:10" x14ac:dyDescent="0.3">
      <c r="A35" s="441">
        <v>2029</v>
      </c>
      <c r="B35" s="205"/>
      <c r="C35" s="205"/>
      <c r="D35" s="205"/>
      <c r="E35" s="205"/>
      <c r="F35" s="205"/>
      <c r="G35" s="205"/>
      <c r="H35" s="205"/>
      <c r="I35" s="207"/>
      <c r="J35" s="362"/>
    </row>
    <row r="36" spans="1:10" ht="15" thickBot="1" x14ac:dyDescent="0.35">
      <c r="A36" s="442">
        <v>2030</v>
      </c>
      <c r="B36" s="209"/>
      <c r="C36" s="209"/>
      <c r="D36" s="209"/>
      <c r="E36" s="209"/>
      <c r="F36" s="209"/>
      <c r="G36" s="209"/>
      <c r="H36" s="209"/>
      <c r="I36" s="211"/>
      <c r="J36" s="363"/>
    </row>
    <row r="50" spans="1:1" x14ac:dyDescent="0.3">
      <c r="A50" s="287" t="s">
        <v>54</v>
      </c>
    </row>
    <row r="51" spans="1:1" x14ac:dyDescent="0.3">
      <c r="A51" s="287" t="s">
        <v>7</v>
      </c>
    </row>
    <row r="52" spans="1:1" x14ac:dyDescent="0.3">
      <c r="A52" s="287" t="s">
        <v>6</v>
      </c>
    </row>
    <row r="53" spans="1:1" x14ac:dyDescent="0.3">
      <c r="A53" s="287" t="s">
        <v>13</v>
      </c>
    </row>
    <row r="54" spans="1:1" x14ac:dyDescent="0.3">
      <c r="A54" s="287" t="s">
        <v>4</v>
      </c>
    </row>
    <row r="55" spans="1:1" x14ac:dyDescent="0.3">
      <c r="A55" s="287" t="s">
        <v>179</v>
      </c>
    </row>
    <row r="56" spans="1:1" x14ac:dyDescent="0.3">
      <c r="A56" s="287" t="s">
        <v>181</v>
      </c>
    </row>
    <row r="57" spans="1:1" x14ac:dyDescent="0.3">
      <c r="A57" s="287" t="s">
        <v>182</v>
      </c>
    </row>
    <row r="58" spans="1:1" x14ac:dyDescent="0.3">
      <c r="A58" s="287" t="s">
        <v>5</v>
      </c>
    </row>
  </sheetData>
  <sheetProtection algorithmName="SHA-512" hashValue="GV+lKb+TzXzebYyiqWHORYForbKY96m4DQpiKN8d7Np87xbg5D0R5mP7JnVFNM6wVUja4L+IuJFrawikTq/CAg==" saltValue="3klcgZnmt5r1kxi/ngRTwA==" spinCount="100000" sheet="1" objects="1" scenarios="1"/>
  <mergeCells count="2">
    <mergeCell ref="L2:S2"/>
    <mergeCell ref="Q3:S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58"/>
  <sheetViews>
    <sheetView workbookViewId="0">
      <pane xSplit="1" ySplit="5" topLeftCell="B6" activePane="bottomRight" state="frozen"/>
      <selection pane="topRight" activeCell="B1" sqref="B1"/>
      <selection pane="bottomLeft" activeCell="A6" sqref="A6"/>
      <selection pane="bottomRight" activeCell="F6" sqref="F6:G10"/>
    </sheetView>
  </sheetViews>
  <sheetFormatPr defaultRowHeight="14.4" x14ac:dyDescent="0.3"/>
  <cols>
    <col min="1" max="1" width="9.5546875" bestFit="1" customWidth="1"/>
    <col min="2" max="2" width="15.109375" customWidth="1"/>
    <col min="3" max="3" width="16" customWidth="1"/>
    <col min="4" max="4" width="16.88671875" customWidth="1"/>
    <col min="5" max="5" width="16.44140625" customWidth="1"/>
    <col min="6" max="7" width="15.33203125" customWidth="1"/>
    <col min="8" max="8" width="17.109375" customWidth="1"/>
    <col min="9" max="9" width="13.88671875" customWidth="1"/>
    <col min="10" max="10" width="14.33203125" customWidth="1"/>
    <col min="11" max="11" width="13.6640625" customWidth="1"/>
    <col min="12" max="13" width="13.5546875" customWidth="1"/>
    <col min="14" max="14" width="12.88671875" customWidth="1"/>
    <col min="15" max="15" width="11.88671875" customWidth="1"/>
    <col min="16" max="16" width="13.5546875" customWidth="1"/>
    <col min="17" max="17" width="12" customWidth="1"/>
    <col min="18" max="18" width="15.6640625" customWidth="1"/>
    <col min="19" max="19" width="15.109375" customWidth="1"/>
    <col min="20" max="20" width="14.5546875" customWidth="1"/>
    <col min="21" max="21" width="15.6640625" customWidth="1"/>
    <col min="22" max="22" width="15" customWidth="1"/>
  </cols>
  <sheetData>
    <row r="1" spans="1:22" ht="15" thickBot="1" x14ac:dyDescent="0.35">
      <c r="F1" s="378" t="s">
        <v>194</v>
      </c>
      <c r="M1" s="136" t="s">
        <v>46</v>
      </c>
      <c r="N1" s="136" t="s">
        <v>96</v>
      </c>
    </row>
    <row r="2" spans="1:22" ht="15" thickBot="1" x14ac:dyDescent="0.35">
      <c r="E2" s="137" t="s">
        <v>97</v>
      </c>
      <c r="F2" s="366" t="s">
        <v>98</v>
      </c>
      <c r="G2" s="138"/>
      <c r="H2" s="139" t="s">
        <v>99</v>
      </c>
      <c r="I2" s="139" t="s">
        <v>99</v>
      </c>
      <c r="J2" s="139" t="s">
        <v>193</v>
      </c>
      <c r="K2" s="140" t="s">
        <v>96</v>
      </c>
      <c r="M2" s="136" t="s">
        <v>101</v>
      </c>
      <c r="N2" s="136" t="s">
        <v>99</v>
      </c>
      <c r="O2" s="607" t="s">
        <v>102</v>
      </c>
      <c r="P2" s="608"/>
      <c r="Q2" s="608"/>
      <c r="R2" s="608"/>
      <c r="S2" s="608"/>
      <c r="T2" s="608"/>
      <c r="U2" s="608"/>
      <c r="V2" s="609"/>
    </row>
    <row r="3" spans="1:22" ht="15" thickBot="1" x14ac:dyDescent="0.35">
      <c r="A3" s="141"/>
      <c r="B3" s="142" t="s">
        <v>54</v>
      </c>
      <c r="C3" s="143" t="s">
        <v>7</v>
      </c>
      <c r="D3" s="144" t="s">
        <v>6</v>
      </c>
      <c r="E3" s="145" t="s">
        <v>13</v>
      </c>
      <c r="F3" s="146" t="s">
        <v>4</v>
      </c>
      <c r="G3" s="286" t="s">
        <v>179</v>
      </c>
      <c r="H3" s="147" t="s">
        <v>2</v>
      </c>
      <c r="I3" s="147" t="s">
        <v>3</v>
      </c>
      <c r="J3" s="147" t="s">
        <v>5</v>
      </c>
      <c r="K3" s="147" t="s">
        <v>46</v>
      </c>
      <c r="L3" s="148" t="s">
        <v>190</v>
      </c>
      <c r="M3" s="149" t="s">
        <v>12</v>
      </c>
      <c r="O3" s="150" t="s">
        <v>30</v>
      </c>
      <c r="P3" s="610" t="s">
        <v>103</v>
      </c>
      <c r="Q3" s="611"/>
      <c r="R3" s="611"/>
      <c r="S3" s="611"/>
      <c r="T3" s="613"/>
      <c r="U3" s="613"/>
      <c r="V3" s="614"/>
    </row>
    <row r="4" spans="1:22" ht="69.599999999999994" thickBot="1" x14ac:dyDescent="0.35">
      <c r="A4" s="151" t="s">
        <v>104</v>
      </c>
      <c r="B4" s="152" t="s">
        <v>105</v>
      </c>
      <c r="C4" s="153" t="s">
        <v>106</v>
      </c>
      <c r="D4" s="154" t="s">
        <v>107</v>
      </c>
      <c r="E4" s="155" t="s">
        <v>108</v>
      </c>
      <c r="F4" s="156" t="s">
        <v>109</v>
      </c>
      <c r="G4" s="156" t="s">
        <v>180</v>
      </c>
      <c r="H4" s="157" t="s">
        <v>2</v>
      </c>
      <c r="I4" s="157" t="s">
        <v>3</v>
      </c>
      <c r="J4" s="157" t="s">
        <v>5</v>
      </c>
      <c r="K4" s="157" t="s">
        <v>46</v>
      </c>
      <c r="L4" s="158" t="s">
        <v>110</v>
      </c>
      <c r="M4" s="159" t="s">
        <v>111</v>
      </c>
      <c r="O4" s="160"/>
      <c r="P4" s="161" t="s">
        <v>54</v>
      </c>
      <c r="Q4" s="162" t="s">
        <v>7</v>
      </c>
      <c r="R4" s="163" t="s">
        <v>6</v>
      </c>
      <c r="S4" s="297" t="s">
        <v>13</v>
      </c>
      <c r="T4" s="304" t="s">
        <v>2</v>
      </c>
      <c r="U4" s="305" t="s">
        <v>3</v>
      </c>
      <c r="V4" s="306" t="s">
        <v>5</v>
      </c>
    </row>
    <row r="5" spans="1:22" ht="15" customHeight="1" thickBot="1" x14ac:dyDescent="0.35">
      <c r="A5" s="164">
        <v>1</v>
      </c>
      <c r="B5" s="165">
        <v>2</v>
      </c>
      <c r="C5" s="166">
        <v>3</v>
      </c>
      <c r="D5" s="167">
        <v>4</v>
      </c>
      <c r="E5" s="168">
        <v>5</v>
      </c>
      <c r="F5" s="169">
        <v>6</v>
      </c>
      <c r="G5" s="341">
        <v>7</v>
      </c>
      <c r="H5" s="170">
        <v>7</v>
      </c>
      <c r="I5" s="171">
        <v>8</v>
      </c>
      <c r="J5" s="171">
        <v>9</v>
      </c>
      <c r="K5" s="171">
        <v>10</v>
      </c>
      <c r="L5" s="172">
        <v>11</v>
      </c>
      <c r="M5" s="173">
        <v>12</v>
      </c>
      <c r="O5" s="279">
        <v>45658</v>
      </c>
      <c r="P5" s="280">
        <v>9275.09</v>
      </c>
      <c r="Q5" s="280">
        <v>9152.27</v>
      </c>
      <c r="R5" s="280">
        <v>9275.09</v>
      </c>
      <c r="S5" s="298">
        <v>10744.54</v>
      </c>
      <c r="T5" s="318">
        <v>8465.7900000000009</v>
      </c>
      <c r="U5" s="319">
        <v>9584.33</v>
      </c>
      <c r="V5" s="320">
        <v>7676.24</v>
      </c>
    </row>
    <row r="6" spans="1:22" ht="15" customHeight="1" x14ac:dyDescent="0.3">
      <c r="A6" s="393">
        <v>2000</v>
      </c>
      <c r="B6" s="176">
        <v>30190.68</v>
      </c>
      <c r="C6" s="177">
        <v>25441.56</v>
      </c>
      <c r="D6" s="379">
        <v>26459.159999999996</v>
      </c>
      <c r="E6" s="387">
        <v>0</v>
      </c>
      <c r="F6" s="395">
        <v>0</v>
      </c>
      <c r="G6" s="396">
        <f>F6</f>
        <v>0</v>
      </c>
      <c r="H6" s="336"/>
      <c r="I6" s="178"/>
      <c r="J6" s="178">
        <v>0</v>
      </c>
      <c r="K6" s="178">
        <v>31692.840000000004</v>
      </c>
      <c r="L6" s="178">
        <v>27331.439999999999</v>
      </c>
      <c r="M6" s="179"/>
      <c r="O6" s="281"/>
      <c r="P6" s="181"/>
      <c r="Q6" s="181"/>
      <c r="R6" s="181"/>
      <c r="S6" s="299"/>
      <c r="T6" s="307"/>
      <c r="U6" s="181"/>
      <c r="V6" s="308"/>
    </row>
    <row r="7" spans="1:22" ht="15" customHeight="1" thickBot="1" x14ac:dyDescent="0.35">
      <c r="A7" s="394">
        <v>2001</v>
      </c>
      <c r="B7" s="182">
        <v>30190.68</v>
      </c>
      <c r="C7" s="183">
        <v>27375</v>
      </c>
      <c r="D7" s="380">
        <v>30660</v>
      </c>
      <c r="E7" s="185">
        <v>0</v>
      </c>
      <c r="F7" s="389">
        <v>24050.880000000001</v>
      </c>
      <c r="G7" s="384">
        <v>24050.880000000001</v>
      </c>
      <c r="H7" s="337"/>
      <c r="I7" s="184"/>
      <c r="J7" s="184">
        <v>0</v>
      </c>
      <c r="K7" s="184">
        <v>35196.36</v>
      </c>
      <c r="L7" s="184">
        <v>32067.840000000004</v>
      </c>
      <c r="M7" s="186"/>
      <c r="N7" t="s">
        <v>192</v>
      </c>
      <c r="O7" s="282"/>
      <c r="P7" s="283"/>
      <c r="Q7" s="283"/>
      <c r="R7" s="283"/>
      <c r="S7" s="300"/>
      <c r="T7" s="309"/>
      <c r="U7" s="283"/>
      <c r="V7" s="310"/>
    </row>
    <row r="8" spans="1:22" ht="15" customHeight="1" x14ac:dyDescent="0.3">
      <c r="A8" s="394">
        <v>2002</v>
      </c>
      <c r="B8" s="188">
        <v>30190.68</v>
      </c>
      <c r="C8" s="184">
        <v>27375</v>
      </c>
      <c r="D8" s="333">
        <v>30660</v>
      </c>
      <c r="E8" s="185">
        <v>0</v>
      </c>
      <c r="F8" s="389">
        <v>32067.840000000004</v>
      </c>
      <c r="G8" s="384">
        <f t="shared" ref="G8:G23" si="0">F8</f>
        <v>32067.840000000004</v>
      </c>
      <c r="H8" s="391">
        <v>17793.72</v>
      </c>
      <c r="I8" s="189">
        <v>17793.72</v>
      </c>
      <c r="J8" s="189">
        <v>0</v>
      </c>
      <c r="K8" s="189">
        <v>17402.64</v>
      </c>
      <c r="L8" s="184">
        <v>32067.840000000004</v>
      </c>
      <c r="M8" s="190"/>
      <c r="N8" s="202">
        <f>H8+K8</f>
        <v>35196.36</v>
      </c>
      <c r="O8" s="174"/>
      <c r="P8" s="175"/>
      <c r="Q8" s="175"/>
      <c r="R8" s="175"/>
      <c r="S8" s="301"/>
      <c r="T8" s="311"/>
      <c r="U8" s="175"/>
      <c r="V8" s="312"/>
    </row>
    <row r="9" spans="1:22" ht="15" customHeight="1" x14ac:dyDescent="0.3">
      <c r="A9" s="394">
        <v>2003</v>
      </c>
      <c r="B9" s="188">
        <v>31398.239999999998</v>
      </c>
      <c r="C9" s="184">
        <v>28469.879999999997</v>
      </c>
      <c r="D9" s="333">
        <v>31886.28</v>
      </c>
      <c r="E9" s="185">
        <v>0</v>
      </c>
      <c r="F9" s="389">
        <v>33350.519999999997</v>
      </c>
      <c r="G9" s="384">
        <f t="shared" si="0"/>
        <v>33350.519999999997</v>
      </c>
      <c r="H9" s="337">
        <v>36604.199999999997</v>
      </c>
      <c r="I9" s="184">
        <v>40345.919999999998</v>
      </c>
      <c r="J9" s="184">
        <v>0</v>
      </c>
      <c r="K9" s="184">
        <v>0</v>
      </c>
      <c r="L9" s="184">
        <v>33350.520000000004</v>
      </c>
      <c r="M9" s="186"/>
      <c r="O9" s="180"/>
      <c r="P9" s="191"/>
      <c r="Q9" s="191"/>
      <c r="R9" s="191"/>
      <c r="S9" s="302"/>
      <c r="T9" s="307"/>
      <c r="U9" s="181"/>
      <c r="V9" s="308"/>
    </row>
    <row r="10" spans="1:22" ht="15" customHeight="1" x14ac:dyDescent="0.3">
      <c r="A10" s="394">
        <v>2004</v>
      </c>
      <c r="B10" s="185">
        <v>33219.870000000003</v>
      </c>
      <c r="C10" s="184">
        <v>30329.43</v>
      </c>
      <c r="D10" s="333">
        <v>33596.910000000003</v>
      </c>
      <c r="E10" s="185">
        <v>0</v>
      </c>
      <c r="F10" s="389">
        <v>34434.75</v>
      </c>
      <c r="G10" s="384">
        <f t="shared" si="0"/>
        <v>34434.75</v>
      </c>
      <c r="H10" s="337">
        <v>37702.32</v>
      </c>
      <c r="I10" s="192">
        <v>41556.239999999998</v>
      </c>
      <c r="J10" s="192">
        <v>0</v>
      </c>
      <c r="K10" s="184">
        <v>0</v>
      </c>
      <c r="L10" s="184">
        <v>34350.959999999999</v>
      </c>
      <c r="M10" s="186"/>
      <c r="O10" s="180"/>
      <c r="P10" s="181"/>
      <c r="Q10" s="181"/>
      <c r="R10" s="181"/>
      <c r="S10" s="299"/>
      <c r="T10" s="307"/>
      <c r="U10" s="181"/>
      <c r="V10" s="308"/>
    </row>
    <row r="11" spans="1:22" ht="15" customHeight="1" x14ac:dyDescent="0.3">
      <c r="A11" s="193">
        <v>2005</v>
      </c>
      <c r="B11" s="188">
        <v>34518.479999999996</v>
      </c>
      <c r="C11" s="184">
        <v>31584.36</v>
      </c>
      <c r="D11" s="333">
        <v>34863.72</v>
      </c>
      <c r="E11" s="185">
        <v>0</v>
      </c>
      <c r="F11" s="386">
        <v>35726.639999999999</v>
      </c>
      <c r="G11" s="383">
        <f t="shared" si="0"/>
        <v>35726.639999999999</v>
      </c>
      <c r="H11" s="338">
        <v>40904.399999999994</v>
      </c>
      <c r="I11" s="184">
        <v>43665.840000000004</v>
      </c>
      <c r="J11" s="184">
        <v>0</v>
      </c>
      <c r="K11" s="184">
        <v>0</v>
      </c>
      <c r="L11" s="184">
        <v>35640.300000000003</v>
      </c>
      <c r="M11" s="186"/>
      <c r="O11" s="180"/>
      <c r="P11" s="181"/>
      <c r="Q11" s="181"/>
      <c r="R11" s="181"/>
      <c r="S11" s="299"/>
      <c r="T11" s="307"/>
      <c r="U11" s="181"/>
      <c r="V11" s="308"/>
    </row>
    <row r="12" spans="1:22" ht="15" customHeight="1" x14ac:dyDescent="0.3">
      <c r="A12" s="194">
        <v>2006</v>
      </c>
      <c r="B12" s="188">
        <v>35561.760000000002</v>
      </c>
      <c r="C12" s="184">
        <v>32583.600000000002</v>
      </c>
      <c r="D12" s="333">
        <v>35912.04</v>
      </c>
      <c r="E12" s="185">
        <v>0</v>
      </c>
      <c r="F12" s="333">
        <v>37313.520000000004</v>
      </c>
      <c r="G12" s="383">
        <f t="shared" si="0"/>
        <v>37313.520000000004</v>
      </c>
      <c r="H12" s="337">
        <v>41517.840000000004</v>
      </c>
      <c r="I12" s="184">
        <v>44320.800000000003</v>
      </c>
      <c r="J12" s="184">
        <v>0</v>
      </c>
      <c r="K12" s="184">
        <v>0</v>
      </c>
      <c r="L12" s="184">
        <v>36963.120000000003</v>
      </c>
      <c r="M12" s="186"/>
      <c r="O12" s="180"/>
      <c r="P12" s="187"/>
      <c r="Q12" s="187"/>
      <c r="R12" s="187"/>
      <c r="S12" s="303"/>
      <c r="T12" s="313"/>
      <c r="U12" s="187"/>
      <c r="V12" s="314"/>
    </row>
    <row r="13" spans="1:22" ht="15" customHeight="1" thickBot="1" x14ac:dyDescent="0.35">
      <c r="A13" s="194">
        <v>2007</v>
      </c>
      <c r="B13" s="188">
        <v>38189.399999999994</v>
      </c>
      <c r="C13" s="184">
        <v>35386.559999999998</v>
      </c>
      <c r="D13" s="333">
        <v>38539.800000000003</v>
      </c>
      <c r="E13" s="185">
        <v>0</v>
      </c>
      <c r="F13" s="333">
        <v>39941.279999999999</v>
      </c>
      <c r="G13" s="383">
        <f t="shared" si="0"/>
        <v>39941.279999999999</v>
      </c>
      <c r="H13" s="337">
        <v>51152.759999999995</v>
      </c>
      <c r="I13" s="184">
        <v>58685.520000000004</v>
      </c>
      <c r="J13" s="200">
        <v>28718.34</v>
      </c>
      <c r="K13" s="184">
        <v>0</v>
      </c>
      <c r="L13" s="184">
        <v>39590.879999999997</v>
      </c>
      <c r="M13" s="186"/>
      <c r="O13" s="187"/>
      <c r="P13" s="181"/>
      <c r="Q13" s="181"/>
      <c r="R13" s="181"/>
      <c r="S13" s="299"/>
      <c r="T13" s="315"/>
      <c r="U13" s="316"/>
      <c r="V13" s="317"/>
    </row>
    <row r="14" spans="1:22" x14ac:dyDescent="0.3">
      <c r="A14" s="194">
        <v>2008</v>
      </c>
      <c r="B14" s="188">
        <v>44444.159999999996</v>
      </c>
      <c r="C14" s="184">
        <v>42472.92</v>
      </c>
      <c r="D14" s="333">
        <v>44802.600000000006</v>
      </c>
      <c r="E14" s="185">
        <v>0</v>
      </c>
      <c r="F14" s="333">
        <v>46236.24</v>
      </c>
      <c r="G14" s="383">
        <f t="shared" si="0"/>
        <v>46236.24</v>
      </c>
      <c r="H14" s="337">
        <v>59856.240000000005</v>
      </c>
      <c r="I14" s="184">
        <v>60931.56</v>
      </c>
      <c r="J14" s="184">
        <v>69891.03</v>
      </c>
      <c r="K14" s="184">
        <v>0</v>
      </c>
      <c r="L14" s="184">
        <v>40501.56</v>
      </c>
      <c r="M14" s="186"/>
    </row>
    <row r="15" spans="1:22" x14ac:dyDescent="0.3">
      <c r="A15" s="194">
        <v>2009</v>
      </c>
      <c r="B15" s="188">
        <v>48440.639999999999</v>
      </c>
      <c r="C15" s="184">
        <v>47343.840000000004</v>
      </c>
      <c r="D15" s="333">
        <v>48806.159999999996</v>
      </c>
      <c r="E15" s="185">
        <v>0</v>
      </c>
      <c r="F15" s="333">
        <v>50451.360000000001</v>
      </c>
      <c r="G15" s="383">
        <f t="shared" si="0"/>
        <v>50451.360000000001</v>
      </c>
      <c r="H15" s="337">
        <v>62150.28</v>
      </c>
      <c r="I15" s="184">
        <v>69644.759999999995</v>
      </c>
      <c r="J15" s="184">
        <v>63978.240000000005</v>
      </c>
      <c r="K15" s="184">
        <v>0</v>
      </c>
      <c r="L15" s="184">
        <v>41311.68</v>
      </c>
      <c r="M15" s="186"/>
    </row>
    <row r="16" spans="1:22" x14ac:dyDescent="0.3">
      <c r="A16" s="194">
        <v>2010</v>
      </c>
      <c r="B16" s="188">
        <v>48440.639999999999</v>
      </c>
      <c r="C16" s="184">
        <v>47343.840000000004</v>
      </c>
      <c r="D16" s="333">
        <v>48806.159999999996</v>
      </c>
      <c r="E16" s="185">
        <v>0</v>
      </c>
      <c r="F16" s="333">
        <v>50451.360000000001</v>
      </c>
      <c r="G16" s="383">
        <f t="shared" si="0"/>
        <v>50451.360000000001</v>
      </c>
      <c r="H16" s="337">
        <v>62150.28</v>
      </c>
      <c r="I16" s="184">
        <v>69644.759999999995</v>
      </c>
      <c r="J16" s="184">
        <v>63978.240000000005</v>
      </c>
      <c r="K16" s="184">
        <v>0</v>
      </c>
      <c r="L16" s="184">
        <v>41311.68</v>
      </c>
      <c r="M16" s="186"/>
    </row>
    <row r="17" spans="1:16" x14ac:dyDescent="0.3">
      <c r="A17" s="194">
        <v>2011</v>
      </c>
      <c r="B17" s="188">
        <v>48440.639999999999</v>
      </c>
      <c r="C17" s="184">
        <v>47343.840000000004</v>
      </c>
      <c r="D17" s="333">
        <v>48806.159999999996</v>
      </c>
      <c r="E17" s="185">
        <v>0</v>
      </c>
      <c r="F17" s="333">
        <v>50451.360000000001</v>
      </c>
      <c r="G17" s="383">
        <f t="shared" si="0"/>
        <v>50451.360000000001</v>
      </c>
      <c r="H17" s="337">
        <v>62150.28</v>
      </c>
      <c r="I17" s="184">
        <v>69644.759999999995</v>
      </c>
      <c r="J17" s="184">
        <v>63978.240000000005</v>
      </c>
      <c r="K17" s="184">
        <v>0</v>
      </c>
      <c r="L17" s="184">
        <v>41311.68</v>
      </c>
      <c r="M17" s="186"/>
    </row>
    <row r="18" spans="1:16" x14ac:dyDescent="0.3">
      <c r="A18" s="195">
        <v>2012</v>
      </c>
      <c r="B18" s="185">
        <v>50451.360000000001</v>
      </c>
      <c r="C18" s="184">
        <v>49354.559999999998</v>
      </c>
      <c r="D18" s="333">
        <v>50816.94</v>
      </c>
      <c r="E18" s="185">
        <v>0</v>
      </c>
      <c r="F18" s="389">
        <v>51456.72</v>
      </c>
      <c r="G18" s="384">
        <v>51456.72</v>
      </c>
      <c r="H18" s="337">
        <v>62150.28</v>
      </c>
      <c r="I18" s="192">
        <v>69644.759999999995</v>
      </c>
      <c r="J18" s="192">
        <v>63978.240000000005</v>
      </c>
      <c r="K18" s="184">
        <v>0</v>
      </c>
      <c r="L18" s="184">
        <v>46429.919999999998</v>
      </c>
      <c r="M18" s="186"/>
    </row>
    <row r="19" spans="1:16" x14ac:dyDescent="0.3">
      <c r="A19" s="194">
        <v>2013</v>
      </c>
      <c r="B19" s="188">
        <v>52462.080000000002</v>
      </c>
      <c r="C19" s="184">
        <v>51365.279999999999</v>
      </c>
      <c r="D19" s="333">
        <v>52827.72</v>
      </c>
      <c r="E19" s="185">
        <v>0</v>
      </c>
      <c r="F19" s="333">
        <v>54472.799999999996</v>
      </c>
      <c r="G19" s="383">
        <f t="shared" si="0"/>
        <v>54472.799999999996</v>
      </c>
      <c r="H19" s="337">
        <v>62150.28</v>
      </c>
      <c r="I19" s="184">
        <v>69644.759999999995</v>
      </c>
      <c r="J19" s="184">
        <v>63978.240000000005</v>
      </c>
      <c r="K19" s="184">
        <v>0</v>
      </c>
      <c r="L19" s="184">
        <v>51548.160000000003</v>
      </c>
      <c r="M19" s="186"/>
    </row>
    <row r="20" spans="1:16" x14ac:dyDescent="0.3">
      <c r="A20" s="194">
        <v>2014</v>
      </c>
      <c r="B20" s="188">
        <v>52462.080000000002</v>
      </c>
      <c r="C20" s="184">
        <v>51365.279999999999</v>
      </c>
      <c r="D20" s="333">
        <v>52827.72</v>
      </c>
      <c r="E20" s="185">
        <v>0</v>
      </c>
      <c r="F20" s="333">
        <v>54472.799999999996</v>
      </c>
      <c r="G20" s="383">
        <f t="shared" si="0"/>
        <v>54472.799999999996</v>
      </c>
      <c r="H20" s="337">
        <v>62150.28</v>
      </c>
      <c r="I20" s="184">
        <v>69644.759999999995</v>
      </c>
      <c r="J20" s="184">
        <v>63978.240000000005</v>
      </c>
      <c r="K20" s="184">
        <v>0</v>
      </c>
      <c r="L20" s="184">
        <v>51548.160000000003</v>
      </c>
      <c r="M20" s="186"/>
    </row>
    <row r="21" spans="1:16" x14ac:dyDescent="0.3">
      <c r="A21" s="194">
        <v>2015</v>
      </c>
      <c r="B21" s="188">
        <v>52462.080000000002</v>
      </c>
      <c r="C21" s="184">
        <v>51365.279999999999</v>
      </c>
      <c r="D21" s="333">
        <v>52827.72</v>
      </c>
      <c r="E21" s="185">
        <v>0</v>
      </c>
      <c r="F21" s="333">
        <v>54472.799999999996</v>
      </c>
      <c r="G21" s="383">
        <f t="shared" si="0"/>
        <v>54472.799999999996</v>
      </c>
      <c r="H21" s="337">
        <v>62150.28</v>
      </c>
      <c r="I21" s="184">
        <v>69644.759999999995</v>
      </c>
      <c r="J21" s="184">
        <v>63978.240000000005</v>
      </c>
      <c r="K21" s="184">
        <v>0</v>
      </c>
      <c r="L21" s="184">
        <v>51548.160000000003</v>
      </c>
      <c r="M21" s="186"/>
    </row>
    <row r="22" spans="1:16" x14ac:dyDescent="0.3">
      <c r="A22" s="196">
        <v>2016</v>
      </c>
      <c r="B22" s="188">
        <v>55021.200000000004</v>
      </c>
      <c r="C22" s="184">
        <v>53924.520000000004</v>
      </c>
      <c r="D22" s="333">
        <v>55386.84</v>
      </c>
      <c r="E22" s="185">
        <v>0</v>
      </c>
      <c r="F22" s="333">
        <v>57214.799999999996</v>
      </c>
      <c r="G22" s="383">
        <f t="shared" si="0"/>
        <v>57214.799999999996</v>
      </c>
      <c r="H22" s="337">
        <v>65806.080000000002</v>
      </c>
      <c r="I22" s="184">
        <v>79881.36</v>
      </c>
      <c r="J22" s="184">
        <v>63978.240000000005</v>
      </c>
      <c r="K22" s="184">
        <v>0</v>
      </c>
      <c r="L22" s="184">
        <v>53924.520000000004</v>
      </c>
      <c r="M22" s="186"/>
    </row>
    <row r="23" spans="1:16" x14ac:dyDescent="0.3">
      <c r="A23" s="197">
        <v>2017</v>
      </c>
      <c r="B23" s="188">
        <v>58311.600000000006</v>
      </c>
      <c r="C23" s="184">
        <v>57214.799999999996</v>
      </c>
      <c r="D23" s="333">
        <v>58677.120000000003</v>
      </c>
      <c r="E23" s="185">
        <v>0</v>
      </c>
      <c r="F23" s="333">
        <v>60505.08</v>
      </c>
      <c r="G23" s="383">
        <f t="shared" si="0"/>
        <v>60505.08</v>
      </c>
      <c r="H23" s="337">
        <v>65806.080000000002</v>
      </c>
      <c r="I23" s="184">
        <v>79881.36</v>
      </c>
      <c r="J23" s="184">
        <v>63978.240000000005</v>
      </c>
      <c r="K23" s="184">
        <v>0</v>
      </c>
      <c r="L23" s="184">
        <v>58494.36</v>
      </c>
      <c r="M23" s="186"/>
      <c r="N23" t="s">
        <v>56</v>
      </c>
    </row>
    <row r="24" spans="1:16" x14ac:dyDescent="0.3">
      <c r="A24" s="195">
        <v>2018</v>
      </c>
      <c r="B24" s="198">
        <v>59408.32</v>
      </c>
      <c r="C24" s="199">
        <v>58311.519999999997</v>
      </c>
      <c r="D24" s="381">
        <v>59530.16</v>
      </c>
      <c r="E24" s="388">
        <v>63749.71</v>
      </c>
      <c r="F24" s="390">
        <v>5042.09</v>
      </c>
      <c r="G24" s="392">
        <f>E24+F24</f>
        <v>68791.8</v>
      </c>
      <c r="H24" s="337">
        <v>70558.799999999988</v>
      </c>
      <c r="I24" s="184">
        <v>79881.36</v>
      </c>
      <c r="J24" s="184">
        <v>63978.240000000005</v>
      </c>
      <c r="K24" s="184">
        <v>0</v>
      </c>
      <c r="L24" s="184">
        <v>58494.36</v>
      </c>
      <c r="M24" s="186"/>
      <c r="N24" s="202">
        <f>E24+F24</f>
        <v>68791.8</v>
      </c>
    </row>
    <row r="25" spans="1:16" x14ac:dyDescent="0.3">
      <c r="A25" s="194">
        <v>2019</v>
      </c>
      <c r="B25" s="188">
        <v>67816.92</v>
      </c>
      <c r="C25" s="184">
        <v>66720.12</v>
      </c>
      <c r="D25" s="333">
        <v>67816.92</v>
      </c>
      <c r="E25" s="185">
        <v>80795.28</v>
      </c>
      <c r="F25" s="333">
        <v>0</v>
      </c>
      <c r="G25" s="342">
        <v>80795.28</v>
      </c>
      <c r="H25" s="337">
        <v>70558.799999999988</v>
      </c>
      <c r="I25" s="184">
        <v>79881.36</v>
      </c>
      <c r="J25" s="184">
        <v>63978.240000000005</v>
      </c>
      <c r="K25" s="184">
        <v>0</v>
      </c>
      <c r="L25" s="184">
        <v>66354.48</v>
      </c>
      <c r="M25" s="186"/>
    </row>
    <row r="26" spans="1:16" x14ac:dyDescent="0.3">
      <c r="A26" s="194">
        <v>2020</v>
      </c>
      <c r="B26" s="188">
        <v>73823.64</v>
      </c>
      <c r="C26" s="184">
        <v>72738.600000000006</v>
      </c>
      <c r="D26" s="333">
        <v>73823.64</v>
      </c>
      <c r="E26" s="185">
        <v>86805.72</v>
      </c>
      <c r="F26" s="333">
        <v>0</v>
      </c>
      <c r="G26" s="342">
        <v>86805.72</v>
      </c>
      <c r="H26" s="337">
        <v>74792.399999999994</v>
      </c>
      <c r="I26" s="184">
        <v>84674.4</v>
      </c>
      <c r="J26" s="184">
        <v>67817.040000000008</v>
      </c>
      <c r="K26" s="184">
        <v>0</v>
      </c>
      <c r="L26" s="184">
        <v>73842.959999999992</v>
      </c>
      <c r="M26" s="186"/>
    </row>
    <row r="27" spans="1:16" x14ac:dyDescent="0.3">
      <c r="A27" s="194">
        <v>2021</v>
      </c>
      <c r="B27" s="188">
        <v>73823.64</v>
      </c>
      <c r="C27" s="184">
        <v>72738.600000000006</v>
      </c>
      <c r="D27" s="333">
        <v>73823.64</v>
      </c>
      <c r="E27" s="185">
        <v>86805.72</v>
      </c>
      <c r="F27" s="333">
        <v>0</v>
      </c>
      <c r="G27" s="342">
        <v>86805.72</v>
      </c>
      <c r="H27" s="337">
        <v>74792.399999999994</v>
      </c>
      <c r="I27" s="184">
        <v>84674.4</v>
      </c>
      <c r="J27" s="184">
        <v>67817.040000000008</v>
      </c>
      <c r="K27" s="184">
        <v>0</v>
      </c>
      <c r="L27" s="184">
        <v>73842.959999999992</v>
      </c>
      <c r="M27" s="186"/>
    </row>
    <row r="28" spans="1:16" x14ac:dyDescent="0.3">
      <c r="A28" s="194">
        <v>2022</v>
      </c>
      <c r="B28" s="188">
        <v>81942.240000000005</v>
      </c>
      <c r="C28" s="184">
        <v>80857.200000000012</v>
      </c>
      <c r="D28" s="333">
        <v>81942.240000000005</v>
      </c>
      <c r="E28" s="185">
        <v>94924.44</v>
      </c>
      <c r="F28" s="333">
        <v>0</v>
      </c>
      <c r="G28" s="342">
        <v>94924.44</v>
      </c>
      <c r="H28" s="337">
        <v>74792.399999999994</v>
      </c>
      <c r="I28" s="184">
        <v>84674.4</v>
      </c>
      <c r="J28" s="184">
        <v>67817.040000000008</v>
      </c>
      <c r="K28" s="184">
        <v>0</v>
      </c>
      <c r="L28" s="184">
        <v>81961.680000000008</v>
      </c>
      <c r="M28" s="201"/>
      <c r="N28" s="202"/>
      <c r="O28" s="202"/>
      <c r="P28" s="202"/>
    </row>
    <row r="29" spans="1:16" x14ac:dyDescent="0.3">
      <c r="A29" s="194">
        <v>2023</v>
      </c>
      <c r="B29" s="185">
        <v>87268.739999999991</v>
      </c>
      <c r="C29" s="184">
        <v>86113.099999999991</v>
      </c>
      <c r="D29" s="333">
        <v>87268.739999999991</v>
      </c>
      <c r="E29" s="342">
        <v>101094.74</v>
      </c>
      <c r="F29" s="333">
        <v>0</v>
      </c>
      <c r="G29" s="342">
        <v>101094.74</v>
      </c>
      <c r="H29" s="337">
        <v>79654.099999999991</v>
      </c>
      <c r="I29" s="184">
        <v>90178.4</v>
      </c>
      <c r="J29" s="333">
        <v>72225.240000000005</v>
      </c>
      <c r="K29" s="184">
        <v>0</v>
      </c>
      <c r="L29" s="184">
        <v>90770.68</v>
      </c>
      <c r="M29" s="186"/>
    </row>
    <row r="30" spans="1:16" x14ac:dyDescent="0.3">
      <c r="A30" s="194">
        <v>2024</v>
      </c>
      <c r="B30" s="185">
        <v>106000.92</v>
      </c>
      <c r="C30" s="184">
        <v>104597.28</v>
      </c>
      <c r="D30" s="333">
        <v>106000.92</v>
      </c>
      <c r="E30" s="185">
        <v>122794.56</v>
      </c>
      <c r="F30" s="333">
        <v>0</v>
      </c>
      <c r="G30" s="342">
        <v>122794.56</v>
      </c>
      <c r="H30" s="337">
        <v>96751.799999999988</v>
      </c>
      <c r="I30" s="184">
        <v>109535.04000000001</v>
      </c>
      <c r="J30" s="184">
        <v>87728.4</v>
      </c>
      <c r="K30" s="184">
        <v>0</v>
      </c>
      <c r="L30" s="184">
        <v>111039</v>
      </c>
      <c r="M30" s="186"/>
    </row>
    <row r="31" spans="1:16" x14ac:dyDescent="0.3">
      <c r="A31" s="195">
        <v>2025</v>
      </c>
      <c r="B31" s="185">
        <v>111301.08</v>
      </c>
      <c r="C31" s="184">
        <v>109827.24</v>
      </c>
      <c r="D31" s="333">
        <v>111301.08</v>
      </c>
      <c r="E31" s="185">
        <v>128934.48000000001</v>
      </c>
      <c r="F31" s="333">
        <v>0</v>
      </c>
      <c r="G31" s="342">
        <v>128934.48000000001</v>
      </c>
      <c r="H31" s="337">
        <v>101589.48000000001</v>
      </c>
      <c r="I31" s="184">
        <v>115011.95999999999</v>
      </c>
      <c r="J31" s="184">
        <v>92114.880000000005</v>
      </c>
      <c r="K31" s="184">
        <v>0</v>
      </c>
      <c r="L31" s="184">
        <v>116591.04000000001</v>
      </c>
      <c r="M31" s="186"/>
    </row>
    <row r="32" spans="1:16" x14ac:dyDescent="0.3">
      <c r="A32" s="203">
        <v>2026</v>
      </c>
      <c r="B32" s="204"/>
      <c r="C32" s="205"/>
      <c r="D32" s="334"/>
      <c r="E32" s="204"/>
      <c r="F32" s="334"/>
      <c r="G32" s="343"/>
      <c r="H32" s="339"/>
      <c r="I32" s="205"/>
      <c r="J32" s="205"/>
      <c r="K32" s="205"/>
      <c r="L32" s="206"/>
      <c r="M32" s="207"/>
    </row>
    <row r="33" spans="1:13" x14ac:dyDescent="0.3">
      <c r="A33" s="203">
        <v>2027</v>
      </c>
      <c r="B33" s="204"/>
      <c r="C33" s="205"/>
      <c r="D33" s="334"/>
      <c r="E33" s="204"/>
      <c r="F33" s="334"/>
      <c r="G33" s="343"/>
      <c r="H33" s="339"/>
      <c r="I33" s="205"/>
      <c r="J33" s="205"/>
      <c r="K33" s="205"/>
      <c r="L33" s="206"/>
      <c r="M33" s="207"/>
    </row>
    <row r="34" spans="1:13" x14ac:dyDescent="0.3">
      <c r="A34" s="203">
        <v>2028</v>
      </c>
      <c r="B34" s="204"/>
      <c r="C34" s="205"/>
      <c r="D34" s="334"/>
      <c r="E34" s="204"/>
      <c r="F34" s="334"/>
      <c r="G34" s="343"/>
      <c r="H34" s="339"/>
      <c r="I34" s="205"/>
      <c r="J34" s="205"/>
      <c r="K34" s="205"/>
      <c r="L34" s="206"/>
      <c r="M34" s="207"/>
    </row>
    <row r="35" spans="1:13" x14ac:dyDescent="0.3">
      <c r="A35" s="203">
        <v>2029</v>
      </c>
      <c r="B35" s="204"/>
      <c r="C35" s="205"/>
      <c r="D35" s="334"/>
      <c r="E35" s="204"/>
      <c r="F35" s="334"/>
      <c r="G35" s="343"/>
      <c r="H35" s="339"/>
      <c r="I35" s="205"/>
      <c r="J35" s="205"/>
      <c r="K35" s="205"/>
      <c r="L35" s="206"/>
      <c r="M35" s="207"/>
    </row>
    <row r="36" spans="1:13" ht="15" thickBot="1" x14ac:dyDescent="0.35">
      <c r="A36" s="203">
        <v>2030</v>
      </c>
      <c r="B36" s="208"/>
      <c r="C36" s="209"/>
      <c r="D36" s="335"/>
      <c r="E36" s="208"/>
      <c r="F36" s="335"/>
      <c r="G36" s="344"/>
      <c r="H36" s="340"/>
      <c r="I36" s="209"/>
      <c r="J36" s="209"/>
      <c r="K36" s="209"/>
      <c r="L36" s="210"/>
      <c r="M36" s="211"/>
    </row>
    <row r="50" spans="1:1" x14ac:dyDescent="0.3">
      <c r="A50" s="287" t="s">
        <v>54</v>
      </c>
    </row>
    <row r="51" spans="1:1" x14ac:dyDescent="0.3">
      <c r="A51" s="287" t="s">
        <v>7</v>
      </c>
    </row>
    <row r="52" spans="1:1" x14ac:dyDescent="0.3">
      <c r="A52" s="287" t="s">
        <v>6</v>
      </c>
    </row>
    <row r="53" spans="1:1" x14ac:dyDescent="0.3">
      <c r="A53" s="287" t="s">
        <v>13</v>
      </c>
    </row>
    <row r="54" spans="1:1" x14ac:dyDescent="0.3">
      <c r="A54" s="287" t="s">
        <v>4</v>
      </c>
    </row>
    <row r="55" spans="1:1" x14ac:dyDescent="0.3">
      <c r="A55" s="287" t="s">
        <v>179</v>
      </c>
    </row>
    <row r="56" spans="1:1" x14ac:dyDescent="0.3">
      <c r="A56" s="287" t="s">
        <v>181</v>
      </c>
    </row>
    <row r="57" spans="1:1" x14ac:dyDescent="0.3">
      <c r="A57" s="287" t="s">
        <v>182</v>
      </c>
    </row>
    <row r="58" spans="1:1" x14ac:dyDescent="0.3">
      <c r="A58" s="287" t="s">
        <v>5</v>
      </c>
    </row>
  </sheetData>
  <sheetProtection algorithmName="SHA-512" hashValue="OZg1zQxcCx6ZHsFadz2JaF9iJPHJZA30dWFhrHlaz2yqHpV8eLLbL8Zr0Gy66gdahrIxM7S4UYCYwzZXTBVyJw==" saltValue="J0HI59VuUNWjWh/bpHolXQ==" spinCount="100000" sheet="1" objects="1" scenarios="1"/>
  <mergeCells count="2">
    <mergeCell ref="O2:V2"/>
    <mergeCell ref="P3:V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29"/>
  <sheetViews>
    <sheetView workbookViewId="0">
      <selection activeCell="A7" sqref="A1:XFD1048576"/>
    </sheetView>
  </sheetViews>
  <sheetFormatPr defaultColWidth="8.88671875" defaultRowHeight="14.4" x14ac:dyDescent="0.3"/>
  <cols>
    <col min="1" max="2" width="24.88671875" style="113" customWidth="1"/>
    <col min="3" max="3" width="28.6640625" style="113" customWidth="1"/>
    <col min="4" max="5" width="8.88671875" style="113"/>
    <col min="6" max="6" width="16.33203125" style="113" customWidth="1"/>
    <col min="7" max="8" width="8.88671875" style="113"/>
    <col min="9" max="9" width="15.33203125" style="113" customWidth="1"/>
    <col min="10" max="16384" width="8.88671875" style="113"/>
  </cols>
  <sheetData>
    <row r="1" spans="1:10" x14ac:dyDescent="0.3">
      <c r="I1" s="255" t="s">
        <v>55</v>
      </c>
    </row>
    <row r="2" spans="1:10" x14ac:dyDescent="0.3">
      <c r="A2" s="256" t="s">
        <v>2</v>
      </c>
      <c r="B2" s="256" t="s">
        <v>2</v>
      </c>
      <c r="C2" s="256" t="s">
        <v>2</v>
      </c>
    </row>
    <row r="3" spans="1:10" x14ac:dyDescent="0.3">
      <c r="A3" s="256" t="s">
        <v>3</v>
      </c>
      <c r="B3" s="256" t="s">
        <v>3</v>
      </c>
      <c r="C3" s="256" t="s">
        <v>3</v>
      </c>
      <c r="F3" s="113" t="s">
        <v>37</v>
      </c>
      <c r="G3" s="113">
        <v>1</v>
      </c>
    </row>
    <row r="4" spans="1:10" x14ac:dyDescent="0.3">
      <c r="A4" s="256" t="s">
        <v>4</v>
      </c>
      <c r="B4" s="256" t="s">
        <v>4</v>
      </c>
      <c r="C4" s="256" t="s">
        <v>4</v>
      </c>
      <c r="F4" s="113" t="s">
        <v>35</v>
      </c>
      <c r="G4" s="113">
        <v>2</v>
      </c>
      <c r="I4" s="113" t="s">
        <v>56</v>
      </c>
    </row>
    <row r="5" spans="1:10" x14ac:dyDescent="0.3">
      <c r="A5" s="256" t="s">
        <v>5</v>
      </c>
      <c r="B5" s="256" t="s">
        <v>5</v>
      </c>
      <c r="C5" s="256" t="s">
        <v>19</v>
      </c>
      <c r="D5" s="256" t="s">
        <v>19</v>
      </c>
      <c r="F5" s="256" t="s">
        <v>36</v>
      </c>
      <c r="G5" s="113">
        <v>3</v>
      </c>
      <c r="I5" s="113" t="s">
        <v>6</v>
      </c>
      <c r="J5" s="113" t="s">
        <v>6</v>
      </c>
    </row>
    <row r="6" spans="1:10" x14ac:dyDescent="0.3">
      <c r="A6" s="256" t="s">
        <v>19</v>
      </c>
      <c r="B6" s="256" t="s">
        <v>19</v>
      </c>
      <c r="C6" s="256" t="s">
        <v>5</v>
      </c>
      <c r="D6" s="256" t="s">
        <v>11</v>
      </c>
      <c r="F6" s="256" t="s">
        <v>38</v>
      </c>
      <c r="G6" s="113">
        <v>4</v>
      </c>
      <c r="I6" s="113" t="s">
        <v>7</v>
      </c>
      <c r="J6" s="113" t="s">
        <v>7</v>
      </c>
    </row>
    <row r="7" spans="1:10" x14ac:dyDescent="0.3">
      <c r="A7" s="256" t="s">
        <v>11</v>
      </c>
      <c r="B7" s="256" t="s">
        <v>11</v>
      </c>
      <c r="C7" s="256" t="s">
        <v>11</v>
      </c>
      <c r="I7" s="113" t="s">
        <v>54</v>
      </c>
      <c r="J7" s="113" t="s">
        <v>54</v>
      </c>
    </row>
    <row r="8" spans="1:10" x14ac:dyDescent="0.3">
      <c r="A8" s="256" t="s">
        <v>6</v>
      </c>
      <c r="B8" s="256" t="s">
        <v>6</v>
      </c>
      <c r="C8" s="256" t="s">
        <v>6</v>
      </c>
      <c r="J8" s="113" t="s">
        <v>13</v>
      </c>
    </row>
    <row r="9" spans="1:10" x14ac:dyDescent="0.3">
      <c r="A9" s="256" t="s">
        <v>7</v>
      </c>
      <c r="B9" s="256" t="s">
        <v>7</v>
      </c>
      <c r="C9" s="256" t="s">
        <v>7</v>
      </c>
      <c r="F9" s="256" t="s">
        <v>36</v>
      </c>
      <c r="G9" s="113" t="s">
        <v>41</v>
      </c>
    </row>
    <row r="10" spans="1:10" x14ac:dyDescent="0.3">
      <c r="A10" s="256" t="s">
        <v>1</v>
      </c>
      <c r="B10" s="256" t="s">
        <v>1</v>
      </c>
      <c r="C10" s="256" t="s">
        <v>1</v>
      </c>
      <c r="F10" s="113" t="s">
        <v>35</v>
      </c>
      <c r="G10" s="113" t="s">
        <v>42</v>
      </c>
    </row>
    <row r="11" spans="1:10" x14ac:dyDescent="0.3">
      <c r="A11" s="256" t="s">
        <v>13</v>
      </c>
      <c r="B11" s="256" t="s">
        <v>58</v>
      </c>
      <c r="C11" s="256" t="s">
        <v>13</v>
      </c>
      <c r="F11" s="113" t="s">
        <v>40</v>
      </c>
      <c r="G11" s="113" t="s">
        <v>43</v>
      </c>
    </row>
    <row r="12" spans="1:10" x14ac:dyDescent="0.3">
      <c r="A12" s="256" t="s">
        <v>9</v>
      </c>
      <c r="B12" s="256" t="s">
        <v>9</v>
      </c>
      <c r="C12" s="256" t="s">
        <v>8</v>
      </c>
      <c r="F12" s="256" t="s">
        <v>39</v>
      </c>
      <c r="G12" s="113" t="s">
        <v>44</v>
      </c>
    </row>
    <row r="13" spans="1:10" x14ac:dyDescent="0.3">
      <c r="A13" s="256" t="s">
        <v>10</v>
      </c>
      <c r="B13" s="256" t="s">
        <v>13</v>
      </c>
      <c r="C13" s="256"/>
    </row>
    <row r="14" spans="1:10" x14ac:dyDescent="0.3">
      <c r="A14" s="256" t="s">
        <v>12</v>
      </c>
      <c r="B14" s="256" t="s">
        <v>10</v>
      </c>
      <c r="C14" s="256"/>
    </row>
    <row r="15" spans="1:10" x14ac:dyDescent="0.3">
      <c r="A15" s="256" t="s">
        <v>46</v>
      </c>
      <c r="B15" s="256" t="s">
        <v>12</v>
      </c>
      <c r="C15" s="256"/>
    </row>
    <row r="16" spans="1:10" x14ac:dyDescent="0.3">
      <c r="A16" s="256" t="s">
        <v>8</v>
      </c>
      <c r="B16" s="256" t="s">
        <v>8</v>
      </c>
      <c r="C16" s="256"/>
    </row>
    <row r="17" spans="1:9" x14ac:dyDescent="0.3">
      <c r="C17" s="257" t="s">
        <v>74</v>
      </c>
      <c r="F17" s="256" t="s">
        <v>45</v>
      </c>
      <c r="I17" s="113" t="s">
        <v>57</v>
      </c>
    </row>
    <row r="18" spans="1:9" x14ac:dyDescent="0.3">
      <c r="F18" s="256" t="s">
        <v>2</v>
      </c>
    </row>
    <row r="19" spans="1:9" x14ac:dyDescent="0.3">
      <c r="C19" s="256" t="s">
        <v>2</v>
      </c>
      <c r="F19" s="256" t="s">
        <v>3</v>
      </c>
      <c r="I19" s="256" t="s">
        <v>2</v>
      </c>
    </row>
    <row r="20" spans="1:9" x14ac:dyDescent="0.3">
      <c r="C20" s="256" t="s">
        <v>3</v>
      </c>
      <c r="F20" s="256" t="s">
        <v>5</v>
      </c>
      <c r="I20" s="256" t="s">
        <v>3</v>
      </c>
    </row>
    <row r="21" spans="1:9" x14ac:dyDescent="0.3">
      <c r="A21" s="256" t="s">
        <v>22</v>
      </c>
      <c r="B21" s="256"/>
      <c r="C21" s="256" t="s">
        <v>5</v>
      </c>
      <c r="F21" s="256" t="s">
        <v>7</v>
      </c>
      <c r="I21" s="256" t="s">
        <v>5</v>
      </c>
    </row>
    <row r="22" spans="1:9" x14ac:dyDescent="0.3">
      <c r="A22" s="256" t="s">
        <v>23</v>
      </c>
      <c r="B22" s="256"/>
      <c r="C22" s="256" t="s">
        <v>46</v>
      </c>
      <c r="F22" s="256" t="s">
        <v>1</v>
      </c>
    </row>
    <row r="23" spans="1:9" x14ac:dyDescent="0.3">
      <c r="F23" s="256" t="s">
        <v>13</v>
      </c>
      <c r="I23" s="256" t="s">
        <v>7</v>
      </c>
    </row>
    <row r="24" spans="1:9" x14ac:dyDescent="0.3">
      <c r="C24" s="256" t="s">
        <v>7</v>
      </c>
      <c r="F24" s="256"/>
      <c r="I24" s="256" t="s">
        <v>1</v>
      </c>
    </row>
    <row r="25" spans="1:9" x14ac:dyDescent="0.3">
      <c r="C25" s="256" t="s">
        <v>1</v>
      </c>
      <c r="I25" s="256" t="s">
        <v>6</v>
      </c>
    </row>
    <row r="26" spans="1:9" x14ac:dyDescent="0.3">
      <c r="C26" s="256" t="s">
        <v>6</v>
      </c>
      <c r="I26" s="256" t="s">
        <v>13</v>
      </c>
    </row>
    <row r="27" spans="1:9" x14ac:dyDescent="0.3">
      <c r="C27" s="256" t="s">
        <v>13</v>
      </c>
    </row>
    <row r="28" spans="1:9" x14ac:dyDescent="0.3">
      <c r="C28" s="256" t="s">
        <v>4</v>
      </c>
      <c r="I28" s="256" t="s">
        <v>11</v>
      </c>
    </row>
    <row r="29" spans="1:9" x14ac:dyDescent="0.3">
      <c r="C29" s="256"/>
      <c r="I29" s="256" t="s">
        <v>58</v>
      </c>
    </row>
  </sheetData>
  <sheetProtection algorithmName="SHA-512" hashValue="Is6ZlmVC1KeDolKqFriivHtJXqM5oELBF66JPKHrJ0Z23zGlEKAtZg/JAhudLX6RizMs8Hnz9r2T5EAauTCt3Q==" saltValue="3CobxqQOJgogK4dCu1JOag=="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Nazwane zakresy</vt:lpstr>
      </vt:variant>
      <vt:variant>
        <vt:i4>5</vt:i4>
      </vt:variant>
    </vt:vector>
  </HeadingPairs>
  <TitlesOfParts>
    <vt:vector size="13" baseType="lpstr">
      <vt:lpstr>INSTRUKCJA</vt:lpstr>
      <vt:lpstr>art. 15 albo 15a</vt:lpstr>
      <vt:lpstr>art. 15aa</vt:lpstr>
      <vt:lpstr>Podstawa wymiaru 10 lat</vt:lpstr>
      <vt:lpstr>art. 18e albo 18h</vt:lpstr>
      <vt:lpstr>PRZECIĘTNE</vt:lpstr>
      <vt:lpstr>PRZECIĘTNE robocze</vt:lpstr>
      <vt:lpstr>Roboczy</vt:lpstr>
      <vt:lpstr>'art. 15 albo 15a'!Obszar_wydruku</vt:lpstr>
      <vt:lpstr>'art. 15aa'!Obszar_wydruku</vt:lpstr>
      <vt:lpstr>'art. 18e albo 18h'!Obszar_wydruku</vt:lpstr>
      <vt:lpstr>INSTRUKCJA!Obszar_wydruku</vt:lpstr>
      <vt:lpstr>'Podstawa wymiaru 10 lat'!Obszar_wydruku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 Kozoń-Konter</dc:creator>
  <cp:lastModifiedBy>Teresa Kozoń-Konter</cp:lastModifiedBy>
  <cp:lastPrinted>2025-11-18T20:46:40Z</cp:lastPrinted>
  <dcterms:created xsi:type="dcterms:W3CDTF">2018-06-27T19:52:39Z</dcterms:created>
  <dcterms:modified xsi:type="dcterms:W3CDTF">2026-07-10T11:00:32Z</dcterms:modified>
</cp:coreProperties>
</file>