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B37E588D-CDAC-402E-9B88-2A8600DA0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D14" i="4" l="1"/>
  <c r="D13" i="4" s="1"/>
  <c r="D7" i="4" s="1"/>
  <c r="L7" i="4" s="1"/>
  <c r="K32" i="4"/>
  <c r="K74" i="4"/>
  <c r="K20" i="4"/>
  <c r="K57" i="4"/>
  <c r="D96" i="4"/>
  <c r="K21" i="4"/>
  <c r="K39" i="4"/>
  <c r="C52" i="4"/>
  <c r="C58" i="4" s="1"/>
  <c r="K66" i="4"/>
  <c r="K80" i="4"/>
  <c r="K25" i="4"/>
  <c r="J49" i="4"/>
  <c r="K67" i="4"/>
  <c r="K26" i="4"/>
  <c r="E52" i="4"/>
  <c r="E58" i="4" s="1"/>
  <c r="K81" i="4"/>
  <c r="K10" i="4"/>
  <c r="F52" i="4"/>
  <c r="F58" i="4" s="1"/>
  <c r="K68" i="4"/>
  <c r="K11" i="4"/>
  <c r="K27" i="4"/>
  <c r="K72" i="4"/>
  <c r="K51" i="4"/>
  <c r="K19" i="4"/>
  <c r="K33" i="4"/>
  <c r="K75" i="4"/>
  <c r="K31" i="4"/>
  <c r="K16" i="4"/>
  <c r="K22" i="4"/>
  <c r="K28" i="4"/>
  <c r="K34" i="4"/>
  <c r="G52" i="4"/>
  <c r="G58" i="4" s="1"/>
  <c r="K54" i="4"/>
  <c r="K69" i="4"/>
  <c r="J25" i="4"/>
  <c r="J35" i="4"/>
  <c r="J29" i="4"/>
  <c r="J20" i="4"/>
  <c r="D38" i="4"/>
  <c r="D40" i="4" s="1"/>
  <c r="J40" i="4" s="1"/>
  <c r="J24" i="4"/>
  <c r="J23" i="4"/>
  <c r="J27" i="4"/>
  <c r="J14" i="4"/>
  <c r="J7" i="4"/>
  <c r="J31" i="4"/>
  <c r="J33" i="4"/>
  <c r="J34" i="4"/>
  <c r="J15" i="4"/>
  <c r="J13" i="4"/>
  <c r="J17" i="4"/>
  <c r="J30" i="4"/>
  <c r="J19" i="4"/>
  <c r="J8" i="4"/>
  <c r="J38" i="4"/>
  <c r="K76" i="4"/>
  <c r="K8" i="4"/>
  <c r="K17" i="4"/>
  <c r="K23" i="4"/>
  <c r="K29" i="4"/>
  <c r="K35" i="4"/>
  <c r="K56" i="4"/>
  <c r="K70" i="4"/>
  <c r="J76" i="4"/>
  <c r="J79" i="4"/>
  <c r="K50" i="4"/>
  <c r="K77" i="4"/>
  <c r="K9" i="4"/>
  <c r="K18" i="4"/>
  <c r="K24" i="4"/>
  <c r="K30" i="4"/>
  <c r="K36" i="4"/>
  <c r="K65" i="4"/>
  <c r="K71" i="4"/>
  <c r="K53" i="4"/>
  <c r="J67" i="4"/>
  <c r="J75" i="4"/>
  <c r="J66" i="4"/>
  <c r="J69" i="4"/>
  <c r="J72" i="4"/>
  <c r="J71" i="4"/>
  <c r="J73" i="4"/>
  <c r="J74" i="4"/>
  <c r="J70" i="4"/>
  <c r="J65" i="4"/>
  <c r="K78" i="4"/>
  <c r="K55" i="4"/>
  <c r="K79" i="4"/>
  <c r="L9" i="4"/>
  <c r="K49" i="4"/>
  <c r="J57" i="4"/>
  <c r="J56" i="4"/>
  <c r="J51" i="4"/>
  <c r="J53" i="4"/>
  <c r="J50" i="4"/>
  <c r="J54" i="4"/>
  <c r="J55" i="4"/>
  <c r="D59" i="4"/>
  <c r="H52" i="4"/>
  <c r="H58" i="4" s="1"/>
  <c r="K15" i="4"/>
  <c r="C14" i="4"/>
  <c r="D52" i="4"/>
  <c r="D58" i="4" s="1"/>
  <c r="J58" i="4" s="1"/>
  <c r="C59" i="4"/>
  <c r="I52" i="4"/>
  <c r="I58" i="4" s="1"/>
  <c r="K6" i="4"/>
  <c r="J10" i="4"/>
  <c r="J18" i="4"/>
  <c r="J21" i="4"/>
  <c r="C38" i="4"/>
  <c r="J78" i="4"/>
  <c r="J28" i="4"/>
  <c r="J6" i="4"/>
  <c r="J77" i="4"/>
  <c r="J11" i="4"/>
  <c r="J32" i="4"/>
  <c r="J80" i="4"/>
  <c r="J9" i="4"/>
  <c r="J36" i="4"/>
  <c r="J39" i="4"/>
  <c r="J81" i="4"/>
  <c r="J68" i="4"/>
  <c r="J22" i="4"/>
  <c r="J26" i="4"/>
  <c r="J16" i="4"/>
  <c r="K58" i="4" l="1"/>
  <c r="J52" i="4"/>
  <c r="K52" i="4"/>
  <c r="L10" i="4"/>
  <c r="D12" i="4"/>
  <c r="J12" i="4" s="1"/>
  <c r="L8" i="4"/>
  <c r="L11" i="4"/>
  <c r="K14" i="4"/>
  <c r="C13" i="4"/>
  <c r="K38" i="4"/>
  <c r="C40" i="4"/>
  <c r="K40" i="4" s="1"/>
  <c r="L12" i="4" l="1"/>
  <c r="K13" i="4"/>
  <c r="C7" i="4"/>
  <c r="K7" i="4" l="1"/>
  <c r="C12" i="4"/>
  <c r="K12" i="4" s="1"/>
</calcChain>
</file>

<file path=xl/sharedStrings.xml><?xml version="1.0" encoding="utf-8"?>
<sst xmlns="http://schemas.openxmlformats.org/spreadsheetml/2006/main" count="375" uniqueCount="97">
  <si>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</si>
  <si>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</si>
  <si>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</si>
  <si>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</si>
  <si>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</si>
  <si>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</si>
  <si>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</si>
  <si>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</si>
  <si>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</si>
  <si>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</si>
  <si>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</si>
  <si>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</si>
  <si>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</si>
  <si>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</si>
  <si>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</si>
  <si>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</si>
  <si>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</si>
  <si>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</si>
  <si>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</si>
  <si>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</si>
  <si>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</si>
  <si>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</si>
  <si>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</si>
  <si>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</si>
  <si>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</si>
  <si>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</si>
  <si>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</si>
  <si>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</si>
  <si>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</si>
  <si>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</si>
  <si>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</si>
  <si>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</si>
  <si>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</si>
  <si>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</si>
  <si>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</si>
  <si>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</si>
  <si>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</si>
  <si>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</si>
  <si>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</si>
  <si>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</si>
  <si>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</si>
  <si>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</si>
  <si>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</si>
  <si>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</si>
  <si>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</si>
  <si>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</si>
  <si>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</si>
  <si>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</si>
  <si>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</si>
  <si>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</si>
  <si>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</si>
  <si>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</si>
  <si>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</si>
  <si>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</si>
  <si>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</si>
  <si>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</si>
  <si>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</si>
  <si>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</si>
  <si>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</si>
  <si>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</si>
  <si>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</si>
  <si>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</si>
  <si>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</si>
  <si>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</si>
  <si>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</si>
  <si>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</si>
  <si>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</si>
  <si>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</si>
  <si>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</si>
  <si>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</si>
  <si>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</si>
  <si>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</si>
  <si>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</si>
  <si>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</si>
  <si>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</si>
  <si>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</si>
  <si>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</si>
  <si>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</si>
  <si>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</si>
  <si>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</si>
  <si>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</si>
  <si>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</si>
  <si>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</si>
  <si>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</si>
  <si>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</si>
  <si>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</si>
  <si>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</si>
  <si>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</si>
  <si>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</si>
  <si>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</si>
  <si>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</si>
  <si>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</si>
  <si>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</si>
  <si>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</si>
  <si>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</si>
  <si>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</si>
  <si>
    <t>Informacja z wykonania budżetów związków jednostek samorządu terytorialnego za IV Kwartały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</si>
</sst>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99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">
        <v>96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1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31"/>
      <c r="C4" s="138" t="s">
        <v>40</v>
      </c>
      <c r="D4" s="140"/>
      <c r="E4" s="149" t="s">
        <v>79</v>
      </c>
      <c r="F4" s="150"/>
      <c r="G4" s="150"/>
      <c r="H4" s="150"/>
      <c r="I4" s="151"/>
      <c r="J4" s="138" t="s">
        <v>4</v>
      </c>
      <c r="K4" s="139"/>
      <c r="L4" s="140"/>
    </row>
    <row r="5" spans="2:12" x14ac:dyDescent="0.2">
      <c r="B5" s="41">
        <v>1</v>
      </c>
      <c r="C5" s="40">
        <v>2</v>
      </c>
      <c r="D5" s="40">
        <v>3</v>
      </c>
      <c r="E5" s="152"/>
      <c r="F5" s="153"/>
      <c r="G5" s="153"/>
      <c r="H5" s="153"/>
      <c r="I5" s="154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3998406506.96</f>
        <v>3998406506.96</v>
      </c>
      <c r="D6" s="51">
        <f>3897758568.69</f>
        <v>3897758568.6900001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97.482798757584987</v>
      </c>
      <c r="L6" s="52"/>
    </row>
    <row r="7" spans="2:12" ht="27" customHeight="1" x14ac:dyDescent="0.2">
      <c r="B7" s="94" t="s">
        <v>27</v>
      </c>
      <c r="C7" s="15">
        <f>C6-C13</f>
        <v>3560697648.3400002</v>
      </c>
      <c r="D7" s="15">
        <f>D6-D13</f>
        <v>3557118031.1100001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91.260604483912758</v>
      </c>
      <c r="K7" s="19">
        <f t="shared" si="1"/>
        <v>99.899468655203876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375699286</f>
        <v>375699286</v>
      </c>
      <c r="D8" s="54">
        <f>375699286</f>
        <v>375699286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9.638854725839753</v>
      </c>
      <c r="K8" s="20">
        <f t="shared" si="1"/>
        <v>100</v>
      </c>
      <c r="L8" s="20">
        <f t="shared" si="2"/>
        <v>10.561901030952377</v>
      </c>
    </row>
    <row r="9" spans="2:12" ht="22.5" outlineLevel="1" x14ac:dyDescent="0.2">
      <c r="B9" s="56" t="s">
        <v>68</v>
      </c>
      <c r="C9" s="53">
        <f>1070129951.77</f>
        <v>1070129951.77</v>
      </c>
      <c r="D9" s="54">
        <f>1020576993.75</f>
        <v>1020576993.75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26.183689311803793</v>
      </c>
      <c r="K9" s="20">
        <f t="shared" si="1"/>
        <v>95.369444810133658</v>
      </c>
      <c r="L9" s="20">
        <f t="shared" si="2"/>
        <v>28.691119744247803</v>
      </c>
    </row>
    <row r="10" spans="2:12" ht="33.75" outlineLevel="1" x14ac:dyDescent="0.2">
      <c r="B10" s="56" t="s">
        <v>85</v>
      </c>
      <c r="C10" s="53">
        <f>881372212.03</f>
        <v>881372212.02999997</v>
      </c>
      <c r="D10" s="54">
        <f>865774037.49</f>
        <v>865774037.49000001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22.212100165582562</v>
      </c>
      <c r="K10" s="20">
        <f t="shared" si="1"/>
        <v>98.230239809345264</v>
      </c>
      <c r="L10" s="20">
        <f t="shared" si="2"/>
        <v>24.339199034670067</v>
      </c>
    </row>
    <row r="11" spans="2:12" ht="12.75" customHeight="1" outlineLevel="1" x14ac:dyDescent="0.2">
      <c r="B11" s="56" t="s">
        <v>19</v>
      </c>
      <c r="C11" s="53">
        <f>96675776.52</f>
        <v>96675776.519999996</v>
      </c>
      <c r="D11" s="54">
        <f>94675021.98</f>
        <v>94675021.980000004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2.4289606529380134</v>
      </c>
      <c r="K11" s="20">
        <f t="shared" si="1"/>
        <v>97.930448958342652</v>
      </c>
      <c r="L11" s="20">
        <f t="shared" si="2"/>
        <v>2.6615653782637239</v>
      </c>
    </row>
    <row r="12" spans="2:12" ht="12.75" customHeight="1" outlineLevel="1" x14ac:dyDescent="0.2">
      <c r="B12" s="56" t="s">
        <v>20</v>
      </c>
      <c r="C12" s="53">
        <f>C7-SUM(C8:C11)</f>
        <v>1136820422.02</v>
      </c>
      <c r="D12" s="53">
        <f>D7-SUM(D8:D11)</f>
        <v>1200392691.8900003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30.796999627748647</v>
      </c>
      <c r="K12" s="20">
        <f t="shared" si="1"/>
        <v>105.59211187964408</v>
      </c>
      <c r="L12" s="20">
        <f t="shared" si="2"/>
        <v>33.746214811866032</v>
      </c>
    </row>
    <row r="13" spans="2:12" ht="27" customHeight="1" x14ac:dyDescent="0.2">
      <c r="B13" s="95" t="s">
        <v>59</v>
      </c>
      <c r="C13" s="51">
        <f>C14+C33+C35</f>
        <v>437708858.62</v>
      </c>
      <c r="D13" s="51">
        <f>D14+D33+D35</f>
        <v>340640537.58000004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8.7393955160872405</v>
      </c>
      <c r="K13" s="52">
        <f t="shared" si="1"/>
        <v>77.823542035216036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196590549.72</v>
      </c>
      <c r="D14" s="51">
        <f>D15+D17+D19+D21+D23+D25+D27+D29+D31</f>
        <v>138243278.56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3.546737852633655</v>
      </c>
      <c r="K14" s="52">
        <f t="shared" si="1"/>
        <v>70.320408970266953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39000</f>
        <v>39000</v>
      </c>
      <c r="D17" s="53">
        <f>39000</f>
        <v>39000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1.0005750564768185E-3</v>
      </c>
      <c r="K17" s="20">
        <f t="shared" si="1"/>
        <v>100</v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25181553</f>
        <v>25181553</v>
      </c>
      <c r="D21" s="53">
        <f>24219795.47</f>
        <v>24219795.469999999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0.62137751846800626</v>
      </c>
      <c r="K21" s="20">
        <f t="shared" si="1"/>
        <v>96.1807060509731</v>
      </c>
      <c r="L21" s="17"/>
    </row>
    <row r="22" spans="2:12" ht="12.75" customHeight="1" outlineLevel="1" x14ac:dyDescent="0.2">
      <c r="B22" s="98" t="s">
        <v>6</v>
      </c>
      <c r="C22" s="53">
        <f>436738</f>
        <v>436738</v>
      </c>
      <c r="D22" s="53">
        <f>0</f>
        <v>0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0</v>
      </c>
      <c r="K22" s="20">
        <f t="shared" si="1"/>
        <v>0</v>
      </c>
      <c r="L22" s="17"/>
    </row>
    <row r="23" spans="2:12" ht="34.5" customHeight="1" outlineLevel="1" x14ac:dyDescent="0.2">
      <c r="B23" s="99" t="s">
        <v>41</v>
      </c>
      <c r="C23" s="53">
        <f>5394445.63</f>
        <v>5394445.6299999999</v>
      </c>
      <c r="D23" s="53">
        <f>3591281.34</f>
        <v>3591281.34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9.2137090502426786E-2</v>
      </c>
      <c r="K23" s="20">
        <f t="shared" si="1"/>
        <v>66.573686831282416</v>
      </c>
      <c r="L23" s="17"/>
    </row>
    <row r="24" spans="2:12" ht="12.75" customHeight="1" outlineLevel="1" x14ac:dyDescent="0.2">
      <c r="B24" s="98" t="s">
        <v>6</v>
      </c>
      <c r="C24" s="53">
        <f>4820438.63</f>
        <v>4820438.63</v>
      </c>
      <c r="D24" s="53">
        <f>3035988.68</f>
        <v>3035988.68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7.7890629357794394E-2</v>
      </c>
      <c r="K24" s="20">
        <f t="shared" si="1"/>
        <v>62.981585557495215</v>
      </c>
      <c r="L24" s="17"/>
    </row>
    <row r="25" spans="2:12" ht="12.75" customHeight="1" outlineLevel="1" x14ac:dyDescent="0.2">
      <c r="B25" s="96" t="s">
        <v>8</v>
      </c>
      <c r="C25" s="53">
        <f>643820</f>
        <v>643820</v>
      </c>
      <c r="D25" s="53">
        <f>293820</f>
        <v>293820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7.5381785408722771E-3</v>
      </c>
      <c r="K25" s="20">
        <f t="shared" si="1"/>
        <v>45.636979279922961</v>
      </c>
      <c r="L25" s="17"/>
    </row>
    <row r="26" spans="2:12" ht="12.75" customHeight="1" outlineLevel="1" x14ac:dyDescent="0.2">
      <c r="B26" s="98" t="s">
        <v>6</v>
      </c>
      <c r="C26" s="53">
        <f>293820</f>
        <v>293820</v>
      </c>
      <c r="D26" s="53">
        <f>293820</f>
        <v>293820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7.5381785408722771E-3</v>
      </c>
      <c r="K26" s="20">
        <f t="shared" si="1"/>
        <v>100</v>
      </c>
      <c r="L26" s="17"/>
    </row>
    <row r="27" spans="2:12" ht="67.5" outlineLevel="1" x14ac:dyDescent="0.2">
      <c r="B27" s="100" t="s">
        <v>70</v>
      </c>
      <c r="C27" s="53">
        <f>565000</f>
        <v>565000</v>
      </c>
      <c r="D27" s="53">
        <f>482245.74</f>
        <v>482245.74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1.2372386116312951E-2</v>
      </c>
      <c r="K27" s="20">
        <f t="shared" si="1"/>
        <v>85.353228318584073</v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164766731.09</f>
        <v>164766731.09</v>
      </c>
      <c r="D29" s="53">
        <f>109617136.01</f>
        <v>109617136.01000001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2.81231210394956</v>
      </c>
      <c r="K29" s="66">
        <f t="shared" si="1"/>
        <v>66.528682874775356</v>
      </c>
      <c r="L29" s="17"/>
    </row>
    <row r="30" spans="2:12" ht="12.75" customHeight="1" outlineLevel="1" x14ac:dyDescent="0.2">
      <c r="B30" s="98" t="s">
        <v>6</v>
      </c>
      <c r="C30" s="53">
        <f>164766731.09</f>
        <v>164766731.09</v>
      </c>
      <c r="D30" s="53">
        <f>109617136.01</f>
        <v>109617136.01000001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2.81231210394956</v>
      </c>
      <c r="K30" s="20">
        <f t="shared" si="1"/>
        <v>66.528682874775356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3124315.9</f>
        <v>3124315.9</v>
      </c>
      <c r="D33" s="53">
        <f>3101582.44</f>
        <v>3101582.44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7.9573487822320724E-2</v>
      </c>
      <c r="K33" s="19">
        <f t="shared" si="1"/>
        <v>99.272369993059925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2733822.59</f>
        <v>2733822.59</v>
      </c>
      <c r="D34" s="53">
        <f>2733822.63</f>
        <v>2733822.63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7.0138326472047555E-2</v>
      </c>
      <c r="K34" s="20">
        <f t="shared" si="1"/>
        <v>100.00000146315274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237993993</f>
        <v>237993993</v>
      </c>
      <c r="D35" s="53">
        <f>199295676.58</f>
        <v>199295676.58000001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5.1130841756312631</v>
      </c>
      <c r="K35" s="57">
        <f t="shared" si="1"/>
        <v>83.739792785442276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215778122.55</f>
        <v>215778122.55000001</v>
      </c>
      <c r="D36" s="53">
        <f>183197717.53</f>
        <v>183197717.53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4.7000786298462565</v>
      </c>
      <c r="K36" s="20">
        <f t="shared" si="1"/>
        <v>84.900969275765902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3998406506.96</v>
      </c>
      <c r="D38" s="51">
        <f>+D6</f>
        <v>3897758568.6900001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97.482798757584987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532232617.91</f>
        <v>532232617.91000003</v>
      </c>
      <c r="D39" s="14">
        <f>396946142.9</f>
        <v>396946142.89999998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10.183959214113404</v>
      </c>
      <c r="K39" s="20">
        <f t="shared" si="1"/>
        <v>74.5813258230489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3466173889.0500002</v>
      </c>
      <c r="D40" s="14">
        <f>D38-D39</f>
        <v>3500812425.79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89.816040785886599</v>
      </c>
      <c r="K40" s="20">
        <f t="shared" si="1"/>
        <v>100.99933061204536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">
        <v>96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1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32" t="s">
        <v>53</v>
      </c>
      <c r="J44" s="135" t="s">
        <v>2</v>
      </c>
      <c r="K44" s="130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1"/>
      <c r="C45" s="135"/>
      <c r="D45" s="135"/>
      <c r="E45" s="142"/>
      <c r="F45" s="145" t="s">
        <v>54</v>
      </c>
      <c r="G45" s="144" t="s">
        <v>23</v>
      </c>
      <c r="H45" s="142"/>
      <c r="I45" s="133"/>
      <c r="J45" s="135"/>
      <c r="K45" s="130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1"/>
      <c r="C46" s="135"/>
      <c r="D46" s="135"/>
      <c r="E46" s="142"/>
      <c r="F46" s="142"/>
      <c r="G46" s="38" t="s">
        <v>55</v>
      </c>
      <c r="H46" s="38" t="s">
        <v>56</v>
      </c>
      <c r="I46" s="134"/>
      <c r="J46" s="135"/>
      <c r="K46" s="130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1"/>
      <c r="C47" s="138" t="s">
        <v>40</v>
      </c>
      <c r="D47" s="139"/>
      <c r="E47" s="139"/>
      <c r="F47" s="139"/>
      <c r="G47" s="139"/>
      <c r="H47" s="139"/>
      <c r="I47" s="140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4565666707.16</f>
        <v>4565666707.1599998</v>
      </c>
      <c r="D49" s="68">
        <f>4093053869.15</f>
        <v>4093053869.1500001</v>
      </c>
      <c r="E49" s="68">
        <f>4101760061.88</f>
        <v>4101760061.8800001</v>
      </c>
      <c r="F49" s="58">
        <f>228088740.72</f>
        <v>228088740.72</v>
      </c>
      <c r="G49" s="58">
        <f>0</f>
        <v>0</v>
      </c>
      <c r="H49" s="58">
        <f>21341601.55</f>
        <v>21341601.550000001</v>
      </c>
      <c r="I49" s="77">
        <f>213646.25</f>
        <v>213646.25</v>
      </c>
      <c r="J49" s="34">
        <f>IF($D$49=0,"",100*$D49/$D$49)</f>
        <v>100</v>
      </c>
      <c r="K49" s="34">
        <f>IF(C49=0,"",100*D49/C49)</f>
        <v>89.648547116484963</v>
      </c>
      <c r="L49" s="22"/>
      <c r="M49" s="74"/>
    </row>
    <row r="50" spans="2:16" x14ac:dyDescent="0.2">
      <c r="B50" s="94" t="s">
        <v>14</v>
      </c>
      <c r="C50" s="16">
        <f>958065607.21</f>
        <v>958065607.21000004</v>
      </c>
      <c r="D50" s="16">
        <f>741755481.87</f>
        <v>741755481.87</v>
      </c>
      <c r="E50" s="16">
        <f>745946587.89</f>
        <v>745946587.88999999</v>
      </c>
      <c r="F50" s="16">
        <f>9733499.1</f>
        <v>9733499.0999999996</v>
      </c>
      <c r="G50" s="16">
        <f>0</f>
        <v>0</v>
      </c>
      <c r="H50" s="16">
        <f>0</f>
        <v>0</v>
      </c>
      <c r="I50" s="78">
        <f>100052.25</f>
        <v>100052.25</v>
      </c>
      <c r="J50" s="34">
        <f t="shared" ref="J50:J58" si="3">IF($D$49=0,"",100*$D50/$D$49)</f>
        <v>18.122299524585529</v>
      </c>
      <c r="K50" s="34">
        <f t="shared" ref="K50:K58" si="4">IF(C50=0,"",100*D50/C50)</f>
        <v>77.422201182033803</v>
      </c>
      <c r="L50" s="22"/>
      <c r="M50" s="76"/>
    </row>
    <row r="51" spans="2:16" ht="12.75" customHeight="1" outlineLevel="1" x14ac:dyDescent="0.2">
      <c r="B51" s="56" t="s">
        <v>13</v>
      </c>
      <c r="C51" s="53">
        <f>923481802.27</f>
        <v>923481802.26999998</v>
      </c>
      <c r="D51" s="53">
        <f>720179978.75</f>
        <v>720179978.75</v>
      </c>
      <c r="E51" s="53">
        <f>724371084.77</f>
        <v>724371084.76999998</v>
      </c>
      <c r="F51" s="53">
        <f>9733499.1</f>
        <v>9733499.0999999996</v>
      </c>
      <c r="G51" s="53">
        <f>0</f>
        <v>0</v>
      </c>
      <c r="H51" s="53">
        <f>0</f>
        <v>0</v>
      </c>
      <c r="I51" s="79">
        <f>100052.25</f>
        <v>100052.25</v>
      </c>
      <c r="J51" s="34">
        <f t="shared" si="3"/>
        <v>17.59517469775102</v>
      </c>
      <c r="K51" s="34">
        <f t="shared" si="4"/>
        <v>77.985291857374335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3607601099.9499998</v>
      </c>
      <c r="D52" s="67">
        <f>D49-D50</f>
        <v>3351298387.2800002</v>
      </c>
      <c r="E52" s="67">
        <f>E49-E50</f>
        <v>3355813473.9900002</v>
      </c>
      <c r="F52" s="59">
        <f t="shared" si="5"/>
        <v>218355241.62</v>
      </c>
      <c r="G52" s="59">
        <f t="shared" si="5"/>
        <v>0</v>
      </c>
      <c r="H52" s="59">
        <f t="shared" si="5"/>
        <v>21341601.550000001</v>
      </c>
      <c r="I52" s="78">
        <f t="shared" si="5"/>
        <v>113594</v>
      </c>
      <c r="J52" s="34">
        <f t="shared" si="3"/>
        <v>81.877700475414471</v>
      </c>
      <c r="K52" s="34">
        <f t="shared" si="4"/>
        <v>92.895480803752051</v>
      </c>
      <c r="L52" s="22"/>
      <c r="M52" s="76"/>
    </row>
    <row r="53" spans="2:16" ht="22.5" outlineLevel="1" x14ac:dyDescent="0.2">
      <c r="B53" s="56" t="s">
        <v>72</v>
      </c>
      <c r="C53" s="53">
        <f>275696684.2</f>
        <v>275696684.19999999</v>
      </c>
      <c r="D53" s="53">
        <f>252196542.4</f>
        <v>252196542.40000001</v>
      </c>
      <c r="E53" s="53">
        <f>252627429.26</f>
        <v>252627429.25999999</v>
      </c>
      <c r="F53" s="53">
        <f>18082496.81</f>
        <v>18082496.809999999</v>
      </c>
      <c r="G53" s="53">
        <f>0</f>
        <v>0</v>
      </c>
      <c r="H53" s="53">
        <f>594.36</f>
        <v>594.36</v>
      </c>
      <c r="I53" s="79">
        <f>0</f>
        <v>0</v>
      </c>
      <c r="J53" s="34">
        <f t="shared" si="3"/>
        <v>6.1615739851567941</v>
      </c>
      <c r="K53" s="34">
        <f t="shared" si="4"/>
        <v>91.476088343901822</v>
      </c>
      <c r="L53" s="22"/>
      <c r="M53" s="75"/>
    </row>
    <row r="54" spans="2:16" ht="12.75" customHeight="1" outlineLevel="1" x14ac:dyDescent="0.2">
      <c r="B54" s="56" t="s">
        <v>26</v>
      </c>
      <c r="C54" s="61">
        <f>39901879.88</f>
        <v>39901879.880000003</v>
      </c>
      <c r="D54" s="61">
        <f>38393850.05</f>
        <v>38393850.049999997</v>
      </c>
      <c r="E54" s="61">
        <f>38393850.05</f>
        <v>38393850.049999997</v>
      </c>
      <c r="F54" s="61">
        <f>1238.4</f>
        <v>1238.4000000000001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0.93802454786585066</v>
      </c>
      <c r="K54" s="34">
        <f t="shared" si="4"/>
        <v>96.220654679590979</v>
      </c>
      <c r="L54" s="22"/>
      <c r="M54" s="75"/>
    </row>
    <row r="55" spans="2:16" ht="12.75" customHeight="1" outlineLevel="1" x14ac:dyDescent="0.2">
      <c r="B55" s="56" t="s">
        <v>25</v>
      </c>
      <c r="C55" s="53">
        <f>25218606</f>
        <v>25218606</v>
      </c>
      <c r="D55" s="53">
        <f>20558581.77</f>
        <v>20558581.77</v>
      </c>
      <c r="E55" s="53">
        <f>20558722.68</f>
        <v>20558722.68</v>
      </c>
      <c r="F55" s="53">
        <f>258598.07</f>
        <v>258598.07</v>
      </c>
      <c r="G55" s="53">
        <f>0</f>
        <v>0</v>
      </c>
      <c r="H55" s="53">
        <f>140.91</f>
        <v>140.91</v>
      </c>
      <c r="I55" s="79">
        <f>0</f>
        <v>0</v>
      </c>
      <c r="J55" s="34">
        <f t="shared" si="3"/>
        <v>0.50227977513204281</v>
      </c>
      <c r="K55" s="34">
        <f t="shared" si="4"/>
        <v>81.521483661705958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2919262</f>
        <v>2919262</v>
      </c>
      <c r="D57" s="61">
        <f>1734398.23</f>
        <v>1734398.23</v>
      </c>
      <c r="E57" s="61">
        <f>1734398.23</f>
        <v>1734398.23</v>
      </c>
      <c r="F57" s="61">
        <f>47692.16</f>
        <v>47692.160000000003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4.2374185276974632E-2</v>
      </c>
      <c r="K57" s="34">
        <f t="shared" si="4"/>
        <v>59.412215484598505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3263864667.8699999</v>
      </c>
      <c r="D58" s="53">
        <f>D52-D53-D54-D55-D56-D57</f>
        <v>3038415014.8299999</v>
      </c>
      <c r="E58" s="71">
        <f>E52-E53-E54-E55-E56-E57</f>
        <v>3042499073.7700005</v>
      </c>
      <c r="F58" s="71">
        <f t="shared" si="6"/>
        <v>199965216.18000001</v>
      </c>
      <c r="G58" s="71">
        <f t="shared" si="6"/>
        <v>0</v>
      </c>
      <c r="H58" s="71">
        <f t="shared" si="6"/>
        <v>21340866.280000001</v>
      </c>
      <c r="I58" s="82">
        <f t="shared" si="6"/>
        <v>113594</v>
      </c>
      <c r="J58" s="34">
        <f t="shared" si="3"/>
        <v>74.233447981982806</v>
      </c>
      <c r="K58" s="34">
        <f t="shared" si="4"/>
        <v>93.092555115432262</v>
      </c>
      <c r="L58" s="22"/>
      <c r="M58" s="75"/>
    </row>
    <row r="59" spans="2:16" x14ac:dyDescent="0.2">
      <c r="B59" s="93" t="s">
        <v>15</v>
      </c>
      <c r="C59" s="59">
        <f>C6-C49</f>
        <v>-567260200.19999981</v>
      </c>
      <c r="D59" s="67">
        <f>D6-D49</f>
        <v>-195295300.46000004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">
        <v>96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21" t="s">
        <v>79</v>
      </c>
      <c r="F62" s="122"/>
      <c r="G62" s="122"/>
      <c r="H62" s="122"/>
      <c r="I62" s="123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45" t="s">
        <v>40</v>
      </c>
      <c r="D63" s="146"/>
      <c r="E63" s="124"/>
      <c r="F63" s="125"/>
      <c r="G63" s="125"/>
      <c r="H63" s="125"/>
      <c r="I63" s="126"/>
      <c r="J63" s="136" t="s">
        <v>4</v>
      </c>
      <c r="K63" s="137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27"/>
      <c r="F64" s="128"/>
      <c r="G64" s="128"/>
      <c r="H64" s="128"/>
      <c r="I64" s="129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614780656.73</f>
        <v>614780656.73000002</v>
      </c>
      <c r="D65" s="27">
        <f>1302344036.86</f>
        <v>1302344036.8599999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211.83881155063156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44507311</f>
        <v>44507311</v>
      </c>
      <c r="D66" s="28">
        <f>27463360.89</f>
        <v>27463360.890000001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2.1087638989936321</v>
      </c>
      <c r="K66" s="33">
        <f t="shared" si="7"/>
        <v>61.70528003814924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9970000</f>
        <v>9970000</v>
      </c>
      <c r="D67" s="64">
        <f>7006681.01</f>
        <v>7006681.0099999998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0.53800538196445924</v>
      </c>
      <c r="K67" s="60">
        <f t="shared" si="7"/>
        <v>70.277643029087258</v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400000</f>
        <v>400000</v>
      </c>
      <c r="D68" s="64">
        <f>300000</f>
        <v>300000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2.303538784753921E-2</v>
      </c>
      <c r="K68" s="60">
        <f t="shared" si="7"/>
        <v>75</v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471004455.71</f>
        <v>471004455.70999998</v>
      </c>
      <c r="D69" s="64">
        <f>1139309634.25</f>
        <v>1139309634.25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87.481464344622651</v>
      </c>
      <c r="K69" s="60">
        <f t="shared" si="7"/>
        <v>241.88935379232998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23912605.51</f>
        <v>23912605.510000002</v>
      </c>
      <c r="D70" s="64">
        <f>42831955.86</f>
        <v>42831955.859999999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3.2888357183459331</v>
      </c>
      <c r="K70" s="60">
        <f t="shared" si="7"/>
        <v>179.1187323442781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62256284.51</f>
        <v>62256284.509999998</v>
      </c>
      <c r="D72" s="64">
        <f>79785087.15</f>
        <v>79785087.150000006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6.126268089833224</v>
      </c>
      <c r="K72" s="60">
        <f t="shared" si="7"/>
        <v>128.15587659617628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0</f>
        <v>0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0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12700000</f>
        <v>12700000</v>
      </c>
      <c r="D74" s="64">
        <f>12653998.71</f>
        <v>12653998.710000001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0.97163256035703616</v>
      </c>
      <c r="K74" s="60">
        <f>IF(C74=0,"",100*D74/C74)</f>
        <v>99.63778511811023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5000000</f>
        <v>5000000</v>
      </c>
      <c r="D75" s="64">
        <f>5000000</f>
        <v>5000000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0.38392313079232021</v>
      </c>
      <c r="K75" s="60">
        <f t="shared" si="7"/>
        <v>100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47520456.53</f>
        <v>47520456.530000001</v>
      </c>
      <c r="D76" s="31">
        <f>49162968.91</f>
        <v>49162968.909999996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100.00000000000001</v>
      </c>
      <c r="K76" s="21">
        <f t="shared" si="7"/>
        <v>103.45643223979354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30774357.73</f>
        <v>30774357.73</v>
      </c>
      <c r="D77" s="30">
        <f>29686544.25</f>
        <v>29686544.25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60.383953427112104</v>
      </c>
      <c r="K77" s="33">
        <f t="shared" si="7"/>
        <v>96.465195181183063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400000</f>
        <v>400000</v>
      </c>
      <c r="D79" s="64">
        <f>300000</f>
        <v>300000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0.61021538497643191</v>
      </c>
      <c r="K79" s="60">
        <f t="shared" si="7"/>
        <v>75</v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16346098.8</f>
        <v>16346098.800000001</v>
      </c>
      <c r="D80" s="64">
        <f>19176424.66</f>
        <v>19176424.66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39.005831187911475</v>
      </c>
      <c r="K80" s="60">
        <f>IF(C80=0,"",100*D80/C80)</f>
        <v>117.3149929816893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5948000</f>
        <v>5948000</v>
      </c>
      <c r="D81" s="64">
        <f>5500000</f>
        <v>5500000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11.187282057901252</v>
      </c>
      <c r="K81" s="60">
        <f>IF(C81=0,"",100*D81/C81)</f>
        <v>92.468056489576327</v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47" t="s">
        <v>40</v>
      </c>
      <c r="D84" s="148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568175674.53</f>
        <v>568175674.52999997</v>
      </c>
      <c r="D86" s="85">
        <f>324725706.52</f>
        <v>324725706.51999998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9970000</f>
        <v>9970000</v>
      </c>
      <c r="D87" s="84">
        <f>7006681.01</f>
        <v>7006681.0099999998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34329742</f>
        <v>34329742</v>
      </c>
      <c r="D88" s="84">
        <f>14219470.51</f>
        <v>14219470.51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466869855.53</f>
        <v>466869855.52999997</v>
      </c>
      <c r="D90" s="84">
        <f>280610122.96</f>
        <v>280610122.95999998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33505909.24</f>
        <v>33505909.239999998</v>
      </c>
      <c r="D91" s="84">
        <f>11347517.67</f>
        <v>11347517.67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18500167.76</f>
        <v>18500167.760000002</v>
      </c>
      <c r="D92" s="84">
        <f>11541914.37</f>
        <v>11541914.369999999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5000000</f>
        <v>5000000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4</f>
        <v>4</v>
      </c>
      <c r="D96" s="114" t="str">
        <f>IF(C96=1,"I Kwartał",IF(C96=2,"II Kwartały",IF(C96=3,"III Kwartały",IF(C96=4,"IV Kwartały",IF(C96="M1","Styczeń",IF(C96="M11","Listopad",IF(C96="M12","Grudzień","-")))))))</f>
        <v>IV Kwartały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2023</f>
        <v>2023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19" t="str">
        <f>"Mar 15 2024 12:00AM"</f>
        <v>Mar 15 2024 12:00AM</v>
      </c>
      <c r="D98" s="120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B3:B4"/>
    <mergeCell ref="F45:F46"/>
    <mergeCell ref="C63:D63"/>
    <mergeCell ref="C84:D84"/>
    <mergeCell ref="C47:I47"/>
    <mergeCell ref="E4:I5"/>
    <mergeCell ref="C4:D4"/>
    <mergeCell ref="J4:L4"/>
    <mergeCell ref="J47:K47"/>
    <mergeCell ref="E44:E46"/>
    <mergeCell ref="C44:C46"/>
    <mergeCell ref="I59:J59"/>
    <mergeCell ref="G45:H45"/>
    <mergeCell ref="F44:H44"/>
    <mergeCell ref="C98:D98"/>
    <mergeCell ref="E62:I64"/>
    <mergeCell ref="K44:K46"/>
    <mergeCell ref="B44:B47"/>
    <mergeCell ref="I44:I46"/>
    <mergeCell ref="J44:J46"/>
    <mergeCell ref="D44:D46"/>
    <mergeCell ref="J63:K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2024-03-27T09:00:52Z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2024-03-27T10:00:50.6058135+01:00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GRN-6f7ceba5-ed24-4500-a54c-d843ecd52315</vt:lpwstr>
  </property>
  <property fmtid="{D5CDD505-2E9C-101B-9397-08002B2CF9AE}" pid="7" name="MFHash">
    <vt:lpwstr>9IlqJKXQWmPeSag7GfKjtMaIlbYXlAA/N9WeKaO+MHw=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