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<sst xmlns="http://schemas.openxmlformats.org/spreadsheetml/2006/main" count="121" uniqueCount="99">
  <si>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</si>
  <si>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</si>
  <si>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</si>
  <si>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</si>
  <si>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</si>
  <si>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</si>
  <si>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</si>
  <si>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</si>
  <si>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</si>
  <si>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</si>
  <si>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</si>
  <si>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</si>
  <si>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</si>
  <si>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</si>
  <si>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</si>
  <si>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</si>
  <si>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</si>
  <si>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</si>
  <si>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</si>
  <si>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</si>
  <si>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</si>
  <si>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</si>
  <si>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</si>
  <si>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</si>
  <si>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</si>
  <si>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</si>
  <si>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</si>
  <si>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</si>
  <si>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</si>
  <si>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</si>
  <si>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</si>
  <si>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</si>
  <si>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</si>
  <si>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</si>
  <si>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</si>
  <si>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</si>
  <si>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</si>
  <si>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</si>
  <si>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</si>
  <si>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</si>
  <si>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</si>
  <si>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</si>
  <si>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</si>
  <si>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</si>
  <si>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</si>
  <si>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</si>
  <si>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</si>
  <si>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</si>
  <si>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</si>
  <si>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</si>
  <si>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</si>
  <si>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</si>
  <si>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</si>
  <si>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</si>
  <si>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</si>
  <si>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Dotacje §§ 200 i 620</t>
  </si>
  <si>
    <t>w tym: inwestycyjne § 620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</si>
  <si>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</si>
  <si>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</si>
  <si>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</si>
  <si>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</si>
  <si>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</si>
  <si>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</si>
  <si>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</si>
  <si>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</si>
  <si>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</si>
  <si>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</si>
  <si>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</si>
  <si>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</si>
  <si>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</si>
  <si>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</si>
  <si>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</si>
  <si>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</si>
  <si>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</si>
  <si>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</si>
  <si>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</si>
  <si>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</si>
  <si>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</si>
  <si>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</si>
  <si>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</si>
  <si>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</si>
  <si>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</si>
  <si>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</si>
  <si>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</si>
  <si>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</si>
  <si>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</si>
  <si>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</si>
  <si>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</si>
  <si>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</si>
  <si>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</si>
  <si>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</si>
  <si>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</si>
  <si>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</si>
  <si>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</si>
  <si>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</si>
  <si>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</si>
  <si>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</si>
  <si>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</si>
  <si>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Informacja z wykonania budżetów województw za III Kwartały 2018 rok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</si>
</sst>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12" fillId="40" borderId="19" xfId="71" applyNumberFormat="1" applyFont="1" applyFill="1" applyBorder="1" applyAlignment="1">
      <alignment horizontal="right" vertic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0" fontId="55" fillId="0" borderId="19" xfId="89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4" fontId="7" fillId="50" borderId="20" xfId="0" applyNumberFormat="1" applyFont="1" applyFill="1" applyBorder="1" applyAlignment="1">
      <alignment horizontal="right" vertical="center"/>
    </xf>
    <xf numFmtId="4" fontId="12" fillId="51" borderId="20" xfId="0" applyNumberFormat="1" applyFont="1" applyFill="1" applyBorder="1" applyAlignment="1">
      <alignment horizontal="right" vertical="center"/>
    </xf>
    <xf numFmtId="4" fontId="12" fillId="51" borderId="21" xfId="0" applyNumberFormat="1" applyFont="1" applyFill="1" applyBorder="1" applyAlignment="1">
      <alignment horizontal="right" vertical="center"/>
    </xf>
    <xf numFmtId="0" fontId="55" fillId="51" borderId="19" xfId="89" applyFont="1" applyFill="1" applyBorder="1" applyAlignment="1">
      <alignment horizontal="left" vertical="center" wrapText="1"/>
      <protection/>
    </xf>
    <xf numFmtId="164" fontId="12" fillId="50" borderId="19" xfId="71" applyNumberFormat="1" applyFont="1" applyFill="1" applyBorder="1" applyAlignment="1">
      <alignment horizontal="right" vertical="center"/>
    </xf>
    <xf numFmtId="164" fontId="12" fillId="50" borderId="19" xfId="0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2" fillId="40" borderId="19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3" fillId="51" borderId="19" xfId="0" applyFont="1" applyFill="1" applyBorder="1" applyAlignment="1">
      <alignment horizontal="left" vertical="center" wrapText="1"/>
    </xf>
    <xf numFmtId="4" fontId="13" fillId="51" borderId="19" xfId="0" applyNumberFormat="1" applyFont="1" applyFill="1" applyBorder="1" applyAlignment="1">
      <alignment horizontal="right" vertical="center"/>
    </xf>
    <xf numFmtId="164" fontId="13" fillId="51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1" borderId="19" xfId="0" applyNumberFormat="1" applyFont="1" applyFill="1" applyBorder="1" applyAlignment="1">
      <alignment horizontal="right" vertical="center"/>
    </xf>
    <xf numFmtId="164" fontId="5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1" borderId="19" xfId="0" applyFont="1" applyFill="1" applyBorder="1" applyAlignment="1">
      <alignment horizontal="left" vertical="center" wrapText="1" indent="1"/>
    </xf>
    <xf numFmtId="4" fontId="12" fillId="51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1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 inden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5" fillId="0" borderId="19" xfId="89" applyFont="1" applyFill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164" fontId="7" fillId="0" borderId="20" xfId="0" applyNumberFormat="1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4" fontId="5" fillId="40" borderId="20" xfId="0" applyNumberFormat="1" applyFont="1" applyFill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2" fillId="51" borderId="19" xfId="0" applyNumberFormat="1" applyFont="1" applyFill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3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115" t="s">
        <v>98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:8" ht="60" customHeight="1">
      <c r="B2" s="126" t="s">
        <v>0</v>
      </c>
      <c r="C2" s="13" t="s">
        <v>28</v>
      </c>
      <c r="D2" s="13" t="s">
        <v>29</v>
      </c>
      <c r="E2" s="13" t="s">
        <v>30</v>
      </c>
      <c r="F2" s="14" t="s">
        <v>2</v>
      </c>
      <c r="G2" s="13" t="s">
        <v>18</v>
      </c>
      <c r="H2" s="13" t="s">
        <v>3</v>
      </c>
    </row>
    <row r="3" spans="2:8" ht="9.75" customHeight="1">
      <c r="B3" s="126"/>
      <c r="C3" s="119" t="s">
        <v>62</v>
      </c>
      <c r="D3" s="119"/>
      <c r="E3" s="119"/>
      <c r="F3" s="119" t="s">
        <v>4</v>
      </c>
      <c r="G3" s="119"/>
      <c r="H3" s="119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71" t="s">
        <v>5</v>
      </c>
      <c r="C5" s="72">
        <f>18225776901.99</f>
        <v>18225776901.99</v>
      </c>
      <c r="D5" s="72">
        <f>12381746915.18</f>
        <v>12381746915.18</v>
      </c>
      <c r="E5" s="72">
        <f>12206253664.35</f>
        <v>12206253664.35</v>
      </c>
      <c r="F5" s="73">
        <f aca="true" t="shared" si="0" ref="F5:F33">IF($D$5=0,"",100*$D5/$D$5)</f>
        <v>100</v>
      </c>
      <c r="G5" s="73">
        <f>IF(C5=0,"",100*D5/C5)</f>
        <v>67.93535870521978</v>
      </c>
      <c r="H5" s="73"/>
      <c r="I5" s="34"/>
      <c r="J5" s="34"/>
      <c r="K5" s="34"/>
      <c r="L5" s="34"/>
      <c r="M5" s="34"/>
    </row>
    <row r="6" spans="2:13" ht="25.5" customHeight="1">
      <c r="B6" s="55" t="s">
        <v>47</v>
      </c>
      <c r="C6" s="22">
        <f>C5-C11-C29</f>
        <v>8420797168.990002</v>
      </c>
      <c r="D6" s="22">
        <f>D5-D11-D29</f>
        <v>6647332307.75</v>
      </c>
      <c r="E6" s="22">
        <f>E5-E11-E29</f>
        <v>6553230557.1</v>
      </c>
      <c r="F6" s="30">
        <f t="shared" si="0"/>
        <v>53.68654644039269</v>
      </c>
      <c r="G6" s="30">
        <f aca="true" t="shared" si="1" ref="G6:G36">IF(C6=0,"",100*D6/C6)</f>
        <v>78.93946587656959</v>
      </c>
      <c r="H6" s="30">
        <f>IF($D$6=0,"",100*$D6/$D$6)</f>
        <v>100</v>
      </c>
      <c r="I6" s="34"/>
      <c r="J6" s="34"/>
      <c r="K6" s="34"/>
      <c r="L6" s="34"/>
      <c r="M6" s="34"/>
    </row>
    <row r="7" spans="2:13" ht="22.5" customHeight="1">
      <c r="B7" s="17" t="s">
        <v>26</v>
      </c>
      <c r="C7" s="20">
        <f>5792174848</f>
        <v>5792174848</v>
      </c>
      <c r="D7" s="20">
        <f>4669139062.36</f>
        <v>4669139062.36</v>
      </c>
      <c r="E7" s="20">
        <f>4686642900.57</f>
        <v>4686642900.57</v>
      </c>
      <c r="F7" s="31">
        <f t="shared" si="0"/>
        <v>37.70985705284965</v>
      </c>
      <c r="G7" s="31">
        <f t="shared" si="1"/>
        <v>80.6111553067536</v>
      </c>
      <c r="H7" s="31">
        <f>IF($D$6=0,"",100*$D7/$D$6)</f>
        <v>70.24079504670374</v>
      </c>
      <c r="I7" s="34"/>
      <c r="J7" s="34"/>
      <c r="K7" s="34"/>
      <c r="L7" s="34"/>
      <c r="M7" s="34"/>
    </row>
    <row r="8" spans="2:13" ht="22.5" customHeight="1">
      <c r="B8" s="29" t="s">
        <v>19</v>
      </c>
      <c r="C8" s="21">
        <f>1539467189</f>
        <v>1539467189</v>
      </c>
      <c r="D8" s="21">
        <f>1152896745</f>
        <v>1152896745</v>
      </c>
      <c r="E8" s="21">
        <f>1041323840</f>
        <v>1041323840</v>
      </c>
      <c r="F8" s="31">
        <f t="shared" si="0"/>
        <v>9.311260784910331</v>
      </c>
      <c r="G8" s="31">
        <f t="shared" si="1"/>
        <v>74.88933529976</v>
      </c>
      <c r="H8" s="31">
        <f>IF($D$6=0,"",100*$D8/$D$6)</f>
        <v>17.343750720207854</v>
      </c>
      <c r="I8" s="34"/>
      <c r="J8" s="34"/>
      <c r="K8" s="34"/>
      <c r="L8" s="34"/>
      <c r="M8" s="34"/>
    </row>
    <row r="9" spans="2:13" ht="12.75">
      <c r="B9" s="29" t="s">
        <v>20</v>
      </c>
      <c r="C9" s="21">
        <f>240782562</f>
        <v>240782562</v>
      </c>
      <c r="D9" s="74">
        <f>144629550.71</f>
        <v>144629550.71</v>
      </c>
      <c r="E9" s="21">
        <f>144629550.71</f>
        <v>144629550.71</v>
      </c>
      <c r="F9" s="31">
        <f t="shared" si="0"/>
        <v>1.168086795027965</v>
      </c>
      <c r="G9" s="31">
        <f t="shared" si="1"/>
        <v>60.066455605701215</v>
      </c>
      <c r="H9" s="31">
        <f>IF($D$6=0,"",100*$D9/$D$6)</f>
        <v>2.17575327987408</v>
      </c>
      <c r="I9" s="34"/>
      <c r="J9" s="34"/>
      <c r="K9" s="34"/>
      <c r="L9" s="34"/>
      <c r="M9" s="34"/>
    </row>
    <row r="10" spans="2:13" ht="12.75">
      <c r="B10" s="29" t="s">
        <v>21</v>
      </c>
      <c r="C10" s="21">
        <f>C6-C7-C8-C9</f>
        <v>848372569.9900017</v>
      </c>
      <c r="D10" s="21">
        <f>D6-D7-D8-D9</f>
        <v>680666949.6800003</v>
      </c>
      <c r="E10" s="21">
        <f>E6-E7-E8-E9</f>
        <v>680634265.8200006</v>
      </c>
      <c r="F10" s="31">
        <f t="shared" si="0"/>
        <v>5.497341807604739</v>
      </c>
      <c r="G10" s="31">
        <f t="shared" si="1"/>
        <v>80.23207889524554</v>
      </c>
      <c r="H10" s="31">
        <f>IF($D$6=0,"",100*$D10/$D$6)</f>
        <v>10.23970095321432</v>
      </c>
      <c r="I10" s="34"/>
      <c r="J10" s="34"/>
      <c r="K10" s="34"/>
      <c r="L10" s="34"/>
      <c r="M10" s="34"/>
    </row>
    <row r="11" spans="2:13" ht="12.75">
      <c r="B11" s="71" t="s">
        <v>84</v>
      </c>
      <c r="C11" s="72">
        <f>C12+C25+C27</f>
        <v>7651256772</v>
      </c>
      <c r="D11" s="72">
        <f>D12+D25+D27</f>
        <v>4060347265.4300003</v>
      </c>
      <c r="E11" s="72">
        <f>E12+E25+E27</f>
        <v>4024105150.2500005</v>
      </c>
      <c r="F11" s="73">
        <f t="shared" si="0"/>
        <v>32.793008072649435</v>
      </c>
      <c r="G11" s="73">
        <f t="shared" si="1"/>
        <v>53.067716669619045</v>
      </c>
      <c r="H11" s="75"/>
      <c r="I11" s="34"/>
      <c r="J11" s="34"/>
      <c r="K11" s="34"/>
      <c r="L11" s="34"/>
      <c r="M11" s="34"/>
    </row>
    <row r="12" spans="2:13" ht="12.75">
      <c r="B12" s="71" t="s">
        <v>85</v>
      </c>
      <c r="C12" s="72">
        <f>C13+C15+C17+C19+C21+C23</f>
        <v>1467206143.3200002</v>
      </c>
      <c r="D12" s="72">
        <f>D13+D15+D17+D19+D21+D23</f>
        <v>902709568.2</v>
      </c>
      <c r="E12" s="72">
        <f>E13+E15+E17+E19+E21+E23</f>
        <v>902332446.3200002</v>
      </c>
      <c r="F12" s="73">
        <f t="shared" si="0"/>
        <v>7.290647873712228</v>
      </c>
      <c r="G12" s="73">
        <f t="shared" si="1"/>
        <v>61.525748941954745</v>
      </c>
      <c r="H12" s="26"/>
      <c r="I12" s="34"/>
      <c r="J12" s="34"/>
      <c r="K12" s="34"/>
      <c r="L12" s="34"/>
      <c r="M12" s="34"/>
    </row>
    <row r="13" spans="2:13" ht="22.5" customHeight="1">
      <c r="B13" s="29" t="s">
        <v>9</v>
      </c>
      <c r="C13" s="21">
        <f>792229011.57</f>
        <v>792229011.57</v>
      </c>
      <c r="D13" s="21">
        <f>487327066.45</f>
        <v>487327066.45</v>
      </c>
      <c r="E13" s="21">
        <f>486950734.72</f>
        <v>486950734.72</v>
      </c>
      <c r="F13" s="31">
        <f t="shared" si="0"/>
        <v>3.9358506500608397</v>
      </c>
      <c r="G13" s="31">
        <f t="shared" si="1"/>
        <v>61.5134082863539</v>
      </c>
      <c r="H13" s="26"/>
      <c r="I13" s="34"/>
      <c r="J13" s="34"/>
      <c r="K13" s="34"/>
      <c r="L13" s="34"/>
      <c r="M13" s="34"/>
    </row>
    <row r="14" spans="2:13" ht="11.25" customHeight="1">
      <c r="B14" s="78" t="s">
        <v>6</v>
      </c>
      <c r="C14" s="21">
        <f>8044080</f>
        <v>8044080</v>
      </c>
      <c r="D14" s="21">
        <f>150880</f>
        <v>150880</v>
      </c>
      <c r="E14" s="21">
        <f>150880</f>
        <v>150880</v>
      </c>
      <c r="F14" s="31">
        <f t="shared" si="0"/>
        <v>0.0012185679535657555</v>
      </c>
      <c r="G14" s="31">
        <f t="shared" si="1"/>
        <v>1.8756650853795587</v>
      </c>
      <c r="H14" s="26"/>
      <c r="I14" s="34"/>
      <c r="J14" s="34"/>
      <c r="K14" s="34"/>
      <c r="L14" s="34"/>
      <c r="M14" s="34"/>
    </row>
    <row r="15" spans="2:13" ht="11.25" customHeight="1">
      <c r="B15" s="29" t="s">
        <v>7</v>
      </c>
      <c r="C15" s="21">
        <f>321014166.52</f>
        <v>321014166.52</v>
      </c>
      <c r="D15" s="21">
        <f>177653824.37</f>
        <v>177653824.37</v>
      </c>
      <c r="E15" s="21">
        <f>177653035.22</f>
        <v>177653035.22</v>
      </c>
      <c r="F15" s="31">
        <f t="shared" si="0"/>
        <v>1.434804196750272</v>
      </c>
      <c r="G15" s="31">
        <f t="shared" si="1"/>
        <v>55.34142816682569</v>
      </c>
      <c r="H15" s="26"/>
      <c r="I15" s="34"/>
      <c r="J15" s="34"/>
      <c r="K15" s="34"/>
      <c r="L15" s="34"/>
      <c r="M15" s="34"/>
    </row>
    <row r="16" spans="2:13" ht="10.5" customHeight="1">
      <c r="B16" s="78" t="s">
        <v>6</v>
      </c>
      <c r="C16" s="21">
        <f>85763636.52</f>
        <v>85763636.52</v>
      </c>
      <c r="D16" s="21">
        <f>29964665.47</f>
        <v>29964665.47</v>
      </c>
      <c r="E16" s="21">
        <f>29964665.47</f>
        <v>29964665.47</v>
      </c>
      <c r="F16" s="31">
        <f t="shared" si="0"/>
        <v>0.24200676750437672</v>
      </c>
      <c r="G16" s="31">
        <f t="shared" si="1"/>
        <v>34.938660119679355</v>
      </c>
      <c r="H16" s="26"/>
      <c r="I16" s="34"/>
      <c r="J16" s="34"/>
      <c r="K16" s="34"/>
      <c r="L16" s="34"/>
      <c r="M16" s="34"/>
    </row>
    <row r="17" spans="2:13" ht="35.25" customHeight="1">
      <c r="B17" s="29" t="s">
        <v>10</v>
      </c>
      <c r="C17" s="21">
        <f>1160828</f>
        <v>1160828</v>
      </c>
      <c r="D17" s="21">
        <f>454549</f>
        <v>454549</v>
      </c>
      <c r="E17" s="21">
        <f>454549</f>
        <v>454549</v>
      </c>
      <c r="F17" s="31">
        <f t="shared" si="0"/>
        <v>0.0036711217174268335</v>
      </c>
      <c r="G17" s="31">
        <f t="shared" si="1"/>
        <v>39.157308404001284</v>
      </c>
      <c r="H17" s="26"/>
      <c r="I17" s="34"/>
      <c r="J17" s="34"/>
      <c r="K17" s="34"/>
      <c r="L17" s="34"/>
      <c r="M17" s="34"/>
    </row>
    <row r="18" spans="2:13" ht="9.75" customHeight="1">
      <c r="B18" s="78" t="s">
        <v>6</v>
      </c>
      <c r="C18" s="21">
        <f>145000</f>
        <v>145000</v>
      </c>
      <c r="D18" s="21">
        <f>145000</f>
        <v>145000</v>
      </c>
      <c r="E18" s="21">
        <f>145000</f>
        <v>145000</v>
      </c>
      <c r="F18" s="31">
        <f t="shared" si="0"/>
        <v>0.001171078693445351</v>
      </c>
      <c r="G18" s="31">
        <f t="shared" si="1"/>
        <v>100</v>
      </c>
      <c r="H18" s="26"/>
      <c r="I18" s="34"/>
      <c r="J18" s="34"/>
      <c r="K18" s="34"/>
      <c r="L18" s="34"/>
      <c r="M18" s="34"/>
    </row>
    <row r="19" spans="2:13" ht="33.75" customHeight="1">
      <c r="B19" s="29" t="s">
        <v>11</v>
      </c>
      <c r="C19" s="21">
        <f>77208868.81</f>
        <v>77208868.81</v>
      </c>
      <c r="D19" s="21">
        <f>62581929.08</f>
        <v>62581929.08</v>
      </c>
      <c r="E19" s="21">
        <f>62581929.08</f>
        <v>62581929.08</v>
      </c>
      <c r="F19" s="31">
        <f t="shared" si="0"/>
        <v>0.5054369913123863</v>
      </c>
      <c r="G19" s="31">
        <f t="shared" si="1"/>
        <v>81.05536325626683</v>
      </c>
      <c r="H19" s="26"/>
      <c r="I19" s="34"/>
      <c r="J19" s="34"/>
      <c r="K19" s="34"/>
      <c r="L19" s="34"/>
      <c r="M19" s="34"/>
    </row>
    <row r="20" spans="2:13" ht="11.25" customHeight="1">
      <c r="B20" s="78" t="s">
        <v>6</v>
      </c>
      <c r="C20" s="21">
        <f>29773651.81</f>
        <v>29773651.81</v>
      </c>
      <c r="D20" s="21">
        <f>27164848.42</f>
        <v>27164848.42</v>
      </c>
      <c r="E20" s="21">
        <f>27164848.42</f>
        <v>27164848.42</v>
      </c>
      <c r="F20" s="31">
        <f t="shared" si="0"/>
        <v>0.2193943116919628</v>
      </c>
      <c r="G20" s="31">
        <f t="shared" si="1"/>
        <v>91.23787902589838</v>
      </c>
      <c r="H20" s="26"/>
      <c r="I20" s="34"/>
      <c r="J20" s="34"/>
      <c r="K20" s="34"/>
      <c r="L20" s="34"/>
      <c r="M20" s="34"/>
    </row>
    <row r="21" spans="2:13" ht="45" customHeight="1">
      <c r="B21" s="29" t="s">
        <v>64</v>
      </c>
      <c r="C21" s="21">
        <f>167061138.63</f>
        <v>167061138.63</v>
      </c>
      <c r="D21" s="21">
        <f>96375437.11</f>
        <v>96375437.11</v>
      </c>
      <c r="E21" s="21">
        <f>96375437.11</f>
        <v>96375437.11</v>
      </c>
      <c r="F21" s="31">
        <f t="shared" si="0"/>
        <v>0.7783670411793338</v>
      </c>
      <c r="G21" s="31">
        <f t="shared" si="1"/>
        <v>57.688722763615466</v>
      </c>
      <c r="H21" s="26"/>
      <c r="I21" s="34"/>
      <c r="J21" s="34"/>
      <c r="K21" s="34"/>
      <c r="L21" s="34"/>
      <c r="M21" s="34"/>
    </row>
    <row r="22" spans="2:13" ht="12.75">
      <c r="B22" s="78" t="s">
        <v>6</v>
      </c>
      <c r="C22" s="21">
        <f>118403680.06</f>
        <v>118403680.06</v>
      </c>
      <c r="D22" s="21">
        <f>64482565.09</f>
        <v>64482565.09</v>
      </c>
      <c r="E22" s="21">
        <f>64482565.09</f>
        <v>64482565.09</v>
      </c>
      <c r="F22" s="31">
        <f t="shared" si="0"/>
        <v>0.5207872970731172</v>
      </c>
      <c r="G22" s="31">
        <f t="shared" si="1"/>
        <v>54.459933219410104</v>
      </c>
      <c r="H22" s="26"/>
      <c r="I22" s="34"/>
      <c r="J22" s="34"/>
      <c r="K22" s="34"/>
      <c r="L22" s="34"/>
      <c r="M22" s="34"/>
    </row>
    <row r="23" spans="2:13" ht="21.75" customHeight="1">
      <c r="B23" s="29" t="s">
        <v>8</v>
      </c>
      <c r="C23" s="21">
        <f>108532129.79</f>
        <v>108532129.79</v>
      </c>
      <c r="D23" s="21">
        <f>78316762.19</f>
        <v>78316762.19</v>
      </c>
      <c r="E23" s="21">
        <f>78316761.19</f>
        <v>78316761.19</v>
      </c>
      <c r="F23" s="31">
        <f t="shared" si="0"/>
        <v>0.6325178726919687</v>
      </c>
      <c r="G23" s="31">
        <f t="shared" si="1"/>
        <v>72.15997911543425</v>
      </c>
      <c r="H23" s="26"/>
      <c r="I23" s="34"/>
      <c r="J23" s="34"/>
      <c r="K23" s="34"/>
      <c r="L23" s="34"/>
      <c r="M23" s="34"/>
    </row>
    <row r="24" spans="2:13" ht="12.75">
      <c r="B24" s="78" t="s">
        <v>6</v>
      </c>
      <c r="C24" s="21">
        <f>12197048</f>
        <v>12197048</v>
      </c>
      <c r="D24" s="21">
        <f>3411782.14</f>
        <v>3411782.14</v>
      </c>
      <c r="E24" s="21">
        <f>3411782.14</f>
        <v>3411782.14</v>
      </c>
      <c r="F24" s="31">
        <f t="shared" si="0"/>
        <v>0.027554933591940577</v>
      </c>
      <c r="G24" s="31">
        <f t="shared" si="1"/>
        <v>27.97219573129498</v>
      </c>
      <c r="H24" s="26"/>
      <c r="I24" s="34"/>
      <c r="J24" s="34"/>
      <c r="K24" s="34"/>
      <c r="L24" s="34"/>
      <c r="M24" s="34"/>
    </row>
    <row r="25" spans="2:13" ht="13.5" customHeight="1">
      <c r="B25" s="71" t="s">
        <v>55</v>
      </c>
      <c r="C25" s="72">
        <f>1140023925.26</f>
        <v>1140023925.26</v>
      </c>
      <c r="D25" s="72">
        <f>606685519.23</f>
        <v>606685519.23</v>
      </c>
      <c r="E25" s="72">
        <f>600700562.9</f>
        <v>600700562.9</v>
      </c>
      <c r="F25" s="73">
        <f t="shared" si="0"/>
        <v>4.899837828910916</v>
      </c>
      <c r="G25" s="73">
        <f t="shared" si="1"/>
        <v>53.216911135583054</v>
      </c>
      <c r="H25" s="26"/>
      <c r="I25" s="34"/>
      <c r="J25" s="34"/>
      <c r="K25" s="34"/>
      <c r="L25" s="34"/>
      <c r="M25" s="34"/>
    </row>
    <row r="26" spans="2:13" ht="14.25" customHeight="1">
      <c r="B26" s="28" t="s">
        <v>56</v>
      </c>
      <c r="C26" s="20">
        <f>385489918.63</f>
        <v>385489918.63</v>
      </c>
      <c r="D26" s="20">
        <f>99266987.23</f>
        <v>99266987.23</v>
      </c>
      <c r="E26" s="20">
        <f>99111943.53</f>
        <v>99111943.53</v>
      </c>
      <c r="F26" s="31">
        <f t="shared" si="0"/>
        <v>0.8017203703969982</v>
      </c>
      <c r="G26" s="31">
        <f t="shared" si="1"/>
        <v>25.75086466146426</v>
      </c>
      <c r="H26" s="26"/>
      <c r="I26" s="34"/>
      <c r="J26" s="34"/>
      <c r="K26" s="34"/>
      <c r="L26" s="34"/>
      <c r="M26" s="34"/>
    </row>
    <row r="27" spans="2:13" ht="14.25" customHeight="1">
      <c r="B27" s="71" t="s">
        <v>79</v>
      </c>
      <c r="C27" s="72">
        <f>5044026703.42</f>
        <v>5044026703.42</v>
      </c>
      <c r="D27" s="72">
        <f>2550952178</f>
        <v>2550952178</v>
      </c>
      <c r="E27" s="72">
        <f>2521072141.03</f>
        <v>2521072141.03</v>
      </c>
      <c r="F27" s="77">
        <f t="shared" si="0"/>
        <v>20.602522370026293</v>
      </c>
      <c r="G27" s="77">
        <f t="shared" si="1"/>
        <v>50.57372468449421</v>
      </c>
      <c r="H27" s="26"/>
      <c r="I27" s="34"/>
      <c r="J27" s="34"/>
      <c r="K27" s="34"/>
      <c r="L27" s="34"/>
      <c r="M27" s="34"/>
    </row>
    <row r="28" spans="2:13" ht="14.25" customHeight="1">
      <c r="B28" s="28" t="s">
        <v>80</v>
      </c>
      <c r="C28" s="20">
        <f>3803640644.76</f>
        <v>3803640644.76</v>
      </c>
      <c r="D28" s="20">
        <f>1755837627.79</f>
        <v>1755837627.79</v>
      </c>
      <c r="E28" s="20">
        <f>1726126894.04</f>
        <v>1726126894.04</v>
      </c>
      <c r="F28" s="31">
        <f t="shared" si="0"/>
        <v>14.18085541416895</v>
      </c>
      <c r="G28" s="31">
        <f>IF(C27=0,"",100*D28/C28)</f>
        <v>46.162027167547755</v>
      </c>
      <c r="H28" s="26"/>
      <c r="I28" s="34"/>
      <c r="J28" s="34"/>
      <c r="K28" s="34"/>
      <c r="L28" s="34"/>
      <c r="M28" s="34"/>
    </row>
    <row r="29" spans="2:13" s="5" customFormat="1" ht="22.5" customHeight="1">
      <c r="B29" s="55" t="s">
        <v>48</v>
      </c>
      <c r="C29" s="22">
        <f>C30+C31+C32+C33</f>
        <v>2153722961</v>
      </c>
      <c r="D29" s="22">
        <f>D30+D31+D32+D33</f>
        <v>1674067342</v>
      </c>
      <c r="E29" s="22">
        <f>E30+E31+E32+E33</f>
        <v>1628917957</v>
      </c>
      <c r="F29" s="30">
        <f t="shared" si="0"/>
        <v>13.520445486957874</v>
      </c>
      <c r="G29" s="30">
        <f t="shared" si="1"/>
        <v>77.72900100497188</v>
      </c>
      <c r="H29" s="27"/>
      <c r="I29" s="56"/>
      <c r="J29" s="56"/>
      <c r="K29" s="56"/>
      <c r="L29" s="56"/>
      <c r="M29" s="56"/>
    </row>
    <row r="30" spans="2:13" ht="12.75">
      <c r="B30" s="29" t="s">
        <v>32</v>
      </c>
      <c r="C30" s="21">
        <f>588618632</f>
        <v>588618632</v>
      </c>
      <c r="D30" s="21">
        <f>496451087</f>
        <v>496451087</v>
      </c>
      <c r="E30" s="21">
        <f>451301702</f>
        <v>451301702</v>
      </c>
      <c r="F30" s="31">
        <f t="shared" si="0"/>
        <v>4.009539933265409</v>
      </c>
      <c r="G30" s="31">
        <f t="shared" si="1"/>
        <v>84.34172144927958</v>
      </c>
      <c r="H30" s="27"/>
      <c r="I30" s="34"/>
      <c r="J30" s="34"/>
      <c r="K30" s="34"/>
      <c r="L30" s="34"/>
      <c r="M30" s="34"/>
    </row>
    <row r="31" spans="2:13" ht="12.75">
      <c r="B31" s="29" t="s">
        <v>46</v>
      </c>
      <c r="C31" s="21">
        <f>347075971</f>
        <v>347075971</v>
      </c>
      <c r="D31" s="21">
        <f>254038248</f>
        <v>254038248</v>
      </c>
      <c r="E31" s="21">
        <f>254038248</f>
        <v>254038248</v>
      </c>
      <c r="F31" s="31">
        <f t="shared" si="0"/>
        <v>2.0517157210550763</v>
      </c>
      <c r="G31" s="31">
        <f t="shared" si="1"/>
        <v>73.19384492912648</v>
      </c>
      <c r="H31" s="27"/>
      <c r="I31" s="34"/>
      <c r="J31" s="34"/>
      <c r="K31" s="34"/>
      <c r="L31" s="34"/>
      <c r="M31" s="34"/>
    </row>
    <row r="32" spans="2:13" ht="12.75">
      <c r="B32" s="29" t="s">
        <v>33</v>
      </c>
      <c r="C32" s="21">
        <f>1177801458</f>
        <v>1177801458</v>
      </c>
      <c r="D32" s="21">
        <f>883351107</f>
        <v>883351107</v>
      </c>
      <c r="E32" s="21">
        <f>883351107</f>
        <v>883351107</v>
      </c>
      <c r="F32" s="31">
        <f t="shared" si="0"/>
        <v>7.134301105096996</v>
      </c>
      <c r="G32" s="31">
        <f t="shared" si="1"/>
        <v>75.00000114620337</v>
      </c>
      <c r="H32" s="27"/>
      <c r="I32" s="34"/>
      <c r="J32" s="34"/>
      <c r="K32" s="34"/>
      <c r="L32" s="34"/>
      <c r="M32" s="34"/>
    </row>
    <row r="33" spans="2:13" s="5" customFormat="1" ht="14.25" customHeight="1">
      <c r="B33" s="29" t="s">
        <v>31</v>
      </c>
      <c r="C33" s="21">
        <f>40226900</f>
        <v>40226900</v>
      </c>
      <c r="D33" s="21">
        <f>40226900</f>
        <v>40226900</v>
      </c>
      <c r="E33" s="21">
        <f>40226900</f>
        <v>40226900</v>
      </c>
      <c r="F33" s="31">
        <f t="shared" si="0"/>
        <v>0.32488872754039166</v>
      </c>
      <c r="G33" s="31">
        <f t="shared" si="1"/>
        <v>100</v>
      </c>
      <c r="H33" s="27"/>
      <c r="I33" s="56"/>
      <c r="J33" s="56"/>
      <c r="K33" s="56"/>
      <c r="L33" s="56"/>
      <c r="M33" s="56"/>
    </row>
    <row r="34" spans="2:13" s="5" customFormat="1" ht="12.75">
      <c r="B34" s="79" t="s">
        <v>63</v>
      </c>
      <c r="C34" s="76">
        <f>+C5</f>
        <v>18225776901.99</v>
      </c>
      <c r="D34" s="76">
        <f>+D5</f>
        <v>12381746915.18</v>
      </c>
      <c r="E34" s="76">
        <f>+E5</f>
        <v>12206253664.35</v>
      </c>
      <c r="F34" s="77">
        <f>IF($D$5=0,"",100*$D34/$D$34)</f>
        <v>100</v>
      </c>
      <c r="G34" s="77">
        <f t="shared" si="1"/>
        <v>67.93535870521978</v>
      </c>
      <c r="H34" s="77"/>
      <c r="I34" s="56"/>
      <c r="J34" s="56"/>
      <c r="K34" s="56"/>
      <c r="L34" s="56"/>
      <c r="M34" s="56"/>
    </row>
    <row r="35" spans="2:13" s="5" customFormat="1" ht="12.75">
      <c r="B35" s="29" t="s">
        <v>57</v>
      </c>
      <c r="C35" s="21">
        <f>4705545873.84</f>
        <v>4705545873.84</v>
      </c>
      <c r="D35" s="21">
        <f>2139749225.06</f>
        <v>2139749225.06</v>
      </c>
      <c r="E35" s="21">
        <f>2109883447.61</f>
        <v>2109883447.61</v>
      </c>
      <c r="F35" s="31">
        <f>IF($D$5=0,"",100*$D35/$D$34)</f>
        <v>17.281480874372185</v>
      </c>
      <c r="G35" s="31">
        <f t="shared" si="1"/>
        <v>45.47292242873917</v>
      </c>
      <c r="H35" s="31">
        <f>IF($D$6=0,"",100*$D35/$D$6)</f>
        <v>32.18959314799572</v>
      </c>
      <c r="I35" s="56"/>
      <c r="J35" s="56"/>
      <c r="K35" s="56"/>
      <c r="L35" s="56"/>
      <c r="M35" s="56"/>
    </row>
    <row r="36" spans="1:13" s="5" customFormat="1" ht="12.75">
      <c r="A36" s="2"/>
      <c r="B36" s="29" t="s">
        <v>58</v>
      </c>
      <c r="C36" s="21">
        <f>C34-C35</f>
        <v>13520231028.150002</v>
      </c>
      <c r="D36" s="21">
        <f>D34-D35</f>
        <v>10241997690.12</v>
      </c>
      <c r="E36" s="21">
        <f>E34-E35</f>
        <v>10096370216.74</v>
      </c>
      <c r="F36" s="31">
        <f>IF($D$5=0,"",100*$D36/$D$34)</f>
        <v>82.71851912562782</v>
      </c>
      <c r="G36" s="31">
        <f t="shared" si="1"/>
        <v>75.75312632450951</v>
      </c>
      <c r="H36" s="31">
        <f>IF($D$6=0,"",100*$D36/$D$6)</f>
        <v>154.0768118088372</v>
      </c>
      <c r="I36" s="57"/>
      <c r="J36" s="57"/>
      <c r="K36" s="58"/>
      <c r="L36" s="58"/>
      <c r="M36" s="19"/>
    </row>
    <row r="37" spans="2:13" ht="21.75" customHeight="1">
      <c r="B37" s="115" t="s">
        <v>98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2:13" s="5" customFormat="1" ht="4.5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6" t="s">
        <v>0</v>
      </c>
      <c r="C39" s="116" t="s">
        <v>42</v>
      </c>
      <c r="D39" s="116" t="s">
        <v>43</v>
      </c>
      <c r="E39" s="116" t="s">
        <v>44</v>
      </c>
      <c r="F39" s="116" t="s">
        <v>12</v>
      </c>
      <c r="G39" s="116"/>
      <c r="H39" s="116"/>
      <c r="I39" s="116" t="s">
        <v>81</v>
      </c>
      <c r="J39" s="116"/>
      <c r="K39" s="116" t="s">
        <v>2</v>
      </c>
      <c r="L39" s="125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6"/>
      <c r="C40" s="116"/>
      <c r="D40" s="117"/>
      <c r="E40" s="116"/>
      <c r="F40" s="107" t="s">
        <v>45</v>
      </c>
      <c r="G40" s="118" t="s">
        <v>25</v>
      </c>
      <c r="H40" s="117"/>
      <c r="I40" s="116"/>
      <c r="J40" s="116"/>
      <c r="K40" s="116"/>
      <c r="L40" s="125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6"/>
      <c r="C41" s="116"/>
      <c r="D41" s="117"/>
      <c r="E41" s="116"/>
      <c r="F41" s="117"/>
      <c r="G41" s="15" t="s">
        <v>40</v>
      </c>
      <c r="H41" s="15" t="s">
        <v>41</v>
      </c>
      <c r="I41" s="116"/>
      <c r="J41" s="116"/>
      <c r="K41" s="116"/>
      <c r="L41" s="125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6"/>
      <c r="C42" s="119" t="s">
        <v>62</v>
      </c>
      <c r="D42" s="119"/>
      <c r="E42" s="119"/>
      <c r="F42" s="119"/>
      <c r="G42" s="119"/>
      <c r="H42" s="119"/>
      <c r="I42" s="119"/>
      <c r="J42" s="119"/>
      <c r="K42" s="119" t="s">
        <v>4</v>
      </c>
      <c r="L42" s="11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4">
        <v>1</v>
      </c>
      <c r="C43" s="16">
        <v>2</v>
      </c>
      <c r="D43" s="16">
        <v>3</v>
      </c>
      <c r="E43" s="16">
        <v>4</v>
      </c>
      <c r="F43" s="14">
        <v>5</v>
      </c>
      <c r="G43" s="14">
        <v>6</v>
      </c>
      <c r="H43" s="16">
        <v>7</v>
      </c>
      <c r="I43" s="117">
        <v>8</v>
      </c>
      <c r="J43" s="117"/>
      <c r="K43" s="14">
        <v>9</v>
      </c>
      <c r="L43" s="16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3" ht="25.5" customHeight="1">
      <c r="B44" s="71" t="s">
        <v>49</v>
      </c>
      <c r="C44" s="80">
        <f>19707433315.78</f>
        <v>19707433315.78</v>
      </c>
      <c r="D44" s="80">
        <f>16001716153.47</f>
        <v>16001716153.47</v>
      </c>
      <c r="E44" s="80">
        <f>10336481473.99</f>
        <v>10336481473.99</v>
      </c>
      <c r="F44" s="80">
        <f>500657592.62</f>
        <v>500657592.62</v>
      </c>
      <c r="G44" s="80">
        <f>76587.89</f>
        <v>76587.89</v>
      </c>
      <c r="H44" s="80">
        <f>438903.31</f>
        <v>438903.31</v>
      </c>
      <c r="I44" s="123">
        <f>0</f>
        <v>0</v>
      </c>
      <c r="J44" s="123"/>
      <c r="K44" s="54">
        <f aca="true" t="shared" si="2" ref="K44:K55">IF($E$44=0,"",100*$E44/$E$44)</f>
        <v>100</v>
      </c>
      <c r="L44" s="54">
        <f aca="true" t="shared" si="3" ref="L44:L55">IF(C44=0,"",100*E44/C44)</f>
        <v>52.44965850379636</v>
      </c>
      <c r="M44" s="34"/>
    </row>
    <row r="45" spans="2:13" ht="12.75">
      <c r="B45" s="55" t="s">
        <v>14</v>
      </c>
      <c r="C45" s="23">
        <f>8125668030.14</f>
        <v>8125668030.14</v>
      </c>
      <c r="D45" s="23">
        <f>6307591541.31</f>
        <v>6307591541.31</v>
      </c>
      <c r="E45" s="23">
        <f>2939044595.66</f>
        <v>2939044595.66</v>
      </c>
      <c r="F45" s="23">
        <f>210691243.84</f>
        <v>210691243.84</v>
      </c>
      <c r="G45" s="23">
        <f>76587.89</f>
        <v>76587.89</v>
      </c>
      <c r="H45" s="23">
        <f>394603.1</f>
        <v>394603.1</v>
      </c>
      <c r="I45" s="122">
        <f>0</f>
        <v>0</v>
      </c>
      <c r="J45" s="124"/>
      <c r="K45" s="32">
        <f t="shared" si="2"/>
        <v>28.43370447724989</v>
      </c>
      <c r="L45" s="32">
        <f t="shared" si="3"/>
        <v>36.16988270697741</v>
      </c>
      <c r="M45" s="34"/>
    </row>
    <row r="46" spans="2:13" ht="22.5" customHeight="1">
      <c r="B46" s="17" t="s">
        <v>13</v>
      </c>
      <c r="C46" s="20">
        <f>7880967568.14</f>
        <v>7880967568.14</v>
      </c>
      <c r="D46" s="20">
        <f>6103622397.92</f>
        <v>6103622397.92</v>
      </c>
      <c r="E46" s="20">
        <f>2742552714.4</f>
        <v>2742552714.4</v>
      </c>
      <c r="F46" s="20">
        <f>210691243.84</f>
        <v>210691243.84</v>
      </c>
      <c r="G46" s="20">
        <f>76587.89</f>
        <v>76587.89</v>
      </c>
      <c r="H46" s="20">
        <f>394603.1</f>
        <v>394603.1</v>
      </c>
      <c r="I46" s="120">
        <f>0</f>
        <v>0</v>
      </c>
      <c r="J46" s="121"/>
      <c r="K46" s="33">
        <f t="shared" si="2"/>
        <v>26.532749285152477</v>
      </c>
      <c r="L46" s="33">
        <f t="shared" si="3"/>
        <v>34.79969547758556</v>
      </c>
      <c r="M46" s="34"/>
    </row>
    <row r="47" spans="2:13" ht="25.5" customHeight="1">
      <c r="B47" s="55" t="s">
        <v>50</v>
      </c>
      <c r="C47" s="23">
        <f aca="true" t="shared" si="4" ref="C47:I47">C44-C45</f>
        <v>11581765285.64</v>
      </c>
      <c r="D47" s="23">
        <f t="shared" si="4"/>
        <v>9694124612.16</v>
      </c>
      <c r="E47" s="23">
        <f t="shared" si="4"/>
        <v>7397436878.33</v>
      </c>
      <c r="F47" s="23">
        <f t="shared" si="4"/>
        <v>289966348.78</v>
      </c>
      <c r="G47" s="23">
        <f t="shared" si="4"/>
        <v>0</v>
      </c>
      <c r="H47" s="23">
        <f t="shared" si="4"/>
        <v>44300.21000000002</v>
      </c>
      <c r="I47" s="122">
        <f t="shared" si="4"/>
        <v>0</v>
      </c>
      <c r="J47" s="122"/>
      <c r="K47" s="32">
        <f t="shared" si="2"/>
        <v>71.56629552275011</v>
      </c>
      <c r="L47" s="32">
        <f t="shared" si="3"/>
        <v>63.87141075550836</v>
      </c>
      <c r="M47" s="34"/>
    </row>
    <row r="48" spans="2:13" ht="12.75">
      <c r="B48" s="17" t="s">
        <v>39</v>
      </c>
      <c r="C48" s="20">
        <f>2493921571.32</f>
        <v>2493921571.32</v>
      </c>
      <c r="D48" s="20">
        <f>2272518801.53</f>
        <v>2272518801.53</v>
      </c>
      <c r="E48" s="20">
        <f>1740857245.93</f>
        <v>1740857245.93</v>
      </c>
      <c r="F48" s="20">
        <f>25033594.6</f>
        <v>25033594.6</v>
      </c>
      <c r="G48" s="20">
        <f>0</f>
        <v>0</v>
      </c>
      <c r="H48" s="20">
        <f>2295</f>
        <v>2295</v>
      </c>
      <c r="I48" s="120">
        <f>0</f>
        <v>0</v>
      </c>
      <c r="J48" s="121"/>
      <c r="K48" s="33">
        <f t="shared" si="2"/>
        <v>16.841874580925545</v>
      </c>
      <c r="L48" s="33">
        <f t="shared" si="3"/>
        <v>69.80400931407746</v>
      </c>
      <c r="M48" s="34"/>
    </row>
    <row r="49" spans="2:13" ht="22.5" customHeight="1">
      <c r="B49" s="78" t="s">
        <v>34</v>
      </c>
      <c r="C49" s="81">
        <f>2258700541.56</f>
        <v>2258700541.56</v>
      </c>
      <c r="D49" s="81">
        <f>2076963291.03</f>
        <v>2076963291.03</v>
      </c>
      <c r="E49" s="81">
        <f>1554971902.14</f>
        <v>1554971902.14</v>
      </c>
      <c r="F49" s="81">
        <f>24635009.3</f>
        <v>24635009.3</v>
      </c>
      <c r="G49" s="81">
        <f>0</f>
        <v>0</v>
      </c>
      <c r="H49" s="81">
        <f>2295</f>
        <v>2295</v>
      </c>
      <c r="I49" s="113">
        <f>0</f>
        <v>0</v>
      </c>
      <c r="J49" s="113"/>
      <c r="K49" s="82">
        <f t="shared" si="2"/>
        <v>15.043532037984324</v>
      </c>
      <c r="L49" s="82">
        <f t="shared" si="3"/>
        <v>68.8436502993017</v>
      </c>
      <c r="M49" s="34"/>
    </row>
    <row r="50" spans="2:13" ht="12.75">
      <c r="B50" s="29" t="s">
        <v>38</v>
      </c>
      <c r="C50" s="21">
        <f>468637530.88</f>
        <v>468637530.88</v>
      </c>
      <c r="D50" s="21">
        <f>423637487.2</f>
        <v>423637487.2</v>
      </c>
      <c r="E50" s="21">
        <f>308329645.3</f>
        <v>308329645.3</v>
      </c>
      <c r="F50" s="21">
        <f>13039412.09</f>
        <v>13039412.09</v>
      </c>
      <c r="G50" s="21">
        <f>0</f>
        <v>0</v>
      </c>
      <c r="H50" s="21">
        <f>0</f>
        <v>0</v>
      </c>
      <c r="I50" s="112">
        <f>0</f>
        <v>0</v>
      </c>
      <c r="J50" s="112"/>
      <c r="K50" s="82">
        <f t="shared" si="2"/>
        <v>2.98292650236794</v>
      </c>
      <c r="L50" s="82">
        <f t="shared" si="3"/>
        <v>65.79277692954373</v>
      </c>
      <c r="M50" s="34"/>
    </row>
    <row r="51" spans="2:13" ht="12.75">
      <c r="B51" s="29" t="s">
        <v>37</v>
      </c>
      <c r="C51" s="81">
        <f>4916948515.03</f>
        <v>4916948515.03</v>
      </c>
      <c r="D51" s="81">
        <f>4324002966.43</f>
        <v>4324002966.43</v>
      </c>
      <c r="E51" s="81">
        <f>3437216737.82</f>
        <v>3437216737.82</v>
      </c>
      <c r="F51" s="81">
        <f>433450.57</f>
        <v>433450.57</v>
      </c>
      <c r="G51" s="81">
        <f>0</f>
        <v>0</v>
      </c>
      <c r="H51" s="81">
        <f>0</f>
        <v>0</v>
      </c>
      <c r="I51" s="113">
        <f>0</f>
        <v>0</v>
      </c>
      <c r="J51" s="113"/>
      <c r="K51" s="82">
        <f t="shared" si="2"/>
        <v>33.253256888905305</v>
      </c>
      <c r="L51" s="82">
        <f t="shared" si="3"/>
        <v>69.90548563429545</v>
      </c>
      <c r="M51" s="34"/>
    </row>
    <row r="52" spans="2:13" ht="12.75">
      <c r="B52" s="29" t="s">
        <v>36</v>
      </c>
      <c r="C52" s="21">
        <f>178829554.46</f>
        <v>178829554.46</v>
      </c>
      <c r="D52" s="21">
        <f>117744301.84</f>
        <v>117744301.84</v>
      </c>
      <c r="E52" s="21">
        <f>102217064.43</f>
        <v>102217064.43</v>
      </c>
      <c r="F52" s="21">
        <f>1480172.75</f>
        <v>1480172.75</v>
      </c>
      <c r="G52" s="21">
        <f>0</f>
        <v>0</v>
      </c>
      <c r="H52" s="21">
        <f>0</f>
        <v>0</v>
      </c>
      <c r="I52" s="112">
        <f>0</f>
        <v>0</v>
      </c>
      <c r="J52" s="112"/>
      <c r="K52" s="82">
        <f t="shared" si="2"/>
        <v>0.9888961218303528</v>
      </c>
      <c r="L52" s="82">
        <f t="shared" si="3"/>
        <v>57.15893255936259</v>
      </c>
      <c r="M52" s="34"/>
    </row>
    <row r="53" spans="2:13" ht="22.5" customHeight="1">
      <c r="B53" s="29" t="s">
        <v>53</v>
      </c>
      <c r="C53" s="81">
        <f>61236058.52</f>
        <v>61236058.52</v>
      </c>
      <c r="D53" s="81">
        <f>15319712.68</f>
        <v>15319712.68</v>
      </c>
      <c r="E53" s="81">
        <f>6377656.42</f>
        <v>6377656.42</v>
      </c>
      <c r="F53" s="81">
        <f>0</f>
        <v>0</v>
      </c>
      <c r="G53" s="81">
        <f>0</f>
        <v>0</v>
      </c>
      <c r="H53" s="81">
        <f>0</f>
        <v>0</v>
      </c>
      <c r="I53" s="113">
        <f>0</f>
        <v>0</v>
      </c>
      <c r="J53" s="113"/>
      <c r="K53" s="82">
        <f t="shared" si="2"/>
        <v>0.06170045809154971</v>
      </c>
      <c r="L53" s="82">
        <f t="shared" si="3"/>
        <v>10.414870868798692</v>
      </c>
      <c r="M53" s="34"/>
    </row>
    <row r="54" spans="2:13" ht="22.5">
      <c r="B54" s="29" t="s">
        <v>54</v>
      </c>
      <c r="C54" s="81">
        <f>115584796.29</f>
        <v>115584796.29</v>
      </c>
      <c r="D54" s="81">
        <f>71395244.26</f>
        <v>71395244.26</v>
      </c>
      <c r="E54" s="81">
        <f>60065349.51</f>
        <v>60065349.51</v>
      </c>
      <c r="F54" s="81">
        <f>430442.18</f>
        <v>430442.18</v>
      </c>
      <c r="G54" s="81">
        <f>0</f>
        <v>0</v>
      </c>
      <c r="H54" s="81">
        <f>0</f>
        <v>0</v>
      </c>
      <c r="I54" s="102">
        <f>0</f>
        <v>0</v>
      </c>
      <c r="J54" s="103"/>
      <c r="K54" s="82">
        <f t="shared" si="2"/>
        <v>0.5811005385260376</v>
      </c>
      <c r="L54" s="82">
        <f t="shared" si="3"/>
        <v>51.966479535333704</v>
      </c>
      <c r="M54" s="34"/>
    </row>
    <row r="55" spans="2:13" ht="12.75">
      <c r="B55" s="29" t="s">
        <v>35</v>
      </c>
      <c r="C55" s="21">
        <f aca="true" t="shared" si="5" ref="C55:I55">C47-C48-C50-C51-C52-C53-C54</f>
        <v>3346607259.140001</v>
      </c>
      <c r="D55" s="21">
        <f t="shared" si="5"/>
        <v>2469506098.219999</v>
      </c>
      <c r="E55" s="21">
        <f t="shared" si="5"/>
        <v>1742373178.9199991</v>
      </c>
      <c r="F55" s="21">
        <f t="shared" si="5"/>
        <v>249549276.58999997</v>
      </c>
      <c r="G55" s="21">
        <f t="shared" si="5"/>
        <v>0</v>
      </c>
      <c r="H55" s="21">
        <f t="shared" si="5"/>
        <v>42005.21000000002</v>
      </c>
      <c r="I55" s="102">
        <f t="shared" si="5"/>
        <v>0</v>
      </c>
      <c r="J55" s="103"/>
      <c r="K55" s="82">
        <f t="shared" si="2"/>
        <v>16.856540432103372</v>
      </c>
      <c r="L55" s="82">
        <f t="shared" si="3"/>
        <v>52.063867792115765</v>
      </c>
      <c r="M55" s="34"/>
    </row>
    <row r="56" spans="2:13" ht="12.75">
      <c r="B56" s="55" t="s">
        <v>15</v>
      </c>
      <c r="C56" s="23">
        <f>C5-C44</f>
        <v>-1481656413.789997</v>
      </c>
      <c r="D56" s="23"/>
      <c r="E56" s="23">
        <f>D5-E44</f>
        <v>2045265441.1900005</v>
      </c>
      <c r="F56" s="24"/>
      <c r="G56" s="24"/>
      <c r="H56" s="24"/>
      <c r="I56" s="114"/>
      <c r="J56" s="114"/>
      <c r="K56" s="25"/>
      <c r="L56" s="25"/>
      <c r="M56" s="59"/>
    </row>
    <row r="57" spans="2:13" ht="33.75">
      <c r="B57" s="60" t="s">
        <v>82</v>
      </c>
      <c r="C57" s="23">
        <f>+C36-C47</f>
        <v>1938465742.5100021</v>
      </c>
      <c r="D57" s="61"/>
      <c r="E57" s="23">
        <f>+D36-E47</f>
        <v>2844560811.790001</v>
      </c>
      <c r="F57" s="62"/>
      <c r="G57" s="62"/>
      <c r="H57" s="62"/>
      <c r="I57" s="98"/>
      <c r="J57" s="99"/>
      <c r="K57" s="34"/>
      <c r="L57" s="63"/>
      <c r="M57" s="63"/>
    </row>
    <row r="58" spans="2:13" ht="6.75" customHeight="1" thickBot="1">
      <c r="B58" s="64"/>
      <c r="C58" s="65"/>
      <c r="D58" s="65"/>
      <c r="E58" s="65"/>
      <c r="F58" s="18"/>
      <c r="G58" s="18"/>
      <c r="H58" s="18"/>
      <c r="I58" s="18"/>
      <c r="J58" s="34"/>
      <c r="K58" s="34"/>
      <c r="L58" s="63"/>
      <c r="M58" s="63"/>
    </row>
    <row r="59" spans="2:13" ht="12" customHeight="1" thickBot="1">
      <c r="B59" s="66" t="s">
        <v>59</v>
      </c>
      <c r="C59" s="65"/>
      <c r="D59" s="65"/>
      <c r="E59" s="65"/>
      <c r="F59" s="18"/>
      <c r="G59" s="18"/>
      <c r="H59" s="18"/>
      <c r="I59" s="18"/>
      <c r="J59" s="34"/>
      <c r="K59" s="34"/>
      <c r="L59" s="63"/>
      <c r="M59" s="63"/>
    </row>
    <row r="60" spans="2:13" ht="23.25" customHeight="1">
      <c r="B60" s="84" t="s">
        <v>83</v>
      </c>
      <c r="C60" s="23">
        <f>7650028272.6</f>
        <v>7650028272.6</v>
      </c>
      <c r="D60" s="23">
        <f>5946614659.04</f>
        <v>5946614659.04</v>
      </c>
      <c r="E60" s="23">
        <f>3210371217.38</f>
        <v>3210371217.38</v>
      </c>
      <c r="F60" s="23">
        <f>151361233.79</f>
        <v>151361233.79</v>
      </c>
      <c r="G60" s="23">
        <f>41520</f>
        <v>41520</v>
      </c>
      <c r="H60" s="23">
        <f>82.88</f>
        <v>82.88</v>
      </c>
      <c r="I60" s="100">
        <f>0</f>
        <v>0</v>
      </c>
      <c r="J60" s="101"/>
      <c r="K60" s="33">
        <f>IF($E$44=0,"",100*$E60/$E$60)</f>
        <v>100</v>
      </c>
      <c r="L60" s="33">
        <f>IF(C60=0,"",100*E60/C60)</f>
        <v>41.96548173395047</v>
      </c>
      <c r="M60" s="63"/>
    </row>
    <row r="61" spans="2:13" ht="12.75">
      <c r="B61" s="83" t="s">
        <v>60</v>
      </c>
      <c r="C61" s="81">
        <f>5368225890.47</f>
        <v>5368225890.47</v>
      </c>
      <c r="D61" s="81">
        <f>4173531816.81</f>
        <v>4173531816.81</v>
      </c>
      <c r="E61" s="81">
        <f>1926324176.07</f>
        <v>1926324176.07</v>
      </c>
      <c r="F61" s="81">
        <f>139049161.68</f>
        <v>139049161.68</v>
      </c>
      <c r="G61" s="81">
        <f>41520</f>
        <v>41520</v>
      </c>
      <c r="H61" s="81">
        <f>0</f>
        <v>0</v>
      </c>
      <c r="I61" s="102">
        <f>0</f>
        <v>0</v>
      </c>
      <c r="J61" s="103"/>
      <c r="K61" s="82">
        <f>IF($E$44=0,"",100*$E61/$E$60)</f>
        <v>60.003159934946176</v>
      </c>
      <c r="L61" s="82">
        <f>IF(C61=0,"",100*E61/C61)</f>
        <v>35.88381367277646</v>
      </c>
      <c r="M61" s="34"/>
    </row>
    <row r="62" spans="2:13" ht="12.75" customHeight="1">
      <c r="B62" s="83" t="s">
        <v>61</v>
      </c>
      <c r="C62" s="81">
        <f aca="true" t="shared" si="6" ref="C62:I62">C60-C61</f>
        <v>2281802382.13</v>
      </c>
      <c r="D62" s="81">
        <f t="shared" si="6"/>
        <v>1773082842.23</v>
      </c>
      <c r="E62" s="81">
        <f t="shared" si="6"/>
        <v>1284047041.3100002</v>
      </c>
      <c r="F62" s="81">
        <f t="shared" si="6"/>
        <v>12312072.109999985</v>
      </c>
      <c r="G62" s="81">
        <f t="shared" si="6"/>
        <v>0</v>
      </c>
      <c r="H62" s="81">
        <f t="shared" si="6"/>
        <v>82.88</v>
      </c>
      <c r="I62" s="104">
        <f t="shared" si="6"/>
        <v>0</v>
      </c>
      <c r="J62" s="105"/>
      <c r="K62" s="82">
        <f>IF($E$44=0,"",100*$E62/$E$60)</f>
        <v>39.996840065053824</v>
      </c>
      <c r="L62" s="82">
        <f>IF(C62=0,"",100*E62/C62)</f>
        <v>56.27336755216187</v>
      </c>
      <c r="M62" s="34"/>
    </row>
    <row r="63" spans="2:13" ht="23.25" customHeight="1">
      <c r="B63" s="115" t="s">
        <v>98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ht="6" customHeight="1"/>
    <row r="65" spans="2:8" ht="12.75">
      <c r="B65" s="37" t="s">
        <v>16</v>
      </c>
      <c r="C65" s="106" t="s">
        <v>17</v>
      </c>
      <c r="D65" s="94"/>
      <c r="E65" s="106" t="s">
        <v>1</v>
      </c>
      <c r="F65" s="94"/>
      <c r="G65" s="16" t="s">
        <v>22</v>
      </c>
      <c r="H65" s="16" t="s">
        <v>23</v>
      </c>
    </row>
    <row r="66" spans="2:8" ht="12.75">
      <c r="B66" s="37"/>
      <c r="C66" s="107" t="s">
        <v>62</v>
      </c>
      <c r="D66" s="108"/>
      <c r="E66" s="108"/>
      <c r="F66" s="109"/>
      <c r="G66" s="110" t="s">
        <v>4</v>
      </c>
      <c r="H66" s="111"/>
    </row>
    <row r="67" spans="2:8" ht="12.75">
      <c r="B67" s="35">
        <v>1</v>
      </c>
      <c r="C67" s="67">
        <v>2</v>
      </c>
      <c r="D67" s="68"/>
      <c r="E67" s="67">
        <v>3</v>
      </c>
      <c r="F67" s="68"/>
      <c r="G67" s="36">
        <v>4</v>
      </c>
      <c r="H67" s="36">
        <v>5</v>
      </c>
    </row>
    <row r="68" spans="2:8" ht="22.5">
      <c r="B68" s="69" t="s">
        <v>51</v>
      </c>
      <c r="C68" s="40">
        <f>2733834907.12</f>
        <v>2733834907.12</v>
      </c>
      <c r="D68" s="41"/>
      <c r="E68" s="40">
        <f>1389645159.86</f>
        <v>1389645159.86</v>
      </c>
      <c r="F68" s="41"/>
      <c r="G68" s="39">
        <f>IF($E$68=0,"",100*$E68/$E$68)</f>
        <v>100.00000000000001</v>
      </c>
      <c r="H68" s="32">
        <f>IF(C68=0,"",100*E68/C68)</f>
        <v>50.831348895312146</v>
      </c>
    </row>
    <row r="69" spans="2:8" ht="33.75">
      <c r="B69" s="38" t="s">
        <v>86</v>
      </c>
      <c r="C69" s="42">
        <f>1372446346.71</f>
        <v>1372446346.71</v>
      </c>
      <c r="D69" s="43"/>
      <c r="E69" s="42">
        <f>108792322.9</f>
        <v>108792322.9</v>
      </c>
      <c r="F69" s="43"/>
      <c r="G69" s="52">
        <f aca="true" t="shared" si="7" ref="G69:G75">IF($E$68=0,"",100*$E69/$E$68)</f>
        <v>7.828784357508956</v>
      </c>
      <c r="H69" s="53">
        <f aca="true" t="shared" si="8" ref="H69:H80">IF(C69=0,"",100*E69/C69)</f>
        <v>7.926890778702913</v>
      </c>
    </row>
    <row r="70" spans="2:8" ht="22.5">
      <c r="B70" s="85" t="s">
        <v>87</v>
      </c>
      <c r="C70" s="86">
        <f>109004656</f>
        <v>109004656</v>
      </c>
      <c r="D70" s="87"/>
      <c r="E70" s="86">
        <f>10000000</f>
        <v>10000000</v>
      </c>
      <c r="F70" s="87"/>
      <c r="G70" s="88">
        <f t="shared" si="7"/>
        <v>0.7196081624900167</v>
      </c>
      <c r="H70" s="89">
        <f t="shared" si="8"/>
        <v>9.173920057139577</v>
      </c>
    </row>
    <row r="71" spans="2:8" ht="12.75">
      <c r="B71" s="90" t="s">
        <v>88</v>
      </c>
      <c r="C71" s="86">
        <f>25700178</f>
        <v>25700178</v>
      </c>
      <c r="D71" s="87"/>
      <c r="E71" s="86">
        <f>9984344.33</f>
        <v>9984344.33</v>
      </c>
      <c r="F71" s="87"/>
      <c r="G71" s="88">
        <f t="shared" si="7"/>
        <v>0.7184815676978916</v>
      </c>
      <c r="H71" s="89">
        <f t="shared" si="8"/>
        <v>38.84931975957521</v>
      </c>
    </row>
    <row r="72" spans="2:8" ht="12.75">
      <c r="B72" s="90" t="s">
        <v>89</v>
      </c>
      <c r="C72" s="86">
        <f>128119603</f>
        <v>128119603</v>
      </c>
      <c r="D72" s="87"/>
      <c r="E72" s="86">
        <f>187241592.62</f>
        <v>187241592.62</v>
      </c>
      <c r="F72" s="87"/>
      <c r="G72" s="88">
        <f t="shared" si="7"/>
        <v>13.474057840698247</v>
      </c>
      <c r="H72" s="89">
        <f t="shared" si="8"/>
        <v>146.14593570040955</v>
      </c>
    </row>
    <row r="73" spans="2:8" ht="12.75">
      <c r="B73" s="90" t="s">
        <v>90</v>
      </c>
      <c r="C73" s="86">
        <f>0</f>
        <v>0</v>
      </c>
      <c r="D73" s="87"/>
      <c r="E73" s="86">
        <f>0</f>
        <v>0</v>
      </c>
      <c r="F73" s="87"/>
      <c r="G73" s="88">
        <f t="shared" si="7"/>
        <v>0</v>
      </c>
      <c r="H73" s="89">
        <f t="shared" si="8"/>
      </c>
    </row>
    <row r="74" spans="2:8" ht="33.75">
      <c r="B74" s="90" t="s">
        <v>94</v>
      </c>
      <c r="C74" s="86">
        <f>907568779.41</f>
        <v>907568779.41</v>
      </c>
      <c r="D74" s="87"/>
      <c r="E74" s="86">
        <f>1083626900.01</f>
        <v>1083626900.01</v>
      </c>
      <c r="F74" s="87"/>
      <c r="G74" s="88">
        <f t="shared" si="7"/>
        <v>77.97867623409492</v>
      </c>
      <c r="H74" s="89">
        <f t="shared" si="8"/>
        <v>119.39887362745702</v>
      </c>
    </row>
    <row r="75" spans="2:8" ht="12.75">
      <c r="B75" s="85" t="s">
        <v>65</v>
      </c>
      <c r="C75" s="86">
        <f>300000000</f>
        <v>300000000</v>
      </c>
      <c r="D75" s="87"/>
      <c r="E75" s="86">
        <f>0</f>
        <v>0</v>
      </c>
      <c r="F75" s="87"/>
      <c r="G75" s="88">
        <f t="shared" si="7"/>
        <v>0</v>
      </c>
      <c r="H75" s="89">
        <f t="shared" si="8"/>
        <v>0</v>
      </c>
    </row>
    <row r="76" spans="2:8" ht="22.5">
      <c r="B76" s="69" t="s">
        <v>52</v>
      </c>
      <c r="C76" s="49">
        <f>1249961730.33</f>
        <v>1249961730.33</v>
      </c>
      <c r="D76" s="50"/>
      <c r="E76" s="49">
        <f>440473359.07</f>
        <v>440473359.07</v>
      </c>
      <c r="F76" s="50"/>
      <c r="G76" s="39">
        <f>IF($E$76=0,"",100*$E76/$E$76)</f>
        <v>100</v>
      </c>
      <c r="H76" s="32">
        <f t="shared" si="8"/>
        <v>35.23894759191639</v>
      </c>
    </row>
    <row r="77" spans="2:8" ht="33.75">
      <c r="B77" s="38" t="s">
        <v>91</v>
      </c>
      <c r="C77" s="42">
        <f>921154261.33</f>
        <v>921154261.33</v>
      </c>
      <c r="D77" s="47"/>
      <c r="E77" s="48">
        <f>419448784.55</f>
        <v>419448784.55</v>
      </c>
      <c r="F77" s="47"/>
      <c r="G77" s="52">
        <f>IF($E$76=0,"",100*$E77/$E$76)</f>
        <v>95.22682266995885</v>
      </c>
      <c r="H77" s="53">
        <f t="shared" si="8"/>
        <v>45.535129365236045</v>
      </c>
    </row>
    <row r="78" spans="2:8" ht="22.5">
      <c r="B78" s="90" t="s">
        <v>92</v>
      </c>
      <c r="C78" s="86">
        <f>130249620</f>
        <v>130249620</v>
      </c>
      <c r="D78" s="87"/>
      <c r="E78" s="86">
        <f>0</f>
        <v>0</v>
      </c>
      <c r="F78" s="87"/>
      <c r="G78" s="88">
        <f>IF($E$76=0,"",100*$E78/$E$76)</f>
        <v>0</v>
      </c>
      <c r="H78" s="89">
        <f t="shared" si="8"/>
        <v>0</v>
      </c>
    </row>
    <row r="79" spans="2:8" ht="12.75">
      <c r="B79" s="90" t="s">
        <v>93</v>
      </c>
      <c r="C79" s="86">
        <f>28807469</f>
        <v>28807469</v>
      </c>
      <c r="D79" s="87"/>
      <c r="E79" s="86">
        <f>21024574.52</f>
        <v>21024574.52</v>
      </c>
      <c r="F79" s="87"/>
      <c r="G79" s="88">
        <f>IF($E$76=0,"",100*$E79/$E$76)</f>
        <v>4.773177330041151</v>
      </c>
      <c r="H79" s="89">
        <f t="shared" si="8"/>
        <v>72.98306741213537</v>
      </c>
    </row>
    <row r="80" spans="2:8" ht="12.75">
      <c r="B80" s="90" t="s">
        <v>24</v>
      </c>
      <c r="C80" s="86">
        <f>300000000</f>
        <v>300000000</v>
      </c>
      <c r="D80" s="87"/>
      <c r="E80" s="86">
        <f>0</f>
        <v>0</v>
      </c>
      <c r="F80" s="87"/>
      <c r="G80" s="88">
        <f>IF($E$76=0,"",100*$E80/$E$76)</f>
        <v>0</v>
      </c>
      <c r="H80" s="89">
        <f t="shared" si="8"/>
        <v>0</v>
      </c>
    </row>
    <row r="82" spans="2:8" ht="12.75">
      <c r="B82" s="37" t="s">
        <v>16</v>
      </c>
      <c r="C82" s="106" t="s">
        <v>17</v>
      </c>
      <c r="D82" s="94"/>
      <c r="E82" s="106" t="s">
        <v>1</v>
      </c>
      <c r="F82" s="94"/>
      <c r="G82" s="16" t="s">
        <v>22</v>
      </c>
      <c r="H82" s="16" t="s">
        <v>23</v>
      </c>
    </row>
    <row r="83" spans="2:8" ht="12.75">
      <c r="B83" s="37"/>
      <c r="C83" s="107" t="s">
        <v>62</v>
      </c>
      <c r="D83" s="108"/>
      <c r="E83" s="108"/>
      <c r="F83" s="109"/>
      <c r="G83" s="110" t="s">
        <v>4</v>
      </c>
      <c r="H83" s="111"/>
    </row>
    <row r="84" spans="2:8" ht="12.75">
      <c r="B84" s="35">
        <v>1</v>
      </c>
      <c r="C84" s="67">
        <v>2</v>
      </c>
      <c r="D84" s="68"/>
      <c r="E84" s="67">
        <v>3</v>
      </c>
      <c r="F84" s="68"/>
      <c r="G84" s="36">
        <v>4</v>
      </c>
      <c r="H84" s="36">
        <v>5</v>
      </c>
    </row>
    <row r="85" spans="2:8" ht="22.5">
      <c r="B85" s="51" t="s">
        <v>66</v>
      </c>
      <c r="C85" s="46">
        <f>1570681864.79</f>
        <v>1570681864.79</v>
      </c>
      <c r="D85" s="44"/>
      <c r="E85" s="46">
        <f>0</f>
        <v>0</v>
      </c>
      <c r="F85" s="41"/>
      <c r="G85" s="39"/>
      <c r="H85" s="32"/>
    </row>
    <row r="86" spans="2:8" ht="56.25">
      <c r="B86" s="91" t="s">
        <v>67</v>
      </c>
      <c r="C86" s="86">
        <f>0</f>
        <v>0</v>
      </c>
      <c r="D86" s="87"/>
      <c r="E86" s="86">
        <f>0</f>
        <v>0</v>
      </c>
      <c r="F86" s="87"/>
      <c r="G86" s="88"/>
      <c r="H86" s="89"/>
    </row>
    <row r="87" spans="2:8" ht="12.75">
      <c r="B87" s="91" t="s">
        <v>68</v>
      </c>
      <c r="C87" s="86">
        <f>897132235.24</f>
        <v>897132235.24</v>
      </c>
      <c r="D87" s="87"/>
      <c r="E87" s="86">
        <f>0</f>
        <v>0</v>
      </c>
      <c r="F87" s="87"/>
      <c r="G87" s="88"/>
      <c r="H87" s="89"/>
    </row>
    <row r="88" spans="2:8" ht="22.5">
      <c r="B88" s="91" t="s">
        <v>69</v>
      </c>
      <c r="C88" s="86">
        <f>0</f>
        <v>0</v>
      </c>
      <c r="D88" s="87"/>
      <c r="E88" s="86">
        <f>0</f>
        <v>0</v>
      </c>
      <c r="F88" s="87"/>
      <c r="G88" s="88"/>
      <c r="H88" s="89"/>
    </row>
    <row r="89" spans="2:8" ht="33.75">
      <c r="B89" s="91" t="s">
        <v>70</v>
      </c>
      <c r="C89" s="86">
        <f>106016728</f>
        <v>106016728</v>
      </c>
      <c r="D89" s="87"/>
      <c r="E89" s="86">
        <f>0</f>
        <v>0</v>
      </c>
      <c r="F89" s="87"/>
      <c r="G89" s="88"/>
      <c r="H89" s="89"/>
    </row>
    <row r="90" spans="2:8" ht="101.25">
      <c r="B90" s="91" t="s">
        <v>71</v>
      </c>
      <c r="C90" s="86">
        <f>567532901.55</f>
        <v>567532901.55</v>
      </c>
      <c r="D90" s="87"/>
      <c r="E90" s="86">
        <f>0</f>
        <v>0</v>
      </c>
      <c r="F90" s="87"/>
      <c r="G90" s="88"/>
      <c r="H90" s="89"/>
    </row>
    <row r="92" spans="2:6" ht="12.75">
      <c r="B92" s="70" t="s">
        <v>16</v>
      </c>
      <c r="C92" s="106" t="s">
        <v>97</v>
      </c>
      <c r="D92" s="93"/>
      <c r="E92" s="93"/>
      <c r="F92" s="94"/>
    </row>
    <row r="93" spans="2:6" ht="12.75">
      <c r="B93" s="37"/>
      <c r="C93" s="107" t="s">
        <v>62</v>
      </c>
      <c r="D93" s="108"/>
      <c r="E93" s="108"/>
      <c r="F93" s="109"/>
    </row>
    <row r="94" spans="2:6" ht="12.75">
      <c r="B94" s="35">
        <v>1</v>
      </c>
      <c r="C94" s="95">
        <v>2</v>
      </c>
      <c r="D94" s="96"/>
      <c r="E94" s="96"/>
      <c r="F94" s="97"/>
    </row>
    <row r="95" spans="2:6" ht="56.25">
      <c r="B95" s="51" t="s">
        <v>72</v>
      </c>
      <c r="C95" s="92">
        <f>180904666.36</f>
        <v>180904666.36</v>
      </c>
      <c r="D95" s="93"/>
      <c r="E95" s="93"/>
      <c r="F95" s="94"/>
    </row>
    <row r="96" spans="2:6" ht="41.25" customHeight="1">
      <c r="B96" s="45" t="s">
        <v>73</v>
      </c>
      <c r="C96" s="92">
        <f>35964084.87</f>
        <v>35964084.87</v>
      </c>
      <c r="D96" s="93"/>
      <c r="E96" s="93"/>
      <c r="F96" s="94"/>
    </row>
    <row r="97" spans="2:6" ht="45">
      <c r="B97" s="45" t="s">
        <v>74</v>
      </c>
      <c r="C97" s="92">
        <f>14690961.49</f>
        <v>14690961.49</v>
      </c>
      <c r="D97" s="93"/>
      <c r="E97" s="93"/>
      <c r="F97" s="94"/>
    </row>
    <row r="98" spans="2:6" ht="69" customHeight="1">
      <c r="B98" s="45" t="s">
        <v>75</v>
      </c>
      <c r="C98" s="92">
        <f>0</f>
        <v>0</v>
      </c>
      <c r="D98" s="93"/>
      <c r="E98" s="93"/>
      <c r="F98" s="94"/>
    </row>
    <row r="99" spans="2:6" ht="56.25">
      <c r="B99" s="45" t="s">
        <v>76</v>
      </c>
      <c r="C99" s="92">
        <f>130249620</f>
        <v>130249620</v>
      </c>
      <c r="D99" s="93"/>
      <c r="E99" s="93"/>
      <c r="F99" s="94"/>
    </row>
    <row r="100" spans="2:6" ht="56.25">
      <c r="B100" s="91" t="s">
        <v>77</v>
      </c>
      <c r="C100" s="92">
        <f>0</f>
        <v>0</v>
      </c>
      <c r="D100" s="93"/>
      <c r="E100" s="93"/>
      <c r="F100" s="94"/>
    </row>
    <row r="101" spans="2:6" ht="45">
      <c r="B101" s="91" t="s">
        <v>78</v>
      </c>
      <c r="C101" s="92">
        <f>0</f>
        <v>0</v>
      </c>
      <c r="D101" s="93"/>
      <c r="E101" s="93"/>
      <c r="F101" s="94"/>
    </row>
    <row r="102" spans="2:6" ht="90">
      <c r="B102" s="91" t="s">
        <v>95</v>
      </c>
      <c r="C102" s="92">
        <f>0</f>
        <v>0</v>
      </c>
      <c r="D102" s="93"/>
      <c r="E102" s="93"/>
      <c r="F102" s="94"/>
    </row>
    <row r="103" spans="2:6" ht="90">
      <c r="B103" s="91" t="s">
        <v>96</v>
      </c>
      <c r="C103" s="92">
        <f>0</f>
        <v>0</v>
      </c>
      <c r="D103" s="93"/>
      <c r="E103" s="93"/>
      <c r="F103" s="94"/>
    </row>
  </sheetData>
  <sheetProtection/>
  <mergeCells count="56">
    <mergeCell ref="C42:J42"/>
    <mergeCell ref="C3:E3"/>
    <mergeCell ref="C66:F66"/>
    <mergeCell ref="G66:H66"/>
    <mergeCell ref="L39:L41"/>
    <mergeCell ref="B2:B3"/>
    <mergeCell ref="C39:C41"/>
    <mergeCell ref="B39:B42"/>
    <mergeCell ref="K39:K41"/>
    <mergeCell ref="K42:L42"/>
    <mergeCell ref="I43:J43"/>
    <mergeCell ref="I46:J46"/>
    <mergeCell ref="I47:J47"/>
    <mergeCell ref="I49:J49"/>
    <mergeCell ref="I44:J44"/>
    <mergeCell ref="I45:J45"/>
    <mergeCell ref="I48:J48"/>
    <mergeCell ref="B1:M1"/>
    <mergeCell ref="B63:M63"/>
    <mergeCell ref="I39:J41"/>
    <mergeCell ref="D39:D41"/>
    <mergeCell ref="E39:E41"/>
    <mergeCell ref="F40:F41"/>
    <mergeCell ref="F39:H39"/>
    <mergeCell ref="G40:H40"/>
    <mergeCell ref="F3:H3"/>
    <mergeCell ref="B37:M37"/>
    <mergeCell ref="I50:J50"/>
    <mergeCell ref="I51:J51"/>
    <mergeCell ref="I52:J52"/>
    <mergeCell ref="I53:J53"/>
    <mergeCell ref="I55:J55"/>
    <mergeCell ref="I56:J56"/>
    <mergeCell ref="I54:J54"/>
    <mergeCell ref="C93:F93"/>
    <mergeCell ref="C82:D82"/>
    <mergeCell ref="E82:F82"/>
    <mergeCell ref="C83:F83"/>
    <mergeCell ref="G83:H83"/>
    <mergeCell ref="C92:F92"/>
    <mergeCell ref="I57:J57"/>
    <mergeCell ref="I60:J60"/>
    <mergeCell ref="I61:J61"/>
    <mergeCell ref="I62:J62"/>
    <mergeCell ref="C65:D65"/>
    <mergeCell ref="E65:F65"/>
    <mergeCell ref="C100:F100"/>
    <mergeCell ref="C101:F101"/>
    <mergeCell ref="C102:F102"/>
    <mergeCell ref="C103:F103"/>
    <mergeCell ref="C94:F94"/>
    <mergeCell ref="C95:F95"/>
    <mergeCell ref="C96:F96"/>
    <mergeCell ref="C97:F97"/>
    <mergeCell ref="C98:F98"/>
    <mergeCell ref="C99:F99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2" max="255" man="1"/>
    <brk id="9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2015-04-29T09:53:24Z</cp:lastPrinted>
  <dcterms:created xsi:type="dcterms:W3CDTF">2001-05-17T08:58:03Z</dcterms:created>
  <dcterms:modified xsi:type="dcterms:W3CDTF">2018-11-19T09:54:56Z</dcterms:modified>
  <cp:category/>
  <cp:version/>
  <cp:contentType/>
  <cp:contentStatus/>
</cp:coreProperties>
</file>