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3\IV kwartał\2024.03.15 ostateczne\BIP MF\Zbiorówki\"/>
    </mc:Choice>
  </mc:AlternateContent>
  <xr:revisionPtr revIDLastSave="0" documentId="13_ncr:1_{D51886B5-7C32-4221-A572-89B6277CCD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4" l="1"/>
  <c r="C106" i="4"/>
  <c r="C105" i="4"/>
  <c r="C104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89" i="4"/>
  <c r="C89" i="4"/>
  <c r="D88" i="4"/>
  <c r="C88" i="4"/>
  <c r="D87" i="4"/>
  <c r="C87" i="4"/>
  <c r="D86" i="4"/>
  <c r="C86" i="4"/>
  <c r="D85" i="4"/>
  <c r="C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C73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59" i="4"/>
  <c r="H59" i="4"/>
  <c r="G59" i="4"/>
  <c r="F59" i="4"/>
  <c r="E59" i="4"/>
  <c r="D59" i="4"/>
  <c r="C59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D41" i="4"/>
  <c r="C41" i="4"/>
  <c r="D39" i="4"/>
  <c r="C39" i="4"/>
  <c r="D38" i="4"/>
  <c r="C38" i="4"/>
  <c r="D37" i="4"/>
  <c r="C37" i="4"/>
  <c r="D36" i="4"/>
  <c r="C36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9" i="4"/>
  <c r="C9" i="4"/>
  <c r="D8" i="4"/>
  <c r="C8" i="4"/>
  <c r="D7" i="4"/>
  <c r="C7" i="4"/>
  <c r="D5" i="4"/>
  <c r="C5" i="4"/>
  <c r="K24" i="4" l="1"/>
  <c r="D67" i="4"/>
  <c r="K29" i="4"/>
  <c r="K75" i="4"/>
  <c r="D104" i="4"/>
  <c r="K30" i="4"/>
  <c r="K56" i="4"/>
  <c r="K76" i="4"/>
  <c r="K8" i="4"/>
  <c r="C35" i="4"/>
  <c r="K35" i="4" s="1"/>
  <c r="K36" i="4"/>
  <c r="K81" i="4"/>
  <c r="D35" i="4"/>
  <c r="K9" i="4"/>
  <c r="K37" i="4"/>
  <c r="K82" i="4"/>
  <c r="K17" i="4"/>
  <c r="E54" i="4"/>
  <c r="E60" i="4" s="1"/>
  <c r="K87" i="4"/>
  <c r="D12" i="4"/>
  <c r="D11" i="4" s="1"/>
  <c r="D6" i="4" s="1"/>
  <c r="J6" i="4" s="1"/>
  <c r="F54" i="4"/>
  <c r="F60" i="4" s="1"/>
  <c r="K18" i="4"/>
  <c r="G54" i="4"/>
  <c r="G60" i="4" s="1"/>
  <c r="K88" i="4"/>
  <c r="K23" i="4"/>
  <c r="K53" i="4"/>
  <c r="I67" i="4"/>
  <c r="C67" i="4"/>
  <c r="K67" i="4" s="1"/>
  <c r="K66" i="4"/>
  <c r="K19" i="4"/>
  <c r="K31" i="4"/>
  <c r="I54" i="4"/>
  <c r="I60" i="4" s="1"/>
  <c r="K58" i="4"/>
  <c r="F67" i="4"/>
  <c r="K83" i="4"/>
  <c r="C54" i="4"/>
  <c r="K52" i="4"/>
  <c r="K20" i="4"/>
  <c r="K32" i="4"/>
  <c r="K65" i="4"/>
  <c r="K78" i="4"/>
  <c r="J67" i="4"/>
  <c r="J65" i="4"/>
  <c r="J66" i="4"/>
  <c r="K15" i="4"/>
  <c r="K27" i="4"/>
  <c r="K41" i="4"/>
  <c r="K73" i="4"/>
  <c r="K79" i="4"/>
  <c r="K85" i="4"/>
  <c r="J28" i="4"/>
  <c r="J8" i="4"/>
  <c r="J33" i="4"/>
  <c r="D40" i="4"/>
  <c r="D42" i="4" s="1"/>
  <c r="J42" i="4"/>
  <c r="J31" i="4"/>
  <c r="J26" i="4"/>
  <c r="J14" i="4"/>
  <c r="J24" i="4"/>
  <c r="J38" i="4"/>
  <c r="J17" i="4"/>
  <c r="J37" i="4"/>
  <c r="J9" i="4"/>
  <c r="J32" i="4"/>
  <c r="J22" i="4"/>
  <c r="J36" i="4"/>
  <c r="J29" i="4"/>
  <c r="J7" i="4"/>
  <c r="J21" i="4"/>
  <c r="J25" i="4"/>
  <c r="J30" i="4"/>
  <c r="J16" i="4"/>
  <c r="J20" i="4"/>
  <c r="J18" i="4"/>
  <c r="J15" i="4"/>
  <c r="J5" i="4"/>
  <c r="J34" i="4"/>
  <c r="J39" i="4"/>
  <c r="J13" i="4"/>
  <c r="J23" i="4"/>
  <c r="J27" i="4"/>
  <c r="J19" i="4"/>
  <c r="J35" i="4"/>
  <c r="D61" i="4"/>
  <c r="K57" i="4"/>
  <c r="J75" i="4"/>
  <c r="J74" i="4"/>
  <c r="J82" i="4"/>
  <c r="J78" i="4"/>
  <c r="J81" i="4"/>
  <c r="J73" i="4"/>
  <c r="J83" i="4"/>
  <c r="J80" i="4"/>
  <c r="J79" i="4"/>
  <c r="J76" i="4"/>
  <c r="J77" i="4"/>
  <c r="K7" i="4"/>
  <c r="K16" i="4"/>
  <c r="K22" i="4"/>
  <c r="K28" i="4"/>
  <c r="K34" i="4"/>
  <c r="K51" i="4"/>
  <c r="K74" i="4"/>
  <c r="K80" i="4"/>
  <c r="K86" i="4"/>
  <c r="H54" i="4"/>
  <c r="H60" i="4" s="1"/>
  <c r="K13" i="4"/>
  <c r="C12" i="4"/>
  <c r="K25" i="4"/>
  <c r="K38" i="4"/>
  <c r="K77" i="4"/>
  <c r="K89" i="4"/>
  <c r="G67" i="4"/>
  <c r="K14" i="4"/>
  <c r="K26" i="4"/>
  <c r="K39" i="4"/>
  <c r="K84" i="4"/>
  <c r="K55" i="4"/>
  <c r="J89" i="4"/>
  <c r="J88" i="4"/>
  <c r="J84" i="4"/>
  <c r="J86" i="4"/>
  <c r="J85" i="4"/>
  <c r="J87" i="4"/>
  <c r="K5" i="4"/>
  <c r="C61" i="4"/>
  <c r="C40" i="4"/>
  <c r="K21" i="4"/>
  <c r="K33" i="4"/>
  <c r="E67" i="4"/>
  <c r="J51" i="4"/>
  <c r="J58" i="4"/>
  <c r="J59" i="4"/>
  <c r="J53" i="4"/>
  <c r="J52" i="4"/>
  <c r="J55" i="4"/>
  <c r="D54" i="4"/>
  <c r="D60" i="4" s="1"/>
  <c r="J60" i="4" s="1"/>
  <c r="J57" i="4"/>
  <c r="J54" i="4"/>
  <c r="J56" i="4"/>
  <c r="K59" i="4"/>
  <c r="H67" i="4"/>
  <c r="J41" i="4" l="1"/>
  <c r="D62" i="4"/>
  <c r="J11" i="4"/>
  <c r="J12" i="4"/>
  <c r="J40" i="4"/>
  <c r="K12" i="4"/>
  <c r="C11" i="4"/>
  <c r="D10" i="4"/>
  <c r="J10" i="4" s="1"/>
  <c r="L7" i="4"/>
  <c r="L8" i="4"/>
  <c r="L6" i="4"/>
  <c r="L9" i="4"/>
  <c r="B1" i="4"/>
  <c r="B68" i="4"/>
  <c r="B44" i="4"/>
  <c r="K40" i="4"/>
  <c r="C42" i="4"/>
  <c r="C60" i="4"/>
  <c r="K60" i="4" s="1"/>
  <c r="K54" i="4"/>
  <c r="L10" i="4" l="1"/>
  <c r="C62" i="4"/>
  <c r="K42" i="4"/>
  <c r="K11" i="4"/>
  <c r="C6" i="4"/>
  <c r="C10" i="4" l="1"/>
  <c r="K10" i="4" s="1"/>
  <c r="K6" i="4"/>
</calcChain>
</file>

<file path=xl/sharedStrings.xml><?xml version="1.0" encoding="utf-8"?>
<sst xmlns="http://schemas.openxmlformats.org/spreadsheetml/2006/main" count="400" uniqueCount="105">
  <si>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</si>
  <si>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</si>
  <si>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</si>
  <si>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</si>
  <si>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</si>
  <si>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</si>
  <si>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</si>
  <si>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</si>
  <si>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</si>
  <si>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</si>
  <si>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</si>
  <si>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</si>
  <si>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</si>
  <si>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</si>
  <si>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</si>
  <si>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</si>
  <si>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</si>
  <si>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</si>
  <si>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</si>
  <si>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</si>
  <si>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>dochody z majątku</t>
  </si>
  <si>
    <t xml:space="preserve">pozostałe dochody </t>
  </si>
  <si>
    <t>Struktura</t>
  </si>
  <si>
    <t>Wskaźnik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</si>
  <si>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</si>
  <si>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</si>
  <si>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</si>
  <si>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</si>
  <si>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</si>
  <si>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</si>
  <si>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</si>
  <si>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</si>
  <si>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</si>
  <si>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</si>
  <si>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</si>
  <si>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</si>
  <si>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</si>
  <si>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</si>
  <si>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</si>
  <si>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</si>
  <si>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</si>
  <si>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</si>
  <si>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</si>
  <si>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</si>
  <si>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</si>
  <si>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</si>
  <si>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</si>
  <si>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</si>
  <si>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</si>
  <si>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</si>
  <si>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</si>
  <si>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</si>
  <si>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</si>
  <si>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Dotacje §§ 200 i 620</t>
  </si>
  <si>
    <t>w tym: inwestycyjne § 620</t>
  </si>
  <si>
    <t>tytul</t>
  </si>
  <si>
    <t>majątkowe</t>
  </si>
  <si>
    <t>bieżace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</si>
  <si>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</si>
  <si>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</si>
  <si>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</si>
  <si>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</si>
  <si>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</si>
  <si>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</si>
  <si>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</si>
  <si>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</si>
  <si>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</si>
  <si>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</si>
  <si>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</si>
  <si>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Wydatki Ogółem UE                                         z tego: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</si>
  <si>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</si>
  <si>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</si>
  <si>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</si>
  <si>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</si>
  <si>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</si>
  <si>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</si>
  <si>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</si>
  <si>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</si>
  <si>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</si>
  <si>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</si>
  <si>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</si>
  <si>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</si>
  <si>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</si>
  <si>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</si>
  <si>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</si>
  <si>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</si>
  <si>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</si>
  <si>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t>Dotacje ogółem 
z tego: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</si>
  <si>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</si>
  <si>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</si>
  <si>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</si>
  <si>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</si>
  <si>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</si>
  <si>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 xml:space="preserve">DOCHODY OGÓŁEM </t>
  </si>
  <si>
    <t>Dochody bieżace 
minus 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</si>
  <si>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</si>
  <si>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</si>
  <si>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</si>
  <si>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</si>
  <si>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</si>
  <si>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</si>
  <si>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</si>
  <si>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kredyty, pożyczki, emisja papierów wartościowych 
w tym: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</si>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</sst>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3" fillId="0" borderId="0"/>
    <xf numFmtId="0" fontId="33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165" fontId="6" fillId="0" borderId="0" xfId="0" applyNumberFormat="1" applyFont="1"/>
    <xf numFmtId="165" fontId="6" fillId="0" borderId="0" xfId="0" applyNumberFormat="1" applyFont="1" applyFill="1"/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2" fillId="20" borderId="10" xfId="0" applyNumberFormat="1" applyFont="1" applyFill="1" applyBorder="1" applyAlignment="1">
      <alignment horizontal="right" vertical="center"/>
    </xf>
    <xf numFmtId="4" fontId="4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165" fontId="12" fillId="20" borderId="10" xfId="0" applyNumberFormat="1" applyFont="1" applyFill="1" applyBorder="1" applyAlignment="1">
      <alignment horizontal="right" vertical="center"/>
    </xf>
    <xf numFmtId="165" fontId="4" fillId="0" borderId="10" xfId="0" applyNumberFormat="1" applyFont="1" applyFill="1" applyBorder="1" applyAlignment="1">
      <alignment horizontal="right" vertical="center"/>
    </xf>
    <xf numFmtId="165" fontId="11" fillId="20" borderId="10" xfId="0" applyNumberFormat="1" applyFont="1" applyFill="1" applyBorder="1" applyAlignment="1">
      <alignment horizontal="right" vertical="center"/>
    </xf>
    <xf numFmtId="165" fontId="6" fillId="0" borderId="10" xfId="0" applyNumberFormat="1" applyFont="1" applyBorder="1" applyAlignment="1">
      <alignment horizontal="right" vertical="center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5" fontId="11" fillId="20" borderId="10" xfId="28" applyNumberFormat="1" applyFont="1" applyFill="1" applyBorder="1" applyAlignment="1">
      <alignment horizontal="right" vertical="center"/>
    </xf>
    <xf numFmtId="4" fontId="11" fillId="20" borderId="14" xfId="0" applyNumberFormat="1" applyFont="1" applyFill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6" fillId="20" borderId="14" xfId="0" applyNumberFormat="1" applyFont="1" applyFill="1" applyBorder="1" applyAlignment="1">
      <alignment horizontal="right" vertical="center"/>
    </xf>
    <xf numFmtId="4" fontId="6" fillId="21" borderId="14" xfId="0" applyNumberFormat="1" applyFont="1" applyFill="1" applyBorder="1" applyAlignment="1">
      <alignment horizontal="right" vertical="center"/>
    </xf>
    <xf numFmtId="4" fontId="11" fillId="22" borderId="14" xfId="0" applyNumberFormat="1" applyFont="1" applyFill="1" applyBorder="1" applyAlignment="1">
      <alignment horizontal="right" vertical="center"/>
    </xf>
    <xf numFmtId="0" fontId="34" fillId="22" borderId="10" xfId="43" applyFont="1" applyFill="1" applyBorder="1" applyAlignment="1">
      <alignment horizontal="left" vertical="center" wrapText="1"/>
    </xf>
    <xf numFmtId="165" fontId="11" fillId="21" borderId="10" xfId="28" applyNumberFormat="1" applyFont="1" applyFill="1" applyBorder="1" applyAlignment="1">
      <alignment horizontal="right" vertical="center"/>
    </xf>
    <xf numFmtId="165" fontId="11" fillId="21" borderId="10" xfId="0" applyNumberFormat="1" applyFont="1" applyFill="1" applyBorder="1" applyAlignment="1">
      <alignment horizontal="right" vertical="center"/>
    </xf>
    <xf numFmtId="165" fontId="11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right" vertical="center"/>
    </xf>
    <xf numFmtId="165" fontId="12" fillId="22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165" fontId="4" fillId="22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2"/>
    </xf>
    <xf numFmtId="4" fontId="11" fillId="22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left" vertical="center" wrapText="1" indent="1"/>
    </xf>
    <xf numFmtId="4" fontId="6" fillId="0" borderId="14" xfId="0" applyNumberFormat="1" applyFont="1" applyFill="1" applyBorder="1" applyAlignment="1">
      <alignment horizontal="right" vertical="center"/>
    </xf>
    <xf numFmtId="165" fontId="11" fillId="0" borderId="10" xfId="28" applyNumberFormat="1" applyFont="1" applyFill="1" applyBorder="1" applyAlignment="1">
      <alignment horizontal="right" vertical="center"/>
    </xf>
    <xf numFmtId="165" fontId="11" fillId="0" borderId="10" xfId="0" applyNumberFormat="1" applyFont="1" applyFill="1" applyBorder="1" applyAlignment="1">
      <alignment horizontal="right" vertical="center"/>
    </xf>
    <xf numFmtId="4" fontId="4" fillId="21" borderId="10" xfId="0" applyNumberFormat="1" applyFont="1" applyFill="1" applyBorder="1" applyAlignment="1">
      <alignment horizontal="right" vertical="center"/>
    </xf>
    <xf numFmtId="165" fontId="4" fillId="21" borderId="10" xfId="0" applyNumberFormat="1" applyFont="1" applyFill="1" applyBorder="1" applyAlignment="1">
      <alignment horizontal="right" vertical="center"/>
    </xf>
    <xf numFmtId="4" fontId="4" fillId="0" borderId="14" xfId="0" applyNumberFormat="1" applyFont="1" applyFill="1" applyBorder="1" applyAlignment="1">
      <alignment vertical="center" wrapText="1"/>
    </xf>
    <xf numFmtId="0" fontId="6" fillId="19" borderId="14" xfId="0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vertical="center" wrapText="1"/>
    </xf>
    <xf numFmtId="4" fontId="11" fillId="22" borderId="10" xfId="0" applyNumberFormat="1" applyFont="1" applyFill="1" applyBorder="1" applyAlignment="1">
      <alignment horizontal="right" vertical="center"/>
    </xf>
    <xf numFmtId="4" fontId="11" fillId="22" borderId="10" xfId="0" applyNumberFormat="1" applyFont="1" applyFill="1" applyBorder="1" applyAlignment="1">
      <alignment vertical="center"/>
    </xf>
    <xf numFmtId="4" fontId="4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4" fontId="4" fillId="0" borderId="10" xfId="0" applyNumberFormat="1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vertical="center"/>
    </xf>
    <xf numFmtId="4" fontId="4" fillId="0" borderId="16" xfId="0" applyNumberFormat="1" applyFont="1" applyFill="1" applyBorder="1" applyAlignment="1">
      <alignment horizontal="right" vertical="center"/>
    </xf>
    <xf numFmtId="4" fontId="4" fillId="0" borderId="17" xfId="0" applyNumberFormat="1" applyFont="1" applyFill="1" applyBorder="1" applyAlignment="1">
      <alignment vertical="center" wrapText="1"/>
    </xf>
    <xf numFmtId="165" fontId="11" fillId="22" borderId="16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/>
    <xf numFmtId="4" fontId="4" fillId="0" borderId="18" xfId="0" applyNumberFormat="1" applyFont="1" applyFill="1" applyBorder="1" applyAlignment="1">
      <alignment horizontal="right" vertical="center" wrapText="1"/>
    </xf>
    <xf numFmtId="4" fontId="4" fillId="0" borderId="17" xfId="0" applyNumberFormat="1" applyFont="1" applyFill="1" applyBorder="1" applyAlignment="1">
      <alignment horizontal="right" vertical="center" wrapText="1"/>
    </xf>
    <xf numFmtId="4" fontId="12" fillId="0" borderId="19" xfId="0" applyNumberFormat="1" applyFont="1" applyFill="1" applyBorder="1" applyAlignment="1">
      <alignment horizontal="right" vertical="center" wrapText="1"/>
    </xf>
    <xf numFmtId="4" fontId="4" fillId="20" borderId="14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0" fontId="6" fillId="19" borderId="14" xfId="0" applyFont="1" applyFill="1" applyBorder="1" applyAlignment="1">
      <alignment horizontal="center"/>
    </xf>
    <xf numFmtId="0" fontId="10" fillId="20" borderId="10" xfId="0" applyFont="1" applyFill="1" applyBorder="1" applyAlignment="1">
      <alignment horizontal="left" vertical="center" wrapText="1"/>
    </xf>
    <xf numFmtId="165" fontId="4" fillId="22" borderId="14" xfId="0" applyNumberFormat="1" applyFont="1" applyFill="1" applyBorder="1" applyAlignment="1">
      <alignment horizontal="right" vertical="center"/>
    </xf>
    <xf numFmtId="165" fontId="4" fillId="0" borderId="14" xfId="0" applyNumberFormat="1" applyFont="1" applyFill="1" applyBorder="1" applyAlignment="1">
      <alignment horizontal="right" vertical="center"/>
    </xf>
    <xf numFmtId="165" fontId="4" fillId="0" borderId="18" xfId="0" applyNumberFormat="1" applyFont="1" applyFill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7" fillId="22" borderId="10" xfId="0" applyFont="1" applyFill="1" applyBorder="1" applyAlignment="1">
      <alignment horizontal="left" vertical="center" wrapText="1" indent="1"/>
    </xf>
    <xf numFmtId="0" fontId="7" fillId="0" borderId="10" xfId="0" applyFont="1" applyBorder="1" applyAlignment="1">
      <alignment horizontal="center" vertical="top" wrapText="1"/>
    </xf>
    <xf numFmtId="0" fontId="7" fillId="22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10" fillId="0" borderId="10" xfId="0" applyFont="1" applyFill="1" applyBorder="1" applyAlignment="1">
      <alignment horizontal="right" vertical="center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4" fillId="0" borderId="10" xfId="43" applyFont="1" applyFill="1" applyBorder="1" applyAlignment="1">
      <alignment horizontal="left" vertical="center" wrapText="1" indent="1"/>
    </xf>
    <xf numFmtId="4" fontId="11" fillId="20" borderId="14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0" fontId="6" fillId="0" borderId="16" xfId="0" applyFont="1" applyBorder="1"/>
    <xf numFmtId="166" fontId="6" fillId="0" borderId="11" xfId="0" applyNumberFormat="1" applyFont="1" applyBorder="1"/>
    <xf numFmtId="0" fontId="4" fillId="0" borderId="10" xfId="0" applyFont="1" applyFill="1" applyBorder="1" applyAlignment="1">
      <alignment horizontal="left" vertical="center" wrapText="1" indent="4"/>
    </xf>
    <xf numFmtId="0" fontId="4" fillId="21" borderId="10" xfId="0" applyFont="1" applyFill="1" applyBorder="1" applyAlignment="1">
      <alignment horizontal="left" vertical="center" wrapText="1" indent="3"/>
    </xf>
    <xf numFmtId="4" fontId="12" fillId="20" borderId="10" xfId="0" applyNumberFormat="1" applyFont="1" applyFill="1" applyBorder="1" applyAlignment="1">
      <alignment horizontal="right" vertical="center" wrapText="1"/>
    </xf>
    <xf numFmtId="0" fontId="10" fillId="0" borderId="20" xfId="43" applyFont="1" applyFill="1" applyBorder="1" applyAlignment="1">
      <alignment horizontal="left" vertical="center"/>
    </xf>
    <xf numFmtId="0" fontId="7" fillId="22" borderId="10" xfId="0" applyFont="1" applyFill="1" applyBorder="1" applyAlignment="1">
      <alignment horizontal="left" vertical="top" wrapText="1"/>
    </xf>
    <xf numFmtId="4" fontId="12" fillId="0" borderId="0" xfId="0" applyNumberFormat="1" applyFont="1" applyFill="1" applyBorder="1" applyAlignment="1">
      <alignment horizontal="center" vertical="center"/>
    </xf>
    <xf numFmtId="0" fontId="35" fillId="0" borderId="0" xfId="0" applyFont="1"/>
    <xf numFmtId="0" fontId="34" fillId="0" borderId="10" xfId="44" applyFont="1" applyBorder="1" applyAlignment="1">
      <alignment horizontal="left" vertical="center" wrapText="1" indent="1"/>
    </xf>
    <xf numFmtId="0" fontId="4" fillId="19" borderId="14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6" fillId="19" borderId="17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5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4" fontId="12" fillId="0" borderId="19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</cellXfs>
  <cellStyles count="5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Dziesiętny 3 3" xfId="31" xr:uid="{00000000-0005-0000-0000-00001E000000}"/>
    <cellStyle name="Dziesiętny 4" xfId="32" xr:uid="{00000000-0005-0000-0000-00001F000000}"/>
    <cellStyle name="Dziesiętny 5" xfId="33" xr:uid="{00000000-0005-0000-0000-000020000000}"/>
    <cellStyle name="Explanatory Text" xfId="34" xr:uid="{00000000-0005-0000-0000-000021000000}"/>
    <cellStyle name="Good" xfId="35" xr:uid="{00000000-0005-0000-0000-000022000000}"/>
    <cellStyle name="Heading 1" xfId="36" xr:uid="{00000000-0005-0000-0000-000023000000}"/>
    <cellStyle name="Heading 2" xfId="37" xr:uid="{00000000-0005-0000-0000-000024000000}"/>
    <cellStyle name="Heading 3" xfId="38" xr:uid="{00000000-0005-0000-0000-000025000000}"/>
    <cellStyle name="Heading 4" xfId="39" xr:uid="{00000000-0005-0000-0000-000026000000}"/>
    <cellStyle name="Input" xfId="40" xr:uid="{00000000-0005-0000-0000-000027000000}"/>
    <cellStyle name="Linked Cell" xfId="41" xr:uid="{00000000-0005-0000-0000-000028000000}"/>
    <cellStyle name="Neutral" xfId="42" xr:uid="{00000000-0005-0000-0000-000029000000}"/>
    <cellStyle name="Normalny" xfId="0" builtinId="0"/>
    <cellStyle name="Normalny 2" xfId="43" xr:uid="{00000000-0005-0000-0000-00002B000000}"/>
    <cellStyle name="Normalny 2 2" xfId="44" xr:uid="{00000000-0005-0000-0000-00002C000000}"/>
    <cellStyle name="Note" xfId="45" xr:uid="{00000000-0005-0000-0000-00002D000000}"/>
    <cellStyle name="Output" xfId="46" xr:uid="{00000000-0005-0000-0000-00002E000000}"/>
    <cellStyle name="Title" xfId="47" xr:uid="{00000000-0005-0000-0000-00002F000000}"/>
    <cellStyle name="Total" xfId="48" xr:uid="{00000000-0005-0000-0000-000030000000}"/>
    <cellStyle name="Warning Text" xfId="49" xr:uid="{00000000-0005-0000-0000-00003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07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9" width="13" style="1" customWidth="1" outlineLevel="1"/>
    <col min="10" max="10" width="13" style="1" customWidth="1"/>
    <col min="11" max="11" width="7.42578125" style="1" customWidth="1"/>
    <col min="12" max="12" width="8.42578125" style="1" customWidth="1"/>
    <col min="13" max="13" width="8.5703125" style="1" customWidth="1"/>
    <col min="14" max="16384" width="9.140625" style="1"/>
  </cols>
  <sheetData>
    <row r="1" spans="2:17" ht="18" customHeight="1" x14ac:dyDescent="0.2">
      <c r="B1" s="100" t="str">
        <f>CONCATENATE("Informacja z wykonania budżetów województw za ",$D$104," ",$C$105," rok    ",$C$107,"")</f>
        <v xml:space="preserve">Informacja z wykonania budżetów województw za IV Kwartały 2023 rok    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2:17" ht="60" customHeight="1" x14ac:dyDescent="0.2">
      <c r="B2" s="134" t="s">
        <v>0</v>
      </c>
      <c r="C2" s="13" t="s">
        <v>26</v>
      </c>
      <c r="D2" s="13" t="s">
        <v>27</v>
      </c>
      <c r="E2" s="13" t="s">
        <v>88</v>
      </c>
      <c r="F2" s="13" t="s">
        <v>89</v>
      </c>
      <c r="G2" s="13" t="s">
        <v>90</v>
      </c>
      <c r="H2" s="13" t="s">
        <v>91</v>
      </c>
      <c r="I2" s="13" t="s">
        <v>92</v>
      </c>
      <c r="J2" s="14" t="s">
        <v>2</v>
      </c>
      <c r="K2" s="13" t="s">
        <v>18</v>
      </c>
      <c r="L2" s="13" t="s">
        <v>3</v>
      </c>
    </row>
    <row r="3" spans="2:17" ht="9.75" customHeight="1" x14ac:dyDescent="0.2">
      <c r="B3" s="134"/>
      <c r="C3" s="121" t="s">
        <v>60</v>
      </c>
      <c r="D3" s="123"/>
      <c r="E3" s="135" t="s">
        <v>86</v>
      </c>
      <c r="F3" s="136"/>
      <c r="G3" s="136"/>
      <c r="H3" s="136"/>
      <c r="I3" s="137"/>
      <c r="J3" s="121" t="s">
        <v>4</v>
      </c>
      <c r="K3" s="122"/>
      <c r="L3" s="123"/>
    </row>
    <row r="4" spans="2:17" ht="9" customHeight="1" x14ac:dyDescent="0.2">
      <c r="B4" s="14">
        <v>1</v>
      </c>
      <c r="C4" s="16">
        <v>2</v>
      </c>
      <c r="D4" s="16">
        <v>3</v>
      </c>
      <c r="E4" s="138"/>
      <c r="F4" s="139"/>
      <c r="G4" s="139"/>
      <c r="H4" s="139"/>
      <c r="I4" s="140"/>
      <c r="J4" s="16">
        <v>4</v>
      </c>
      <c r="K4" s="16">
        <v>5</v>
      </c>
      <c r="L4" s="16">
        <v>6</v>
      </c>
    </row>
    <row r="5" spans="2:17" ht="12.95" customHeight="1" x14ac:dyDescent="0.2">
      <c r="B5" s="98" t="s">
        <v>5</v>
      </c>
      <c r="C5" s="55">
        <f>32069404672.14</f>
        <v>32069404672.139999</v>
      </c>
      <c r="D5" s="55">
        <f>32141088222.39</f>
        <v>32141088222.389999</v>
      </c>
      <c r="E5" s="94" t="s">
        <v>86</v>
      </c>
      <c r="F5" s="94" t="s">
        <v>86</v>
      </c>
      <c r="G5" s="94" t="s">
        <v>86</v>
      </c>
      <c r="H5" s="94" t="s">
        <v>86</v>
      </c>
      <c r="I5" s="94" t="s">
        <v>86</v>
      </c>
      <c r="J5" s="56">
        <f t="shared" ref="J5:J39" si="0">IF($D$5=0,"",100*$D5/$D$5)</f>
        <v>100</v>
      </c>
      <c r="K5" s="56">
        <f t="shared" ref="K5:K42" si="1">IF(C5=0,"",100*D5/C5)</f>
        <v>100.22352628925562</v>
      </c>
      <c r="L5" s="56"/>
      <c r="M5" s="34"/>
      <c r="N5" s="34"/>
      <c r="O5" s="34"/>
      <c r="P5" s="34"/>
      <c r="Q5" s="34"/>
    </row>
    <row r="6" spans="2:17" ht="27" customHeight="1" x14ac:dyDescent="0.2">
      <c r="B6" s="96" t="s">
        <v>41</v>
      </c>
      <c r="C6" s="22">
        <f>C5-C11-C35</f>
        <v>17770559249.380001</v>
      </c>
      <c r="D6" s="22">
        <f>D5-D11-D35</f>
        <v>18126385582.129997</v>
      </c>
      <c r="E6" s="94" t="s">
        <v>86</v>
      </c>
      <c r="F6" s="94" t="s">
        <v>86</v>
      </c>
      <c r="G6" s="94" t="s">
        <v>86</v>
      </c>
      <c r="H6" s="94" t="s">
        <v>86</v>
      </c>
      <c r="I6" s="94" t="s">
        <v>86</v>
      </c>
      <c r="J6" s="29">
        <f t="shared" si="0"/>
        <v>56.396303251185081</v>
      </c>
      <c r="K6" s="29">
        <f t="shared" si="1"/>
        <v>102.00233615474095</v>
      </c>
      <c r="L6" s="29">
        <f>IF($D$6=0,"",100*$D6/$D$6)</f>
        <v>100</v>
      </c>
      <c r="M6" s="34"/>
      <c r="N6" s="34"/>
      <c r="O6" s="34"/>
      <c r="P6" s="34"/>
      <c r="Q6" s="34"/>
    </row>
    <row r="7" spans="2:17" ht="22.5" outlineLevel="1" x14ac:dyDescent="0.2">
      <c r="B7" s="28" t="s">
        <v>25</v>
      </c>
      <c r="C7" s="20">
        <f>14074450001</f>
        <v>14074450001</v>
      </c>
      <c r="D7" s="20">
        <f>14074450001</f>
        <v>14074450001</v>
      </c>
      <c r="E7" s="110" t="s">
        <v>86</v>
      </c>
      <c r="F7" s="110" t="s">
        <v>86</v>
      </c>
      <c r="G7" s="110" t="s">
        <v>86</v>
      </c>
      <c r="H7" s="110" t="s">
        <v>86</v>
      </c>
      <c r="I7" s="110" t="s">
        <v>86</v>
      </c>
      <c r="J7" s="30">
        <f t="shared" si="0"/>
        <v>43.789587656822121</v>
      </c>
      <c r="K7" s="30">
        <f t="shared" si="1"/>
        <v>100</v>
      </c>
      <c r="L7" s="30">
        <f>IF($D$6=0,"",100*$D7/$D$6)</f>
        <v>77.646202201918172</v>
      </c>
      <c r="M7" s="34"/>
      <c r="N7" s="34"/>
      <c r="O7" s="34"/>
      <c r="P7" s="34"/>
      <c r="Q7" s="34"/>
    </row>
    <row r="8" spans="2:17" ht="22.5" outlineLevel="1" x14ac:dyDescent="0.2">
      <c r="B8" s="60" t="s">
        <v>19</v>
      </c>
      <c r="C8" s="21">
        <f>1647296000</f>
        <v>1647296000</v>
      </c>
      <c r="D8" s="21">
        <f>1647296000</f>
        <v>1647296000</v>
      </c>
      <c r="E8" s="110" t="s">
        <v>86</v>
      </c>
      <c r="F8" s="110" t="s">
        <v>86</v>
      </c>
      <c r="G8" s="110" t="s">
        <v>86</v>
      </c>
      <c r="H8" s="110" t="s">
        <v>86</v>
      </c>
      <c r="I8" s="110" t="s">
        <v>86</v>
      </c>
      <c r="J8" s="30">
        <f t="shared" si="0"/>
        <v>5.1252029445987057</v>
      </c>
      <c r="K8" s="30">
        <f t="shared" si="1"/>
        <v>100</v>
      </c>
      <c r="L8" s="30">
        <f>IF($D$6=0,"",100*$D8/$D$6)</f>
        <v>9.0878349273558232</v>
      </c>
      <c r="M8" s="34"/>
      <c r="N8" s="34"/>
      <c r="O8" s="34"/>
      <c r="P8" s="34"/>
      <c r="Q8" s="34"/>
    </row>
    <row r="9" spans="2:17" ht="12.75" customHeight="1" outlineLevel="1" x14ac:dyDescent="0.2">
      <c r="B9" s="60" t="s">
        <v>20</v>
      </c>
      <c r="C9" s="21">
        <f>183225166.52</f>
        <v>183225166.52000001</v>
      </c>
      <c r="D9" s="57">
        <f>230761988.48</f>
        <v>230761988.47999999</v>
      </c>
      <c r="E9" s="110" t="s">
        <v>86</v>
      </c>
      <c r="F9" s="110" t="s">
        <v>86</v>
      </c>
      <c r="G9" s="110" t="s">
        <v>86</v>
      </c>
      <c r="H9" s="110" t="s">
        <v>86</v>
      </c>
      <c r="I9" s="110" t="s">
        <v>86</v>
      </c>
      <c r="J9" s="30">
        <f t="shared" si="0"/>
        <v>0.71796569824679268</v>
      </c>
      <c r="K9" s="30">
        <f t="shared" si="1"/>
        <v>125.94448288020035</v>
      </c>
      <c r="L9" s="30">
        <f>IF($D$6=0,"",100*$D9/$D$6)</f>
        <v>1.2730722704447932</v>
      </c>
      <c r="M9" s="34"/>
      <c r="N9" s="34"/>
      <c r="O9" s="34"/>
      <c r="P9" s="34"/>
      <c r="Q9" s="34"/>
    </row>
    <row r="10" spans="2:17" ht="12.75" customHeight="1" outlineLevel="1" x14ac:dyDescent="0.2">
      <c r="B10" s="60" t="s">
        <v>21</v>
      </c>
      <c r="C10" s="21">
        <f>C6-C7-C8-C9</f>
        <v>1865588081.8600011</v>
      </c>
      <c r="D10" s="21">
        <f>D6-D7-D8-D9</f>
        <v>2173877592.6499972</v>
      </c>
      <c r="E10" s="110" t="s">
        <v>86</v>
      </c>
      <c r="F10" s="110" t="s">
        <v>86</v>
      </c>
      <c r="G10" s="110" t="s">
        <v>86</v>
      </c>
      <c r="H10" s="110" t="s">
        <v>86</v>
      </c>
      <c r="I10" s="110" t="s">
        <v>86</v>
      </c>
      <c r="J10" s="30">
        <f t="shared" si="0"/>
        <v>6.7635469515174638</v>
      </c>
      <c r="K10" s="30">
        <f t="shared" si="1"/>
        <v>116.52505790467046</v>
      </c>
      <c r="L10" s="30">
        <f>IF($D$6=0,"",100*$D10/$D$6)</f>
        <v>11.992890600281212</v>
      </c>
      <c r="M10" s="34"/>
      <c r="N10" s="34"/>
      <c r="O10" s="34"/>
      <c r="P10" s="34"/>
      <c r="Q10" s="34"/>
    </row>
    <row r="11" spans="2:17" ht="27" customHeight="1" x14ac:dyDescent="0.2">
      <c r="B11" s="96" t="s">
        <v>87</v>
      </c>
      <c r="C11" s="55">
        <f>C12+C31+C33</f>
        <v>8410435525.210001</v>
      </c>
      <c r="D11" s="55">
        <f>D12+D31+D33</f>
        <v>8126292746.8299999</v>
      </c>
      <c r="E11" s="94" t="s">
        <v>86</v>
      </c>
      <c r="F11" s="94" t="s">
        <v>86</v>
      </c>
      <c r="G11" s="94" t="s">
        <v>86</v>
      </c>
      <c r="H11" s="94" t="s">
        <v>86</v>
      </c>
      <c r="I11" s="94" t="s">
        <v>86</v>
      </c>
      <c r="J11" s="56">
        <f t="shared" si="0"/>
        <v>25.283191068711524</v>
      </c>
      <c r="K11" s="56">
        <f t="shared" si="1"/>
        <v>96.621545013593021</v>
      </c>
      <c r="L11" s="58"/>
      <c r="M11" s="34"/>
      <c r="N11" s="34"/>
      <c r="O11" s="34"/>
      <c r="P11" s="34"/>
      <c r="Q11" s="34"/>
    </row>
    <row r="12" spans="2:17" ht="27" customHeight="1" outlineLevel="1" x14ac:dyDescent="0.2">
      <c r="B12" s="102" t="s">
        <v>42</v>
      </c>
      <c r="C12" s="55">
        <f>C13+C15+C17+C19+C21+C23+C25+C27+C29</f>
        <v>2750070706.5600004</v>
      </c>
      <c r="D12" s="55">
        <f>D13+D15+D17+D19+D21+D23+D25+D27+D29</f>
        <v>2695436991.8499999</v>
      </c>
      <c r="E12" s="94" t="s">
        <v>86</v>
      </c>
      <c r="F12" s="94" t="s">
        <v>86</v>
      </c>
      <c r="G12" s="94" t="s">
        <v>86</v>
      </c>
      <c r="H12" s="94" t="s">
        <v>86</v>
      </c>
      <c r="I12" s="94" t="s">
        <v>86</v>
      </c>
      <c r="J12" s="56">
        <f t="shared" si="0"/>
        <v>8.3862654966744881</v>
      </c>
      <c r="K12" s="56">
        <f t="shared" si="1"/>
        <v>98.01337054426719</v>
      </c>
      <c r="L12" s="26"/>
      <c r="M12" s="34"/>
      <c r="N12" s="34"/>
      <c r="O12" s="34"/>
      <c r="P12" s="34"/>
      <c r="Q12" s="34"/>
    </row>
    <row r="13" spans="2:17" ht="22.5" outlineLevel="1" x14ac:dyDescent="0.2">
      <c r="B13" s="103" t="s">
        <v>9</v>
      </c>
      <c r="C13" s="21">
        <f>1775691974.19</f>
        <v>1775691974.1900001</v>
      </c>
      <c r="D13" s="21">
        <f>1736649507.41</f>
        <v>1736649507.4100001</v>
      </c>
      <c r="E13" s="110" t="s">
        <v>86</v>
      </c>
      <c r="F13" s="110" t="s">
        <v>86</v>
      </c>
      <c r="G13" s="110" t="s">
        <v>86</v>
      </c>
      <c r="H13" s="110" t="s">
        <v>86</v>
      </c>
      <c r="I13" s="110" t="s">
        <v>86</v>
      </c>
      <c r="J13" s="30">
        <f t="shared" si="0"/>
        <v>5.4032069337348139</v>
      </c>
      <c r="K13" s="30">
        <f t="shared" si="1"/>
        <v>97.801281565300215</v>
      </c>
      <c r="L13" s="26"/>
      <c r="M13" s="34"/>
      <c r="N13" s="34"/>
      <c r="O13" s="34"/>
      <c r="P13" s="34"/>
      <c r="Q13" s="34"/>
    </row>
    <row r="14" spans="2:17" ht="12.75" customHeight="1" outlineLevel="1" x14ac:dyDescent="0.2">
      <c r="B14" s="113" t="s">
        <v>6</v>
      </c>
      <c r="C14" s="21">
        <f>10232600</f>
        <v>10232600</v>
      </c>
      <c r="D14" s="21">
        <f>10208988.66</f>
        <v>10208988.66</v>
      </c>
      <c r="E14" s="110" t="s">
        <v>86</v>
      </c>
      <c r="F14" s="110" t="s">
        <v>86</v>
      </c>
      <c r="G14" s="110" t="s">
        <v>86</v>
      </c>
      <c r="H14" s="110" t="s">
        <v>86</v>
      </c>
      <c r="I14" s="110" t="s">
        <v>86</v>
      </c>
      <c r="J14" s="30">
        <f t="shared" si="0"/>
        <v>3.1763046071626951E-2</v>
      </c>
      <c r="K14" s="30">
        <f t="shared" si="1"/>
        <v>99.769253757598264</v>
      </c>
      <c r="L14" s="26"/>
      <c r="M14" s="34"/>
      <c r="N14" s="34"/>
      <c r="O14" s="34"/>
      <c r="P14" s="34"/>
      <c r="Q14" s="34"/>
    </row>
    <row r="15" spans="2:17" ht="12.75" customHeight="1" outlineLevel="1" x14ac:dyDescent="0.2">
      <c r="B15" s="103" t="s">
        <v>7</v>
      </c>
      <c r="C15" s="21">
        <f>68219968.56</f>
        <v>68219968.560000002</v>
      </c>
      <c r="D15" s="21">
        <f>63884926.31</f>
        <v>63884926.310000002</v>
      </c>
      <c r="E15" s="110" t="s">
        <v>86</v>
      </c>
      <c r="F15" s="110" t="s">
        <v>86</v>
      </c>
      <c r="G15" s="110" t="s">
        <v>86</v>
      </c>
      <c r="H15" s="110" t="s">
        <v>86</v>
      </c>
      <c r="I15" s="110" t="s">
        <v>86</v>
      </c>
      <c r="J15" s="30">
        <f t="shared" si="0"/>
        <v>0.19876404267325565</v>
      </c>
      <c r="K15" s="30">
        <f t="shared" si="1"/>
        <v>93.645493626712394</v>
      </c>
      <c r="L15" s="26"/>
      <c r="M15" s="34"/>
      <c r="N15" s="34"/>
      <c r="O15" s="34"/>
      <c r="P15" s="34"/>
      <c r="Q15" s="34"/>
    </row>
    <row r="16" spans="2:17" ht="12.75" customHeight="1" outlineLevel="1" x14ac:dyDescent="0.2">
      <c r="B16" s="113" t="s">
        <v>6</v>
      </c>
      <c r="C16" s="21">
        <f>40477864.76</f>
        <v>40477864.759999998</v>
      </c>
      <c r="D16" s="21">
        <f>36257416.94</f>
        <v>36257416.939999998</v>
      </c>
      <c r="E16" s="110" t="s">
        <v>86</v>
      </c>
      <c r="F16" s="110" t="s">
        <v>86</v>
      </c>
      <c r="G16" s="110" t="s">
        <v>86</v>
      </c>
      <c r="H16" s="110" t="s">
        <v>86</v>
      </c>
      <c r="I16" s="110" t="s">
        <v>86</v>
      </c>
      <c r="J16" s="30">
        <f t="shared" si="0"/>
        <v>0.11280706082236039</v>
      </c>
      <c r="K16" s="30">
        <f t="shared" si="1"/>
        <v>89.573442559226535</v>
      </c>
      <c r="L16" s="26"/>
      <c r="M16" s="34"/>
      <c r="N16" s="34"/>
      <c r="O16" s="34"/>
      <c r="P16" s="34"/>
      <c r="Q16" s="34"/>
    </row>
    <row r="17" spans="2:17" ht="33.75" outlineLevel="1" x14ac:dyDescent="0.2">
      <c r="B17" s="103" t="s">
        <v>10</v>
      </c>
      <c r="C17" s="21">
        <f>30145064.74</f>
        <v>30145064.739999998</v>
      </c>
      <c r="D17" s="21">
        <f>28973884.4</f>
        <v>28973884.399999999</v>
      </c>
      <c r="E17" s="110" t="s">
        <v>86</v>
      </c>
      <c r="F17" s="110" t="s">
        <v>86</v>
      </c>
      <c r="G17" s="110" t="s">
        <v>86</v>
      </c>
      <c r="H17" s="110" t="s">
        <v>86</v>
      </c>
      <c r="I17" s="110" t="s">
        <v>86</v>
      </c>
      <c r="J17" s="30">
        <f t="shared" si="0"/>
        <v>9.0145934697432942E-2</v>
      </c>
      <c r="K17" s="30">
        <f t="shared" si="1"/>
        <v>96.114852132176921</v>
      </c>
      <c r="L17" s="26"/>
      <c r="M17" s="34"/>
      <c r="N17" s="34"/>
      <c r="O17" s="34"/>
      <c r="P17" s="34"/>
      <c r="Q17" s="34"/>
    </row>
    <row r="18" spans="2:17" ht="12.75" customHeight="1" outlineLevel="1" x14ac:dyDescent="0.2">
      <c r="B18" s="113" t="s">
        <v>6</v>
      </c>
      <c r="C18" s="21">
        <f>185586</f>
        <v>185586</v>
      </c>
      <c r="D18" s="21">
        <f>185586</f>
        <v>185586</v>
      </c>
      <c r="E18" s="110" t="s">
        <v>86</v>
      </c>
      <c r="F18" s="110" t="s">
        <v>86</v>
      </c>
      <c r="G18" s="110" t="s">
        <v>86</v>
      </c>
      <c r="H18" s="110" t="s">
        <v>86</v>
      </c>
      <c r="I18" s="110" t="s">
        <v>86</v>
      </c>
      <c r="J18" s="30">
        <f t="shared" si="0"/>
        <v>5.7741044334248088E-4</v>
      </c>
      <c r="K18" s="30">
        <f t="shared" si="1"/>
        <v>100</v>
      </c>
      <c r="L18" s="26"/>
      <c r="M18" s="34"/>
      <c r="N18" s="34"/>
      <c r="O18" s="34"/>
      <c r="P18" s="34"/>
      <c r="Q18" s="34"/>
    </row>
    <row r="19" spans="2:17" ht="24" customHeight="1" outlineLevel="1" x14ac:dyDescent="0.2">
      <c r="B19" s="103" t="s">
        <v>11</v>
      </c>
      <c r="C19" s="21">
        <f>62405323.68</f>
        <v>62405323.68</v>
      </c>
      <c r="D19" s="21">
        <f>56689541.71</f>
        <v>56689541.710000001</v>
      </c>
      <c r="E19" s="110" t="s">
        <v>86</v>
      </c>
      <c r="F19" s="110" t="s">
        <v>86</v>
      </c>
      <c r="G19" s="110" t="s">
        <v>86</v>
      </c>
      <c r="H19" s="110" t="s">
        <v>86</v>
      </c>
      <c r="I19" s="110" t="s">
        <v>86</v>
      </c>
      <c r="J19" s="30">
        <f t="shared" si="0"/>
        <v>0.17637716967687844</v>
      </c>
      <c r="K19" s="30">
        <f t="shared" si="1"/>
        <v>90.840874411117227</v>
      </c>
      <c r="L19" s="26"/>
      <c r="M19" s="34"/>
      <c r="N19" s="34"/>
      <c r="O19" s="34"/>
      <c r="P19" s="34"/>
      <c r="Q19" s="34"/>
    </row>
    <row r="20" spans="2:17" ht="12.75" customHeight="1" outlineLevel="1" x14ac:dyDescent="0.2">
      <c r="B20" s="113" t="s">
        <v>6</v>
      </c>
      <c r="C20" s="21">
        <f>9928264.16</f>
        <v>9928264.1600000001</v>
      </c>
      <c r="D20" s="21">
        <f>6625452.29</f>
        <v>6625452.29</v>
      </c>
      <c r="E20" s="110" t="s">
        <v>86</v>
      </c>
      <c r="F20" s="110" t="s">
        <v>86</v>
      </c>
      <c r="G20" s="110" t="s">
        <v>86</v>
      </c>
      <c r="H20" s="110" t="s">
        <v>86</v>
      </c>
      <c r="I20" s="110" t="s">
        <v>86</v>
      </c>
      <c r="J20" s="30">
        <f t="shared" si="0"/>
        <v>2.0613652668376684E-2</v>
      </c>
      <c r="K20" s="30">
        <f t="shared" si="1"/>
        <v>66.733239398416657</v>
      </c>
      <c r="L20" s="26"/>
      <c r="M20" s="34"/>
      <c r="N20" s="34"/>
      <c r="O20" s="34"/>
      <c r="P20" s="34"/>
      <c r="Q20" s="34"/>
    </row>
    <row r="21" spans="2:17" ht="33.75" customHeight="1" outlineLevel="1" x14ac:dyDescent="0.2">
      <c r="B21" s="103" t="s">
        <v>61</v>
      </c>
      <c r="C21" s="21">
        <f>210224821.22</f>
        <v>210224821.22</v>
      </c>
      <c r="D21" s="21">
        <f>189799629.4</f>
        <v>189799629.40000001</v>
      </c>
      <c r="E21" s="110" t="s">
        <v>86</v>
      </c>
      <c r="F21" s="110" t="s">
        <v>86</v>
      </c>
      <c r="G21" s="110" t="s">
        <v>86</v>
      </c>
      <c r="H21" s="110" t="s">
        <v>86</v>
      </c>
      <c r="I21" s="110" t="s">
        <v>86</v>
      </c>
      <c r="J21" s="30">
        <f t="shared" si="0"/>
        <v>0.59052023405910237</v>
      </c>
      <c r="K21" s="30">
        <f t="shared" si="1"/>
        <v>90.28411978116273</v>
      </c>
      <c r="L21" s="26"/>
      <c r="M21" s="34"/>
      <c r="N21" s="34"/>
      <c r="O21" s="34"/>
      <c r="P21" s="34"/>
      <c r="Q21" s="34"/>
    </row>
    <row r="22" spans="2:17" ht="12.75" customHeight="1" outlineLevel="1" x14ac:dyDescent="0.2">
      <c r="B22" s="113" t="s">
        <v>6</v>
      </c>
      <c r="C22" s="21">
        <f>129142372.13</f>
        <v>129142372.13</v>
      </c>
      <c r="D22" s="21">
        <f>110471041.94</f>
        <v>110471041.94</v>
      </c>
      <c r="E22" s="110" t="s">
        <v>86</v>
      </c>
      <c r="F22" s="110" t="s">
        <v>86</v>
      </c>
      <c r="G22" s="110" t="s">
        <v>86</v>
      </c>
      <c r="H22" s="110" t="s">
        <v>86</v>
      </c>
      <c r="I22" s="110" t="s">
        <v>86</v>
      </c>
      <c r="J22" s="30">
        <f t="shared" si="0"/>
        <v>0.34370660126885216</v>
      </c>
      <c r="K22" s="30">
        <f t="shared" si="1"/>
        <v>85.542057279848734</v>
      </c>
      <c r="L22" s="26"/>
      <c r="M22" s="34"/>
      <c r="N22" s="34"/>
      <c r="O22" s="34"/>
      <c r="P22" s="34"/>
      <c r="Q22" s="34"/>
    </row>
    <row r="23" spans="2:17" outlineLevel="1" x14ac:dyDescent="0.2">
      <c r="B23" s="103" t="s">
        <v>8</v>
      </c>
      <c r="C23" s="21">
        <f>74630042</f>
        <v>74630042</v>
      </c>
      <c r="D23" s="21">
        <f>74436823.19</f>
        <v>74436823.189999998</v>
      </c>
      <c r="E23" s="110" t="s">
        <v>86</v>
      </c>
      <c r="F23" s="110" t="s">
        <v>86</v>
      </c>
      <c r="G23" s="110" t="s">
        <v>86</v>
      </c>
      <c r="H23" s="110" t="s">
        <v>86</v>
      </c>
      <c r="I23" s="110" t="s">
        <v>86</v>
      </c>
      <c r="J23" s="30">
        <f t="shared" si="0"/>
        <v>0.23159397303214554</v>
      </c>
      <c r="K23" s="30">
        <f t="shared" si="1"/>
        <v>99.74109781420195</v>
      </c>
      <c r="L23" s="26"/>
      <c r="M23" s="34"/>
      <c r="N23" s="34"/>
      <c r="O23" s="34"/>
      <c r="P23" s="34"/>
      <c r="Q23" s="34"/>
    </row>
    <row r="24" spans="2:17" ht="12.75" customHeight="1" outlineLevel="1" x14ac:dyDescent="0.2">
      <c r="B24" s="113" t="s">
        <v>6</v>
      </c>
      <c r="C24" s="21">
        <f>34289522</f>
        <v>34289522</v>
      </c>
      <c r="D24" s="21">
        <f>34254522</f>
        <v>34254522</v>
      </c>
      <c r="E24" s="110" t="s">
        <v>86</v>
      </c>
      <c r="F24" s="110" t="s">
        <v>86</v>
      </c>
      <c r="G24" s="110" t="s">
        <v>86</v>
      </c>
      <c r="H24" s="110" t="s">
        <v>86</v>
      </c>
      <c r="I24" s="110" t="s">
        <v>86</v>
      </c>
      <c r="J24" s="30">
        <f t="shared" si="0"/>
        <v>0.10657548917754985</v>
      </c>
      <c r="K24" s="30">
        <f t="shared" si="1"/>
        <v>99.897928002612574</v>
      </c>
      <c r="L24" s="26"/>
      <c r="M24" s="34"/>
      <c r="N24" s="34"/>
      <c r="O24" s="34"/>
      <c r="P24" s="34"/>
      <c r="Q24" s="34"/>
    </row>
    <row r="25" spans="2:17" ht="67.5" outlineLevel="1" x14ac:dyDescent="0.2">
      <c r="B25" s="103" t="s">
        <v>77</v>
      </c>
      <c r="C25" s="21">
        <f>0</f>
        <v>0</v>
      </c>
      <c r="D25" s="21">
        <f>0</f>
        <v>0</v>
      </c>
      <c r="E25" s="110" t="s">
        <v>86</v>
      </c>
      <c r="F25" s="110" t="s">
        <v>86</v>
      </c>
      <c r="G25" s="110" t="s">
        <v>86</v>
      </c>
      <c r="H25" s="110" t="s">
        <v>86</v>
      </c>
      <c r="I25" s="110" t="s">
        <v>86</v>
      </c>
      <c r="J25" s="30">
        <f t="shared" si="0"/>
        <v>0</v>
      </c>
      <c r="K25" s="30" t="str">
        <f t="shared" si="1"/>
        <v/>
      </c>
      <c r="L25" s="26"/>
      <c r="M25" s="34"/>
      <c r="N25" s="34"/>
      <c r="O25" s="34"/>
      <c r="P25" s="34"/>
      <c r="Q25" s="34"/>
    </row>
    <row r="26" spans="2:17" ht="12.75" customHeight="1" outlineLevel="1" x14ac:dyDescent="0.2">
      <c r="B26" s="113" t="s">
        <v>78</v>
      </c>
      <c r="C26" s="21">
        <f>0</f>
        <v>0</v>
      </c>
      <c r="D26" s="21">
        <f>0</f>
        <v>0</v>
      </c>
      <c r="E26" s="110" t="s">
        <v>86</v>
      </c>
      <c r="F26" s="110" t="s">
        <v>86</v>
      </c>
      <c r="G26" s="110" t="s">
        <v>86</v>
      </c>
      <c r="H26" s="110" t="s">
        <v>86</v>
      </c>
      <c r="I26" s="110" t="s">
        <v>86</v>
      </c>
      <c r="J26" s="30">
        <f t="shared" si="0"/>
        <v>0</v>
      </c>
      <c r="K26" s="30" t="str">
        <f t="shared" si="1"/>
        <v/>
      </c>
      <c r="L26" s="26"/>
      <c r="M26" s="34"/>
      <c r="N26" s="34"/>
      <c r="O26" s="34"/>
      <c r="P26" s="34"/>
      <c r="Q26" s="34"/>
    </row>
    <row r="27" spans="2:17" ht="45" outlineLevel="1" x14ac:dyDescent="0.2">
      <c r="B27" s="114" t="s">
        <v>76</v>
      </c>
      <c r="C27" s="67">
        <f>485753883.54</f>
        <v>485753883.54000002</v>
      </c>
      <c r="D27" s="67">
        <f>501122831.18</f>
        <v>501122831.18000001</v>
      </c>
      <c r="E27" s="110" t="s">
        <v>86</v>
      </c>
      <c r="F27" s="110" t="s">
        <v>86</v>
      </c>
      <c r="G27" s="110" t="s">
        <v>86</v>
      </c>
      <c r="H27" s="110" t="s">
        <v>86</v>
      </c>
      <c r="I27" s="110" t="s">
        <v>86</v>
      </c>
      <c r="J27" s="68">
        <f t="shared" si="0"/>
        <v>1.5591346120972649</v>
      </c>
      <c r="K27" s="68">
        <f t="shared" si="1"/>
        <v>103.16393716258048</v>
      </c>
      <c r="L27" s="26"/>
      <c r="M27" s="34"/>
      <c r="N27" s="34"/>
      <c r="O27" s="34"/>
      <c r="P27" s="34"/>
      <c r="Q27" s="34"/>
    </row>
    <row r="28" spans="2:17" ht="12.75" customHeight="1" outlineLevel="1" x14ac:dyDescent="0.2">
      <c r="B28" s="113" t="s">
        <v>6</v>
      </c>
      <c r="C28" s="21">
        <f>485753883.54</f>
        <v>485753883.54000002</v>
      </c>
      <c r="D28" s="21">
        <f>501122831.18</f>
        <v>501122831.18000001</v>
      </c>
      <c r="E28" s="110" t="s">
        <v>86</v>
      </c>
      <c r="F28" s="110" t="s">
        <v>86</v>
      </c>
      <c r="G28" s="110" t="s">
        <v>86</v>
      </c>
      <c r="H28" s="110" t="s">
        <v>86</v>
      </c>
      <c r="I28" s="110" t="s">
        <v>86</v>
      </c>
      <c r="J28" s="30">
        <f t="shared" si="0"/>
        <v>1.5591346120972649</v>
      </c>
      <c r="K28" s="30">
        <f t="shared" si="1"/>
        <v>103.16393716258048</v>
      </c>
      <c r="L28" s="26"/>
      <c r="M28" s="34"/>
      <c r="N28" s="34"/>
      <c r="O28" s="34"/>
      <c r="P28" s="34"/>
      <c r="Q28" s="34"/>
    </row>
    <row r="29" spans="2:17" ht="22.5" outlineLevel="1" x14ac:dyDescent="0.2">
      <c r="B29" s="114" t="s">
        <v>95</v>
      </c>
      <c r="C29" s="21">
        <f>42999628.63</f>
        <v>42999628.630000003</v>
      </c>
      <c r="D29" s="21">
        <f>43879848.25</f>
        <v>43879848.25</v>
      </c>
      <c r="E29" s="110" t="s">
        <v>86</v>
      </c>
      <c r="F29" s="110" t="s">
        <v>86</v>
      </c>
      <c r="G29" s="110" t="s">
        <v>86</v>
      </c>
      <c r="H29" s="110" t="s">
        <v>86</v>
      </c>
      <c r="I29" s="110" t="s">
        <v>86</v>
      </c>
      <c r="J29" s="30">
        <f t="shared" si="0"/>
        <v>0.13652259670359448</v>
      </c>
      <c r="K29" s="30">
        <f t="shared" si="1"/>
        <v>102.04704005137822</v>
      </c>
      <c r="L29" s="26"/>
      <c r="M29" s="34"/>
      <c r="N29" s="34"/>
      <c r="O29" s="34"/>
      <c r="P29" s="34"/>
      <c r="Q29" s="34"/>
    </row>
    <row r="30" spans="2:17" ht="12.75" customHeight="1" outlineLevel="1" x14ac:dyDescent="0.2">
      <c r="B30" s="113" t="s">
        <v>6</v>
      </c>
      <c r="C30" s="21">
        <f>0</f>
        <v>0</v>
      </c>
      <c r="D30" s="21">
        <f>0</f>
        <v>0</v>
      </c>
      <c r="E30" s="110" t="s">
        <v>86</v>
      </c>
      <c r="F30" s="110" t="s">
        <v>86</v>
      </c>
      <c r="G30" s="110" t="s">
        <v>86</v>
      </c>
      <c r="H30" s="110" t="s">
        <v>86</v>
      </c>
      <c r="I30" s="110" t="s">
        <v>86</v>
      </c>
      <c r="J30" s="30">
        <f t="shared" si="0"/>
        <v>0</v>
      </c>
      <c r="K30" s="30" t="str">
        <f t="shared" si="1"/>
        <v/>
      </c>
      <c r="L30" s="26"/>
      <c r="M30" s="34"/>
      <c r="N30" s="34"/>
      <c r="O30" s="34"/>
      <c r="P30" s="34"/>
      <c r="Q30" s="34"/>
    </row>
    <row r="31" spans="2:17" ht="13.5" customHeight="1" outlineLevel="1" x14ac:dyDescent="0.2">
      <c r="B31" s="102" t="s">
        <v>53</v>
      </c>
      <c r="C31" s="55">
        <f>867736186.57</f>
        <v>867736186.57000005</v>
      </c>
      <c r="D31" s="55">
        <f>770970547.11</f>
        <v>770970547.11000001</v>
      </c>
      <c r="E31" s="94" t="s">
        <v>86</v>
      </c>
      <c r="F31" s="94" t="s">
        <v>86</v>
      </c>
      <c r="G31" s="94" t="s">
        <v>86</v>
      </c>
      <c r="H31" s="94" t="s">
        <v>86</v>
      </c>
      <c r="I31" s="94" t="s">
        <v>86</v>
      </c>
      <c r="J31" s="56">
        <f t="shared" si="0"/>
        <v>2.3987070436928439</v>
      </c>
      <c r="K31" s="56">
        <f t="shared" si="1"/>
        <v>88.848495549955487</v>
      </c>
      <c r="L31" s="26"/>
      <c r="M31" s="34"/>
      <c r="N31" s="34"/>
      <c r="O31" s="34"/>
      <c r="P31" s="34"/>
      <c r="Q31" s="34"/>
    </row>
    <row r="32" spans="2:17" ht="12.75" customHeight="1" outlineLevel="1" x14ac:dyDescent="0.2">
      <c r="B32" s="104" t="s">
        <v>54</v>
      </c>
      <c r="C32" s="20">
        <f>562164636.55</f>
        <v>562164636.54999995</v>
      </c>
      <c r="D32" s="20">
        <f>504605873.24</f>
        <v>504605873.24000001</v>
      </c>
      <c r="E32" s="110" t="s">
        <v>86</v>
      </c>
      <c r="F32" s="110" t="s">
        <v>86</v>
      </c>
      <c r="G32" s="110" t="s">
        <v>86</v>
      </c>
      <c r="H32" s="110" t="s">
        <v>86</v>
      </c>
      <c r="I32" s="110" t="s">
        <v>86</v>
      </c>
      <c r="J32" s="30">
        <f t="shared" si="0"/>
        <v>1.5699713393290879</v>
      </c>
      <c r="K32" s="30">
        <f t="shared" si="1"/>
        <v>89.761226593113776</v>
      </c>
      <c r="L32" s="26"/>
      <c r="M32" s="34"/>
      <c r="N32" s="34"/>
      <c r="O32" s="34"/>
      <c r="P32" s="34"/>
      <c r="Q32" s="34"/>
    </row>
    <row r="33" spans="1:26" ht="14.25" customHeight="1" outlineLevel="1" x14ac:dyDescent="0.2">
      <c r="B33" s="102" t="s">
        <v>66</v>
      </c>
      <c r="C33" s="55">
        <f>4792628632.08</f>
        <v>4792628632.0799999</v>
      </c>
      <c r="D33" s="55">
        <f>4659885207.87</f>
        <v>4659885207.8699999</v>
      </c>
      <c r="E33" s="94" t="s">
        <v>86</v>
      </c>
      <c r="F33" s="94" t="s">
        <v>86</v>
      </c>
      <c r="G33" s="94" t="s">
        <v>86</v>
      </c>
      <c r="H33" s="94" t="s">
        <v>86</v>
      </c>
      <c r="I33" s="94" t="s">
        <v>86</v>
      </c>
      <c r="J33" s="59">
        <f t="shared" si="0"/>
        <v>14.498218528344193</v>
      </c>
      <c r="K33" s="59">
        <f t="shared" si="1"/>
        <v>97.230258499031891</v>
      </c>
      <c r="L33" s="26"/>
      <c r="M33" s="34"/>
      <c r="N33" s="34"/>
      <c r="O33" s="34"/>
      <c r="P33" s="34"/>
      <c r="Q33" s="34"/>
    </row>
    <row r="34" spans="1:26" ht="12.75" customHeight="1" outlineLevel="1" x14ac:dyDescent="0.2">
      <c r="B34" s="104" t="s">
        <v>67</v>
      </c>
      <c r="C34" s="20">
        <f>2987079760.12</f>
        <v>2987079760.1199999</v>
      </c>
      <c r="D34" s="20">
        <f>2949116812.45</f>
        <v>2949116812.4499998</v>
      </c>
      <c r="E34" s="110" t="s">
        <v>86</v>
      </c>
      <c r="F34" s="110" t="s">
        <v>86</v>
      </c>
      <c r="G34" s="110" t="s">
        <v>86</v>
      </c>
      <c r="H34" s="110" t="s">
        <v>86</v>
      </c>
      <c r="I34" s="110" t="s">
        <v>86</v>
      </c>
      <c r="J34" s="30">
        <f t="shared" si="0"/>
        <v>9.1755350411427514</v>
      </c>
      <c r="K34" s="30">
        <f t="shared" si="1"/>
        <v>98.729094944941309</v>
      </c>
      <c r="L34" s="26"/>
      <c r="M34" s="34"/>
      <c r="N34" s="34"/>
      <c r="O34" s="34"/>
      <c r="P34" s="34"/>
      <c r="Q34" s="34"/>
    </row>
    <row r="35" spans="1:26" s="5" customFormat="1" ht="27" customHeight="1" x14ac:dyDescent="0.2">
      <c r="B35" s="96" t="s">
        <v>43</v>
      </c>
      <c r="C35" s="22">
        <f>C36+C37+C38+C39</f>
        <v>5888409897.5500002</v>
      </c>
      <c r="D35" s="22">
        <f>D36+D37+D38+D39</f>
        <v>5888409893.4300003</v>
      </c>
      <c r="E35" s="94" t="s">
        <v>86</v>
      </c>
      <c r="F35" s="94" t="s">
        <v>86</v>
      </c>
      <c r="G35" s="94" t="s">
        <v>86</v>
      </c>
      <c r="H35" s="94" t="s">
        <v>86</v>
      </c>
      <c r="I35" s="94" t="s">
        <v>86</v>
      </c>
      <c r="J35" s="29">
        <f t="shared" si="0"/>
        <v>18.320505680103384</v>
      </c>
      <c r="K35" s="29">
        <f t="shared" si="1"/>
        <v>99.999999930032047</v>
      </c>
      <c r="L35" s="27"/>
      <c r="M35" s="48"/>
      <c r="N35" s="48"/>
      <c r="O35" s="48"/>
      <c r="P35" s="48"/>
      <c r="Q35" s="48"/>
    </row>
    <row r="36" spans="1:26" ht="12.75" customHeight="1" outlineLevel="1" x14ac:dyDescent="0.2">
      <c r="B36" s="60" t="s">
        <v>29</v>
      </c>
      <c r="C36" s="21">
        <f>792879438.6</f>
        <v>792879438.60000002</v>
      </c>
      <c r="D36" s="21">
        <f>792330291</f>
        <v>792330291</v>
      </c>
      <c r="E36" s="110" t="s">
        <v>86</v>
      </c>
      <c r="F36" s="110" t="s">
        <v>86</v>
      </c>
      <c r="G36" s="110" t="s">
        <v>86</v>
      </c>
      <c r="H36" s="110" t="s">
        <v>86</v>
      </c>
      <c r="I36" s="110" t="s">
        <v>86</v>
      </c>
      <c r="J36" s="30">
        <f t="shared" si="0"/>
        <v>2.4651632375286221</v>
      </c>
      <c r="K36" s="30">
        <f t="shared" si="1"/>
        <v>99.930740088181665</v>
      </c>
      <c r="L36" s="27"/>
      <c r="M36" s="34"/>
      <c r="N36" s="34"/>
      <c r="O36" s="34"/>
      <c r="P36" s="34"/>
      <c r="Q36" s="34"/>
    </row>
    <row r="37" spans="1:26" ht="12.75" customHeight="1" outlineLevel="1" x14ac:dyDescent="0.2">
      <c r="B37" s="60" t="s">
        <v>40</v>
      </c>
      <c r="C37" s="21">
        <f>1169058479</f>
        <v>1169058479</v>
      </c>
      <c r="D37" s="21">
        <f>1169058479</f>
        <v>1169058479</v>
      </c>
      <c r="E37" s="110" t="s">
        <v>86</v>
      </c>
      <c r="F37" s="110" t="s">
        <v>86</v>
      </c>
      <c r="G37" s="110" t="s">
        <v>86</v>
      </c>
      <c r="H37" s="110" t="s">
        <v>86</v>
      </c>
      <c r="I37" s="110" t="s">
        <v>86</v>
      </c>
      <c r="J37" s="30">
        <f t="shared" si="0"/>
        <v>3.6372709937855032</v>
      </c>
      <c r="K37" s="30">
        <f t="shared" si="1"/>
        <v>100</v>
      </c>
      <c r="L37" s="27"/>
      <c r="M37" s="34"/>
      <c r="N37" s="34"/>
      <c r="O37" s="34"/>
      <c r="P37" s="34"/>
      <c r="Q37" s="34"/>
    </row>
    <row r="38" spans="1:26" ht="12.75" customHeight="1" outlineLevel="1" x14ac:dyDescent="0.2">
      <c r="B38" s="60" t="s">
        <v>30</v>
      </c>
      <c r="C38" s="21">
        <f>3171277626</f>
        <v>3171277626</v>
      </c>
      <c r="D38" s="21">
        <f>3171277626</f>
        <v>3171277626</v>
      </c>
      <c r="E38" s="110" t="s">
        <v>86</v>
      </c>
      <c r="F38" s="110" t="s">
        <v>86</v>
      </c>
      <c r="G38" s="110" t="s">
        <v>86</v>
      </c>
      <c r="H38" s="110" t="s">
        <v>86</v>
      </c>
      <c r="I38" s="110" t="s">
        <v>86</v>
      </c>
      <c r="J38" s="30">
        <f t="shared" si="0"/>
        <v>9.8667400557733362</v>
      </c>
      <c r="K38" s="30">
        <f t="shared" si="1"/>
        <v>100</v>
      </c>
      <c r="L38" s="27"/>
      <c r="M38" s="34"/>
      <c r="N38" s="34"/>
      <c r="O38" s="34"/>
      <c r="P38" s="34"/>
      <c r="Q38" s="34"/>
    </row>
    <row r="39" spans="1:26" s="5" customFormat="1" ht="12.75" customHeight="1" outlineLevel="1" x14ac:dyDescent="0.2">
      <c r="B39" s="60" t="s">
        <v>28</v>
      </c>
      <c r="C39" s="21">
        <f>755194353.95</f>
        <v>755194353.95000005</v>
      </c>
      <c r="D39" s="21">
        <f>755743497.43</f>
        <v>755743497.42999995</v>
      </c>
      <c r="E39" s="110" t="s">
        <v>86</v>
      </c>
      <c r="F39" s="110" t="s">
        <v>86</v>
      </c>
      <c r="G39" s="110" t="s">
        <v>86</v>
      </c>
      <c r="H39" s="110" t="s">
        <v>86</v>
      </c>
      <c r="I39" s="110" t="s">
        <v>86</v>
      </c>
      <c r="J39" s="30">
        <f t="shared" si="0"/>
        <v>2.3513313930159243</v>
      </c>
      <c r="K39" s="30">
        <f t="shared" si="1"/>
        <v>100.07271551715498</v>
      </c>
      <c r="L39" s="27"/>
      <c r="M39" s="48"/>
      <c r="N39" s="48"/>
      <c r="O39" s="48"/>
      <c r="P39" s="48"/>
      <c r="Q39" s="48"/>
    </row>
    <row r="40" spans="1:26" s="5" customFormat="1" x14ac:dyDescent="0.2">
      <c r="B40" s="98" t="s">
        <v>93</v>
      </c>
      <c r="C40" s="55">
        <f>+C5</f>
        <v>32069404672.139999</v>
      </c>
      <c r="D40" s="55">
        <f>+D5</f>
        <v>32141088222.389999</v>
      </c>
      <c r="E40" s="94" t="s">
        <v>86</v>
      </c>
      <c r="F40" s="94" t="s">
        <v>86</v>
      </c>
      <c r="G40" s="94" t="s">
        <v>86</v>
      </c>
      <c r="H40" s="94" t="s">
        <v>86</v>
      </c>
      <c r="I40" s="94" t="s">
        <v>86</v>
      </c>
      <c r="J40" s="59">
        <f>IF($D$5=0,"",100*$D40/$D$40)</f>
        <v>100</v>
      </c>
      <c r="K40" s="91">
        <f t="shared" si="1"/>
        <v>100.22352628925562</v>
      </c>
      <c r="L40" s="93"/>
      <c r="M40" s="48"/>
      <c r="N40" s="48"/>
      <c r="O40" s="48"/>
      <c r="P40" s="48"/>
      <c r="Q40" s="48"/>
    </row>
    <row r="41" spans="1:26" s="5" customFormat="1" x14ac:dyDescent="0.2">
      <c r="B41" s="99" t="s">
        <v>56</v>
      </c>
      <c r="C41" s="21">
        <f>4912288309.46</f>
        <v>4912288309.46</v>
      </c>
      <c r="D41" s="21">
        <f>4858218180.05</f>
        <v>4858218180.0500002</v>
      </c>
      <c r="E41" s="110" t="s">
        <v>86</v>
      </c>
      <c r="F41" s="110" t="s">
        <v>86</v>
      </c>
      <c r="G41" s="110" t="s">
        <v>86</v>
      </c>
      <c r="H41" s="110" t="s">
        <v>86</v>
      </c>
      <c r="I41" s="110" t="s">
        <v>86</v>
      </c>
      <c r="J41" s="30">
        <f>IF($D$5=0,"",100*$D41/$D$40)</f>
        <v>15.115288401049492</v>
      </c>
      <c r="K41" s="92">
        <f t="shared" si="1"/>
        <v>98.899288355981213</v>
      </c>
      <c r="L41" s="93"/>
      <c r="M41" s="48"/>
      <c r="N41" s="48"/>
      <c r="O41" s="48"/>
      <c r="P41" s="48"/>
      <c r="Q41" s="48"/>
    </row>
    <row r="42" spans="1:26" s="5" customFormat="1" x14ac:dyDescent="0.2">
      <c r="A42" s="2"/>
      <c r="B42" s="99" t="s">
        <v>57</v>
      </c>
      <c r="C42" s="21">
        <f>C40-C41</f>
        <v>27157116362.68</v>
      </c>
      <c r="D42" s="21">
        <f>D40-D41</f>
        <v>27282870042.34</v>
      </c>
      <c r="E42" s="110" t="s">
        <v>86</v>
      </c>
      <c r="F42" s="110" t="s">
        <v>86</v>
      </c>
      <c r="G42" s="110" t="s">
        <v>86</v>
      </c>
      <c r="H42" s="110" t="s">
        <v>86</v>
      </c>
      <c r="I42" s="110" t="s">
        <v>86</v>
      </c>
      <c r="J42" s="30">
        <f>IF($D$5=0,"",100*$D42/$D$40)</f>
        <v>84.884711598950503</v>
      </c>
      <c r="K42" s="92">
        <f t="shared" si="1"/>
        <v>100.46305976665775</v>
      </c>
      <c r="L42" s="93"/>
      <c r="M42" s="49"/>
      <c r="N42" s="49"/>
      <c r="O42" s="50"/>
      <c r="P42" s="50"/>
      <c r="Q42" s="19"/>
    </row>
    <row r="43" spans="1:26" s="5" customFormat="1" x14ac:dyDescent="0.2">
      <c r="A43" s="2"/>
      <c r="B43" s="119" t="s">
        <v>96</v>
      </c>
      <c r="C43" s="87"/>
      <c r="D43" s="87"/>
      <c r="E43" s="118"/>
      <c r="F43" s="118"/>
      <c r="G43" s="118"/>
      <c r="H43" s="118"/>
      <c r="I43" s="118"/>
      <c r="J43" s="58"/>
      <c r="K43" s="58"/>
      <c r="L43" s="58"/>
      <c r="M43" s="49"/>
      <c r="N43" s="49"/>
      <c r="O43" s="50"/>
      <c r="P43" s="50"/>
      <c r="Q43" s="19"/>
    </row>
    <row r="44" spans="1:26" ht="18" customHeight="1" x14ac:dyDescent="0.2">
      <c r="B44" s="100" t="str">
        <f>CONCATENATE("Informacja z wykonania budżetów województw za ",$D$104," ",$C$105," rok    ",$C$107,"")</f>
        <v xml:space="preserve">Informacja z wykonania budżetów województw za IV Kwartały 2023 rok    </v>
      </c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</row>
    <row r="45" spans="1:26" s="5" customFormat="1" ht="10.5" customHeight="1" x14ac:dyDescent="0.2">
      <c r="B45" s="6"/>
      <c r="C45" s="7"/>
      <c r="D45" s="8"/>
      <c r="E45" s="8"/>
      <c r="F45" s="4"/>
      <c r="G45" s="4"/>
      <c r="H45" s="4"/>
      <c r="I45" s="4"/>
      <c r="J45" s="4"/>
      <c r="K45" s="9"/>
      <c r="L45" s="9"/>
      <c r="M45" s="3"/>
    </row>
    <row r="46" spans="1:26" ht="29.25" customHeight="1" x14ac:dyDescent="0.2">
      <c r="B46" s="134" t="s">
        <v>0</v>
      </c>
      <c r="C46" s="129" t="s">
        <v>36</v>
      </c>
      <c r="D46" s="129" t="s">
        <v>38</v>
      </c>
      <c r="E46" s="129" t="s">
        <v>37</v>
      </c>
      <c r="F46" s="129" t="s">
        <v>12</v>
      </c>
      <c r="G46" s="129"/>
      <c r="H46" s="129"/>
      <c r="I46" s="124" t="s">
        <v>68</v>
      </c>
      <c r="J46" s="129" t="s">
        <v>2</v>
      </c>
      <c r="K46" s="156" t="s">
        <v>18</v>
      </c>
      <c r="M46" s="10"/>
      <c r="N46" s="49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8" customHeight="1" x14ac:dyDescent="0.2">
      <c r="B47" s="134"/>
      <c r="C47" s="129"/>
      <c r="D47" s="129"/>
      <c r="E47" s="131"/>
      <c r="F47" s="132" t="s">
        <v>39</v>
      </c>
      <c r="G47" s="130" t="s">
        <v>24</v>
      </c>
      <c r="H47" s="131"/>
      <c r="I47" s="125"/>
      <c r="J47" s="129"/>
      <c r="K47" s="156"/>
      <c r="L47" s="11"/>
      <c r="M47" s="12"/>
      <c r="N47" s="4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5.5" customHeight="1" x14ac:dyDescent="0.2">
      <c r="B48" s="134"/>
      <c r="C48" s="129"/>
      <c r="D48" s="129"/>
      <c r="E48" s="131"/>
      <c r="F48" s="131"/>
      <c r="G48" s="15" t="s">
        <v>34</v>
      </c>
      <c r="H48" s="15" t="s">
        <v>35</v>
      </c>
      <c r="I48" s="126"/>
      <c r="J48" s="129"/>
      <c r="K48" s="156"/>
      <c r="L48" s="11"/>
      <c r="M48" s="10"/>
      <c r="N48" s="49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3.5" customHeight="1" x14ac:dyDescent="0.2">
      <c r="B49" s="134"/>
      <c r="C49" s="121" t="s">
        <v>60</v>
      </c>
      <c r="D49" s="122"/>
      <c r="E49" s="122"/>
      <c r="F49" s="122"/>
      <c r="G49" s="122"/>
      <c r="H49" s="122"/>
      <c r="I49" s="123"/>
      <c r="J49" s="155" t="s">
        <v>4</v>
      </c>
      <c r="K49" s="155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11.25" customHeight="1" x14ac:dyDescent="0.2">
      <c r="B50" s="14">
        <v>1</v>
      </c>
      <c r="C50" s="16">
        <v>2</v>
      </c>
      <c r="D50" s="16">
        <v>3</v>
      </c>
      <c r="E50" s="16">
        <v>4</v>
      </c>
      <c r="F50" s="14">
        <v>5</v>
      </c>
      <c r="G50" s="14">
        <v>6</v>
      </c>
      <c r="H50" s="16">
        <v>7</v>
      </c>
      <c r="I50" s="16">
        <v>8</v>
      </c>
      <c r="J50" s="14">
        <v>9</v>
      </c>
      <c r="K50" s="16">
        <v>10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ht="27" customHeight="1" x14ac:dyDescent="0.2">
      <c r="B51" s="95" t="s">
        <v>44</v>
      </c>
      <c r="C51" s="61">
        <f>33893363170.51</f>
        <v>33893363170.509998</v>
      </c>
      <c r="D51" s="72">
        <f>31734351876.92</f>
        <v>31734351876.919998</v>
      </c>
      <c r="E51" s="72">
        <f>31759238827.91</f>
        <v>31759238827.91</v>
      </c>
      <c r="F51" s="61">
        <f>571913706.19</f>
        <v>571913706.19000006</v>
      </c>
      <c r="G51" s="61">
        <f>0</f>
        <v>0</v>
      </c>
      <c r="H51" s="61">
        <f>397845.07</f>
        <v>397845.07</v>
      </c>
      <c r="I51" s="73">
        <f>105014096.39</f>
        <v>105014096.39</v>
      </c>
      <c r="J51" s="47">
        <f>IF($D$51=0,"",100*$D51/$D$51)</f>
        <v>100</v>
      </c>
      <c r="K51" s="47">
        <f>IF(C51=0,"",100*D51/C51)</f>
        <v>93.629988022349707</v>
      </c>
      <c r="L51" s="34"/>
      <c r="O51" s="88"/>
    </row>
    <row r="52" spans="2:26" x14ac:dyDescent="0.2">
      <c r="B52" s="96" t="s">
        <v>14</v>
      </c>
      <c r="C52" s="23">
        <f>13069472661.37</f>
        <v>13069472661.370001</v>
      </c>
      <c r="D52" s="23">
        <f>12089233964.87</f>
        <v>12089233964.870001</v>
      </c>
      <c r="E52" s="23">
        <f>12113526334.07</f>
        <v>12113526334.07</v>
      </c>
      <c r="F52" s="23">
        <f>82193841.07</f>
        <v>82193841.069999993</v>
      </c>
      <c r="G52" s="23">
        <f>0</f>
        <v>0</v>
      </c>
      <c r="H52" s="23">
        <f>271551.01</f>
        <v>271551.01</v>
      </c>
      <c r="I52" s="74">
        <f>78806210.69</f>
        <v>78806210.689999998</v>
      </c>
      <c r="J52" s="47">
        <f t="shared" ref="J52:J60" si="2">IF($D$51=0,"",100*$D52/$D$51)</f>
        <v>38.095102782490891</v>
      </c>
      <c r="K52" s="47">
        <f t="shared" ref="K52:K60" si="3">IF(C52=0,"",100*D52/C52)</f>
        <v>92.499783871178408</v>
      </c>
      <c r="L52" s="34"/>
      <c r="O52" s="81"/>
    </row>
    <row r="53" spans="2:26" ht="12.75" customHeight="1" outlineLevel="1" x14ac:dyDescent="0.2">
      <c r="B53" s="28" t="s">
        <v>13</v>
      </c>
      <c r="C53" s="20">
        <f>12405520381.14</f>
        <v>12405520381.139999</v>
      </c>
      <c r="D53" s="20">
        <f>11425389425.13</f>
        <v>11425389425.129999</v>
      </c>
      <c r="E53" s="20">
        <f>11449681794.33</f>
        <v>11449681794.33</v>
      </c>
      <c r="F53" s="20">
        <f>82193841.07</f>
        <v>82193841.069999993</v>
      </c>
      <c r="G53" s="20">
        <f>0</f>
        <v>0</v>
      </c>
      <c r="H53" s="20">
        <f>271551.01</f>
        <v>271551.01</v>
      </c>
      <c r="I53" s="75">
        <f>78806210.69</f>
        <v>78806210.689999998</v>
      </c>
      <c r="J53" s="47">
        <f t="shared" si="2"/>
        <v>36.00322284646861</v>
      </c>
      <c r="K53" s="47">
        <f t="shared" si="3"/>
        <v>92.099235454079917</v>
      </c>
      <c r="L53" s="34"/>
      <c r="O53" s="87"/>
    </row>
    <row r="54" spans="2:26" ht="27" customHeight="1" x14ac:dyDescent="0.2">
      <c r="B54" s="96" t="s">
        <v>45</v>
      </c>
      <c r="C54" s="23">
        <f t="shared" ref="C54:I54" si="4">C51-C52</f>
        <v>20823890509.139999</v>
      </c>
      <c r="D54" s="23">
        <f>D51-D52</f>
        <v>19645117912.049995</v>
      </c>
      <c r="E54" s="23">
        <f>E51-E52</f>
        <v>19645712493.84</v>
      </c>
      <c r="F54" s="23">
        <f t="shared" si="4"/>
        <v>489719865.12000006</v>
      </c>
      <c r="G54" s="23">
        <f t="shared" si="4"/>
        <v>0</v>
      </c>
      <c r="H54" s="23">
        <f t="shared" si="4"/>
        <v>126294.06</v>
      </c>
      <c r="I54" s="74">
        <f t="shared" si="4"/>
        <v>26207885.700000003</v>
      </c>
      <c r="J54" s="47">
        <f t="shared" si="2"/>
        <v>61.904897217509102</v>
      </c>
      <c r="K54" s="47">
        <f t="shared" si="3"/>
        <v>94.339325801907094</v>
      </c>
      <c r="L54" s="34"/>
      <c r="O54" s="81"/>
    </row>
    <row r="55" spans="2:26" ht="22.5" outlineLevel="1" x14ac:dyDescent="0.2">
      <c r="B55" s="28" t="s">
        <v>79</v>
      </c>
      <c r="C55" s="20">
        <f>4940493583.28</f>
        <v>4940493583.2799997</v>
      </c>
      <c r="D55" s="20">
        <f>4687576671.32999</f>
        <v>4687576671.3299904</v>
      </c>
      <c r="E55" s="20">
        <f>4687586255.79999</f>
        <v>4687586255.7999897</v>
      </c>
      <c r="F55" s="20">
        <f>296458536.62</f>
        <v>296458536.62</v>
      </c>
      <c r="G55" s="20">
        <f>0</f>
        <v>0</v>
      </c>
      <c r="H55" s="20">
        <f>2295.83</f>
        <v>2295.83</v>
      </c>
      <c r="I55" s="75">
        <f>28680</f>
        <v>28680</v>
      </c>
      <c r="J55" s="47">
        <f t="shared" si="2"/>
        <v>14.771301110892411</v>
      </c>
      <c r="K55" s="47">
        <f t="shared" si="3"/>
        <v>94.880735949016298</v>
      </c>
      <c r="L55" s="34"/>
      <c r="O55" s="87"/>
    </row>
    <row r="56" spans="2:26" ht="12.75" customHeight="1" outlineLevel="1" x14ac:dyDescent="0.2">
      <c r="B56" s="60" t="s">
        <v>33</v>
      </c>
      <c r="C56" s="62">
        <f>8232042472.06</f>
        <v>8232042472.0600004</v>
      </c>
      <c r="D56" s="62">
        <f>8045595295.4</f>
        <v>8045595295.3999996</v>
      </c>
      <c r="E56" s="62">
        <f>8045736201.55</f>
        <v>8045736201.5500002</v>
      </c>
      <c r="F56" s="62">
        <f>4194317.65</f>
        <v>4194317.6500000004</v>
      </c>
      <c r="G56" s="62">
        <f>0</f>
        <v>0</v>
      </c>
      <c r="H56" s="62">
        <f>0</f>
        <v>0</v>
      </c>
      <c r="I56" s="76">
        <f>17261.2</f>
        <v>17261.2</v>
      </c>
      <c r="J56" s="47">
        <f t="shared" si="2"/>
        <v>25.352952934423918</v>
      </c>
      <c r="K56" s="47">
        <f t="shared" si="3"/>
        <v>97.73510429164071</v>
      </c>
      <c r="L56" s="34"/>
      <c r="O56" s="81"/>
    </row>
    <row r="57" spans="2:26" ht="12.75" customHeight="1" outlineLevel="1" x14ac:dyDescent="0.2">
      <c r="B57" s="60" t="s">
        <v>32</v>
      </c>
      <c r="C57" s="21">
        <f>358956151.53</f>
        <v>358956151.52999997</v>
      </c>
      <c r="D57" s="21">
        <f>315700882.66</f>
        <v>315700882.66000003</v>
      </c>
      <c r="E57" s="21">
        <f>315700882.66</f>
        <v>315700882.66000003</v>
      </c>
      <c r="F57" s="21">
        <f>8179265.28</f>
        <v>8179265.2800000003</v>
      </c>
      <c r="G57" s="21">
        <f>0</f>
        <v>0</v>
      </c>
      <c r="H57" s="21">
        <f>0</f>
        <v>0</v>
      </c>
      <c r="I57" s="77">
        <f>0</f>
        <v>0</v>
      </c>
      <c r="J57" s="47">
        <f t="shared" si="2"/>
        <v>0.99482379184685787</v>
      </c>
      <c r="K57" s="47">
        <f t="shared" si="3"/>
        <v>87.949706757878246</v>
      </c>
      <c r="L57" s="34"/>
      <c r="O57" s="87"/>
    </row>
    <row r="58" spans="2:26" ht="22.5" customHeight="1" outlineLevel="1" x14ac:dyDescent="0.2">
      <c r="B58" s="60" t="s">
        <v>51</v>
      </c>
      <c r="C58" s="62">
        <f>42157359.28</f>
        <v>42157359.280000001</v>
      </c>
      <c r="D58" s="62">
        <f>26488046.44</f>
        <v>26488046.440000001</v>
      </c>
      <c r="E58" s="62">
        <f>26488046.44</f>
        <v>26488046.440000001</v>
      </c>
      <c r="F58" s="62">
        <f>0</f>
        <v>0</v>
      </c>
      <c r="G58" s="62">
        <f>0</f>
        <v>0</v>
      </c>
      <c r="H58" s="62">
        <f>0</f>
        <v>0</v>
      </c>
      <c r="I58" s="76">
        <f>0</f>
        <v>0</v>
      </c>
      <c r="J58" s="47">
        <f t="shared" si="2"/>
        <v>8.3468055508845701E-2</v>
      </c>
      <c r="K58" s="47">
        <f t="shared" si="3"/>
        <v>62.831370115172923</v>
      </c>
      <c r="L58" s="34"/>
      <c r="O58" s="81"/>
    </row>
    <row r="59" spans="2:26" ht="22.5" outlineLevel="1" x14ac:dyDescent="0.2">
      <c r="B59" s="60" t="s">
        <v>52</v>
      </c>
      <c r="C59" s="62">
        <f>198986792.07</f>
        <v>198986792.06999999</v>
      </c>
      <c r="D59" s="62">
        <f>187367958.37</f>
        <v>187367958.37</v>
      </c>
      <c r="E59" s="62">
        <f>187367958.37</f>
        <v>187367958.37</v>
      </c>
      <c r="F59" s="62">
        <f>1451571.53</f>
        <v>1451571.53</v>
      </c>
      <c r="G59" s="62">
        <f>0</f>
        <v>0</v>
      </c>
      <c r="H59" s="62">
        <f>0</f>
        <v>0</v>
      </c>
      <c r="I59" s="69">
        <f>0</f>
        <v>0</v>
      </c>
      <c r="J59" s="47">
        <f t="shared" si="2"/>
        <v>0.59042629607403574</v>
      </c>
      <c r="K59" s="47">
        <f t="shared" si="3"/>
        <v>94.161002557439744</v>
      </c>
      <c r="L59" s="34"/>
      <c r="O59" s="81"/>
    </row>
    <row r="60" spans="2:26" ht="12.75" customHeight="1" outlineLevel="1" x14ac:dyDescent="0.2">
      <c r="B60" s="60" t="s">
        <v>31</v>
      </c>
      <c r="C60" s="21">
        <f t="shared" ref="C60:I60" si="5">C54-C55-C56-C57-C58-C59</f>
        <v>7051254150.920001</v>
      </c>
      <c r="D60" s="21">
        <f>D54-D55-D56-D57-D58-D59</f>
        <v>6382389057.8500061</v>
      </c>
      <c r="E60" s="78">
        <f>E54-E55-E56-E57-E58-E59</f>
        <v>6382833149.0200109</v>
      </c>
      <c r="F60" s="78">
        <f t="shared" si="5"/>
        <v>179436174.04000005</v>
      </c>
      <c r="G60" s="78">
        <f t="shared" si="5"/>
        <v>0</v>
      </c>
      <c r="H60" s="78">
        <f t="shared" si="5"/>
        <v>123998.23</v>
      </c>
      <c r="I60" s="79">
        <f t="shared" si="5"/>
        <v>26161944.500000004</v>
      </c>
      <c r="J60" s="80">
        <f t="shared" si="2"/>
        <v>20.111925028763039</v>
      </c>
      <c r="K60" s="47">
        <f t="shared" si="3"/>
        <v>90.514239328861436</v>
      </c>
      <c r="L60" s="34"/>
      <c r="O60" s="87"/>
    </row>
    <row r="61" spans="2:26" x14ac:dyDescent="0.2">
      <c r="B61" s="17" t="s">
        <v>15</v>
      </c>
      <c r="C61" s="115">
        <f>C5-C51</f>
        <v>-1823958498.3699989</v>
      </c>
      <c r="D61" s="115">
        <f>D5-D51</f>
        <v>406736345.47000122</v>
      </c>
      <c r="E61" s="84"/>
      <c r="F61" s="85"/>
      <c r="G61" s="85"/>
      <c r="H61" s="85"/>
      <c r="I61" s="154"/>
      <c r="J61" s="154"/>
      <c r="K61" s="25"/>
      <c r="L61" s="25"/>
      <c r="M61" s="51"/>
    </row>
    <row r="62" spans="2:26" ht="38.25" x14ac:dyDescent="0.2">
      <c r="B62" s="97" t="s">
        <v>94</v>
      </c>
      <c r="C62" s="115">
        <f>+C42-C54</f>
        <v>6333225853.5400009</v>
      </c>
      <c r="D62" s="115">
        <f>+D42-D54</f>
        <v>7637752130.2900047</v>
      </c>
      <c r="E62" s="83"/>
      <c r="F62" s="82"/>
      <c r="G62" s="82"/>
      <c r="H62" s="82"/>
      <c r="I62" s="141"/>
      <c r="J62" s="142"/>
      <c r="K62" s="34"/>
      <c r="L62" s="52"/>
      <c r="M62" s="52"/>
    </row>
    <row r="63" spans="2:26" ht="13.5" customHeight="1" x14ac:dyDescent="0.2">
      <c r="B63" s="53"/>
      <c r="C63" s="54"/>
      <c r="D63" s="54"/>
      <c r="E63" s="54"/>
      <c r="F63" s="18"/>
      <c r="G63" s="18"/>
      <c r="H63" s="18"/>
      <c r="I63" s="18"/>
      <c r="J63" s="34"/>
      <c r="K63" s="34"/>
      <c r="L63" s="52"/>
      <c r="M63" s="52"/>
    </row>
    <row r="64" spans="2:26" ht="12" customHeight="1" x14ac:dyDescent="0.2">
      <c r="B64" s="116" t="s">
        <v>97</v>
      </c>
      <c r="C64" s="54"/>
      <c r="D64" s="54"/>
      <c r="E64" s="54"/>
      <c r="F64" s="18"/>
      <c r="G64" s="18"/>
      <c r="H64" s="18"/>
      <c r="I64" s="18"/>
      <c r="J64" s="34"/>
      <c r="K64" s="34"/>
      <c r="L64" s="52"/>
      <c r="M64" s="52"/>
    </row>
    <row r="65" spans="2:13" ht="27" customHeight="1" x14ac:dyDescent="0.2">
      <c r="B65" s="117" t="s">
        <v>69</v>
      </c>
      <c r="C65" s="115">
        <f>7594174853.98</f>
        <v>7594174853.9799995</v>
      </c>
      <c r="D65" s="115">
        <f>7055835193.57001</f>
        <v>7055835193.5700102</v>
      </c>
      <c r="E65" s="23">
        <f>7056011084.91001</f>
        <v>7056011084.9100103</v>
      </c>
      <c r="F65" s="23">
        <f>75740999.41</f>
        <v>75740999.409999996</v>
      </c>
      <c r="G65" s="23">
        <f>0</f>
        <v>0</v>
      </c>
      <c r="H65" s="23">
        <f>200</f>
        <v>200</v>
      </c>
      <c r="I65" s="86">
        <f>0</f>
        <v>0</v>
      </c>
      <c r="J65" s="32">
        <f>IF($D$65=0,"",100*$D65/$D$65)</f>
        <v>100</v>
      </c>
      <c r="K65" s="32">
        <f>IF(C65=0,"",100*D65/C65)</f>
        <v>92.911150049068809</v>
      </c>
      <c r="L65" s="52"/>
    </row>
    <row r="66" spans="2:13" ht="12.75" customHeight="1" x14ac:dyDescent="0.2">
      <c r="B66" s="101" t="s">
        <v>58</v>
      </c>
      <c r="C66" s="62">
        <f>4976861944.23</f>
        <v>4976861944.2299995</v>
      </c>
      <c r="D66" s="62">
        <f>4725589089.61</f>
        <v>4725589089.6099997</v>
      </c>
      <c r="E66" s="62">
        <f>4725615136.23</f>
        <v>4725615136.2299995</v>
      </c>
      <c r="F66" s="62">
        <f>18807518.15</f>
        <v>18807518.149999999</v>
      </c>
      <c r="G66" s="62">
        <f>0</f>
        <v>0</v>
      </c>
      <c r="H66" s="62">
        <f>0</f>
        <v>0</v>
      </c>
      <c r="I66" s="69">
        <f>0</f>
        <v>0</v>
      </c>
      <c r="J66" s="32">
        <f>IF($D$65=0,"",100*$D66/$D$65)</f>
        <v>66.97419880096453</v>
      </c>
      <c r="K66" s="32">
        <f>IF(C66=0,"",100*D66/C66)</f>
        <v>94.951178926887508</v>
      </c>
      <c r="L66" s="34"/>
    </row>
    <row r="67" spans="2:13" ht="12.75" customHeight="1" x14ac:dyDescent="0.2">
      <c r="B67" s="101" t="s">
        <v>59</v>
      </c>
      <c r="C67" s="62">
        <f t="shared" ref="C67:I67" si="6">C65-C66</f>
        <v>2617312909.75</v>
      </c>
      <c r="D67" s="62">
        <f t="shared" si="6"/>
        <v>2330246103.9600105</v>
      </c>
      <c r="E67" s="62">
        <f t="shared" si="6"/>
        <v>2330395948.6800108</v>
      </c>
      <c r="F67" s="62">
        <f t="shared" si="6"/>
        <v>56933481.259999998</v>
      </c>
      <c r="G67" s="62">
        <f t="shared" si="6"/>
        <v>0</v>
      </c>
      <c r="H67" s="62">
        <f t="shared" si="6"/>
        <v>200</v>
      </c>
      <c r="I67" s="71">
        <f t="shared" si="6"/>
        <v>0</v>
      </c>
      <c r="J67" s="32">
        <f>IF($D$65=0,"",100*$D67/$D$65)</f>
        <v>33.025801199035463</v>
      </c>
      <c r="K67" s="32">
        <f>IF(C67=0,"",100*D67/C67)</f>
        <v>89.032002833111392</v>
      </c>
      <c r="L67" s="34"/>
    </row>
    <row r="68" spans="2:13" ht="18" customHeight="1" x14ac:dyDescent="0.2">
      <c r="B68" s="100" t="str">
        <f>CONCATENATE("Informacja z wykonania budżetów województw za ",$D$104," ",$C$105," rok    ",$C$107,"")</f>
        <v xml:space="preserve">Informacja z wykonania budżetów województw za IV Kwartały 2023 rok    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</row>
    <row r="69" spans="2:13" ht="6" customHeight="1" x14ac:dyDescent="0.2"/>
    <row r="70" spans="2:13" x14ac:dyDescent="0.2">
      <c r="B70" s="37" t="s">
        <v>16</v>
      </c>
      <c r="C70" s="70" t="s">
        <v>17</v>
      </c>
      <c r="D70" s="70" t="s">
        <v>1</v>
      </c>
      <c r="E70" s="143" t="s">
        <v>86</v>
      </c>
      <c r="F70" s="144"/>
      <c r="G70" s="144"/>
      <c r="H70" s="144"/>
      <c r="I70" s="145"/>
      <c r="J70" s="16" t="s">
        <v>22</v>
      </c>
      <c r="K70" s="16" t="s">
        <v>23</v>
      </c>
    </row>
    <row r="71" spans="2:13" x14ac:dyDescent="0.2">
      <c r="B71" s="37"/>
      <c r="C71" s="132" t="s">
        <v>60</v>
      </c>
      <c r="D71" s="133"/>
      <c r="E71" s="146"/>
      <c r="F71" s="147"/>
      <c r="G71" s="147"/>
      <c r="H71" s="147"/>
      <c r="I71" s="148"/>
      <c r="J71" s="152" t="s">
        <v>4</v>
      </c>
      <c r="K71" s="153"/>
    </row>
    <row r="72" spans="2:13" x14ac:dyDescent="0.2">
      <c r="B72" s="35">
        <v>1</v>
      </c>
      <c r="C72" s="89">
        <v>2</v>
      </c>
      <c r="D72" s="89">
        <v>3</v>
      </c>
      <c r="E72" s="149"/>
      <c r="F72" s="150"/>
      <c r="G72" s="150"/>
      <c r="H72" s="150"/>
      <c r="I72" s="151"/>
      <c r="J72" s="36">
        <v>4</v>
      </c>
      <c r="K72" s="36">
        <v>5</v>
      </c>
    </row>
    <row r="73" spans="2:13" ht="27" customHeight="1" x14ac:dyDescent="0.2">
      <c r="B73" s="90" t="s">
        <v>46</v>
      </c>
      <c r="C73" s="39">
        <f>3521030500.05</f>
        <v>3521030500.0500002</v>
      </c>
      <c r="D73" s="39">
        <f>5021676152.61</f>
        <v>5021676152.6099997</v>
      </c>
      <c r="E73" s="108" t="s">
        <v>86</v>
      </c>
      <c r="F73" s="108" t="s">
        <v>86</v>
      </c>
      <c r="G73" s="108" t="s">
        <v>86</v>
      </c>
      <c r="H73" s="108" t="s">
        <v>86</v>
      </c>
      <c r="I73" s="108" t="s">
        <v>86</v>
      </c>
      <c r="J73" s="38">
        <f>IF($D$73=0,"",100*$D73/$D$73)</f>
        <v>100</v>
      </c>
      <c r="K73" s="31">
        <f t="shared" ref="K73:K87" si="7">IF(C73=0,"",100*D73/C73)</f>
        <v>142.61950166403528</v>
      </c>
    </row>
    <row r="74" spans="2:13" ht="33.75" x14ac:dyDescent="0.2">
      <c r="B74" s="105" t="s">
        <v>102</v>
      </c>
      <c r="C74" s="40">
        <f>877711873</f>
        <v>877711873</v>
      </c>
      <c r="D74" s="40">
        <f>605000000</f>
        <v>605000000</v>
      </c>
      <c r="E74" s="109" t="s">
        <v>86</v>
      </c>
      <c r="F74" s="109" t="s">
        <v>86</v>
      </c>
      <c r="G74" s="109" t="s">
        <v>86</v>
      </c>
      <c r="H74" s="109" t="s">
        <v>86</v>
      </c>
      <c r="I74" s="109" t="s">
        <v>86</v>
      </c>
      <c r="J74" s="45">
        <f t="shared" ref="J74:J83" si="8">IF($D$73=0,"",100*$D74/$D$73)</f>
        <v>12.047770139170629</v>
      </c>
      <c r="K74" s="46">
        <f t="shared" si="7"/>
        <v>68.929225935172013</v>
      </c>
    </row>
    <row r="75" spans="2:13" ht="22.5" x14ac:dyDescent="0.2">
      <c r="B75" s="106" t="s">
        <v>70</v>
      </c>
      <c r="C75" s="64">
        <f>0</f>
        <v>0</v>
      </c>
      <c r="D75" s="64">
        <f>0</f>
        <v>0</v>
      </c>
      <c r="E75" s="109" t="s">
        <v>86</v>
      </c>
      <c r="F75" s="109" t="s">
        <v>86</v>
      </c>
      <c r="G75" s="109" t="s">
        <v>86</v>
      </c>
      <c r="H75" s="109" t="s">
        <v>86</v>
      </c>
      <c r="I75" s="109" t="s">
        <v>86</v>
      </c>
      <c r="J75" s="65">
        <f t="shared" si="8"/>
        <v>0</v>
      </c>
      <c r="K75" s="66" t="str">
        <f t="shared" si="7"/>
        <v/>
      </c>
    </row>
    <row r="76" spans="2:13" ht="12.75" customHeight="1" x14ac:dyDescent="0.2">
      <c r="B76" s="63" t="s">
        <v>71</v>
      </c>
      <c r="C76" s="64">
        <f>45523876</f>
        <v>45523876</v>
      </c>
      <c r="D76" s="64">
        <f>36672391.36</f>
        <v>36672391.359999999</v>
      </c>
      <c r="E76" s="109" t="s">
        <v>86</v>
      </c>
      <c r="F76" s="109" t="s">
        <v>86</v>
      </c>
      <c r="G76" s="109" t="s">
        <v>86</v>
      </c>
      <c r="H76" s="109" t="s">
        <v>86</v>
      </c>
      <c r="I76" s="109" t="s">
        <v>86</v>
      </c>
      <c r="J76" s="65">
        <f t="shared" si="8"/>
        <v>0.73028188687435858</v>
      </c>
      <c r="K76" s="66">
        <f t="shared" si="7"/>
        <v>80.556390585019599</v>
      </c>
    </row>
    <row r="77" spans="2:13" ht="46.5" customHeight="1" x14ac:dyDescent="0.2">
      <c r="B77" s="63" t="s">
        <v>80</v>
      </c>
      <c r="C77" s="64">
        <f>216487038.38</f>
        <v>216487038.38</v>
      </c>
      <c r="D77" s="64">
        <f>1287729235.26</f>
        <v>1287729235.26</v>
      </c>
      <c r="E77" s="109" t="s">
        <v>86</v>
      </c>
      <c r="F77" s="109" t="s">
        <v>86</v>
      </c>
      <c r="G77" s="109" t="s">
        <v>86</v>
      </c>
      <c r="H77" s="109" t="s">
        <v>86</v>
      </c>
      <c r="I77" s="109" t="s">
        <v>86</v>
      </c>
      <c r="J77" s="65">
        <f t="shared" si="8"/>
        <v>25.643414591574309</v>
      </c>
      <c r="K77" s="66">
        <f t="shared" si="7"/>
        <v>594.8297158556195</v>
      </c>
    </row>
    <row r="78" spans="2:13" ht="35.25" customHeight="1" x14ac:dyDescent="0.2">
      <c r="B78" s="63" t="s">
        <v>81</v>
      </c>
      <c r="C78" s="64">
        <f>419160725.13</f>
        <v>419160725.13</v>
      </c>
      <c r="D78" s="64">
        <f>526556432.65</f>
        <v>526556432.64999998</v>
      </c>
      <c r="E78" s="109" t="s">
        <v>86</v>
      </c>
      <c r="F78" s="109" t="s">
        <v>86</v>
      </c>
      <c r="G78" s="109" t="s">
        <v>86</v>
      </c>
      <c r="H78" s="109" t="s">
        <v>86</v>
      </c>
      <c r="I78" s="109" t="s">
        <v>86</v>
      </c>
      <c r="J78" s="65">
        <f t="shared" si="8"/>
        <v>10.485670852675835</v>
      </c>
      <c r="K78" s="66">
        <f t="shared" si="7"/>
        <v>125.62160552773447</v>
      </c>
    </row>
    <row r="79" spans="2:13" ht="12.75" customHeight="1" x14ac:dyDescent="0.2">
      <c r="B79" s="63" t="s">
        <v>72</v>
      </c>
      <c r="C79" s="64">
        <f>0</f>
        <v>0</v>
      </c>
      <c r="D79" s="64">
        <f>0</f>
        <v>0</v>
      </c>
      <c r="E79" s="109" t="s">
        <v>86</v>
      </c>
      <c r="F79" s="109" t="s">
        <v>86</v>
      </c>
      <c r="G79" s="109" t="s">
        <v>86</v>
      </c>
      <c r="H79" s="109" t="s">
        <v>86</v>
      </c>
      <c r="I79" s="109" t="s">
        <v>86</v>
      </c>
      <c r="J79" s="65">
        <f t="shared" si="8"/>
        <v>0</v>
      </c>
      <c r="K79" s="66" t="str">
        <f t="shared" si="7"/>
        <v/>
      </c>
    </row>
    <row r="80" spans="2:13" ht="33.75" x14ac:dyDescent="0.2">
      <c r="B80" s="63" t="s">
        <v>75</v>
      </c>
      <c r="C80" s="64">
        <f>1479692990.54</f>
        <v>1479692990.54</v>
      </c>
      <c r="D80" s="64">
        <f>2383264096.34</f>
        <v>2383264096.3400002</v>
      </c>
      <c r="E80" s="109" t="s">
        <v>86</v>
      </c>
      <c r="F80" s="109" t="s">
        <v>86</v>
      </c>
      <c r="G80" s="109" t="s">
        <v>86</v>
      </c>
      <c r="H80" s="109" t="s">
        <v>86</v>
      </c>
      <c r="I80" s="109" t="s">
        <v>86</v>
      </c>
      <c r="J80" s="65">
        <f t="shared" si="8"/>
        <v>47.459533906847149</v>
      </c>
      <c r="K80" s="66">
        <f t="shared" si="7"/>
        <v>161.06476894712128</v>
      </c>
    </row>
    <row r="81" spans="2:11" ht="56.25" x14ac:dyDescent="0.2">
      <c r="B81" s="63" t="s">
        <v>103</v>
      </c>
      <c r="C81" s="64">
        <f>0</f>
        <v>0</v>
      </c>
      <c r="D81" s="64">
        <f>0</f>
        <v>0</v>
      </c>
      <c r="E81" s="109" t="s">
        <v>86</v>
      </c>
      <c r="F81" s="109" t="s">
        <v>86</v>
      </c>
      <c r="G81" s="109" t="s">
        <v>86</v>
      </c>
      <c r="H81" s="109" t="s">
        <v>86</v>
      </c>
      <c r="I81" s="109" t="s">
        <v>86</v>
      </c>
      <c r="J81" s="65">
        <f t="shared" si="8"/>
        <v>0</v>
      </c>
      <c r="K81" s="66" t="str">
        <f>IF(C81=0,"",100*D81/C81)</f>
        <v/>
      </c>
    </row>
    <row r="82" spans="2:11" x14ac:dyDescent="0.2">
      <c r="B82" s="63" t="s">
        <v>98</v>
      </c>
      <c r="C82" s="64">
        <f>482453997</f>
        <v>482453997</v>
      </c>
      <c r="D82" s="64">
        <f>182453997</f>
        <v>182453997</v>
      </c>
      <c r="E82" s="109" t="s">
        <v>86</v>
      </c>
      <c r="F82" s="109" t="s">
        <v>86</v>
      </c>
      <c r="G82" s="109" t="s">
        <v>86</v>
      </c>
      <c r="H82" s="109" t="s">
        <v>86</v>
      </c>
      <c r="I82" s="109" t="s">
        <v>86</v>
      </c>
      <c r="J82" s="65">
        <f t="shared" si="8"/>
        <v>3.6333286228577313</v>
      </c>
      <c r="K82" s="66">
        <f>IF(C82=0,"",100*D82/C82)</f>
        <v>37.817905569139683</v>
      </c>
    </row>
    <row r="83" spans="2:11" ht="22.5" x14ac:dyDescent="0.2">
      <c r="B83" s="106" t="s">
        <v>99</v>
      </c>
      <c r="C83" s="64">
        <f>182453997</f>
        <v>182453997</v>
      </c>
      <c r="D83" s="64">
        <f>182453997</f>
        <v>182453997</v>
      </c>
      <c r="E83" s="109" t="s">
        <v>86</v>
      </c>
      <c r="F83" s="109" t="s">
        <v>86</v>
      </c>
      <c r="G83" s="109" t="s">
        <v>86</v>
      </c>
      <c r="H83" s="109" t="s">
        <v>86</v>
      </c>
      <c r="I83" s="109" t="s">
        <v>86</v>
      </c>
      <c r="J83" s="65">
        <f t="shared" si="8"/>
        <v>3.6333286228577313</v>
      </c>
      <c r="K83" s="66">
        <f>IF(C83=0,"",100*D83/C83)</f>
        <v>100</v>
      </c>
    </row>
    <row r="84" spans="2:11" ht="27" customHeight="1" x14ac:dyDescent="0.2">
      <c r="B84" s="90" t="s">
        <v>47</v>
      </c>
      <c r="C84" s="43">
        <f>1364733564.68</f>
        <v>1364733564.6800001</v>
      </c>
      <c r="D84" s="43">
        <f>1040776003.42</f>
        <v>1040776003.42</v>
      </c>
      <c r="E84" s="108" t="s">
        <v>86</v>
      </c>
      <c r="F84" s="108" t="s">
        <v>86</v>
      </c>
      <c r="G84" s="108" t="s">
        <v>86</v>
      </c>
      <c r="H84" s="108" t="s">
        <v>86</v>
      </c>
      <c r="I84" s="108" t="s">
        <v>86</v>
      </c>
      <c r="J84" s="38">
        <f t="shared" ref="J84:J89" si="9">IF($D$84=0,"",100*$D84/$D$84)</f>
        <v>100</v>
      </c>
      <c r="K84" s="31">
        <f t="shared" si="7"/>
        <v>76.262211933216363</v>
      </c>
    </row>
    <row r="85" spans="2:11" ht="24.75" customHeight="1" x14ac:dyDescent="0.2">
      <c r="B85" s="105" t="s">
        <v>73</v>
      </c>
      <c r="C85" s="40">
        <f>868527285.68</f>
        <v>868527285.67999995</v>
      </c>
      <c r="D85" s="42">
        <f>855271035.64</f>
        <v>855271035.63999999</v>
      </c>
      <c r="E85" s="109" t="s">
        <v>86</v>
      </c>
      <c r="F85" s="109" t="s">
        <v>86</v>
      </c>
      <c r="G85" s="109" t="s">
        <v>86</v>
      </c>
      <c r="H85" s="109" t="s">
        <v>86</v>
      </c>
      <c r="I85" s="109" t="s">
        <v>86</v>
      </c>
      <c r="J85" s="45">
        <f t="shared" si="9"/>
        <v>82.176283160792636</v>
      </c>
      <c r="K85" s="46">
        <f t="shared" si="7"/>
        <v>98.473709432211891</v>
      </c>
    </row>
    <row r="86" spans="2:11" ht="12.75" customHeight="1" x14ac:dyDescent="0.2">
      <c r="B86" s="106" t="s">
        <v>74</v>
      </c>
      <c r="C86" s="64">
        <f>17000000</f>
        <v>17000000</v>
      </c>
      <c r="D86" s="64">
        <f>17000000</f>
        <v>17000000</v>
      </c>
      <c r="E86" s="109" t="s">
        <v>86</v>
      </c>
      <c r="F86" s="109" t="s">
        <v>86</v>
      </c>
      <c r="G86" s="109" t="s">
        <v>86</v>
      </c>
      <c r="H86" s="109" t="s">
        <v>86</v>
      </c>
      <c r="I86" s="109" t="s">
        <v>86</v>
      </c>
      <c r="J86" s="65">
        <f t="shared" si="9"/>
        <v>1.6333966140781337</v>
      </c>
      <c r="K86" s="66">
        <f t="shared" si="7"/>
        <v>100</v>
      </c>
    </row>
    <row r="87" spans="2:11" ht="12.75" customHeight="1" x14ac:dyDescent="0.2">
      <c r="B87" s="63" t="s">
        <v>82</v>
      </c>
      <c r="C87" s="64">
        <f>196206279</f>
        <v>196206279</v>
      </c>
      <c r="D87" s="64">
        <f>185504967.78</f>
        <v>185504967.78</v>
      </c>
      <c r="E87" s="109" t="s">
        <v>86</v>
      </c>
      <c r="F87" s="109" t="s">
        <v>86</v>
      </c>
      <c r="G87" s="109" t="s">
        <v>86</v>
      </c>
      <c r="H87" s="109" t="s">
        <v>86</v>
      </c>
      <c r="I87" s="109" t="s">
        <v>86</v>
      </c>
      <c r="J87" s="65">
        <f t="shared" si="9"/>
        <v>17.823716839207368</v>
      </c>
      <c r="K87" s="66">
        <f t="shared" si="7"/>
        <v>94.545887484059577</v>
      </c>
    </row>
    <row r="88" spans="2:11" ht="12.75" customHeight="1" x14ac:dyDescent="0.2">
      <c r="B88" s="63" t="s">
        <v>100</v>
      </c>
      <c r="C88" s="64">
        <f>300000000</f>
        <v>300000000</v>
      </c>
      <c r="D88" s="64">
        <f>0</f>
        <v>0</v>
      </c>
      <c r="E88" s="109" t="s">
        <v>86</v>
      </c>
      <c r="F88" s="109" t="s">
        <v>86</v>
      </c>
      <c r="G88" s="109" t="s">
        <v>86</v>
      </c>
      <c r="H88" s="109" t="s">
        <v>86</v>
      </c>
      <c r="I88" s="109" t="s">
        <v>86</v>
      </c>
      <c r="J88" s="65">
        <f t="shared" si="9"/>
        <v>0</v>
      </c>
      <c r="K88" s="66">
        <f>IF(C88=0,"",100*D88/C88)</f>
        <v>0</v>
      </c>
    </row>
    <row r="89" spans="2:11" ht="22.5" x14ac:dyDescent="0.2">
      <c r="B89" s="106" t="s">
        <v>101</v>
      </c>
      <c r="C89" s="64">
        <f>0</f>
        <v>0</v>
      </c>
      <c r="D89" s="64">
        <f>0</f>
        <v>0</v>
      </c>
      <c r="E89" s="109" t="s">
        <v>86</v>
      </c>
      <c r="F89" s="109" t="s">
        <v>86</v>
      </c>
      <c r="G89" s="109" t="s">
        <v>86</v>
      </c>
      <c r="H89" s="109" t="s">
        <v>86</v>
      </c>
      <c r="I89" s="109" t="s">
        <v>86</v>
      </c>
      <c r="J89" s="65">
        <f t="shared" si="9"/>
        <v>0</v>
      </c>
      <c r="K89" s="66" t="str">
        <f>IF(C89=0,"",100*D89/C89)</f>
        <v/>
      </c>
    </row>
    <row r="91" spans="2:11" x14ac:dyDescent="0.2">
      <c r="B91" s="37" t="s">
        <v>16</v>
      </c>
      <c r="C91" s="70" t="s">
        <v>17</v>
      </c>
      <c r="D91" s="16" t="s">
        <v>1</v>
      </c>
    </row>
    <row r="92" spans="2:11" x14ac:dyDescent="0.2">
      <c r="B92" s="37"/>
      <c r="C92" s="132" t="s">
        <v>60</v>
      </c>
      <c r="D92" s="133"/>
    </row>
    <row r="93" spans="2:11" x14ac:dyDescent="0.2">
      <c r="B93" s="35">
        <v>1</v>
      </c>
      <c r="C93" s="89">
        <v>2</v>
      </c>
      <c r="D93" s="36">
        <v>3</v>
      </c>
    </row>
    <row r="94" spans="2:11" ht="36" customHeight="1" x14ac:dyDescent="0.2">
      <c r="B94" s="44" t="s">
        <v>104</v>
      </c>
      <c r="C94" s="41">
        <f>2056307089.37</f>
        <v>2056307089.3699999</v>
      </c>
      <c r="D94" s="24">
        <f>747698138.47</f>
        <v>747698138.47000003</v>
      </c>
    </row>
    <row r="95" spans="2:11" ht="33.75" x14ac:dyDescent="0.2">
      <c r="B95" s="107" t="s">
        <v>62</v>
      </c>
      <c r="C95" s="64">
        <f>0</f>
        <v>0</v>
      </c>
      <c r="D95" s="57">
        <f>0</f>
        <v>0</v>
      </c>
    </row>
    <row r="96" spans="2:11" ht="12.75" customHeight="1" x14ac:dyDescent="0.2">
      <c r="B96" s="107" t="s">
        <v>63</v>
      </c>
      <c r="C96" s="64">
        <f>852662266</f>
        <v>852662266</v>
      </c>
      <c r="D96" s="57">
        <f>400943674.04</f>
        <v>400943674.04000002</v>
      </c>
    </row>
    <row r="97" spans="2:4" ht="22.5" x14ac:dyDescent="0.2">
      <c r="B97" s="107" t="s">
        <v>64</v>
      </c>
      <c r="C97" s="64">
        <f>0</f>
        <v>0</v>
      </c>
      <c r="D97" s="57">
        <f>0</f>
        <v>0</v>
      </c>
    </row>
    <row r="98" spans="2:4" ht="56.25" x14ac:dyDescent="0.2">
      <c r="B98" s="107" t="s">
        <v>83</v>
      </c>
      <c r="C98" s="64">
        <f>46498174</f>
        <v>46498174</v>
      </c>
      <c r="D98" s="57">
        <f>0</f>
        <v>0</v>
      </c>
    </row>
    <row r="99" spans="2:4" ht="81" customHeight="1" x14ac:dyDescent="0.2">
      <c r="B99" s="107" t="s">
        <v>65</v>
      </c>
      <c r="C99" s="64">
        <f>670460036.93</f>
        <v>670460036.92999995</v>
      </c>
      <c r="D99" s="57">
        <f>146587295.94</f>
        <v>146587295.94</v>
      </c>
    </row>
    <row r="100" spans="2:4" ht="151.5" customHeight="1" x14ac:dyDescent="0.2">
      <c r="B100" s="107" t="s">
        <v>84</v>
      </c>
      <c r="C100" s="64">
        <f>304232615.44</f>
        <v>304232615.44</v>
      </c>
      <c r="D100" s="57">
        <f>152272427.57</f>
        <v>152272427.56999999</v>
      </c>
    </row>
    <row r="101" spans="2:4" ht="23.25" customHeight="1" x14ac:dyDescent="0.2">
      <c r="B101" s="107" t="s">
        <v>85</v>
      </c>
      <c r="C101" s="64">
        <f>0</f>
        <v>0</v>
      </c>
      <c r="D101" s="57">
        <f>0</f>
        <v>0</v>
      </c>
    </row>
    <row r="102" spans="2:4" ht="23.25" customHeight="1" x14ac:dyDescent="0.2">
      <c r="B102" s="120" t="s">
        <v>99</v>
      </c>
      <c r="C102" s="64">
        <f>182453997</f>
        <v>182453997</v>
      </c>
      <c r="D102" s="57">
        <f>47894740.92</f>
        <v>47894740.920000002</v>
      </c>
    </row>
    <row r="104" spans="2:4" x14ac:dyDescent="0.2">
      <c r="B104" s="33" t="s">
        <v>48</v>
      </c>
      <c r="C104" s="33">
        <f>4</f>
        <v>4</v>
      </c>
      <c r="D104" s="33" t="str">
        <f>IF(C104=1,"I Kwartał",IF(C104=2,"II Kwartały",IF(C104=3,"III Kwartały",IF(C104=4,"IV Kwartały",IF(C104="M1","Styczeń",IF(C104="M11","Listopad",IF(C104="M12","Grudzień","-")))))))</f>
        <v>IV Kwartały</v>
      </c>
    </row>
    <row r="105" spans="2:4" x14ac:dyDescent="0.2">
      <c r="B105" s="33" t="s">
        <v>49</v>
      </c>
      <c r="C105" s="111">
        <f>2023</f>
        <v>2023</v>
      </c>
      <c r="D105" s="34"/>
    </row>
    <row r="106" spans="2:4" x14ac:dyDescent="0.2">
      <c r="B106" s="33" t="s">
        <v>50</v>
      </c>
      <c r="C106" s="127" t="str">
        <f>"Mar 15 2024 12:00AM"</f>
        <v>Mar 15 2024 12:00AM</v>
      </c>
      <c r="D106" s="128"/>
    </row>
    <row r="107" spans="2:4" hidden="1" x14ac:dyDescent="0.2">
      <c r="B107" s="33" t="s">
        <v>55</v>
      </c>
      <c r="C107" s="112" t="str">
        <f>""</f>
        <v/>
      </c>
      <c r="D107" s="34"/>
    </row>
  </sheetData>
  <mergeCells count="23">
    <mergeCell ref="B2:B3"/>
    <mergeCell ref="C46:C48"/>
    <mergeCell ref="B46:B49"/>
    <mergeCell ref="F47:F48"/>
    <mergeCell ref="E3:I4"/>
    <mergeCell ref="D46:D48"/>
    <mergeCell ref="E46:E48"/>
    <mergeCell ref="J3:L3"/>
    <mergeCell ref="C3:D3"/>
    <mergeCell ref="I46:I48"/>
    <mergeCell ref="C49:I49"/>
    <mergeCell ref="C106:D106"/>
    <mergeCell ref="F46:H46"/>
    <mergeCell ref="G47:H47"/>
    <mergeCell ref="C71:D71"/>
    <mergeCell ref="J46:J48"/>
    <mergeCell ref="C92:D92"/>
    <mergeCell ref="I62:J62"/>
    <mergeCell ref="E70:I72"/>
    <mergeCell ref="J71:K71"/>
    <mergeCell ref="I61:J61"/>
    <mergeCell ref="J49:K49"/>
    <mergeCell ref="K46:K48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r:id="rId1"/>
  <headerFooter alignWithMargins="0">
    <oddFooter>&amp;RStrona &amp;P z &amp;N</oddFooter>
  </headerFooter>
  <rowBreaks count="4" manualBreakCount="4">
    <brk id="34" max="16383" man="1"/>
    <brk id="43" max="16383" man="1"/>
    <brk id="67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doch_wyd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2022-10-25T14:07:59Z</cp:lastPrinted>
  <dcterms:created xsi:type="dcterms:W3CDTF">2001-05-17T08:58:03Z</dcterms:created>
  <dcterms:modified xsi:type="dcterms:W3CDTF">2024-03-27T09:01:19Z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2022-06-01T15:12:09.6306425+02:00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GRN-8d66ded2-1cb5-4e67-9970-33e716a7ea2e</vt:lpwstr>
  </property>
  <property fmtid="{D5CDD505-2E9C-101B-9397-08002B2CF9AE}" pid="7" name="MFHash">
    <vt:lpwstr>9/jS5PLDII7DMwS9o4x/sZmJJ/kSI9X7awFsxSFXuVM=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