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l.muszynski\Documents\01. Dokumenty NFOŚiGW\08. Rating finansowy\03. Pomoc publiczna\"/>
    </mc:Choice>
  </mc:AlternateContent>
  <bookViews>
    <workbookView xWindow="0" yWindow="0" windowWidth="27375" windowHeight="14475" tabRatio="598" activeTab="1"/>
  </bookViews>
  <sheets>
    <sheet name="Instrukcja" sheetId="18" r:id="rId1"/>
    <sheet name="Dane finansowe" sheetId="14" r:id="rId2"/>
    <sheet name="Wyniki" sheetId="17" r:id="rId3"/>
  </sheets>
  <definedNames>
    <definedName name="_xlnm._FilterDatabase" localSheetId="1" hidden="1">'Dane finansowe'!$B$5:$D$5</definedName>
  </definedNames>
  <calcPr calcId="162913"/>
</workbook>
</file>

<file path=xl/calcChain.xml><?xml version="1.0" encoding="utf-8"?>
<calcChain xmlns="http://schemas.openxmlformats.org/spreadsheetml/2006/main">
  <c r="E58" i="14" l="1"/>
  <c r="E57" i="17"/>
  <c r="F67" i="14" l="1"/>
  <c r="G67" i="14"/>
  <c r="E67" i="14"/>
  <c r="D40" i="14"/>
  <c r="D41" i="14"/>
  <c r="F63" i="17" l="1"/>
  <c r="F157" i="17" s="1"/>
  <c r="G63" i="17"/>
  <c r="E63" i="17"/>
  <c r="E157" i="17" s="1"/>
  <c r="D184" i="17"/>
  <c r="D183" i="17"/>
  <c r="D182" i="17"/>
  <c r="D181" i="17"/>
  <c r="D180" i="17"/>
  <c r="G22" i="14"/>
  <c r="F22" i="14" l="1"/>
  <c r="E22" i="14" s="1"/>
  <c r="E71" i="14"/>
  <c r="D261" i="17" l="1"/>
  <c r="D272" i="17" s="1"/>
  <c r="F57" i="17" l="1"/>
  <c r="G57" i="17"/>
  <c r="E76" i="17" s="1"/>
  <c r="D57" i="17"/>
  <c r="D68" i="14" l="1"/>
  <c r="D69" i="14"/>
  <c r="D70" i="14"/>
  <c r="D71" i="14"/>
  <c r="D72" i="14"/>
  <c r="D73" i="14"/>
  <c r="D74" i="14"/>
  <c r="D75" i="14"/>
  <c r="D76" i="14"/>
  <c r="D67" i="14"/>
  <c r="F274" i="17"/>
  <c r="G274" i="17" s="1"/>
  <c r="F58" i="14"/>
  <c r="G58" i="14"/>
  <c r="E184" i="17"/>
  <c r="E64" i="17" s="1"/>
  <c r="D44" i="17"/>
  <c r="D43" i="17"/>
  <c r="B44" i="17"/>
  <c r="B43" i="17"/>
  <c r="G184" i="17" l="1"/>
  <c r="G71" i="14"/>
  <c r="F184" i="17"/>
  <c r="F64" i="17" s="1"/>
  <c r="F71" i="14"/>
  <c r="G272" i="17"/>
  <c r="G273" i="17" s="1"/>
  <c r="G95" i="17" s="1"/>
  <c r="D64" i="14"/>
  <c r="D63" i="14"/>
  <c r="D62" i="14"/>
  <c r="D61" i="14"/>
  <c r="D60" i="14"/>
  <c r="D59" i="14"/>
  <c r="D58" i="14"/>
  <c r="D57" i="14"/>
  <c r="D56" i="14"/>
  <c r="D55" i="14"/>
  <c r="D54" i="14"/>
  <c r="D51" i="14"/>
  <c r="D50" i="14"/>
  <c r="D49" i="14"/>
  <c r="D48" i="14"/>
  <c r="D47" i="14"/>
  <c r="D46" i="14"/>
  <c r="D45" i="14"/>
  <c r="D42" i="14"/>
  <c r="D39" i="14"/>
  <c r="D38" i="14"/>
  <c r="D37" i="14"/>
  <c r="D36" i="14"/>
  <c r="D35" i="14"/>
  <c r="D34" i="14"/>
  <c r="D33" i="14"/>
  <c r="D24" i="14"/>
  <c r="D25" i="14"/>
  <c r="D26" i="14"/>
  <c r="D27" i="14"/>
  <c r="D28" i="14"/>
  <c r="D29" i="14"/>
  <c r="D30" i="14"/>
  <c r="D23" i="14"/>
  <c r="E69" i="14"/>
  <c r="F272" i="17" l="1"/>
  <c r="F273" i="17" s="1"/>
  <c r="G275" i="17"/>
  <c r="F56" i="17"/>
  <c r="F275" i="17" l="1"/>
  <c r="E272" i="17"/>
  <c r="E273" i="17" s="1"/>
  <c r="F95" i="17" l="1"/>
  <c r="E275" i="17"/>
  <c r="G66" i="14"/>
  <c r="F66" i="14" s="1"/>
  <c r="E66" i="14" s="1"/>
  <c r="G53" i="14"/>
  <c r="F53" i="14" s="1"/>
  <c r="E53" i="14" s="1"/>
  <c r="G44" i="14"/>
  <c r="F44" i="14" s="1"/>
  <c r="G32" i="14"/>
  <c r="F32" i="14" s="1"/>
  <c r="E32" i="14" s="1"/>
  <c r="E95" i="17" l="1"/>
  <c r="E44" i="14"/>
  <c r="E56" i="17"/>
  <c r="G267" i="17" l="1"/>
  <c r="F267" i="17"/>
  <c r="E267" i="17"/>
  <c r="G266" i="17"/>
  <c r="F266" i="17"/>
  <c r="E266" i="17"/>
  <c r="G264" i="17"/>
  <c r="F264" i="17"/>
  <c r="E264" i="17"/>
  <c r="G263" i="17"/>
  <c r="F263" i="17"/>
  <c r="E263" i="17"/>
  <c r="G262" i="17"/>
  <c r="F262" i="17"/>
  <c r="E262" i="17"/>
  <c r="D179" i="17"/>
  <c r="C261" i="17"/>
  <c r="B261" i="17"/>
  <c r="C259" i="17"/>
  <c r="C245" i="17"/>
  <c r="C230" i="17"/>
  <c r="L220" i="17"/>
  <c r="K220" i="17"/>
  <c r="J220" i="17"/>
  <c r="L219" i="17"/>
  <c r="K219" i="17"/>
  <c r="J219" i="17"/>
  <c r="B217" i="17"/>
  <c r="I217" i="17" s="1"/>
  <c r="C216" i="17"/>
  <c r="L206" i="17"/>
  <c r="K206" i="17"/>
  <c r="J206" i="17"/>
  <c r="L205" i="17"/>
  <c r="K205" i="17"/>
  <c r="J205" i="17"/>
  <c r="B203" i="17"/>
  <c r="I203" i="17" s="1"/>
  <c r="C202" i="17"/>
  <c r="L192" i="17"/>
  <c r="K192" i="17"/>
  <c r="J192" i="17"/>
  <c r="L191" i="17"/>
  <c r="K191" i="17"/>
  <c r="J191" i="17"/>
  <c r="B189" i="17"/>
  <c r="I189" i="17" s="1"/>
  <c r="C188" i="17"/>
  <c r="G183" i="17"/>
  <c r="F183" i="17"/>
  <c r="E183" i="17"/>
  <c r="G182" i="17"/>
  <c r="F182" i="17"/>
  <c r="E182" i="17"/>
  <c r="G181" i="17"/>
  <c r="F181" i="17"/>
  <c r="E181" i="17"/>
  <c r="G180" i="17"/>
  <c r="G265" i="17" s="1"/>
  <c r="F180" i="17"/>
  <c r="F265" i="17" s="1"/>
  <c r="E180" i="17"/>
  <c r="E265" i="17" s="1"/>
  <c r="C177" i="17"/>
  <c r="F167" i="17"/>
  <c r="G167" i="17" s="1"/>
  <c r="F166" i="17"/>
  <c r="G166" i="17" s="1"/>
  <c r="C162" i="17"/>
  <c r="C148" i="17"/>
  <c r="F138" i="17"/>
  <c r="G138" i="17" s="1"/>
  <c r="F137" i="17"/>
  <c r="G137" i="17" s="1"/>
  <c r="C133" i="17"/>
  <c r="F127" i="17"/>
  <c r="G127" i="17" s="1"/>
  <c r="F126" i="17"/>
  <c r="G126" i="17" s="1"/>
  <c r="F124" i="17"/>
  <c r="G124" i="17" s="1"/>
  <c r="F123" i="17"/>
  <c r="G123" i="17" s="1"/>
  <c r="C119" i="17"/>
  <c r="C104" i="17"/>
  <c r="C90" i="17"/>
  <c r="B260" i="17"/>
  <c r="B87" i="17"/>
  <c r="C86" i="17"/>
  <c r="B86" i="17"/>
  <c r="G69" i="17"/>
  <c r="F69" i="17"/>
  <c r="E69" i="17"/>
  <c r="E240" i="17" s="1"/>
  <c r="E241" i="17" s="1"/>
  <c r="B231" i="17"/>
  <c r="B85" i="17"/>
  <c r="G68" i="17"/>
  <c r="F68" i="17"/>
  <c r="E68" i="17"/>
  <c r="G67" i="17"/>
  <c r="F67" i="17"/>
  <c r="E67" i="17"/>
  <c r="G66" i="17"/>
  <c r="F66" i="17"/>
  <c r="E66" i="17"/>
  <c r="C84" i="17"/>
  <c r="B84" i="17"/>
  <c r="C83" i="17"/>
  <c r="B83" i="17"/>
  <c r="C82" i="17"/>
  <c r="B82" i="17"/>
  <c r="G62" i="17"/>
  <c r="F62" i="17"/>
  <c r="E62" i="17"/>
  <c r="E143" i="17" s="1"/>
  <c r="E144" i="17" s="1"/>
  <c r="B134" i="17"/>
  <c r="B81" i="17"/>
  <c r="G61" i="17"/>
  <c r="F61" i="17"/>
  <c r="E61" i="17"/>
  <c r="B120" i="17"/>
  <c r="B80" i="17"/>
  <c r="G60" i="17"/>
  <c r="F60" i="17"/>
  <c r="E60" i="17"/>
  <c r="E114" i="17" s="1"/>
  <c r="E115" i="17" s="1"/>
  <c r="C79" i="17"/>
  <c r="B79" i="17"/>
  <c r="G59" i="17"/>
  <c r="F59" i="17"/>
  <c r="E59" i="17"/>
  <c r="C78" i="17"/>
  <c r="B78" i="17"/>
  <c r="G58" i="17"/>
  <c r="F58" i="17"/>
  <c r="E58" i="17"/>
  <c r="C77" i="17"/>
  <c r="B77" i="17"/>
  <c r="C76" i="17"/>
  <c r="B76" i="17"/>
  <c r="G56" i="17"/>
  <c r="G135" i="17" s="1"/>
  <c r="G268" i="17" l="1"/>
  <c r="G71" i="17" s="1"/>
  <c r="E268" i="17"/>
  <c r="E71" i="17" s="1"/>
  <c r="F268" i="17"/>
  <c r="F71" i="17" s="1"/>
  <c r="E77" i="17"/>
  <c r="I8" i="17" s="1"/>
  <c r="I4" i="17"/>
  <c r="E99" i="17"/>
  <c r="E100" i="17" s="1"/>
  <c r="E70" i="17"/>
  <c r="J193" i="17"/>
  <c r="J207" i="17"/>
  <c r="J221" i="17"/>
  <c r="L193" i="17"/>
  <c r="K193" i="17"/>
  <c r="L207" i="17"/>
  <c r="K221" i="17"/>
  <c r="K207" i="17"/>
  <c r="L221" i="17"/>
  <c r="G70" i="17"/>
  <c r="C80" i="17"/>
  <c r="B91" i="17"/>
  <c r="G92" i="17"/>
  <c r="G99" i="17"/>
  <c r="G100" i="17" s="1"/>
  <c r="E128" i="17"/>
  <c r="E129" i="17" s="1"/>
  <c r="F143" i="17"/>
  <c r="F144" i="17" s="1"/>
  <c r="B149" i="17"/>
  <c r="G150" i="17"/>
  <c r="G157" i="17"/>
  <c r="G158" i="17" s="1"/>
  <c r="G190" i="17"/>
  <c r="L190" i="17"/>
  <c r="G197" i="17"/>
  <c r="G198" i="17" s="1"/>
  <c r="G204" i="17"/>
  <c r="L204" i="17"/>
  <c r="G211" i="17"/>
  <c r="G212" i="17" s="1"/>
  <c r="G218" i="17"/>
  <c r="L218" i="17"/>
  <c r="G225" i="17"/>
  <c r="G226" i="17" s="1"/>
  <c r="G261" i="17"/>
  <c r="F70" i="17"/>
  <c r="C81" i="17"/>
  <c r="C85" i="17"/>
  <c r="F99" i="17"/>
  <c r="F100" i="17" s="1"/>
  <c r="B105" i="17"/>
  <c r="G106" i="17"/>
  <c r="G114" i="17"/>
  <c r="G115" i="17" s="1"/>
  <c r="F158" i="17"/>
  <c r="B163" i="17"/>
  <c r="G164" i="17"/>
  <c r="G179" i="17"/>
  <c r="F197" i="17"/>
  <c r="F198" i="17" s="1"/>
  <c r="F211" i="17"/>
  <c r="F212" i="17" s="1"/>
  <c r="F225" i="17"/>
  <c r="F226" i="17" s="1"/>
  <c r="G232" i="17"/>
  <c r="G240" i="17"/>
  <c r="G241" i="17" s="1"/>
  <c r="F114" i="17"/>
  <c r="F115" i="17" s="1"/>
  <c r="G121" i="17"/>
  <c r="G128" i="17"/>
  <c r="G129" i="17" s="1"/>
  <c r="E158" i="17"/>
  <c r="B178" i="17"/>
  <c r="E197" i="17"/>
  <c r="E198" i="17" s="1"/>
  <c r="E211" i="17"/>
  <c r="E212" i="17" s="1"/>
  <c r="E225" i="17"/>
  <c r="E226" i="17" s="1"/>
  <c r="F240" i="17"/>
  <c r="F241" i="17" s="1"/>
  <c r="B246" i="17"/>
  <c r="G247" i="17"/>
  <c r="C87" i="17"/>
  <c r="F128" i="17"/>
  <c r="F129" i="17" s="1"/>
  <c r="G143" i="17"/>
  <c r="G144" i="17" s="1"/>
  <c r="E145" i="17" l="1"/>
  <c r="G254" i="17"/>
  <c r="G255" i="17" s="1"/>
  <c r="E101" i="17"/>
  <c r="E78" i="17" s="1"/>
  <c r="I12" i="17" s="1"/>
  <c r="E116" i="17"/>
  <c r="E130" i="17"/>
  <c r="E159" i="17"/>
  <c r="E82" i="17" s="1"/>
  <c r="E242" i="17"/>
  <c r="E227" i="17"/>
  <c r="E213" i="17"/>
  <c r="E199" i="17"/>
  <c r="E86" i="17"/>
  <c r="I36" i="17" s="1"/>
  <c r="F254" i="17"/>
  <c r="F255" i="17" s="1"/>
  <c r="F247" i="17"/>
  <c r="F121" i="17"/>
  <c r="F232" i="17"/>
  <c r="F179" i="17"/>
  <c r="F164" i="17"/>
  <c r="F106" i="17"/>
  <c r="F261" i="17"/>
  <c r="K218" i="17"/>
  <c r="F218" i="17"/>
  <c r="K204" i="17"/>
  <c r="F204" i="17"/>
  <c r="K190" i="17"/>
  <c r="F190" i="17"/>
  <c r="F150" i="17"/>
  <c r="F92" i="17"/>
  <c r="F135" i="17"/>
  <c r="E254" i="17"/>
  <c r="E255" i="17" s="1"/>
  <c r="E256" i="17" l="1"/>
  <c r="E87" i="17" s="1"/>
  <c r="I38" i="17" s="1"/>
  <c r="E84" i="17"/>
  <c r="I30" i="17" s="1"/>
  <c r="E85" i="17"/>
  <c r="I33" i="17" s="1"/>
  <c r="I25" i="17"/>
  <c r="E79" i="17"/>
  <c r="I16" i="17" s="1"/>
  <c r="E81" i="17"/>
  <c r="I22" i="17" s="1"/>
  <c r="E80" i="17"/>
  <c r="I19" i="17" s="1"/>
  <c r="E232" i="17"/>
  <c r="E179" i="17"/>
  <c r="E164" i="17"/>
  <c r="E106" i="17"/>
  <c r="E261" i="17"/>
  <c r="J218" i="17"/>
  <c r="E218" i="17"/>
  <c r="J204" i="17"/>
  <c r="E204" i="17"/>
  <c r="J190" i="17"/>
  <c r="E190" i="17"/>
  <c r="E150" i="17"/>
  <c r="E92" i="17"/>
  <c r="E135" i="17"/>
  <c r="E247" i="17"/>
  <c r="E121" i="17"/>
  <c r="F185" i="17" l="1"/>
  <c r="E185" i="17"/>
  <c r="E172" i="17" s="1"/>
  <c r="E173" i="17" s="1"/>
  <c r="G185" i="17"/>
  <c r="G64" i="17" s="1"/>
  <c r="G74" i="14" l="1"/>
  <c r="F74" i="14"/>
  <c r="F172" i="17" l="1"/>
  <c r="F173" i="17" s="1"/>
  <c r="G172" i="17"/>
  <c r="G173" i="17" s="1"/>
  <c r="E74" i="14"/>
  <c r="F76" i="14"/>
  <c r="G76" i="14"/>
  <c r="F69" i="14"/>
  <c r="G69" i="14"/>
  <c r="E68" i="14"/>
  <c r="F68" i="14"/>
  <c r="G68" i="14"/>
  <c r="E70" i="14"/>
  <c r="F70" i="14"/>
  <c r="G70" i="14"/>
  <c r="E72" i="14"/>
  <c r="F72" i="14"/>
  <c r="G72" i="14"/>
  <c r="E73" i="14"/>
  <c r="F73" i="14"/>
  <c r="G73" i="14"/>
  <c r="E75" i="14"/>
  <c r="F75" i="14"/>
  <c r="G75" i="14"/>
  <c r="E174" i="17" l="1"/>
  <c r="E83" i="17" s="1"/>
  <c r="I27" i="17" s="1"/>
  <c r="I41" i="17" s="1"/>
  <c r="D11" i="14" s="1"/>
  <c r="E11" i="14" l="1"/>
  <c r="G11" i="14" s="1"/>
  <c r="H42" i="17"/>
  <c r="F11" i="14" s="1"/>
  <c r="B11" i="14" s="1"/>
</calcChain>
</file>

<file path=xl/sharedStrings.xml><?xml version="1.0" encoding="utf-8"?>
<sst xmlns="http://schemas.openxmlformats.org/spreadsheetml/2006/main" count="736" uniqueCount="265">
  <si>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</si>
  <si>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</si>
  <si>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</si>
  <si>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</si>
  <si>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</si>
  <si>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</si>
  <si>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</si>
  <si>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</si>
  <si>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</si>
  <si>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</si>
  <si>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</si>
  <si>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</si>
  <si>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</si>
  <si>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</si>
  <si>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</si>
  <si>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</si>
  <si>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</si>
  <si>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</si>
  <si>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</si>
  <si>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</si>
  <si>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</si>
  <si>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</si>
  <si>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</si>
  <si>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</si>
  <si>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</si>
  <si>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</si>
  <si>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</si>
  <si>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</si>
  <si>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</si>
  <si>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</si>
  <si>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</si>
  <si>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</si>
  <si>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</si>
  <si>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</si>
  <si>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</si>
  <si>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</si>
  <si>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</si>
  <si>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</si>
  <si>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</si>
  <si>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</si>
  <si>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</si>
  <si>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</si>
  <si>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</si>
  <si>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</si>
  <si>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</si>
  <si>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</si>
  <si>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</si>
  <si>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</si>
  <si>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</si>
  <si>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</si>
  <si>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</si>
  <si>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</si>
  <si>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</si>
  <si>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</si>
  <si>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</si>
  <si>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</si>
  <si>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</si>
  <si>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</si>
  <si>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</si>
  <si>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</si>
  <si>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</si>
  <si>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</si>
  <si>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</si>
  <si>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</si>
  <si>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</si>
  <si>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</si>
  <si>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</si>
  <si>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</si>
  <si>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</si>
  <si>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</si>
  <si>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</si>
  <si>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</si>
  <si>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</si>
  <si>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</si>
  <si>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</si>
  <si>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</si>
  <si>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</si>
  <si>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</si>
  <si>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</si>
  <si>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</si>
  <si>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</si>
  <si>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</si>
  <si>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</si>
  <si>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</si>
  <si>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</si>
  <si>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</si>
  <si>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</si>
  <si>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</si>
  <si>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</si>
  <si>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</si>
  <si>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</si>
  <si>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</si>
  <si>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</si>
  <si>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</si>
  <si>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</si>
  <si>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</si>
  <si>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</si>
  <si>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</si>
  <si>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</si>
  <si>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</si>
  <si>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</si>
  <si>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</si>
  <si>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</si>
  <si>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</si>
  <si>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</si>
  <si>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</si>
  <si>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</si>
  <si>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</si>
  <si>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</si>
  <si>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</si>
  <si>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</si>
  <si>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</si>
  <si>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</si>
  <si>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</si>
  <si>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</si>
  <si>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</si>
  <si>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</si>
  <si>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</si>
  <si>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</si>
  <si>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</si>
  <si>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</si>
  <si>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</si>
  <si>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</si>
  <si>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</si>
  <si>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</si>
  <si>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</si>
  <si>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</si>
  <si>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</si>
  <si>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</si>
  <si>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</si>
  <si>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</si>
  <si>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</si>
  <si>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</si>
  <si>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</si>
  <si>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</si>
  <si>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</si>
  <si>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</si>
  <si>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</si>
  <si>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</si>
  <si>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</si>
  <si>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</si>
  <si>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</si>
  <si>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</si>
  <si>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</si>
  <si>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</si>
  <si>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</si>
  <si>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</si>
  <si>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</si>
  <si>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</si>
  <si>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</si>
  <si>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</si>
  <si>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</si>
  <si>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</si>
  <si>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</si>
  <si>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</si>
  <si>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</si>
  <si>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</si>
  <si>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</si>
  <si>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</si>
  <si>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</si>
  <si>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</si>
  <si>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</si>
  <si>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</si>
  <si>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</si>
  <si>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</si>
  <si>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</si>
  <si>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</si>
  <si>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</si>
  <si>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</si>
  <si>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</si>
  <si>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</si>
  <si>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</si>
  <si>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</si>
  <si>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</si>
  <si>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</si>
  <si>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</si>
  <si>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</si>
  <si>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</si>
  <si>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</si>
  <si>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</si>
  <si>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</si>
  <si>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</si>
  <si>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</si>
  <si>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</si>
  <si>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</si>
  <si>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</si>
  <si>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</si>
  <si>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</si>
  <si>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</si>
  <si>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</si>
  <si>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</si>
  <si>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</si>
  <si>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</si>
  <si>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</si>
  <si>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</si>
  <si>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</si>
  <si>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</si>
  <si>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</si>
  <si>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</si>
  <si>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</si>
  <si>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</si>
  <si>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</si>
  <si>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</si>
  <si>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</si>
  <si>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Propozycja
oprocentowania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</si>
  <si>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</si>
  <si>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</si>
  <si>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</si>
  <si>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</si>
  <si>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</si>
  <si>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</si>
  <si>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</si>
  <si>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</si>
  <si>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>*) Komunikat Komisji w sprawie zmiany metody ustalania stóp referencyjnych i dyskontowych (2008/C 14/02)</t>
  </si>
  <si>
    <t>Źródło: http://www.bankier.pl/kredyty-hipoteczne/stopy-procentowe/wibor</t>
  </si>
  <si>
    <t>Rok złożenia wniosku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</si>
  <si>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</si>
  <si>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</si>
  <si>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</si>
  <si>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</si>
  <si>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</si>
  <si>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</si>
  <si>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</si>
  <si>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</si>
  <si>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</si>
  <si>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 xml:space="preserve">*) Za przedsięwzięcie realizowane w formule „project finance” uznaje się przedsięwzięcie realizowane przez:
     - podmiot utworzony specjalnie w celu realizacji przedsięwzięcia, który nie rozpoczął jeszcze prowadzenia działalności operacyjnej,
     - podmiot prowadzący obecnie działalność gospodarczą, ale w innej dziedzinie niż charakter przedsięwzięcia zgłoszonego we wniosku o dofinansowanie (np.
     - podmiot prowadzący działalność szkoleniową zamierza budować farmę wiatrową) - szczególnie w przypadku kiedy skala prowadzonej dotychczasowej 
       działalności podmiotu nie gwarantuje ew. zwrotu środków w przypadku niepowodzenia realizacji przedsięwzięcia,
     - podmiot prowadzący działalność gospodarczą krócej niż rok.
</t>
  </si>
  <si>
    <r>
      <rPr>
        <b/>
        <u/>
        <sz val="10"/>
        <color rgb="FFFF0000"/>
        <rFont val="Arial"/>
        <family val="2"/>
        <charset val="238"/>
      </rPr>
      <t>UWAGA: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Beneficjentom realizującym projekty w formule „project finance”*), przyznawany jest rating na poziomie „Zły / trudności finansowe (CCC i poniżej)”. Ocena bieżącej sytuacji finansowej nie jest w tym wypadku przeprowadzana. 
Rating na poziomie „Zły / trudności finansowe (CCC i poniżej)” przyznawany jest również Beneficjentom posiadającym historię kredytową, jednak prowadzącym działalność w rozmiarze znacznie niższym niż rozmiar działalności, która będzie prowadzona w wyniku realizacji projektu. Dotyczy to Beneficjentów którzy w okresie objętym analizą uzyskują roczną nadwyżkę finansową rozumianą jako suma zysku netto i amortyzacji niższą niż planowana, uśredniona roczna rata kapitałowa pożyczki z NFOŚiGW o przyznanie której występuje Beneficjent.
Rating uzyskany w trakcie oceny bieżącej sytuacji finansowej jest podstawą do ustalenia oprocentowania przy którym pożyczka nie będzie stanowić pomocy publicznej.
</t>
    </r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</si>
  <si>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   ,,Rachunek zysków i strat”,
   ,,Bilans — Aktywa”,
   ,,Bilans — Pasywa”.
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    Dodatnie przepływy (wpływy pieniężne) należy wpisywać ze znakiem ,,+“. 
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    Dodatnie przepływy (wpływy pieniężne) należy wpisywać ze znakiem ,,+“.
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    Wpływy z działalności finansowej (pozycja C.1.) należy wpisywać ze znakiem ,,+“.
    Wydatki z działalności finansowej (pozycje C.2.1 – C.2.3.) należy wpisywać ze znakiem ,,+“. 
    Wartość w pozycji C.2. stanowi wynik sumowania poszczególnych wydatków finansowych wymienionych w pozycjach od C.2. 1. do C.2.3. 
Wartości poszczególnych pozycji w wyżej wymienionych tabelach należy wpisywać zgodnie z danymi zawartymi w sprawozdaniach finansowych. 
</t>
    </r>
  </si>
  <si>
    <t>WIBOR 1R</t>
  </si>
  <si>
    <t xml:space="preserve">* Proszę wstawić aktualną stopę bazową: http://ec.europa.eu/competition/state_aid/legislation/reference_rates.html </t>
  </si>
  <si>
    <t>Wysokość stopy bazowej*</t>
  </si>
  <si>
    <t>Proszę wybrać jednostkę sprawozdań finansowych</t>
  </si>
  <si>
    <t>Nazwa Beneficjenta:</t>
  </si>
  <si>
    <t>Adres Beneficjenta:</t>
  </si>
  <si>
    <t>zł</t>
  </si>
  <si>
    <t>tys. zł</t>
  </si>
  <si>
    <t>Spółka XYZ Sp. z o.o.</t>
  </si>
  <si>
    <t>00-001 Warszawa, ul. Warszawska 1/11</t>
  </si>
  <si>
    <t xml:space="preserve">Nazwa Programu priorytowego/Komentarz </t>
  </si>
  <si>
    <t>Program Priorytetowy x.x.x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</si>
  <si>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</si>
  <si>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</si>
  <si>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</si>
  <si>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</si>
  <si>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</si>
  <si>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</si>
  <si>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</si>
  <si>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</si>
  <si>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</si>
  <si>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</si>
  <si>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</si>
  <si>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</si>
  <si>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</si>
  <si>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</si>
  <si>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</si>
  <si>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2019</t>
  </si>
  <si>
    <t>Rok 2020</t>
  </si>
  <si>
    <t>Rok 2021</t>
  </si>
  <si>
    <t>Należne wpłaty na kapitał (fundusz) podstawowy</t>
  </si>
  <si>
    <t>Udziały (akcje) własne</t>
  </si>
  <si>
    <t>Suma aktywów (A+B+C+D)</t>
  </si>
  <si>
    <t>1-10</t>
  </si>
  <si>
    <t>1-5</t>
  </si>
  <si>
    <t>Rok 2022</t>
  </si>
  <si>
    <t xml:space="preserve"> - wartość minimalna (robocza)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</si>
</sst>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</numFmts>
  <fonts count="43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sz val="10"/>
      <color indexed="18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</cellStyleXfs>
  <cellXfs count="312">
    <xf numFmtId="0" fontId="0" fillId="0" borderId="0" xfId="0"/>
    <xf numFmtId="0" fontId="32" fillId="26" borderId="0" xfId="51" applyFont="1" applyFill="1" applyBorder="1" applyAlignment="1" applyProtection="1">
      <alignment vertical="center"/>
    </xf>
    <xf numFmtId="0" fontId="32" fillId="26" borderId="0" xfId="51" applyFont="1" applyFill="1" applyBorder="1" applyAlignment="1" applyProtection="1">
      <alignment horizontal="center" vertical="center"/>
    </xf>
    <xf numFmtId="0" fontId="2" fillId="25" borderId="21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/>
    </xf>
    <xf numFmtId="0" fontId="32" fillId="26" borderId="0" xfId="51" applyFont="1" applyFill="1" applyAlignment="1" applyProtection="1">
      <alignment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 applyProtection="1">
      <alignment horizontal="center" vertical="center"/>
    </xf>
    <xf numFmtId="0" fontId="32" fillId="26" borderId="0" xfId="51" applyFont="1" applyFill="1" applyAlignment="1" applyProtection="1">
      <alignment vertical="center" wrapText="1"/>
    </xf>
    <xf numFmtId="0" fontId="2" fillId="25" borderId="12" xfId="51" applyFont="1" applyFill="1" applyBorder="1" applyAlignment="1" applyProtection="1">
      <alignment horizontal="center" vertical="center"/>
    </xf>
    <xf numFmtId="0" fontId="32" fillId="25" borderId="0" xfId="51" applyFont="1" applyFill="1" applyBorder="1" applyAlignment="1" applyProtection="1">
      <alignment horizontal="center" vertical="center" wrapText="1"/>
    </xf>
    <xf numFmtId="0" fontId="32" fillId="25" borderId="24" xfId="51" applyFont="1" applyFill="1" applyBorder="1" applyAlignment="1" applyProtection="1">
      <alignment horizontal="center" vertical="center" wrapText="1"/>
    </xf>
    <xf numFmtId="16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5" fillId="25" borderId="24" xfId="51" applyFont="1" applyFill="1" applyBorder="1" applyAlignment="1" applyProtection="1">
      <alignment horizontal="center" vertical="center" wrapText="1"/>
    </xf>
    <xf numFmtId="0" fontId="32" fillId="25" borderId="20" xfId="51" quotePrefix="1" applyFont="1" applyFill="1" applyBorder="1" applyAlignment="1" applyProtection="1">
      <alignment horizontal="center" vertical="center" wrapText="1"/>
    </xf>
    <xf numFmtId="0" fontId="32" fillId="25" borderId="0" xfId="51" quotePrefix="1" applyFont="1" applyFill="1" applyBorder="1" applyAlignment="1" applyProtection="1">
      <alignment horizontal="center" vertical="center" wrapText="1"/>
    </xf>
    <xf numFmtId="16" fontId="32" fillId="25" borderId="20" xfId="51" quotePrefix="1" applyNumberFormat="1" applyFont="1" applyFill="1" applyBorder="1" applyAlignment="1" applyProtection="1">
      <alignment horizontal="center" vertical="center"/>
    </xf>
    <xf numFmtId="16" fontId="32" fillId="25" borderId="22" xfId="51" quotePrefix="1" applyNumberFormat="1" applyFont="1" applyFill="1" applyBorder="1" applyAlignment="1" applyProtection="1">
      <alignment horizontal="center" vertical="center"/>
    </xf>
    <xf numFmtId="0" fontId="32" fillId="25" borderId="17" xfId="51" applyFont="1" applyFill="1" applyBorder="1" applyAlignment="1" applyProtection="1">
      <alignment horizontal="center" vertical="center"/>
    </xf>
    <xf numFmtId="0" fontId="2" fillId="25" borderId="25" xfId="51" applyFont="1" applyFill="1" applyBorder="1" applyAlignment="1" applyProtection="1">
      <alignment horizontal="center" vertical="center"/>
    </xf>
    <xf numFmtId="1" fontId="2" fillId="25" borderId="21" xfId="51" applyNumberFormat="1" applyFont="1" applyFill="1" applyBorder="1" applyAlignment="1" applyProtection="1">
      <alignment horizontal="center" vertical="center"/>
    </xf>
    <xf numFmtId="0" fontId="2" fillId="25" borderId="17" xfId="51" applyFont="1" applyFill="1" applyBorder="1" applyAlignment="1" applyProtection="1">
      <alignment horizontal="center" vertical="center" wrapText="1"/>
    </xf>
    <xf numFmtId="0" fontId="2" fillId="25" borderId="21" xfId="52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vertical="center"/>
    </xf>
    <xf numFmtId="0" fontId="2" fillId="26" borderId="0" xfId="51" applyFont="1" applyFill="1" applyBorder="1" applyAlignment="1" applyProtection="1">
      <alignment vertical="center"/>
    </xf>
    <xf numFmtId="0" fontId="33" fillId="26" borderId="0" xfId="51" applyFont="1" applyFill="1" applyAlignment="1" applyProtection="1">
      <alignment horizontal="center" vertical="center"/>
    </xf>
    <xf numFmtId="0" fontId="2" fillId="25" borderId="12" xfId="51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horizontal="center" vertical="center"/>
    </xf>
    <xf numFmtId="2" fontId="32" fillId="25" borderId="21" xfId="51" applyNumberFormat="1" applyFont="1" applyFill="1" applyBorder="1" applyAlignment="1" applyProtection="1">
      <alignment horizontal="center" vertical="center"/>
    </xf>
    <xf numFmtId="2" fontId="32" fillId="25" borderId="12" xfId="51" applyNumberFormat="1" applyFont="1" applyFill="1" applyBorder="1" applyAlignment="1" applyProtection="1">
      <alignment horizontal="center" vertical="center"/>
    </xf>
    <xf numFmtId="1" fontId="32" fillId="25" borderId="12" xfId="51" applyNumberFormat="1" applyFont="1" applyFill="1" applyBorder="1" applyAlignment="1" applyProtection="1">
      <alignment horizontal="center" vertical="center"/>
    </xf>
    <xf numFmtId="0" fontId="2" fillId="24" borderId="12" xfId="51" applyFont="1" applyFill="1" applyBorder="1" applyAlignment="1" applyProtection="1">
      <alignment horizontal="left" vertical="center" indent="1"/>
    </xf>
    <xf numFmtId="0" fontId="2" fillId="25" borderId="20" xfId="51" applyFont="1" applyFill="1" applyBorder="1" applyAlignment="1" applyProtection="1">
      <alignment horizontal="center" vertical="center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 applyProtection="1">
      <alignment vertical="center"/>
    </xf>
    <xf numFmtId="0" fontId="32" fillId="25" borderId="15" xfId="51" applyFont="1" applyFill="1" applyBorder="1" applyAlignment="1" applyProtection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 applyProtection="1">
      <alignment horizontal="center"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0" fontId="2" fillId="26" borderId="0" xfId="5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Border="1" applyAlignment="1" applyProtection="1">
      <alignment horizontal="center" vertical="center" wrapText="1"/>
    </xf>
    <xf numFmtId="0" fontId="32" fillId="26" borderId="0" xfId="51" applyFont="1" applyFill="1" applyBorder="1" applyAlignment="1" applyProtection="1">
      <alignment vertical="center" wrapText="1"/>
    </xf>
    <xf numFmtId="4" fontId="32" fillId="26" borderId="0" xfId="51" applyNumberFormat="1" applyFont="1" applyFill="1" applyBorder="1" applyAlignment="1" applyProtection="1">
      <alignment vertical="center"/>
    </xf>
    <xf numFmtId="0" fontId="33" fillId="27" borderId="18" xfId="51" applyFont="1" applyFill="1" applyBorder="1" applyAlignment="1" applyProtection="1">
      <alignment horizontal="left" vertical="center"/>
    </xf>
    <xf numFmtId="0" fontId="33" fillId="27" borderId="18" xfId="51" applyFont="1" applyFill="1" applyBorder="1" applyAlignment="1" applyProtection="1">
      <alignment vertical="center" wrapText="1"/>
    </xf>
    <xf numFmtId="0" fontId="2" fillId="25" borderId="12" xfId="51" applyNumberFormat="1" applyFont="1" applyFill="1" applyBorder="1" applyAlignment="1" applyProtection="1">
      <alignment horizontal="center" vertical="center" wrapText="1"/>
    </xf>
    <xf numFmtId="0" fontId="2" fillId="25" borderId="21" xfId="51" applyNumberFormat="1" applyFont="1" applyFill="1" applyBorder="1" applyAlignment="1" applyProtection="1">
      <alignment horizontal="center" vertical="center"/>
    </xf>
    <xf numFmtId="0" fontId="2" fillId="25" borderId="20" xfId="51" applyNumberFormat="1" applyFont="1" applyFill="1" applyBorder="1" applyAlignment="1" applyProtection="1">
      <alignment horizontal="center" vertical="center"/>
    </xf>
    <xf numFmtId="0" fontId="2" fillId="26" borderId="0" xfId="51" applyNumberFormat="1" applyFont="1" applyFill="1" applyAlignment="1" applyProtection="1">
      <alignment horizontal="center" vertical="center"/>
    </xf>
    <xf numFmtId="0" fontId="2" fillId="25" borderId="12" xfId="51" applyNumberFormat="1" applyFont="1" applyFill="1" applyBorder="1" applyAlignment="1" applyProtection="1">
      <alignment horizontal="center" vertical="center"/>
    </xf>
    <xf numFmtId="1" fontId="32" fillId="26" borderId="0" xfId="51" applyNumberFormat="1" applyFont="1" applyFill="1" applyAlignment="1" applyProtection="1">
      <alignment vertical="center"/>
    </xf>
    <xf numFmtId="2" fontId="2" fillId="25" borderId="12" xfId="51" applyNumberFormat="1" applyFont="1" applyFill="1" applyBorder="1" applyAlignment="1" applyProtection="1">
      <alignment horizontal="center" vertical="center"/>
    </xf>
    <xf numFmtId="0" fontId="0" fillId="28" borderId="22" xfId="0" applyFill="1" applyBorder="1" applyAlignment="1">
      <alignment vertical="center"/>
    </xf>
    <xf numFmtId="0" fontId="1" fillId="28" borderId="2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vertical="center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23" xfId="51" applyFont="1" applyFill="1" applyBorder="1" applyAlignment="1" applyProtection="1">
      <alignment horizontal="left" vertical="center" wrapText="1" inden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 wrapText="1"/>
    </xf>
    <xf numFmtId="0" fontId="32" fillId="26" borderId="0" xfId="0" applyFont="1" applyFill="1" applyAlignment="1" applyProtection="1">
      <alignment vertical="center"/>
    </xf>
    <xf numFmtId="0" fontId="2" fillId="33" borderId="12" xfId="51" applyFont="1" applyFill="1" applyBorder="1" applyAlignment="1" applyProtection="1">
      <alignment horizontal="center" vertical="center"/>
    </xf>
    <xf numFmtId="0" fontId="2" fillId="26" borderId="0" xfId="0" applyFont="1" applyFill="1" applyAlignment="1" applyProtection="1">
      <alignment vertical="center"/>
    </xf>
    <xf numFmtId="0" fontId="39" fillId="26" borderId="0" xfId="0" applyFont="1" applyFill="1" applyBorder="1" applyAlignment="1" applyProtection="1">
      <alignment horizontal="center" vertical="center"/>
    </xf>
    <xf numFmtId="0" fontId="39" fillId="26" borderId="0" xfId="0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horizontal="center" vertical="center" wrapText="1"/>
    </xf>
    <xf numFmtId="0" fontId="32" fillId="0" borderId="0" xfId="51" applyFont="1" applyFill="1" applyBorder="1" applyAlignment="1" applyProtection="1">
      <alignment vertical="center"/>
    </xf>
    <xf numFmtId="0" fontId="2" fillId="33" borderId="12" xfId="52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vertical="center"/>
    </xf>
    <xf numFmtId="0" fontId="2" fillId="33" borderId="15" xfId="51" applyFont="1" applyFill="1" applyBorder="1" applyAlignment="1" applyProtection="1">
      <alignment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left" vertical="center" indent="1"/>
    </xf>
    <xf numFmtId="0" fontId="32" fillId="25" borderId="12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indent="1"/>
    </xf>
    <xf numFmtId="0" fontId="32" fillId="26" borderId="0" xfId="51" applyFont="1" applyFill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wrapText="1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3" applyFont="1" applyFill="1" applyBorder="1" applyAlignment="1" applyProtection="1">
      <alignment horizontal="center" vertical="center" wrapText="1"/>
    </xf>
    <xf numFmtId="0" fontId="32" fillId="26" borderId="0" xfId="53" applyNumberFormat="1" applyFont="1" applyFill="1" applyAlignment="1" applyProtection="1">
      <alignment horizontal="center" vertical="center"/>
    </xf>
    <xf numFmtId="0" fontId="32" fillId="26" borderId="0" xfId="53" applyFont="1" applyFill="1" applyAlignment="1" applyProtection="1">
      <alignment vertical="center" wrapText="1"/>
    </xf>
    <xf numFmtId="0" fontId="32" fillId="26" borderId="0" xfId="53" applyFont="1" applyFill="1" applyAlignment="1" applyProtection="1">
      <alignment vertical="center"/>
    </xf>
    <xf numFmtId="10" fontId="2" fillId="31" borderId="12" xfId="55" applyNumberFormat="1" applyFont="1" applyFill="1" applyBorder="1" applyAlignment="1" applyProtection="1">
      <alignment horizontal="center" vertical="center"/>
      <protection locked="0"/>
    </xf>
    <xf numFmtId="0" fontId="40" fillId="26" borderId="0" xfId="53" applyFont="1" applyFill="1" applyBorder="1" applyAlignment="1" applyProtection="1">
      <alignment vertical="center"/>
    </xf>
    <xf numFmtId="0" fontId="2" fillId="32" borderId="12" xfId="51" applyFont="1" applyFill="1" applyBorder="1" applyAlignment="1" applyProtection="1">
      <alignment horizontal="center" vertical="center"/>
      <protection locked="0"/>
    </xf>
    <xf numFmtId="0" fontId="41" fillId="26" borderId="0" xfId="53" applyFont="1" applyFill="1" applyAlignment="1" applyProtection="1">
      <alignment vertical="center"/>
    </xf>
    <xf numFmtId="0" fontId="2" fillId="33" borderId="12" xfId="0" applyFont="1" applyFill="1" applyBorder="1" applyAlignment="1" applyProtection="1">
      <alignment horizontal="center" vertical="center" wrapText="1"/>
    </xf>
    <xf numFmtId="0" fontId="2" fillId="33" borderId="12" xfId="0" applyFont="1" applyFill="1" applyBorder="1" applyAlignment="1" applyProtection="1">
      <alignment horizontal="center" vertical="center"/>
    </xf>
    <xf numFmtId="1" fontId="2" fillId="28" borderId="12" xfId="0" applyNumberFormat="1" applyFont="1" applyFill="1" applyBorder="1" applyAlignment="1" applyProtection="1">
      <alignment horizontal="center" vertical="center" wrapText="1"/>
    </xf>
    <xf numFmtId="0" fontId="2" fillId="28" borderId="12" xfId="0" applyFont="1" applyFill="1" applyBorder="1" applyAlignment="1" applyProtection="1">
      <alignment horizontal="center" vertical="center" wrapText="1"/>
    </xf>
    <xf numFmtId="10" fontId="2" fillId="34" borderId="12" xfId="55" applyNumberFormat="1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vertical="center"/>
    </xf>
    <xf numFmtId="0" fontId="32" fillId="26" borderId="0" xfId="0" applyFont="1" applyFill="1" applyAlignment="1" applyProtection="1">
      <alignment horizontal="center" vertical="center"/>
    </xf>
    <xf numFmtId="0" fontId="2" fillId="28" borderId="12" xfId="51" applyFont="1" applyFill="1" applyBorder="1" applyAlignment="1" applyProtection="1">
      <alignment horizontal="center" vertical="center" wrapText="1"/>
    </xf>
    <xf numFmtId="0" fontId="42" fillId="26" borderId="0" xfId="53" applyFont="1" applyFill="1" applyAlignment="1" applyProtection="1">
      <alignment vertical="center"/>
    </xf>
    <xf numFmtId="0" fontId="2" fillId="33" borderId="12" xfId="53" applyNumberFormat="1" applyFont="1" applyFill="1" applyBorder="1" applyAlignment="1" applyProtection="1">
      <alignment horizontal="center" vertical="center" wrapText="1"/>
    </xf>
    <xf numFmtId="0" fontId="2" fillId="33" borderId="23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vertical="center"/>
    </xf>
    <xf numFmtId="166" fontId="2" fillId="28" borderId="21" xfId="53" applyNumberFormat="1" applyFont="1" applyFill="1" applyBorder="1" applyAlignment="1" applyProtection="1">
      <alignment horizontal="center" vertical="center"/>
    </xf>
    <xf numFmtId="166" fontId="2" fillId="28" borderId="23" xfId="53" applyNumberFormat="1" applyFont="1" applyFill="1" applyBorder="1" applyAlignment="1" applyProtection="1">
      <alignment horizontal="left" vertical="center" wrapText="1" indent="1"/>
    </xf>
    <xf numFmtId="166" fontId="2" fillId="26" borderId="0" xfId="53" applyNumberFormat="1" applyFont="1" applyFill="1" applyAlignment="1" applyProtection="1">
      <alignment vertical="center"/>
    </xf>
    <xf numFmtId="166" fontId="2" fillId="28" borderId="12" xfId="53" applyNumberFormat="1" applyFont="1" applyFill="1" applyBorder="1" applyAlignment="1" applyProtection="1">
      <alignment horizontal="center" vertical="center"/>
    </xf>
    <xf numFmtId="166" fontId="32" fillId="28" borderId="12" xfId="53" applyNumberFormat="1" applyFont="1" applyFill="1" applyBorder="1" applyAlignment="1" applyProtection="1">
      <alignment horizontal="center" vertical="center"/>
    </xf>
    <xf numFmtId="166" fontId="32" fillId="28" borderId="23" xfId="53" applyNumberFormat="1" applyFont="1" applyFill="1" applyBorder="1" applyAlignment="1" applyProtection="1">
      <alignment horizontal="left" vertical="center" wrapText="1" indent="1"/>
    </xf>
    <xf numFmtId="166" fontId="32" fillId="28" borderId="21" xfId="53" applyNumberFormat="1" applyFont="1" applyFill="1" applyBorder="1" applyAlignment="1" applyProtection="1">
      <alignment horizontal="center" vertical="center"/>
    </xf>
    <xf numFmtId="166" fontId="32" fillId="26" borderId="0" xfId="53" applyNumberFormat="1" applyFont="1" applyFill="1" applyAlignment="1" applyProtection="1">
      <alignment vertical="center"/>
    </xf>
    <xf numFmtId="0" fontId="2" fillId="33" borderId="13" xfId="53" applyNumberFormat="1" applyFont="1" applyFill="1" applyBorder="1" applyAlignment="1" applyProtection="1">
      <alignment horizontal="center" vertical="center" wrapText="1"/>
    </xf>
    <xf numFmtId="0" fontId="2" fillId="33" borderId="16" xfId="53" applyFont="1" applyFill="1" applyBorder="1" applyAlignment="1" applyProtection="1">
      <alignment horizontal="center" vertical="center" wrapText="1"/>
    </xf>
    <xf numFmtId="0" fontId="2" fillId="28" borderId="12" xfId="53" applyNumberFormat="1" applyFont="1" applyFill="1" applyBorder="1" applyAlignment="1" applyProtection="1">
      <alignment horizontal="center" vertical="center"/>
    </xf>
    <xf numFmtId="0" fontId="2" fillId="28" borderId="12" xfId="53" applyFont="1" applyFill="1" applyBorder="1" applyAlignment="1" applyProtection="1">
      <alignment horizontal="left" vertical="center" wrapText="1" indent="1"/>
    </xf>
    <xf numFmtId="0" fontId="2" fillId="26" borderId="0" xfId="53" applyFont="1" applyFill="1" applyBorder="1" applyAlignment="1" applyProtection="1">
      <alignment vertical="center"/>
    </xf>
    <xf numFmtId="0" fontId="32" fillId="28" borderId="12" xfId="53" applyNumberFormat="1" applyFont="1" applyFill="1" applyBorder="1" applyAlignment="1" applyProtection="1">
      <alignment horizontal="center" vertical="center"/>
    </xf>
    <xf numFmtId="0" fontId="32" fillId="28" borderId="12" xfId="53" applyFont="1" applyFill="1" applyBorder="1" applyAlignment="1" applyProtection="1">
      <alignment horizontal="left" vertical="center" wrapText="1" indent="1"/>
    </xf>
    <xf numFmtId="0" fontId="32" fillId="26" borderId="0" xfId="53" applyFont="1" applyFill="1" applyBorder="1" applyAlignment="1" applyProtection="1">
      <alignment vertical="center"/>
    </xf>
    <xf numFmtId="166" fontId="2" fillId="28" borderId="12" xfId="53" applyNumberFormat="1" applyFont="1" applyFill="1" applyBorder="1" applyAlignment="1" applyProtection="1">
      <alignment horizontal="left" vertical="center" wrapText="1" indent="1"/>
    </xf>
    <xf numFmtId="166" fontId="2" fillId="26" borderId="0" xfId="53" applyNumberFormat="1" applyFont="1" applyFill="1" applyBorder="1" applyAlignment="1" applyProtection="1">
      <alignment vertical="center"/>
    </xf>
    <xf numFmtId="166" fontId="32" fillId="28" borderId="12" xfId="53" applyNumberFormat="1" applyFont="1" applyFill="1" applyBorder="1" applyAlignment="1" applyProtection="1">
      <alignment horizontal="left" vertical="center" wrapText="1" indent="1"/>
    </xf>
    <xf numFmtId="166" fontId="32" fillId="26" borderId="0" xfId="53" applyNumberFormat="1" applyFont="1" applyFill="1" applyBorder="1" applyAlignment="1" applyProtection="1">
      <alignment vertical="center"/>
    </xf>
    <xf numFmtId="166" fontId="2" fillId="25" borderId="21" xfId="53" applyNumberFormat="1" applyFont="1" applyFill="1" applyBorder="1" applyAlignment="1" applyProtection="1">
      <alignment horizontal="center" vertical="center" wrapText="1"/>
    </xf>
    <xf numFmtId="166" fontId="2" fillId="25" borderId="17" xfId="53" applyNumberFormat="1" applyFont="1" applyFill="1" applyBorder="1" applyAlignment="1" applyProtection="1">
      <alignment horizontal="left" vertical="center" wrapText="1" indent="1"/>
    </xf>
    <xf numFmtId="166" fontId="2" fillId="25" borderId="21" xfId="53" applyNumberFormat="1" applyFont="1" applyFill="1" applyBorder="1" applyAlignment="1" applyProtection="1">
      <alignment horizontal="center" vertical="center"/>
    </xf>
    <xf numFmtId="166" fontId="2" fillId="25" borderId="12" xfId="53" applyNumberFormat="1" applyFont="1" applyFill="1" applyBorder="1" applyAlignment="1" applyProtection="1">
      <alignment horizontal="center" vertical="center" wrapText="1"/>
    </xf>
    <xf numFmtId="166" fontId="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12" xfId="53" applyNumberFormat="1" applyFont="1" applyFill="1" applyBorder="1" applyAlignment="1" applyProtection="1">
      <alignment horizontal="center" vertical="center" wrapText="1"/>
    </xf>
    <xf numFmtId="166" fontId="3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21" xfId="53" applyNumberFormat="1" applyFont="1" applyFill="1" applyBorder="1" applyAlignment="1" applyProtection="1">
      <alignment horizontal="center" vertical="center"/>
    </xf>
    <xf numFmtId="0" fontId="2" fillId="33" borderId="12" xfId="53" applyNumberFormat="1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vertical="center"/>
    </xf>
    <xf numFmtId="0" fontId="41" fillId="26" borderId="0" xfId="53" applyNumberFormat="1" applyFont="1" applyFill="1" applyAlignment="1" applyProtection="1">
      <alignment horizontal="center" vertical="center"/>
    </xf>
    <xf numFmtId="166" fontId="41" fillId="26" borderId="0" xfId="53" applyNumberFormat="1" applyFont="1" applyFill="1" applyAlignment="1" applyProtection="1">
      <alignment horizontal="center" vertical="center"/>
    </xf>
    <xf numFmtId="166" fontId="32" fillId="25" borderId="31" xfId="53" applyNumberFormat="1" applyFont="1" applyFill="1" applyBorder="1" applyAlignment="1" applyProtection="1">
      <alignment vertical="center"/>
    </xf>
    <xf numFmtId="0" fontId="32" fillId="25" borderId="23" xfId="51" applyFont="1" applyFill="1" applyBorder="1" applyAlignment="1" applyProtection="1">
      <alignment horizontal="center" vertical="center"/>
    </xf>
    <xf numFmtId="4" fontId="32" fillId="25" borderId="21" xfId="55" applyNumberFormat="1" applyFont="1" applyFill="1" applyBorder="1" applyAlignment="1" applyProtection="1">
      <alignment horizontal="right" vertical="center" indent="1"/>
    </xf>
    <xf numFmtId="4" fontId="32" fillId="25" borderId="13" xfId="55" applyNumberFormat="1" applyFont="1" applyFill="1" applyBorder="1" applyAlignment="1" applyProtection="1">
      <alignment horizontal="right" vertical="center" indent="1"/>
    </xf>
    <xf numFmtId="10" fontId="32" fillId="25" borderId="14" xfId="55" applyNumberFormat="1" applyFont="1" applyFill="1" applyBorder="1" applyAlignment="1" applyProtection="1">
      <alignment horizontal="right" vertical="center" indent="1"/>
    </xf>
    <xf numFmtId="10" fontId="32" fillId="25" borderId="15" xfId="55" applyNumberFormat="1" applyFont="1" applyFill="1" applyBorder="1" applyAlignment="1" applyProtection="1">
      <alignment horizontal="right" vertical="center" indent="1"/>
    </xf>
    <xf numFmtId="3" fontId="32" fillId="25" borderId="21" xfId="55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 applyProtection="1">
      <alignment horizontal="right" vertical="center" indent="1"/>
    </xf>
    <xf numFmtId="4" fontId="32" fillId="25" borderId="12" xfId="55" applyNumberFormat="1" applyFont="1" applyFill="1" applyBorder="1" applyAlignment="1" applyProtection="1">
      <alignment horizontal="right" vertical="center" indent="1"/>
    </xf>
    <xf numFmtId="0" fontId="32" fillId="25" borderId="12" xfId="51" quotePrefix="1" applyFont="1" applyFill="1" applyBorder="1" applyAlignment="1" applyProtection="1">
      <alignment horizontal="right" vertical="center" indent="1"/>
    </xf>
    <xf numFmtId="1" fontId="2" fillId="25" borderId="12" xfId="51" applyNumberFormat="1" applyFont="1" applyFill="1" applyBorder="1" applyAlignment="1" applyProtection="1">
      <alignment horizontal="right" vertical="center" indent="1"/>
    </xf>
    <xf numFmtId="10" fontId="32" fillId="25" borderId="21" xfId="55" applyNumberFormat="1" applyFont="1" applyFill="1" applyBorder="1" applyAlignment="1" applyProtection="1">
      <alignment horizontal="right" vertical="center" indent="1"/>
    </xf>
    <xf numFmtId="10" fontId="32" fillId="25" borderId="13" xfId="55" applyNumberFormat="1" applyFont="1" applyFill="1" applyBorder="1" applyAlignment="1" applyProtection="1">
      <alignment horizontal="right" vertical="center" indent="1"/>
    </xf>
    <xf numFmtId="165" fontId="32" fillId="25" borderId="12" xfId="55" applyNumberFormat="1" applyFont="1" applyFill="1" applyBorder="1" applyAlignment="1" applyProtection="1">
      <alignment horizontal="right" vertical="center" indent="1"/>
    </xf>
    <xf numFmtId="4" fontId="32" fillId="25" borderId="12" xfId="51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 applyProtection="1">
      <alignment horizontal="right" indent="1"/>
    </xf>
    <xf numFmtId="4" fontId="2" fillId="25" borderId="12" xfId="51" applyNumberFormat="1" applyFont="1" applyFill="1" applyBorder="1" applyAlignment="1" applyProtection="1">
      <alignment horizontal="right" vertical="center" indent="1"/>
    </xf>
    <xf numFmtId="0" fontId="2" fillId="26" borderId="0" xfId="51" applyFont="1" applyFill="1" applyAlignment="1" applyProtection="1">
      <alignment horizontal="right" vertical="center" indent="1"/>
    </xf>
    <xf numFmtId="2" fontId="32" fillId="25" borderId="12" xfId="51" applyNumberFormat="1" applyFont="1" applyFill="1" applyBorder="1" applyAlignment="1" applyProtection="1">
      <alignment horizontal="right" vertical="center" indent="1"/>
    </xf>
    <xf numFmtId="2" fontId="2" fillId="25" borderId="12" xfId="51" applyNumberFormat="1" applyFont="1" applyFill="1" applyBorder="1" applyAlignment="1" applyProtection="1">
      <alignment horizontal="right" vertical="center" indent="1"/>
    </xf>
    <xf numFmtId="10" fontId="32" fillId="25" borderId="12" xfId="55" applyNumberFormat="1" applyFont="1" applyFill="1" applyBorder="1" applyAlignment="1" applyProtection="1">
      <alignment horizontal="right" vertical="center" indent="1"/>
    </xf>
    <xf numFmtId="172" fontId="32" fillId="28" borderId="12" xfId="55" applyNumberFormat="1" applyFont="1" applyFill="1" applyBorder="1" applyAlignment="1" applyProtection="1">
      <alignment horizontal="right" vertical="center" indent="1"/>
    </xf>
    <xf numFmtId="14" fontId="32" fillId="28" borderId="12" xfId="51" applyNumberFormat="1" applyFont="1" applyFill="1" applyBorder="1" applyAlignment="1">
      <alignment horizontal="right" vertical="center" indent="1"/>
    </xf>
    <xf numFmtId="4" fontId="32" fillId="25" borderId="13" xfId="51" applyNumberFormat="1" applyFont="1" applyFill="1" applyBorder="1" applyAlignment="1" applyProtection="1">
      <alignment horizontal="right" vertical="center" indent="1"/>
    </xf>
    <xf numFmtId="1" fontId="32" fillId="25" borderId="21" xfId="51" applyNumberFormat="1" applyFont="1" applyFill="1" applyBorder="1" applyAlignment="1" applyProtection="1">
      <alignment horizontal="right" vertical="center" indent="1"/>
    </xf>
    <xf numFmtId="1" fontId="32" fillId="25" borderId="12" xfId="51" applyNumberFormat="1" applyFont="1" applyFill="1" applyBorder="1" applyAlignment="1" applyProtection="1">
      <alignment horizontal="right" vertical="center" indent="1"/>
    </xf>
    <xf numFmtId="166" fontId="32" fillId="25" borderId="12" xfId="51" applyNumberFormat="1" applyFont="1" applyFill="1" applyBorder="1" applyAlignment="1" applyProtection="1">
      <alignment horizontal="right" vertical="center" indent="1"/>
    </xf>
    <xf numFmtId="0" fontId="32" fillId="25" borderId="12" xfId="51" applyFont="1" applyFill="1" applyBorder="1" applyAlignment="1">
      <alignment horizontal="left" vertical="center" indent="1"/>
    </xf>
    <xf numFmtId="172" fontId="32" fillId="28" borderId="12" xfId="55" quotePrefix="1" applyNumberFormat="1" applyFont="1" applyFill="1" applyBorder="1" applyAlignment="1" applyProtection="1">
      <alignment horizontal="right" vertical="center" indent="1"/>
    </xf>
    <xf numFmtId="0" fontId="32" fillId="25" borderId="12" xfId="51" applyFont="1" applyFill="1" applyBorder="1" applyAlignment="1">
      <alignment horizontal="left" vertical="center" wrapText="1" indent="1"/>
    </xf>
    <xf numFmtId="3" fontId="32" fillId="25" borderId="26" xfId="55" applyNumberFormat="1" applyFont="1" applyFill="1" applyBorder="1" applyAlignment="1">
      <alignment horizontal="center" vertical="center"/>
    </xf>
    <xf numFmtId="3" fontId="32" fillId="25" borderId="21" xfId="55" applyNumberFormat="1" applyFont="1" applyFill="1" applyBorder="1" applyAlignment="1">
      <alignment horizontal="right" vertical="center" indent="1"/>
    </xf>
    <xf numFmtId="10" fontId="32" fillId="25" borderId="26" xfId="55" applyNumberFormat="1" applyFont="1" applyFill="1" applyBorder="1" applyAlignment="1">
      <alignment horizontal="center" vertical="center"/>
    </xf>
    <xf numFmtId="4" fontId="32" fillId="25" borderId="21" xfId="55" applyNumberFormat="1" applyFont="1" applyFill="1" applyBorder="1" applyAlignment="1">
      <alignment horizontal="right" vertical="center" indent="1"/>
    </xf>
    <xf numFmtId="3" fontId="32" fillId="25" borderId="12" xfId="55" applyNumberFormat="1" applyFont="1" applyFill="1" applyBorder="1" applyAlignment="1">
      <alignment horizontal="center" vertical="center"/>
    </xf>
    <xf numFmtId="3" fontId="32" fillId="25" borderId="12" xfId="51" applyNumberFormat="1" applyFont="1" applyFill="1" applyBorder="1" applyAlignment="1">
      <alignment horizontal="right" vertical="center" indent="1"/>
    </xf>
    <xf numFmtId="4" fontId="32" fillId="25" borderId="13" xfId="55" applyNumberFormat="1" applyFont="1" applyFill="1" applyBorder="1" applyAlignment="1">
      <alignment horizontal="right" vertical="center" indent="1"/>
    </xf>
    <xf numFmtId="0" fontId="33" fillId="0" borderId="0" xfId="53" applyFont="1" applyFill="1" applyAlignment="1" applyProtection="1">
      <alignment vertical="center"/>
    </xf>
    <xf numFmtId="0" fontId="32" fillId="0" borderId="0" xfId="53" applyFont="1" applyFill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0" fontId="1" fillId="28" borderId="0" xfId="0" applyFont="1" applyFill="1" applyBorder="1" applyAlignment="1" applyProtection="1">
      <alignment horizontal="left" vertical="center" wrapText="1"/>
    </xf>
    <xf numFmtId="0" fontId="0" fillId="28" borderId="0" xfId="0" applyFill="1" applyBorder="1" applyAlignment="1" applyProtection="1">
      <alignment horizontal="left" vertical="center"/>
    </xf>
    <xf numFmtId="0" fontId="0" fillId="28" borderId="27" xfId="0" applyFill="1" applyBorder="1" applyAlignment="1" applyProtection="1">
      <alignment horizontal="left" vertical="center"/>
    </xf>
    <xf numFmtId="0" fontId="1" fillId="28" borderId="24" xfId="0" applyFont="1" applyFill="1" applyBorder="1" applyAlignment="1">
      <alignment horizontal="left" wrapText="1"/>
    </xf>
    <xf numFmtId="0" fontId="1" fillId="28" borderId="26" xfId="0" applyFont="1" applyFill="1" applyBorder="1" applyAlignment="1">
      <alignment horizontal="left" wrapTex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Border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2" fillId="28" borderId="23" xfId="51" applyFont="1" applyFill="1" applyBorder="1" applyAlignment="1" applyProtection="1">
      <alignment horizontal="left" vertical="center" wrapText="1" indent="1"/>
    </xf>
    <xf numFmtId="0" fontId="2" fillId="28" borderId="14" xfId="51" applyFont="1" applyFill="1" applyBorder="1" applyAlignment="1" applyProtection="1">
      <alignment horizontal="left" vertical="center" wrapText="1" indent="1"/>
    </xf>
    <xf numFmtId="0" fontId="2" fillId="33" borderId="12" xfId="52" applyFont="1" applyFill="1" applyBorder="1" applyAlignment="1">
      <alignment horizontal="center" vertical="center" wrapText="1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28" borderId="23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wrapText="1" indent="1"/>
    </xf>
    <xf numFmtId="0" fontId="2" fillId="28" borderId="23" xfId="0" applyFont="1" applyFill="1" applyBorder="1" applyAlignment="1" applyProtection="1">
      <alignment horizontal="left" vertical="center" wrapText="1" indent="1"/>
    </xf>
    <xf numFmtId="0" fontId="2" fillId="28" borderId="15" xfId="0" applyFont="1" applyFill="1" applyBorder="1" applyAlignment="1" applyProtection="1">
      <alignment horizontal="left" vertical="center" wrapText="1" indent="1"/>
    </xf>
    <xf numFmtId="0" fontId="2" fillId="30" borderId="12" xfId="0" applyFont="1" applyFill="1" applyBorder="1" applyAlignment="1" applyProtection="1">
      <alignment horizontal="left" vertical="center" wrapText="1" indent="1"/>
      <protection locked="0"/>
    </xf>
    <xf numFmtId="0" fontId="2" fillId="33" borderId="23" xfId="51" applyFont="1" applyFill="1" applyBorder="1" applyAlignment="1" applyProtection="1">
      <alignment horizontal="center"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28" borderId="12" xfId="0" applyFont="1" applyFill="1" applyBorder="1" applyAlignment="1" applyProtection="1">
      <alignment horizontal="left" vertical="center" wrapText="1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/>
    </xf>
    <xf numFmtId="0" fontId="2" fillId="33" borderId="20" xfId="51" applyFont="1" applyFill="1" applyBorder="1" applyAlignment="1" applyProtection="1">
      <alignment horizontal="center" vertical="center"/>
    </xf>
    <xf numFmtId="0" fontId="2" fillId="33" borderId="21" xfId="51" applyFont="1" applyFill="1" applyBorder="1" applyAlignment="1" applyProtection="1">
      <alignment horizontal="center" vertical="center"/>
    </xf>
    <xf numFmtId="0" fontId="2" fillId="33" borderId="13" xfId="53" applyFont="1" applyFill="1" applyBorder="1" applyAlignment="1" applyProtection="1">
      <alignment horizontal="center" vertical="center" wrapText="1"/>
    </xf>
    <xf numFmtId="0" fontId="2" fillId="33" borderId="20" xfId="53" applyFont="1" applyFill="1" applyBorder="1" applyAlignment="1" applyProtection="1">
      <alignment horizontal="center" vertical="center" wrapText="1"/>
    </xf>
    <xf numFmtId="0" fontId="2" fillId="33" borderId="21" xfId="53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 wrapText="1"/>
    </xf>
    <xf numFmtId="0" fontId="2" fillId="33" borderId="20" xfId="51" applyFont="1" applyFill="1" applyBorder="1" applyAlignment="1" applyProtection="1">
      <alignment horizontal="center" vertical="center" wrapText="1"/>
    </xf>
    <xf numFmtId="0" fontId="2" fillId="33" borderId="21" xfId="51" applyFont="1" applyFill="1" applyBorder="1" applyAlignment="1" applyProtection="1">
      <alignment horizontal="center" vertical="center" wrapText="1"/>
    </xf>
    <xf numFmtId="0" fontId="32" fillId="25" borderId="28" xfId="51" applyFont="1" applyFill="1" applyBorder="1" applyAlignment="1" applyProtection="1">
      <alignment horizontal="center" vertical="center"/>
    </xf>
    <xf numFmtId="0" fontId="32" fillId="25" borderId="29" xfId="51" applyFont="1" applyFill="1" applyBorder="1" applyAlignment="1" applyProtection="1">
      <alignment horizontal="center" vertical="center"/>
    </xf>
    <xf numFmtId="0" fontId="32" fillId="25" borderId="30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 wrapText="1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 wrapText="1"/>
    </xf>
    <xf numFmtId="0" fontId="32" fillId="25" borderId="18" xfId="51" applyFont="1" applyFill="1" applyBorder="1" applyAlignment="1" applyProtection="1">
      <alignment vertical="center" wrapText="1"/>
    </xf>
    <xf numFmtId="0" fontId="32" fillId="25" borderId="19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vertical="center" wrapText="1"/>
    </xf>
    <xf numFmtId="0" fontId="32" fillId="25" borderId="0" xfId="51" applyFont="1" applyFill="1" applyBorder="1" applyAlignment="1" applyProtection="1">
      <alignment vertical="center" wrapText="1"/>
    </xf>
    <xf numFmtId="0" fontId="32" fillId="25" borderId="27" xfId="51" applyFont="1" applyFill="1" applyBorder="1" applyAlignment="1" applyProtection="1">
      <alignment vertical="center" wrapText="1"/>
    </xf>
    <xf numFmtId="0" fontId="32" fillId="25" borderId="17" xfId="51" applyFont="1" applyFill="1" applyBorder="1" applyAlignment="1" applyProtection="1">
      <alignment vertical="center" wrapText="1"/>
    </xf>
    <xf numFmtId="0" fontId="32" fillId="25" borderId="24" xfId="51" applyFont="1" applyFill="1" applyBorder="1" applyAlignment="1" applyProtection="1">
      <alignment vertical="center" wrapText="1"/>
    </xf>
    <xf numFmtId="0" fontId="32" fillId="25" borderId="26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>
      <alignment horizontal="left" vertical="center" wrapText="1" indent="1"/>
    </xf>
    <xf numFmtId="1" fontId="32" fillId="25" borderId="13" xfId="51" applyNumberFormat="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horizontal="left" vertical="center" wrapText="1"/>
    </xf>
    <xf numFmtId="0" fontId="32" fillId="25" borderId="0" xfId="51" applyFont="1" applyFill="1" applyBorder="1" applyAlignment="1" applyProtection="1">
      <alignment horizontal="left" vertical="center" wrapText="1"/>
    </xf>
    <xf numFmtId="0" fontId="32" fillId="25" borderId="27" xfId="51" applyFont="1" applyFill="1" applyBorder="1" applyAlignment="1" applyProtection="1">
      <alignment horizontal="left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/>
    </xf>
    <xf numFmtId="0" fontId="32" fillId="25" borderId="18" xfId="51" applyFont="1" applyFill="1" applyBorder="1" applyAlignment="1" applyProtection="1">
      <alignment vertical="center"/>
    </xf>
    <xf numFmtId="0" fontId="32" fillId="25" borderId="19" xfId="51" applyFont="1" applyFill="1" applyBorder="1" applyAlignment="1" applyProtection="1">
      <alignment vertical="center"/>
    </xf>
    <xf numFmtId="0" fontId="32" fillId="25" borderId="22" xfId="51" applyFont="1" applyFill="1" applyBorder="1" applyAlignment="1" applyProtection="1">
      <alignment vertical="center"/>
    </xf>
    <xf numFmtId="0" fontId="32" fillId="25" borderId="0" xfId="51" applyFont="1" applyFill="1" applyBorder="1" applyAlignment="1" applyProtection="1">
      <alignment vertical="center"/>
    </xf>
    <xf numFmtId="0" fontId="32" fillId="25" borderId="27" xfId="51" applyFont="1" applyFill="1" applyBorder="1" applyAlignment="1" applyProtection="1">
      <alignment vertical="center"/>
    </xf>
    <xf numFmtId="0" fontId="32" fillId="25" borderId="17" xfId="51" applyFont="1" applyFill="1" applyBorder="1" applyAlignment="1" applyProtection="1">
      <alignment vertical="center"/>
    </xf>
    <xf numFmtId="0" fontId="32" fillId="25" borderId="24" xfId="51" applyFont="1" applyFill="1" applyBorder="1" applyAlignment="1" applyProtection="1">
      <alignment vertical="center"/>
    </xf>
    <xf numFmtId="0" fontId="32" fillId="25" borderId="26" xfId="51" applyFont="1" applyFill="1" applyBorder="1" applyAlignment="1" applyProtection="1">
      <alignment vertical="center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 applyProtection="1">
      <alignment vertical="center" wrapText="1"/>
    </xf>
    <xf numFmtId="0" fontId="32" fillId="25" borderId="18" xfId="52" applyFont="1" applyFill="1" applyBorder="1" applyAlignment="1" applyProtection="1">
      <alignment vertical="center" wrapText="1"/>
    </xf>
    <xf numFmtId="0" fontId="32" fillId="25" borderId="19" xfId="52" applyFont="1" applyFill="1" applyBorder="1" applyAlignment="1" applyProtection="1">
      <alignment vertical="center" wrapTex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7" xfId="52" applyFont="1" applyFill="1" applyBorder="1" applyAlignment="1" applyProtection="1">
      <alignment vertical="center" wrapText="1"/>
    </xf>
    <xf numFmtId="0" fontId="32" fillId="25" borderId="24" xfId="52" applyFont="1" applyFill="1" applyBorder="1" applyAlignment="1" applyProtection="1">
      <alignment vertical="center" wrapText="1"/>
    </xf>
    <xf numFmtId="0" fontId="32" fillId="25" borderId="26" xfId="52" applyFont="1" applyFill="1" applyBorder="1" applyAlignment="1" applyProtection="1">
      <alignment vertical="center" wrapTex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32" fillId="25" borderId="15" xfId="51" applyFont="1" applyFill="1" applyBorder="1" applyAlignment="1" applyProtection="1">
      <alignment horizontal="center" vertical="center"/>
    </xf>
    <xf numFmtId="0" fontId="2" fillId="25" borderId="23" xfId="51" applyFont="1" applyFill="1" applyBorder="1" applyAlignment="1" applyProtection="1">
      <alignment horizontal="center" vertical="center"/>
    </xf>
    <xf numFmtId="0" fontId="2" fillId="25" borderId="15" xfId="51" applyFont="1" applyFill="1" applyBorder="1" applyAlignment="1" applyProtection="1">
      <alignment horizontal="center" vertical="center"/>
    </xf>
    <xf numFmtId="0" fontId="2" fillId="25" borderId="23" xfId="51" applyFont="1" applyFill="1" applyBorder="1" applyAlignment="1" applyProtection="1">
      <alignment horizontal="left" vertical="center" wrapText="1" indent="1"/>
    </xf>
    <xf numFmtId="0" fontId="32" fillId="0" borderId="14" xfId="0" applyFont="1" applyBorder="1" applyProtection="1"/>
    <xf numFmtId="0" fontId="32" fillId="0" borderId="15" xfId="0" applyFont="1" applyBorder="1" applyProtection="1"/>
    <xf numFmtId="0" fontId="2" fillId="25" borderId="23" xfId="51" applyFont="1" applyFill="1" applyBorder="1" applyAlignment="1" applyProtection="1">
      <alignment horizontal="left" vertical="center" indent="1"/>
    </xf>
    <xf numFmtId="0" fontId="2" fillId="25" borderId="14" xfId="51" applyFont="1" applyFill="1" applyBorder="1" applyAlignment="1" applyProtection="1">
      <alignment horizontal="left" vertical="center" indent="1"/>
    </xf>
    <xf numFmtId="0" fontId="2" fillId="25" borderId="15" xfId="51" applyFont="1" applyFill="1" applyBorder="1" applyAlignment="1" applyProtection="1">
      <alignment horizontal="left" vertical="center" indent="1"/>
    </xf>
    <xf numFmtId="0" fontId="2" fillId="25" borderId="17" xfId="51" applyFont="1" applyFill="1" applyBorder="1" applyAlignment="1" applyProtection="1">
      <alignment horizontal="left" vertical="center" wrapText="1" indent="1"/>
    </xf>
    <xf numFmtId="0" fontId="2" fillId="25" borderId="24" xfId="51" applyFont="1" applyFill="1" applyBorder="1" applyAlignment="1" applyProtection="1">
      <alignment horizontal="left" vertical="center" wrapText="1" indent="1"/>
    </xf>
    <xf numFmtId="0" fontId="2" fillId="25" borderId="14" xfId="51" applyFont="1" applyFill="1" applyBorder="1" applyAlignment="1" applyProtection="1">
      <alignment horizontal="left" vertical="center" wrapText="1" indent="1"/>
    </xf>
    <xf numFmtId="0" fontId="2" fillId="25" borderId="15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center" vertical="center" wrapText="1"/>
    </xf>
    <xf numFmtId="0" fontId="2" fillId="33" borderId="23" xfId="52" applyFont="1" applyFill="1" applyBorder="1" applyAlignment="1" applyProtection="1">
      <alignment horizontal="center" vertical="center"/>
    </xf>
    <xf numFmtId="0" fontId="2" fillId="33" borderId="14" xfId="52" applyFont="1" applyFill="1" applyBorder="1" applyAlignment="1" applyProtection="1">
      <alignment horizontal="center" vertical="center"/>
    </xf>
    <xf numFmtId="0" fontId="2" fillId="33" borderId="15" xfId="52" applyFont="1" applyFill="1" applyBorder="1" applyAlignment="1" applyProtection="1">
      <alignment horizontal="center" vertical="center"/>
    </xf>
    <xf numFmtId="0" fontId="2" fillId="25" borderId="23" xfId="51" applyFont="1" applyFill="1" applyBorder="1" applyAlignment="1" applyProtection="1">
      <alignment horizontal="center" vertical="center" wrapText="1"/>
    </xf>
    <xf numFmtId="0" fontId="2" fillId="25" borderId="14" xfId="51" applyFont="1" applyFill="1" applyBorder="1" applyAlignment="1" applyProtection="1">
      <alignment horizontal="center" vertical="center" wrapText="1"/>
    </xf>
    <xf numFmtId="0" fontId="2" fillId="25" borderId="15" xfId="51" applyFont="1" applyFill="1" applyBorder="1" applyAlignment="1" applyProtection="1">
      <alignment horizontal="center" vertical="center" wrapText="1"/>
    </xf>
    <xf numFmtId="0" fontId="2" fillId="33" borderId="12" xfId="51" applyFont="1" applyFill="1" applyBorder="1" applyAlignment="1" applyProtection="1">
      <alignment horizontal="center" vertical="center"/>
    </xf>
    <xf numFmtId="0" fontId="32" fillId="0" borderId="22" xfId="51" applyFont="1" applyFill="1" applyBorder="1" applyAlignment="1" applyProtection="1">
      <alignment horizontal="left" indent="1"/>
    </xf>
    <xf numFmtId="0" fontId="32" fillId="0" borderId="0" xfId="51" applyFont="1" applyFill="1" applyBorder="1" applyAlignment="1" applyProtection="1">
      <alignment horizontal="left" indent="1"/>
    </xf>
    <xf numFmtId="0" fontId="32" fillId="0" borderId="27" xfId="51" applyFont="1" applyFill="1" applyBorder="1" applyAlignment="1" applyProtection="1">
      <alignment horizontal="left" indent="1"/>
    </xf>
    <xf numFmtId="0" fontId="32" fillId="0" borderId="17" xfId="51" applyFont="1" applyFill="1" applyBorder="1" applyAlignment="1" applyProtection="1">
      <alignment horizontal="left" vertical="center" indent="1"/>
    </xf>
    <xf numFmtId="0" fontId="32" fillId="0" borderId="24" xfId="51" applyFont="1" applyFill="1" applyBorder="1" applyAlignment="1" applyProtection="1">
      <alignment horizontal="left" vertical="center" indent="1"/>
    </xf>
    <xf numFmtId="0" fontId="32" fillId="0" borderId="26" xfId="51" applyFont="1" applyFill="1" applyBorder="1" applyAlignment="1" applyProtection="1">
      <alignment horizontal="left" vertical="center" indent="1"/>
    </xf>
    <xf numFmtId="0" fontId="32" fillId="33" borderId="14" xfId="51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center" vertical="center" wrapText="1"/>
    </xf>
    <xf numFmtId="0" fontId="2" fillId="33" borderId="14" xfId="51" applyFont="1" applyFill="1" applyBorder="1" applyAlignment="1" applyProtection="1">
      <alignment horizontal="center" vertical="center" wrapText="1"/>
    </xf>
    <xf numFmtId="0" fontId="32" fillId="0" borderId="16" xfId="51" applyFont="1" applyFill="1" applyBorder="1" applyAlignment="1" applyProtection="1">
      <alignment horizontal="left" vertical="center" indent="1"/>
    </xf>
    <xf numFmtId="0" fontId="32" fillId="0" borderId="18" xfId="51" applyFont="1" applyFill="1" applyBorder="1" applyAlignment="1" applyProtection="1">
      <alignment horizontal="left" vertical="center" indent="1"/>
    </xf>
    <xf numFmtId="0" fontId="32" fillId="0" borderId="19" xfId="51" applyFont="1" applyFill="1" applyBorder="1" applyAlignment="1" applyProtection="1">
      <alignment horizontal="left" vertical="center" indent="1"/>
    </xf>
    <xf numFmtId="0" fontId="33" fillId="0" borderId="18" xfId="51" applyFont="1" applyFill="1" applyBorder="1" applyAlignment="1" applyProtection="1">
      <alignment horizontal="left" vertical="center" wrapText="1" indent="1"/>
    </xf>
    <xf numFmtId="4" fontId="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3" applyNumberFormat="1" applyFont="1" applyFill="1" applyBorder="1" applyAlignment="1" applyProtection="1">
      <alignment vertical="center"/>
      <protection locked="0"/>
    </xf>
    <xf numFmtId="4" fontId="2" fillId="31" borderId="12" xfId="53" applyNumberFormat="1" applyFont="1" applyFill="1" applyBorder="1" applyAlignment="1" applyProtection="1">
      <alignment vertical="center"/>
      <protection locked="0"/>
    </xf>
    <xf numFmtId="4" fontId="32" fillId="28" borderId="12" xfId="51" applyNumberFormat="1" applyFont="1" applyFill="1" applyBorder="1" applyAlignment="1" applyProtection="1">
      <alignment vertical="center"/>
    </xf>
  </cellXfs>
  <cellStyles count="7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/>
    <cellStyle name="Dane wejściowe" xfId="26" builtinId="20" customBuiltin="1"/>
    <cellStyle name="Dane wyjściowe" xfId="27" builtinId="21" customBuiltin="1"/>
    <cellStyle name="Date" xfId="28"/>
    <cellStyle name="Dobry" xfId="29" builtinId="26" customBuiltin="1"/>
    <cellStyle name="Dziesiętny 2" xfId="30"/>
    <cellStyle name="Fixed" xfId="31"/>
    <cellStyle name="HEADING1" xfId="32"/>
    <cellStyle name="HEADING2" xfId="33"/>
    <cellStyle name="Iau?iue_Ecnn1 (2)" xfId="34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/>
    <cellStyle name="Normal - Styl2" xfId="43"/>
    <cellStyle name="Normal - Styl3" xfId="44"/>
    <cellStyle name="Normal - Styl4" xfId="45"/>
    <cellStyle name="Normal - Styl5" xfId="46"/>
    <cellStyle name="Normal - Styl6" xfId="47"/>
    <cellStyle name="Normal - Styl7" xfId="48"/>
    <cellStyle name="Normal_~1065031" xfId="49"/>
    <cellStyle name="Normalny" xfId="0" builtinId="0"/>
    <cellStyle name="Normalny 2" xfId="50"/>
    <cellStyle name="Normalny_Analiza ex_post" xfId="51"/>
    <cellStyle name="Normalny_Karta oceny 06" xfId="52"/>
    <cellStyle name="Normalny_Kredyty dopłatowe_Tabele do wniosku" xfId="53"/>
    <cellStyle name="Obliczenia" xfId="54" builtinId="22" customBuiltin="1"/>
    <cellStyle name="Procentowy" xfId="55" builtinId="5"/>
    <cellStyle name="Procentowy 2" xfId="56"/>
    <cellStyle name="STATE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/>
    <cellStyle name="Tytuł" xfId="62" builtinId="15" customBuiltin="1"/>
    <cellStyle name="Uwaga" xfId="63" builtinId="10" customBuiltin="1"/>
    <cellStyle name="Zły" xfId="64" builtinId="27" customBuiltin="1"/>
    <cellStyle name="Денежный [0]_11" xfId="65"/>
    <cellStyle name="Денежный_11" xfId="66"/>
    <cellStyle name="Обычный_04.OSS" xfId="67"/>
    <cellStyle name="Финансовый [0]_11" xfId="68"/>
    <cellStyle name="Финансовый_11" xfId="69"/>
  </cellStyles>
  <dxfs count="15"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colors>
    <mruColors>
      <color rgb="FFFFFFCC"/>
      <color rgb="FFFFFF99"/>
      <color rgb="FFCCFFCC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246529</xdr:colOff>
      <xdr:row>6</xdr:row>
      <xdr:rowOff>11206</xdr:rowOff>
    </xdr:from>
    <xdr:to>
      <xdr:col>5</xdr:col>
      <xdr:colOff>212912</xdr:colOff>
      <xdr:row>6</xdr:row>
      <xdr:rowOff>313762</xdr:rowOff>
    </xdr:to>
    <xdr:sp macro="" textlink="">
      <xdr:nvSpPr>
        <xdr:cNvPr id="7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26941" y="2039471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  <xdr:twoCellAnchor>
    <xdr:from>
      <xdr:col>4</xdr:col>
      <xdr:colOff>268941</xdr:colOff>
      <xdr:row>4</xdr:row>
      <xdr:rowOff>302559</xdr:rowOff>
    </xdr:from>
    <xdr:to>
      <xdr:col>5</xdr:col>
      <xdr:colOff>235324</xdr:colOff>
      <xdr:row>5</xdr:row>
      <xdr:rowOff>291350</xdr:rowOff>
    </xdr:to>
    <xdr:sp macro="" textlink="">
      <xdr:nvSpPr>
        <xdr:cNvPr id="8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49353" y="1703294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41"/>
  <sheetViews>
    <sheetView zoomScale="85" zoomScaleNormal="85" workbookViewId="0">
      <selection activeCell="B39" sqref="B39:P39"/>
    </sheetView>
  </sheetViews>
  <sheetFormatPr defaultColWidth="0" defaultRowHeight="12.75" zeroHeight="1"/>
  <cols>
    <col min="1" max="1" width="2.42578125" style="6" customWidth="1"/>
    <col min="2" max="17" width="9.140625" style="6" customWidth="1"/>
    <col min="18" max="16384" width="9.140625" style="6" hidden="1"/>
  </cols>
  <sheetData>
    <row r="1" spans="1:16" ht="12.75" customHeight="1">
      <c r="A1" s="7"/>
      <c r="B1" s="195" t="s">
        <v>227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6"/>
    </row>
    <row r="2" spans="1:16">
      <c r="A2" s="8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8"/>
    </row>
    <row r="3" spans="1:16">
      <c r="A3" s="8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8"/>
    </row>
    <row r="4" spans="1:16">
      <c r="A4" s="8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</row>
    <row r="5" spans="1:16">
      <c r="A5" s="8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8"/>
    </row>
    <row r="6" spans="1:16">
      <c r="A6" s="8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8"/>
    </row>
    <row r="7" spans="1:16">
      <c r="A7" s="8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</row>
    <row r="8" spans="1:16">
      <c r="A8" s="8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8"/>
    </row>
    <row r="9" spans="1:16">
      <c r="A9" s="8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8"/>
    </row>
    <row r="10" spans="1:16">
      <c r="A10" s="8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8"/>
    </row>
    <row r="11" spans="1:16">
      <c r="A11" s="8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</row>
    <row r="12" spans="1:16">
      <c r="A12" s="8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8"/>
    </row>
    <row r="13" spans="1:16">
      <c r="A13" s="8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8"/>
    </row>
    <row r="14" spans="1:16">
      <c r="A14" s="8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8"/>
    </row>
    <row r="15" spans="1:16">
      <c r="A15" s="8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8"/>
    </row>
    <row r="16" spans="1:16">
      <c r="A16" s="8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8"/>
    </row>
    <row r="17" spans="1:16">
      <c r="A17" s="8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8"/>
    </row>
    <row r="18" spans="1:16">
      <c r="A18" s="8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8"/>
    </row>
    <row r="19" spans="1:16">
      <c r="A19" s="8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8"/>
    </row>
    <row r="20" spans="1:16">
      <c r="A20" s="8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8"/>
    </row>
    <row r="21" spans="1:16">
      <c r="A21" s="8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8"/>
    </row>
    <row r="22" spans="1:16">
      <c r="A22" s="8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</row>
    <row r="23" spans="1:16">
      <c r="A23" s="8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6">
      <c r="A24" s="8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6">
      <c r="A25" s="8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6" ht="41.25" customHeight="1">
      <c r="A26" s="8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</row>
    <row r="27" spans="1:16" ht="26.25" customHeight="1">
      <c r="A27" s="61"/>
      <c r="B27" s="190" t="s">
        <v>226</v>
      </c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2"/>
    </row>
    <row r="28" spans="1:16">
      <c r="A28" s="6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2"/>
    </row>
    <row r="29" spans="1:16">
      <c r="A29" s="6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2"/>
    </row>
    <row r="30" spans="1:16">
      <c r="A30" s="6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</row>
    <row r="31" spans="1:16">
      <c r="A31" s="60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</row>
    <row r="32" spans="1:16">
      <c r="A32" s="60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2"/>
    </row>
    <row r="33" spans="1:16">
      <c r="A33" s="60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2"/>
    </row>
    <row r="34" spans="1:16">
      <c r="A34" s="60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2"/>
    </row>
    <row r="35" spans="1:16">
      <c r="A35" s="60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2"/>
    </row>
    <row r="36" spans="1:16">
      <c r="A36" s="60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2"/>
    </row>
    <row r="37" spans="1:16">
      <c r="A37" s="6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2"/>
    </row>
    <row r="38" spans="1:16">
      <c r="A38" s="6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2"/>
    </row>
    <row r="39" spans="1:16" ht="96" customHeight="1">
      <c r="A39" s="9"/>
      <c r="B39" s="193" t="s">
        <v>225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4"/>
    </row>
    <row r="40" spans="1:16"/>
    <row r="41" spans="1:16"/>
  </sheetData>
  <sheetProtection password="CC10" sheet="1" objects="1" scenarios="1" selectLockedCells="1" selectUnlockedCells="1"/>
  <mergeCells count="3">
    <mergeCell ref="B27:P38"/>
    <mergeCell ref="B39:P39"/>
    <mergeCell ref="B1:P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usz10">
    <pageSetUpPr fitToPage="1"/>
  </sheetPr>
  <dimension ref="A1:V1539"/>
  <sheetViews>
    <sheetView showGridLines="0" tabSelected="1" zoomScale="85" zoomScaleNormal="85" zoomScaleSheetLayoutView="100" workbookViewId="0">
      <selection activeCell="E59" sqref="E59:G64"/>
    </sheetView>
  </sheetViews>
  <sheetFormatPr defaultColWidth="0" defaultRowHeight="12.75" zeroHeight="1"/>
  <cols>
    <col min="1" max="1" width="9.140625" style="97" customWidth="1"/>
    <col min="2" max="2" width="4.7109375" style="95" customWidth="1"/>
    <col min="3" max="3" width="70.7109375" style="96" customWidth="1"/>
    <col min="4" max="4" width="18.7109375" style="96" customWidth="1"/>
    <col min="5" max="7" width="18.7109375" style="97" customWidth="1"/>
    <col min="8" max="8" width="10.7109375" style="97" customWidth="1"/>
    <col min="9" max="9" width="9.140625" style="97" hidden="1" customWidth="1"/>
    <col min="10" max="10" width="9.5703125" style="97" hidden="1" customWidth="1"/>
    <col min="11" max="11" width="9.140625" style="97" hidden="1" customWidth="1"/>
    <col min="12" max="22" width="0" style="97" hidden="1" customWidth="1"/>
    <col min="23" max="16384" width="9.140625" style="97" hidden="1"/>
  </cols>
  <sheetData>
    <row r="1" spans="2:21" ht="36" customHeight="1"/>
    <row r="2" spans="2:21" s="73" customFormat="1" ht="24.95" customHeight="1">
      <c r="B2" s="213" t="s">
        <v>232</v>
      </c>
      <c r="C2" s="213"/>
      <c r="D2" s="210" t="s">
        <v>236</v>
      </c>
      <c r="E2" s="210"/>
      <c r="F2" s="210"/>
      <c r="G2" s="210"/>
    </row>
    <row r="3" spans="2:21" s="73" customFormat="1" ht="24.95" customHeight="1">
      <c r="B3" s="213" t="s">
        <v>233</v>
      </c>
      <c r="C3" s="213"/>
      <c r="D3" s="210" t="s">
        <v>237</v>
      </c>
      <c r="E3" s="210"/>
      <c r="F3" s="210"/>
      <c r="G3" s="210"/>
    </row>
    <row r="4" spans="2:21" s="73" customFormat="1" ht="24.95" customHeight="1">
      <c r="B4" s="213" t="s">
        <v>238</v>
      </c>
      <c r="C4" s="213"/>
      <c r="D4" s="210" t="s">
        <v>239</v>
      </c>
      <c r="E4" s="210"/>
      <c r="F4" s="210"/>
      <c r="G4" s="210"/>
    </row>
    <row r="5" spans="2:21" ht="24.95" customHeight="1">
      <c r="B5" s="199" t="s">
        <v>230</v>
      </c>
      <c r="C5" s="207"/>
      <c r="D5" s="98">
        <v>7.6200000000000004E-2</v>
      </c>
      <c r="J5" s="99"/>
    </row>
    <row r="6" spans="2:21" ht="24.95" customHeight="1">
      <c r="B6" s="208" t="s">
        <v>215</v>
      </c>
      <c r="C6" s="209"/>
      <c r="D6" s="100">
        <v>2022</v>
      </c>
      <c r="J6" s="99"/>
    </row>
    <row r="7" spans="2:21" ht="24.95" customHeight="1">
      <c r="B7" s="205" t="s">
        <v>231</v>
      </c>
      <c r="C7" s="206"/>
      <c r="D7" s="100" t="s">
        <v>234</v>
      </c>
      <c r="F7" s="101" t="s">
        <v>235</v>
      </c>
      <c r="J7" s="99"/>
    </row>
    <row r="8" spans="2:21" ht="20.100000000000001" customHeight="1">
      <c r="B8" s="187" t="s">
        <v>229</v>
      </c>
      <c r="C8" s="188"/>
      <c r="D8" s="188"/>
      <c r="J8" s="99"/>
    </row>
    <row r="9" spans="2:21" ht="20.100000000000001" customHeight="1">
      <c r="J9" s="99"/>
    </row>
    <row r="10" spans="2:21" s="73" customFormat="1" ht="45" customHeight="1">
      <c r="B10" s="211" t="s">
        <v>205</v>
      </c>
      <c r="C10" s="212"/>
      <c r="D10" s="102" t="s">
        <v>25</v>
      </c>
      <c r="E10" s="74" t="s">
        <v>142</v>
      </c>
      <c r="F10" s="103" t="s">
        <v>124</v>
      </c>
      <c r="G10" s="93" t="s">
        <v>204</v>
      </c>
      <c r="H10" s="97"/>
      <c r="I10" s="97"/>
      <c r="J10" s="99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2:21" s="73" customFormat="1" ht="30" customHeight="1">
      <c r="B11" s="199" t="str">
        <f>IF(F11="","","Rating bieżącej sytuacji finansowej (podsumowanie wyników oceny)")</f>
        <v>Rating bieżącej sytuacji finansowej (podsumowanie wyników oceny)</v>
      </c>
      <c r="C11" s="200"/>
      <c r="D11" s="104">
        <f>Wyniki!I41</f>
        <v>10</v>
      </c>
      <c r="E11" s="105" t="str">
        <f>IF(Wyniki!I41&gt;75,"AAA-A",IF(Wyniki!I41&gt;59,"BBB",IF(Wyniki!I41&gt;49,"BB",IF(Wyniki!I41&gt;32,"B",IF(Wyniki!I41=0,"","CCC")))))</f>
        <v>CCC</v>
      </c>
      <c r="F11" s="105" t="str">
        <f>IF(Wyniki!I41=0,"",Wyniki!H42)</f>
        <v>Zła/trudności finansowe</v>
      </c>
      <c r="G11" s="106">
        <f>IF(E11="","",IF('Dane finansowe'!E11="AAA-A",'Dane finansowe'!D5+('Dane finansowe'!F15/10000)*100%,IF('Dane finansowe'!E11="BBB",'Dane finansowe'!D5+('Dane finansowe'!F16/10000)*100%,IF('Dane finansowe'!E11="BB",'Dane finansowe'!D5+('Dane finansowe'!F17/10000)*100%,IF('Dane finansowe'!E11="B",'Dane finansowe'!D5+('Dane finansowe'!F18/10000)*100%,'Dane finansowe'!D5+('Dane finansowe'!F19/10000)*100%)))))</f>
        <v>0.1162</v>
      </c>
      <c r="H11" s="97"/>
      <c r="I11" s="97"/>
      <c r="J11" s="99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2:21" s="73" customFormat="1" ht="20.100000000000001" customHeight="1">
      <c r="B12" s="107"/>
      <c r="C12" s="108"/>
      <c r="D12" s="108"/>
      <c r="E12" s="108"/>
      <c r="F12" s="108"/>
      <c r="G12" s="108"/>
      <c r="H12" s="97"/>
      <c r="I12" s="97"/>
      <c r="J12" s="99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2:21" s="73" customFormat="1" ht="20.100000000000001" customHeight="1"/>
    <row r="14" spans="2:21" s="75" customFormat="1" ht="45" customHeight="1">
      <c r="B14" s="201" t="s">
        <v>31</v>
      </c>
      <c r="C14" s="201"/>
      <c r="D14" s="102" t="s">
        <v>25</v>
      </c>
      <c r="E14" s="102" t="s">
        <v>142</v>
      </c>
      <c r="F14" s="102" t="s">
        <v>212</v>
      </c>
    </row>
    <row r="15" spans="2:21" s="73" customFormat="1" ht="20.100000000000001" customHeight="1">
      <c r="B15" s="204" t="s">
        <v>158</v>
      </c>
      <c r="C15" s="204"/>
      <c r="D15" s="109" t="s">
        <v>144</v>
      </c>
      <c r="E15" s="109" t="s">
        <v>210</v>
      </c>
      <c r="F15" s="105">
        <v>60</v>
      </c>
    </row>
    <row r="16" spans="2:21" s="73" customFormat="1" ht="20.100000000000001" customHeight="1">
      <c r="B16" s="202" t="s">
        <v>159</v>
      </c>
      <c r="C16" s="203"/>
      <c r="D16" s="109" t="s">
        <v>145</v>
      </c>
      <c r="E16" s="109" t="s">
        <v>207</v>
      </c>
      <c r="F16" s="105">
        <v>75</v>
      </c>
    </row>
    <row r="17" spans="2:7" s="73" customFormat="1" ht="20.100000000000001" customHeight="1">
      <c r="B17" s="202" t="s">
        <v>160</v>
      </c>
      <c r="C17" s="203"/>
      <c r="D17" s="109" t="s">
        <v>146</v>
      </c>
      <c r="E17" s="109" t="s">
        <v>208</v>
      </c>
      <c r="F17" s="105">
        <v>100</v>
      </c>
    </row>
    <row r="18" spans="2:7" s="73" customFormat="1" ht="20.100000000000001" customHeight="1">
      <c r="B18" s="202" t="s">
        <v>161</v>
      </c>
      <c r="C18" s="203"/>
      <c r="D18" s="109" t="s">
        <v>147</v>
      </c>
      <c r="E18" s="109" t="s">
        <v>209</v>
      </c>
      <c r="F18" s="105">
        <v>220</v>
      </c>
    </row>
    <row r="19" spans="2:7" s="73" customFormat="1" ht="20.100000000000001" customHeight="1">
      <c r="B19" s="202" t="s">
        <v>162</v>
      </c>
      <c r="C19" s="203"/>
      <c r="D19" s="109" t="s">
        <v>148</v>
      </c>
      <c r="E19" s="109" t="s">
        <v>206</v>
      </c>
      <c r="F19" s="105">
        <v>400</v>
      </c>
    </row>
    <row r="20" spans="2:7" s="73" customFormat="1" ht="20.100000000000001" customHeight="1">
      <c r="B20" s="64" t="s">
        <v>213</v>
      </c>
      <c r="C20" s="189"/>
      <c r="D20" s="189"/>
    </row>
    <row r="21" spans="2:7" s="110" customFormat="1" ht="19.5" customHeight="1"/>
    <row r="22" spans="2:7" s="115" customFormat="1" ht="45" customHeight="1">
      <c r="B22" s="111" t="s">
        <v>143</v>
      </c>
      <c r="C22" s="112" t="s">
        <v>163</v>
      </c>
      <c r="D22" s="113" t="s">
        <v>211</v>
      </c>
      <c r="E22" s="114">
        <f>IF($G$22="","",F22-1)</f>
        <v>2019</v>
      </c>
      <c r="F22" s="114">
        <f>IF($G$22="","",G22-1)</f>
        <v>2020</v>
      </c>
      <c r="G22" s="114">
        <f>IF($D$6="","",$D$6-1)</f>
        <v>2021</v>
      </c>
    </row>
    <row r="23" spans="2:7" s="118" customFormat="1" ht="20.100000000000001" customHeight="1">
      <c r="B23" s="116" t="s">
        <v>164</v>
      </c>
      <c r="C23" s="117" t="s">
        <v>165</v>
      </c>
      <c r="D23" s="116" t="str">
        <f t="shared" ref="D23:D30" si="0">IF($D$7="","",$D$7)</f>
        <v>zł</v>
      </c>
      <c r="E23" s="307"/>
      <c r="F23" s="307"/>
      <c r="G23" s="307"/>
    </row>
    <row r="24" spans="2:7" s="118" customFormat="1" ht="20.100000000000001" customHeight="1">
      <c r="B24" s="119" t="s">
        <v>166</v>
      </c>
      <c r="C24" s="117" t="s">
        <v>62</v>
      </c>
      <c r="D24" s="116" t="str">
        <f t="shared" si="0"/>
        <v>zł</v>
      </c>
      <c r="E24" s="307"/>
      <c r="F24" s="307"/>
      <c r="G24" s="307"/>
    </row>
    <row r="25" spans="2:7" s="123" customFormat="1" ht="20.100000000000001" customHeight="1">
      <c r="B25" s="120"/>
      <c r="C25" s="121" t="s">
        <v>138</v>
      </c>
      <c r="D25" s="122" t="str">
        <f t="shared" si="0"/>
        <v>zł</v>
      </c>
      <c r="E25" s="308"/>
      <c r="F25" s="308"/>
      <c r="G25" s="308"/>
    </row>
    <row r="26" spans="2:7" s="118" customFormat="1" ht="20.100000000000001" customHeight="1">
      <c r="B26" s="119" t="s">
        <v>169</v>
      </c>
      <c r="C26" s="117" t="s">
        <v>170</v>
      </c>
      <c r="D26" s="116" t="str">
        <f t="shared" si="0"/>
        <v>zł</v>
      </c>
      <c r="E26" s="307"/>
      <c r="F26" s="307"/>
      <c r="G26" s="307"/>
    </row>
    <row r="27" spans="2:7" s="118" customFormat="1" ht="20.100000000000001" customHeight="1">
      <c r="B27" s="119" t="s">
        <v>173</v>
      </c>
      <c r="C27" s="117" t="s">
        <v>59</v>
      </c>
      <c r="D27" s="116" t="str">
        <f t="shared" si="0"/>
        <v>zł</v>
      </c>
      <c r="E27" s="307"/>
      <c r="F27" s="307"/>
      <c r="G27" s="307"/>
    </row>
    <row r="28" spans="2:7" s="118" customFormat="1" ht="20.100000000000001" customHeight="1">
      <c r="B28" s="119" t="s">
        <v>175</v>
      </c>
      <c r="C28" s="117" t="s">
        <v>61</v>
      </c>
      <c r="D28" s="116" t="str">
        <f t="shared" si="0"/>
        <v>zł</v>
      </c>
      <c r="E28" s="307"/>
      <c r="F28" s="307"/>
      <c r="G28" s="307"/>
    </row>
    <row r="29" spans="2:7" s="118" customFormat="1" ht="20.100000000000001" customHeight="1">
      <c r="B29" s="119" t="s">
        <v>176</v>
      </c>
      <c r="C29" s="117" t="s">
        <v>177</v>
      </c>
      <c r="D29" s="116" t="str">
        <f t="shared" si="0"/>
        <v>zł</v>
      </c>
      <c r="E29" s="307"/>
      <c r="F29" s="307"/>
      <c r="G29" s="307"/>
    </row>
    <row r="30" spans="2:7" s="118" customFormat="1" ht="20.100000000000001" customHeight="1">
      <c r="B30" s="119" t="s">
        <v>178</v>
      </c>
      <c r="C30" s="117" t="s">
        <v>60</v>
      </c>
      <c r="D30" s="116" t="str">
        <f t="shared" si="0"/>
        <v>zł</v>
      </c>
      <c r="E30" s="307"/>
      <c r="F30" s="307"/>
      <c r="G30" s="307"/>
    </row>
    <row r="31" spans="2:7" ht="20.100000000000001" customHeight="1">
      <c r="B31" s="97"/>
      <c r="C31" s="97"/>
      <c r="D31" s="97"/>
    </row>
    <row r="32" spans="2:7" s="115" customFormat="1" ht="45" customHeight="1">
      <c r="B32" s="124" t="s">
        <v>143</v>
      </c>
      <c r="C32" s="125" t="s">
        <v>179</v>
      </c>
      <c r="D32" s="94" t="s">
        <v>211</v>
      </c>
      <c r="E32" s="114">
        <f>IF($G$22="","",F32-1)</f>
        <v>2019</v>
      </c>
      <c r="F32" s="114">
        <f>IF($G$22="","",G32-1)</f>
        <v>2020</v>
      </c>
      <c r="G32" s="114">
        <f>IF($G$22="","",$G$22)</f>
        <v>2021</v>
      </c>
    </row>
    <row r="33" spans="2:7" s="128" customFormat="1" ht="20.100000000000001" customHeight="1">
      <c r="B33" s="126" t="s">
        <v>164</v>
      </c>
      <c r="C33" s="127" t="s">
        <v>180</v>
      </c>
      <c r="D33" s="119" t="str">
        <f t="shared" ref="D33:D42" si="1">IF($D$7="","",$D$7)</f>
        <v>zł</v>
      </c>
      <c r="E33" s="307"/>
      <c r="F33" s="307"/>
      <c r="G33" s="307"/>
    </row>
    <row r="34" spans="2:7" s="128" customFormat="1" ht="20.100000000000001" customHeight="1">
      <c r="B34" s="126" t="s">
        <v>166</v>
      </c>
      <c r="C34" s="127" t="s">
        <v>128</v>
      </c>
      <c r="D34" s="119" t="str">
        <f t="shared" si="1"/>
        <v>zł</v>
      </c>
      <c r="E34" s="307"/>
      <c r="F34" s="307"/>
      <c r="G34" s="307"/>
    </row>
    <row r="35" spans="2:7" s="131" customFormat="1" ht="20.100000000000001" customHeight="1">
      <c r="B35" s="129" t="s">
        <v>149</v>
      </c>
      <c r="C35" s="130" t="s">
        <v>117</v>
      </c>
      <c r="D35" s="120" t="str">
        <f t="shared" si="1"/>
        <v>zł</v>
      </c>
      <c r="E35" s="308"/>
      <c r="F35" s="307"/>
      <c r="G35" s="307"/>
    </row>
    <row r="36" spans="2:7" s="131" customFormat="1" ht="20.100000000000001" customHeight="1">
      <c r="B36" s="129" t="s">
        <v>150</v>
      </c>
      <c r="C36" s="130" t="s">
        <v>129</v>
      </c>
      <c r="D36" s="120" t="str">
        <f t="shared" si="1"/>
        <v>zł</v>
      </c>
      <c r="E36" s="308"/>
      <c r="F36" s="307"/>
      <c r="G36" s="307"/>
    </row>
    <row r="37" spans="2:7" s="131" customFormat="1" ht="20.100000000000001" customHeight="1">
      <c r="B37" s="129" t="s">
        <v>151</v>
      </c>
      <c r="C37" s="130" t="s">
        <v>130</v>
      </c>
      <c r="D37" s="120" t="str">
        <f t="shared" si="1"/>
        <v>zł</v>
      </c>
      <c r="E37" s="309"/>
      <c r="F37" s="307"/>
      <c r="G37" s="307"/>
    </row>
    <row r="38" spans="2:7" s="131" customFormat="1" ht="20.100000000000001" customHeight="1">
      <c r="B38" s="129"/>
      <c r="C38" s="130" t="s">
        <v>131</v>
      </c>
      <c r="D38" s="120" t="str">
        <f t="shared" si="1"/>
        <v>zł</v>
      </c>
      <c r="E38" s="309"/>
      <c r="F38" s="307"/>
      <c r="G38" s="307"/>
    </row>
    <row r="39" spans="2:7" s="131" customFormat="1" ht="20.100000000000001" customHeight="1">
      <c r="B39" s="129" t="s">
        <v>152</v>
      </c>
      <c r="C39" s="130" t="s">
        <v>132</v>
      </c>
      <c r="D39" s="120" t="str">
        <f t="shared" si="1"/>
        <v>zł</v>
      </c>
      <c r="E39" s="309"/>
      <c r="F39" s="309"/>
      <c r="G39" s="309"/>
    </row>
    <row r="40" spans="2:7" s="131" customFormat="1" ht="20.100000000000001" customHeight="1">
      <c r="B40" s="129" t="s">
        <v>169</v>
      </c>
      <c r="C40" s="130" t="s">
        <v>258</v>
      </c>
      <c r="D40" s="120" t="str">
        <f t="shared" si="1"/>
        <v>zł</v>
      </c>
      <c r="E40" s="309"/>
      <c r="F40" s="309"/>
      <c r="G40" s="309"/>
    </row>
    <row r="41" spans="2:7" s="131" customFormat="1" ht="20.100000000000001" customHeight="1">
      <c r="B41" s="129" t="s">
        <v>171</v>
      </c>
      <c r="C41" s="130" t="s">
        <v>259</v>
      </c>
      <c r="D41" s="120" t="str">
        <f t="shared" si="1"/>
        <v>zł</v>
      </c>
      <c r="E41" s="309"/>
      <c r="F41" s="309"/>
      <c r="G41" s="309"/>
    </row>
    <row r="42" spans="2:7" s="128" customFormat="1" ht="20.100000000000001" customHeight="1">
      <c r="B42" s="126"/>
      <c r="C42" s="127" t="s">
        <v>260</v>
      </c>
      <c r="D42" s="119" t="str">
        <f t="shared" si="1"/>
        <v>zł</v>
      </c>
      <c r="E42" s="307"/>
      <c r="F42" s="307"/>
      <c r="G42" s="307"/>
    </row>
    <row r="43" spans="2:7" ht="20.100000000000001" customHeight="1">
      <c r="B43" s="97"/>
      <c r="C43" s="97"/>
      <c r="D43" s="97"/>
    </row>
    <row r="44" spans="2:7" s="115" customFormat="1" ht="45" customHeight="1">
      <c r="B44" s="124" t="s">
        <v>143</v>
      </c>
      <c r="C44" s="125" t="s">
        <v>181</v>
      </c>
      <c r="D44" s="94" t="s">
        <v>211</v>
      </c>
      <c r="E44" s="114">
        <f>IF($G$22="","",F44-1)</f>
        <v>2019</v>
      </c>
      <c r="F44" s="114">
        <f>IF($G$22="","",G44-1)</f>
        <v>2020</v>
      </c>
      <c r="G44" s="114">
        <f>IF($G$22="","",$G$22)</f>
        <v>2021</v>
      </c>
    </row>
    <row r="45" spans="2:7" s="133" customFormat="1" ht="20.100000000000001" customHeight="1">
      <c r="B45" s="119" t="s">
        <v>164</v>
      </c>
      <c r="C45" s="132" t="s">
        <v>141</v>
      </c>
      <c r="D45" s="119" t="str">
        <f t="shared" ref="D45:D51" si="2">IF($D$7="","",$D$7)</f>
        <v>zł</v>
      </c>
      <c r="E45" s="307"/>
      <c r="F45" s="307"/>
      <c r="G45" s="307"/>
    </row>
    <row r="46" spans="2:7" s="133" customFormat="1" ht="20.100000000000001" customHeight="1">
      <c r="B46" s="119" t="s">
        <v>166</v>
      </c>
      <c r="C46" s="132" t="s">
        <v>137</v>
      </c>
      <c r="D46" s="119" t="str">
        <f t="shared" si="2"/>
        <v>zł</v>
      </c>
      <c r="E46" s="307"/>
      <c r="F46" s="307"/>
      <c r="G46" s="307"/>
    </row>
    <row r="47" spans="2:7" s="135" customFormat="1" ht="20.100000000000001" customHeight="1">
      <c r="B47" s="120" t="s">
        <v>149</v>
      </c>
      <c r="C47" s="134" t="s">
        <v>133</v>
      </c>
      <c r="D47" s="120" t="str">
        <f t="shared" si="2"/>
        <v>zł</v>
      </c>
      <c r="E47" s="309"/>
      <c r="F47" s="309"/>
      <c r="G47" s="309"/>
    </row>
    <row r="48" spans="2:7" s="135" customFormat="1" ht="20.100000000000001" customHeight="1">
      <c r="B48" s="120" t="s">
        <v>150</v>
      </c>
      <c r="C48" s="134" t="s">
        <v>134</v>
      </c>
      <c r="D48" s="120" t="str">
        <f t="shared" si="2"/>
        <v>zł</v>
      </c>
      <c r="E48" s="309"/>
      <c r="F48" s="309"/>
      <c r="G48" s="309"/>
    </row>
    <row r="49" spans="2:7" s="135" customFormat="1" ht="20.100000000000001" customHeight="1">
      <c r="B49" s="120" t="s">
        <v>151</v>
      </c>
      <c r="C49" s="134" t="s">
        <v>135</v>
      </c>
      <c r="D49" s="120" t="str">
        <f t="shared" si="2"/>
        <v>zł</v>
      </c>
      <c r="E49" s="308"/>
      <c r="F49" s="308"/>
      <c r="G49" s="308"/>
    </row>
    <row r="50" spans="2:7" s="135" customFormat="1" ht="20.100000000000001" customHeight="1">
      <c r="B50" s="120" t="s">
        <v>152</v>
      </c>
      <c r="C50" s="134" t="s">
        <v>136</v>
      </c>
      <c r="D50" s="120" t="str">
        <f t="shared" si="2"/>
        <v>zł</v>
      </c>
      <c r="E50" s="309"/>
      <c r="F50" s="309"/>
      <c r="G50" s="309"/>
    </row>
    <row r="51" spans="2:7" s="133" customFormat="1" ht="20.100000000000001" customHeight="1">
      <c r="B51" s="119"/>
      <c r="C51" s="132" t="s">
        <v>183</v>
      </c>
      <c r="D51" s="119" t="str">
        <f t="shared" si="2"/>
        <v>zł</v>
      </c>
      <c r="E51" s="310"/>
      <c r="F51" s="310"/>
      <c r="G51" s="310"/>
    </row>
    <row r="52" spans="2:7" s="118" customFormat="1" ht="20.100000000000001" customHeight="1"/>
    <row r="53" spans="2:7" s="115" customFormat="1" ht="45" customHeight="1">
      <c r="B53" s="111" t="s">
        <v>143</v>
      </c>
      <c r="C53" s="113" t="s">
        <v>139</v>
      </c>
      <c r="D53" s="113" t="s">
        <v>211</v>
      </c>
      <c r="E53" s="114">
        <f>IF($G$22="","",F53-1)</f>
        <v>2019</v>
      </c>
      <c r="F53" s="114">
        <f>IF($G$22="","",G53-1)</f>
        <v>2020</v>
      </c>
      <c r="G53" s="114">
        <f>IF($G$22="","",$G$22)</f>
        <v>2021</v>
      </c>
    </row>
    <row r="54" spans="2:7" s="118" customFormat="1" ht="20.100000000000001" customHeight="1">
      <c r="B54" s="136" t="s">
        <v>164</v>
      </c>
      <c r="C54" s="137" t="s">
        <v>82</v>
      </c>
      <c r="D54" s="138" t="str">
        <f t="shared" ref="D54:D64" si="3">IF($D$7="","",$D$7)</f>
        <v>zł</v>
      </c>
      <c r="E54" s="307"/>
      <c r="F54" s="307"/>
      <c r="G54" s="307"/>
    </row>
    <row r="55" spans="2:7" s="118" customFormat="1" ht="20.100000000000001" customHeight="1">
      <c r="B55" s="139" t="s">
        <v>166</v>
      </c>
      <c r="C55" s="140" t="s">
        <v>83</v>
      </c>
      <c r="D55" s="138" t="str">
        <f t="shared" si="3"/>
        <v>zł</v>
      </c>
      <c r="E55" s="307"/>
      <c r="F55" s="307"/>
      <c r="G55" s="307"/>
    </row>
    <row r="56" spans="2:7" s="118" customFormat="1" ht="20.100000000000001" customHeight="1">
      <c r="B56" s="139" t="s">
        <v>169</v>
      </c>
      <c r="C56" s="140" t="s">
        <v>84</v>
      </c>
      <c r="D56" s="138" t="str">
        <f t="shared" si="3"/>
        <v>zł</v>
      </c>
      <c r="E56" s="310"/>
      <c r="F56" s="310"/>
      <c r="G56" s="310"/>
    </row>
    <row r="57" spans="2:7" s="123" customFormat="1" ht="20.100000000000001" customHeight="1">
      <c r="B57" s="141" t="s">
        <v>149</v>
      </c>
      <c r="C57" s="142" t="s">
        <v>85</v>
      </c>
      <c r="D57" s="143" t="str">
        <f t="shared" si="3"/>
        <v>zł</v>
      </c>
      <c r="E57" s="308"/>
      <c r="F57" s="308"/>
      <c r="G57" s="308"/>
    </row>
    <row r="58" spans="2:7" s="123" customFormat="1" ht="20.100000000000001" customHeight="1">
      <c r="B58" s="141" t="s">
        <v>150</v>
      </c>
      <c r="C58" s="142" t="s">
        <v>86</v>
      </c>
      <c r="D58" s="143" t="str">
        <f t="shared" si="3"/>
        <v>zł</v>
      </c>
      <c r="E58" s="311" t="str">
        <f t="shared" ref="E58:G58" si="4">IF(AND(ISBLANK(E59),ISBLANK(E60),ISBLANK(E61)),"",SUM(E59:E61))</f>
        <v/>
      </c>
      <c r="F58" s="311" t="str">
        <f t="shared" si="4"/>
        <v/>
      </c>
      <c r="G58" s="311" t="str">
        <f t="shared" si="4"/>
        <v/>
      </c>
    </row>
    <row r="59" spans="2:7" s="123" customFormat="1" ht="20.100000000000001" customHeight="1">
      <c r="B59" s="141" t="s">
        <v>122</v>
      </c>
      <c r="C59" s="142" t="s">
        <v>87</v>
      </c>
      <c r="D59" s="143" t="str">
        <f t="shared" si="3"/>
        <v>zł</v>
      </c>
      <c r="E59" s="308"/>
      <c r="F59" s="308"/>
      <c r="G59" s="308"/>
    </row>
    <row r="60" spans="2:7" s="123" customFormat="1" ht="20.100000000000001" customHeight="1">
      <c r="B60" s="141" t="s">
        <v>123</v>
      </c>
      <c r="C60" s="142" t="s">
        <v>88</v>
      </c>
      <c r="D60" s="143" t="str">
        <f t="shared" si="3"/>
        <v>zł</v>
      </c>
      <c r="E60" s="308"/>
      <c r="F60" s="308"/>
      <c r="G60" s="308"/>
    </row>
    <row r="61" spans="2:7" s="123" customFormat="1" ht="20.100000000000001" customHeight="1">
      <c r="B61" s="141" t="s">
        <v>125</v>
      </c>
      <c r="C61" s="142" t="s">
        <v>89</v>
      </c>
      <c r="D61" s="143" t="str">
        <f t="shared" si="3"/>
        <v>zł</v>
      </c>
      <c r="E61" s="308"/>
      <c r="F61" s="308"/>
      <c r="G61" s="308"/>
    </row>
    <row r="62" spans="2:7" s="118" customFormat="1" ht="20.100000000000001" customHeight="1">
      <c r="B62" s="139" t="s">
        <v>171</v>
      </c>
      <c r="C62" s="140" t="s">
        <v>58</v>
      </c>
      <c r="D62" s="138" t="str">
        <f t="shared" si="3"/>
        <v>zł</v>
      </c>
      <c r="E62" s="310"/>
      <c r="F62" s="310"/>
      <c r="G62" s="310"/>
    </row>
    <row r="63" spans="2:7" s="118" customFormat="1" ht="20.100000000000001" customHeight="1">
      <c r="B63" s="139" t="s">
        <v>173</v>
      </c>
      <c r="C63" s="140" t="s">
        <v>184</v>
      </c>
      <c r="D63" s="138" t="str">
        <f t="shared" si="3"/>
        <v>zł</v>
      </c>
      <c r="E63" s="307"/>
      <c r="F63" s="307"/>
      <c r="G63" s="307"/>
    </row>
    <row r="64" spans="2:7" s="118" customFormat="1" ht="20.100000000000001" customHeight="1">
      <c r="B64" s="139" t="s">
        <v>174</v>
      </c>
      <c r="C64" s="140" t="s">
        <v>185</v>
      </c>
      <c r="D64" s="138" t="str">
        <f t="shared" si="3"/>
        <v>zł</v>
      </c>
      <c r="E64" s="307"/>
      <c r="F64" s="307"/>
      <c r="G64" s="307"/>
    </row>
    <row r="65" spans="1:9" ht="20.100000000000001" customHeight="1"/>
    <row r="66" spans="1:9" s="145" customFormat="1" ht="45" customHeight="1">
      <c r="B66" s="144" t="s">
        <v>143</v>
      </c>
      <c r="C66" s="112" t="s">
        <v>140</v>
      </c>
      <c r="D66" s="114" t="s">
        <v>1</v>
      </c>
      <c r="E66" s="114">
        <f>IF($G$22="","",F66-1)</f>
        <v>2019</v>
      </c>
      <c r="F66" s="114">
        <f>IF($G$22="","",G66-1)</f>
        <v>2020</v>
      </c>
      <c r="G66" s="114">
        <f>IF($G$22="","",$G$22)</f>
        <v>2021</v>
      </c>
      <c r="H66" s="97"/>
    </row>
    <row r="67" spans="1:9" s="123" customFormat="1" ht="30" customHeight="1">
      <c r="B67" s="146" t="s">
        <v>149</v>
      </c>
      <c r="C67" s="142" t="s">
        <v>64</v>
      </c>
      <c r="D67" s="146" t="str">
        <f t="shared" ref="D67:D76" si="5">IF($D$7="","",$D$7)</f>
        <v>zł</v>
      </c>
      <c r="E67" s="147">
        <f>ROUND(E33+E34+E40+E41-E42,1)</f>
        <v>0</v>
      </c>
      <c r="F67" s="147">
        <f t="shared" ref="F67:G67" si="6">ROUND(F33+F34+F40+F41-F42,1)</f>
        <v>0</v>
      </c>
      <c r="G67" s="147">
        <f t="shared" si="6"/>
        <v>0</v>
      </c>
      <c r="H67" s="97"/>
    </row>
    <row r="68" spans="1:9" s="123" customFormat="1" ht="30" customHeight="1">
      <c r="B68" s="146" t="s">
        <v>150</v>
      </c>
      <c r="C68" s="142" t="s">
        <v>63</v>
      </c>
      <c r="D68" s="146" t="str">
        <f t="shared" si="5"/>
        <v>zł</v>
      </c>
      <c r="E68" s="147">
        <f>ROUND((E35+E36+E37+E39)-E34,1)</f>
        <v>0</v>
      </c>
      <c r="F68" s="147">
        <f>ROUND((F35+F36+F37+F39)-F34,1)</f>
        <v>0</v>
      </c>
      <c r="G68" s="147">
        <f>ROUND((G35+G36+G37+G39)-G34,1)</f>
        <v>0</v>
      </c>
      <c r="H68" s="97"/>
    </row>
    <row r="69" spans="1:9" s="123" customFormat="1" ht="30" customHeight="1">
      <c r="B69" s="146" t="s">
        <v>151</v>
      </c>
      <c r="C69" s="142" t="s">
        <v>68</v>
      </c>
      <c r="D69" s="146" t="str">
        <f t="shared" si="5"/>
        <v>zł</v>
      </c>
      <c r="E69" s="147">
        <f>ROUND(E45+E46-E51,1)</f>
        <v>0</v>
      </c>
      <c r="F69" s="147">
        <f>ROUND(F45+F46-F51,1)</f>
        <v>0</v>
      </c>
      <c r="G69" s="147">
        <f>ROUND(G45+G46-G51,1)</f>
        <v>0</v>
      </c>
      <c r="H69" s="97"/>
      <c r="I69" s="97"/>
    </row>
    <row r="70" spans="1:9" s="123" customFormat="1" ht="30" customHeight="1">
      <c r="B70" s="146" t="s">
        <v>152</v>
      </c>
      <c r="C70" s="142" t="s">
        <v>72</v>
      </c>
      <c r="D70" s="146" t="str">
        <f t="shared" si="5"/>
        <v>zł</v>
      </c>
      <c r="E70" s="147">
        <f>ROUND((E47+E48+E49+E50)-E46,1)</f>
        <v>0</v>
      </c>
      <c r="F70" s="147">
        <f>ROUND((F47+F48+F49+F50)-F46,1)</f>
        <v>0</v>
      </c>
      <c r="G70" s="147">
        <f>ROUND((G47+G48+G49+G50)-G46,1)</f>
        <v>0</v>
      </c>
      <c r="H70" s="97"/>
      <c r="I70" s="97"/>
    </row>
    <row r="71" spans="1:9" s="123" customFormat="1" ht="30" customHeight="1">
      <c r="B71" s="146" t="s">
        <v>153</v>
      </c>
      <c r="C71" s="142" t="s">
        <v>65</v>
      </c>
      <c r="D71" s="146" t="str">
        <f t="shared" si="5"/>
        <v>zł</v>
      </c>
      <c r="E71" s="147">
        <f>ROUND(E57-E58-E56,1)</f>
        <v>0</v>
      </c>
      <c r="F71" s="147">
        <f t="shared" ref="F71:G71" si="7">ROUND(F57-F58-F56,1)</f>
        <v>0</v>
      </c>
      <c r="G71" s="147">
        <f t="shared" si="7"/>
        <v>0</v>
      </c>
      <c r="H71" s="97"/>
      <c r="I71" s="97"/>
    </row>
    <row r="72" spans="1:9" s="123" customFormat="1" ht="30" customHeight="1">
      <c r="A72" s="148">
        <v>2022</v>
      </c>
      <c r="B72" s="146" t="s">
        <v>156</v>
      </c>
      <c r="C72" s="142" t="s">
        <v>69</v>
      </c>
      <c r="D72" s="146" t="str">
        <f t="shared" si="5"/>
        <v>zł</v>
      </c>
      <c r="E72" s="147">
        <f>ROUND(E54+E55+E56-E62,1)</f>
        <v>0</v>
      </c>
      <c r="F72" s="147">
        <f>ROUND(F54+F55+F56-F62,1)</f>
        <v>0</v>
      </c>
      <c r="G72" s="147">
        <f>ROUND(G54+G55+G56-G62,1)</f>
        <v>0</v>
      </c>
      <c r="H72" s="97"/>
      <c r="I72" s="97"/>
    </row>
    <row r="73" spans="1:9" s="123" customFormat="1" ht="30" customHeight="1">
      <c r="A73" s="148">
        <v>2023</v>
      </c>
      <c r="B73" s="146" t="s">
        <v>167</v>
      </c>
      <c r="C73" s="142" t="s">
        <v>70</v>
      </c>
      <c r="D73" s="146" t="str">
        <f t="shared" si="5"/>
        <v>zł</v>
      </c>
      <c r="E73" s="147">
        <f>ROUND(E62+E63-E64,1)</f>
        <v>0</v>
      </c>
      <c r="F73" s="147">
        <f>ROUND(F62+F63-F64,1)</f>
        <v>0</v>
      </c>
      <c r="G73" s="147">
        <f>ROUND(G62+G63-G64,1)</f>
        <v>0</v>
      </c>
      <c r="H73" s="97"/>
      <c r="I73" s="97"/>
    </row>
    <row r="74" spans="1:9" s="123" customFormat="1" ht="30" customHeight="1">
      <c r="A74" s="149" t="s">
        <v>234</v>
      </c>
      <c r="B74" s="146" t="s">
        <v>168</v>
      </c>
      <c r="C74" s="142" t="s">
        <v>71</v>
      </c>
      <c r="D74" s="146" t="str">
        <f t="shared" si="5"/>
        <v>zł</v>
      </c>
      <c r="E74" s="147">
        <f>ROUND(E64-E38,1)</f>
        <v>0</v>
      </c>
      <c r="F74" s="147">
        <f>ROUND(F64-F38,1)</f>
        <v>0</v>
      </c>
      <c r="G74" s="147">
        <f>ROUND(G64-G38,1)</f>
        <v>0</v>
      </c>
      <c r="H74" s="97"/>
      <c r="I74" s="97"/>
    </row>
    <row r="75" spans="1:9" s="123" customFormat="1" ht="30" customHeight="1">
      <c r="A75" s="149" t="s">
        <v>235</v>
      </c>
      <c r="B75" s="146" t="s">
        <v>182</v>
      </c>
      <c r="C75" s="142" t="s">
        <v>66</v>
      </c>
      <c r="D75" s="146" t="str">
        <f t="shared" si="5"/>
        <v>zł</v>
      </c>
      <c r="E75" s="147">
        <f>ROUND(E51-E42,1)</f>
        <v>0</v>
      </c>
      <c r="F75" s="147">
        <f>ROUND(F51-F42,1)</f>
        <v>0</v>
      </c>
      <c r="G75" s="147">
        <f>ROUND(G51-G42,1)</f>
        <v>0</v>
      </c>
      <c r="H75" s="97"/>
      <c r="I75" s="97"/>
    </row>
    <row r="76" spans="1:9" s="123" customFormat="1" ht="30" customHeight="1">
      <c r="A76" s="149"/>
      <c r="B76" s="146" t="s">
        <v>188</v>
      </c>
      <c r="C76" s="142" t="s">
        <v>67</v>
      </c>
      <c r="D76" s="146" t="str">
        <f t="shared" si="5"/>
        <v>zł</v>
      </c>
      <c r="E76" s="150"/>
      <c r="F76" s="147">
        <f>ROUND(E64-F63,1)</f>
        <v>0</v>
      </c>
      <c r="G76" s="147">
        <f>ROUND(F64-G63,1)</f>
        <v>0</v>
      </c>
      <c r="H76" s="97"/>
      <c r="I76" s="97"/>
    </row>
    <row r="77" spans="1:9"/>
    <row r="78" spans="1:9" hidden="1"/>
    <row r="79" spans="1:9" hidden="1"/>
    <row r="80" spans="1:9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</sheetData>
  <sheetProtection algorithmName="SHA-512" hashValue="+KD96ndySkDkROn6M5Qleb4/LQA8VoLf6HfZPp9YlhvASXEzu3Ei6SIGKZHV+F2gJg7ORn9nm4p8Jl3jrtgUEg==" saltValue="6nvGQCADrMGSWoEomWrDfg==" spinCount="100000" sheet="1" selectLockedCells="1"/>
  <protectedRanges>
    <protectedRange sqref="C7 B2:G4 G6:G7 B6:D6 F7:F8 F5:H5" name="Zakres1"/>
    <protectedRange sqref="E23:G30" name="Zakres5_1"/>
    <protectedRange sqref="E33:G42" name="Zakres6_1"/>
    <protectedRange sqref="E45:G45" name="Zakres7_1"/>
    <protectedRange sqref="E46:G51" name="Zakres7_2_1"/>
    <protectedRange sqref="E54:G57" name="Zakres8_1"/>
    <protectedRange sqref="E59:G64" name="Zakres9_1"/>
  </protectedRanges>
  <dataConsolidate/>
  <mergeCells count="17">
    <mergeCell ref="B3:C3"/>
    <mergeCell ref="D3:G3"/>
    <mergeCell ref="B2:C2"/>
    <mergeCell ref="D2:G2"/>
    <mergeCell ref="B4:C4"/>
    <mergeCell ref="B7:C7"/>
    <mergeCell ref="B5:C5"/>
    <mergeCell ref="B6:C6"/>
    <mergeCell ref="D4:G4"/>
    <mergeCell ref="B10:C10"/>
    <mergeCell ref="B11:C11"/>
    <mergeCell ref="B14:C14"/>
    <mergeCell ref="B19:C19"/>
    <mergeCell ref="B18:C18"/>
    <mergeCell ref="B17:C17"/>
    <mergeCell ref="B16:C16"/>
    <mergeCell ref="B15:C15"/>
  </mergeCells>
  <phoneticPr fontId="31" type="noConversion"/>
  <conditionalFormatting sqref="E75:G75 E67:G67">
    <cfRule type="cellIs" dxfId="14" priority="27" stopIfTrue="1" operator="notEqual">
      <formula>0</formula>
    </cfRule>
  </conditionalFormatting>
  <conditionalFormatting sqref="E76:G76 E68:G74">
    <cfRule type="cellIs" dxfId="13" priority="28" stopIfTrue="1" operator="notEqual">
      <formula>0</formula>
    </cfRule>
  </conditionalFormatting>
  <conditionalFormatting sqref="E57:G57">
    <cfRule type="cellIs" dxfId="12" priority="29" stopIfTrue="1" operator="lessThan">
      <formula>0</formula>
    </cfRule>
  </conditionalFormatting>
  <conditionalFormatting sqref="E57:G57">
    <cfRule type="cellIs" dxfId="11" priority="11" stopIfTrue="1" operator="lessThan">
      <formula>0</formula>
    </cfRule>
  </conditionalFormatting>
  <conditionalFormatting sqref="E57:G57">
    <cfRule type="cellIs" dxfId="10" priority="10" stopIfTrue="1" operator="lessThan">
      <formula>0</formula>
    </cfRule>
  </conditionalFormatting>
  <conditionalFormatting sqref="E57:G57">
    <cfRule type="cellIs" dxfId="9" priority="9" stopIfTrue="1" operator="lessThan">
      <formula>0</formula>
    </cfRule>
  </conditionalFormatting>
  <conditionalFormatting sqref="E57:G57">
    <cfRule type="cellIs" dxfId="8" priority="8" stopIfTrue="1" operator="lessThan">
      <formula>0</formula>
    </cfRule>
  </conditionalFormatting>
  <conditionalFormatting sqref="E57:G57">
    <cfRule type="cellIs" dxfId="7" priority="7" stopIfTrue="1" operator="lessThan">
      <formula>0</formula>
    </cfRule>
  </conditionalFormatting>
  <conditionalFormatting sqref="E57:G57">
    <cfRule type="cellIs" dxfId="6" priority="6" stopIfTrue="1" operator="lessThan">
      <formula>0</formula>
    </cfRule>
  </conditionalFormatting>
  <conditionalFormatting sqref="E57:G57">
    <cfRule type="cellIs" dxfId="5" priority="5" stopIfTrue="1" operator="lessThan">
      <formula>0</formula>
    </cfRule>
  </conditionalFormatting>
  <conditionalFormatting sqref="E57:G57">
    <cfRule type="cellIs" dxfId="4" priority="4" stopIfTrue="1" operator="lessThan">
      <formula>0</formula>
    </cfRule>
  </conditionalFormatting>
  <conditionalFormatting sqref="E57:G57">
    <cfRule type="cellIs" dxfId="3" priority="3" stopIfTrue="1" operator="lessThan">
      <formula>0</formula>
    </cfRule>
  </conditionalFormatting>
  <conditionalFormatting sqref="E57:G57">
    <cfRule type="cellIs" dxfId="2" priority="2" stopIfTrue="1" operator="lessThan">
      <formula>0</formula>
    </cfRule>
  </conditionalFormatting>
  <conditionalFormatting sqref="E57:G57">
    <cfRule type="cellIs" dxfId="1" priority="1" stopIfTrue="1" operator="lessThan">
      <formula>0</formula>
    </cfRule>
  </conditionalFormatting>
  <dataValidations disablePrompts="1" xWindow="837" yWindow="442" count="4">
    <dataValidation allowBlank="1" showErrorMessage="1" sqref="B2"/>
    <dataValidation allowBlank="1" showInputMessage="1" showErrorMessage="1" prompt="Wpisz nazwę Beneficjenta" sqref="B6 B3:B4"/>
    <dataValidation type="list" allowBlank="1" showInputMessage="1" showErrorMessage="1" sqref="D6">
      <formula1>$A$72:$A$73</formula1>
    </dataValidation>
    <dataValidation type="list" allowBlank="1" showInputMessage="1" showErrorMessage="1" sqref="D7">
      <formula1>$A$74:$A$75</formula1>
    </dataValidation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22" orientation="portrait" r:id="rId1"/>
  <headerFooter alignWithMargins="0">
    <oddHeader>&amp;LZałącznik do opinii finansowej - wyniki oceny bieżącej i prognozowanej sytuacji finansowej Wnioskodawcy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X291"/>
  <sheetViews>
    <sheetView showGridLines="0" zoomScale="85" zoomScaleNormal="85" zoomScaleSheetLayoutView="85" workbookViewId="0"/>
  </sheetViews>
  <sheetFormatPr defaultColWidth="0" defaultRowHeight="12.75" zeroHeight="1"/>
  <cols>
    <col min="1" max="1" width="5.7109375" style="5" customWidth="1"/>
    <col min="2" max="2" width="4.7109375" style="11" customWidth="1"/>
    <col min="3" max="3" width="63.140625" style="5" customWidth="1"/>
    <col min="4" max="4" width="10.7109375" style="11" customWidth="1"/>
    <col min="5" max="6" width="18.7109375" style="5" customWidth="1"/>
    <col min="7" max="7" width="18.7109375" style="11" customWidth="1"/>
    <col min="8" max="8" width="10.7109375" style="5" customWidth="1"/>
    <col min="9" max="12" width="20.7109375" style="5" customWidth="1"/>
    <col min="13" max="13" width="14.7109375" style="5" customWidth="1"/>
    <col min="14" max="14" width="13.85546875" style="5" hidden="1" customWidth="1"/>
    <col min="15" max="16" width="10.7109375" style="5" hidden="1" customWidth="1"/>
    <col min="17" max="17" width="14.42578125" style="5" hidden="1" customWidth="1"/>
    <col min="18" max="24" width="10.7109375" style="5" hidden="1" customWidth="1"/>
    <col min="25" max="16384" width="9.140625" style="5" hidden="1"/>
  </cols>
  <sheetData>
    <row r="1" spans="2:9" ht="20.100000000000001" customHeight="1">
      <c r="C1" s="12"/>
      <c r="D1" s="5"/>
      <c r="G1" s="5"/>
    </row>
    <row r="2" spans="2:9" ht="30" customHeight="1">
      <c r="B2" s="211" t="s">
        <v>31</v>
      </c>
      <c r="C2" s="212"/>
      <c r="D2" s="212"/>
      <c r="E2" s="212"/>
      <c r="F2" s="212"/>
      <c r="G2" s="212"/>
      <c r="H2" s="212"/>
      <c r="I2" s="227"/>
    </row>
    <row r="3" spans="2:9" ht="20.100000000000001" customHeight="1">
      <c r="B3" s="74" t="s">
        <v>143</v>
      </c>
      <c r="C3" s="80" t="s">
        <v>23</v>
      </c>
      <c r="D3" s="211" t="s">
        <v>24</v>
      </c>
      <c r="E3" s="212"/>
      <c r="F3" s="212"/>
      <c r="G3" s="227"/>
      <c r="H3" s="74" t="s">
        <v>25</v>
      </c>
      <c r="I3" s="74" t="s">
        <v>26</v>
      </c>
    </row>
    <row r="4" spans="2:9" ht="15" customHeight="1">
      <c r="B4" s="228" t="s">
        <v>149</v>
      </c>
      <c r="C4" s="230" t="s">
        <v>240</v>
      </c>
      <c r="D4" s="232" t="s">
        <v>222</v>
      </c>
      <c r="E4" s="233"/>
      <c r="F4" s="233"/>
      <c r="G4" s="234"/>
      <c r="H4" s="14">
        <v>10</v>
      </c>
      <c r="I4" s="235">
        <f>IF(OR(ISNUMBER(Wyniki!E57),ISNUMBER(Wyniki!F57),ISNUMBER(Wyniki!G57)),Wyniki!E76,0)</f>
        <v>0</v>
      </c>
    </row>
    <row r="5" spans="2:9" ht="15" customHeight="1">
      <c r="B5" s="228"/>
      <c r="C5" s="230"/>
      <c r="D5" s="238" t="s">
        <v>42</v>
      </c>
      <c r="E5" s="239"/>
      <c r="F5" s="239"/>
      <c r="G5" s="240"/>
      <c r="H5" s="14">
        <v>6</v>
      </c>
      <c r="I5" s="236"/>
    </row>
    <row r="6" spans="2:9" ht="15" customHeight="1">
      <c r="B6" s="228"/>
      <c r="C6" s="230"/>
      <c r="D6" s="238" t="s">
        <v>43</v>
      </c>
      <c r="E6" s="239"/>
      <c r="F6" s="239"/>
      <c r="G6" s="240"/>
      <c r="H6" s="14">
        <v>3</v>
      </c>
      <c r="I6" s="236"/>
    </row>
    <row r="7" spans="2:9" ht="15" customHeight="1">
      <c r="B7" s="229"/>
      <c r="C7" s="231"/>
      <c r="D7" s="241" t="s">
        <v>44</v>
      </c>
      <c r="E7" s="242"/>
      <c r="F7" s="242"/>
      <c r="G7" s="243"/>
      <c r="H7" s="15">
        <v>2</v>
      </c>
      <c r="I7" s="237"/>
    </row>
    <row r="8" spans="2:9" ht="15" customHeight="1">
      <c r="B8" s="244" t="s">
        <v>150</v>
      </c>
      <c r="C8" s="245" t="s">
        <v>241</v>
      </c>
      <c r="D8" s="232" t="s">
        <v>47</v>
      </c>
      <c r="E8" s="233"/>
      <c r="F8" s="233"/>
      <c r="G8" s="234"/>
      <c r="H8" s="14">
        <v>10</v>
      </c>
      <c r="I8" s="235">
        <f>IF(OR(ISNUMBER(Wyniki!E58),ISNUMBER(Wyniki!F58),ISNUMBER(Wyniki!G58)),Wyniki!E77,0)</f>
        <v>0</v>
      </c>
    </row>
    <row r="9" spans="2:9" ht="15" customHeight="1">
      <c r="B9" s="228"/>
      <c r="C9" s="230"/>
      <c r="D9" s="238" t="s">
        <v>48</v>
      </c>
      <c r="E9" s="239"/>
      <c r="F9" s="239"/>
      <c r="G9" s="240"/>
      <c r="H9" s="14">
        <v>8</v>
      </c>
      <c r="I9" s="236"/>
    </row>
    <row r="10" spans="2:9" ht="15" customHeight="1">
      <c r="B10" s="228"/>
      <c r="C10" s="230"/>
      <c r="D10" s="238" t="s">
        <v>49</v>
      </c>
      <c r="E10" s="239"/>
      <c r="F10" s="239"/>
      <c r="G10" s="240"/>
      <c r="H10" s="14">
        <v>0</v>
      </c>
      <c r="I10" s="236"/>
    </row>
    <row r="11" spans="2:9" ht="15" customHeight="1">
      <c r="B11" s="229"/>
      <c r="C11" s="231"/>
      <c r="D11" s="241" t="s">
        <v>44</v>
      </c>
      <c r="E11" s="242"/>
      <c r="F11" s="242"/>
      <c r="G11" s="243"/>
      <c r="H11" s="15">
        <v>5</v>
      </c>
      <c r="I11" s="237"/>
    </row>
    <row r="12" spans="2:9" ht="15" customHeight="1">
      <c r="B12" s="244" t="s">
        <v>151</v>
      </c>
      <c r="C12" s="245" t="s">
        <v>242</v>
      </c>
      <c r="D12" s="232" t="s">
        <v>216</v>
      </c>
      <c r="E12" s="233"/>
      <c r="F12" s="233"/>
      <c r="G12" s="234"/>
      <c r="H12" s="14">
        <v>10</v>
      </c>
      <c r="I12" s="246">
        <f>ROUND(Wyniki!E78,0)</f>
        <v>0</v>
      </c>
    </row>
    <row r="13" spans="2:9" ht="15" customHeight="1">
      <c r="B13" s="228"/>
      <c r="C13" s="230"/>
      <c r="D13" s="238" t="s">
        <v>45</v>
      </c>
      <c r="E13" s="239"/>
      <c r="F13" s="239"/>
      <c r="G13" s="240"/>
      <c r="H13" s="16" t="s">
        <v>28</v>
      </c>
      <c r="I13" s="236"/>
    </row>
    <row r="14" spans="2:9" ht="15" customHeight="1">
      <c r="B14" s="228"/>
      <c r="C14" s="230"/>
      <c r="D14" s="247" t="s">
        <v>46</v>
      </c>
      <c r="E14" s="248"/>
      <c r="F14" s="248"/>
      <c r="G14" s="249"/>
      <c r="H14" s="63">
        <v>0</v>
      </c>
      <c r="I14" s="236"/>
    </row>
    <row r="15" spans="2:9" ht="15" customHeight="1">
      <c r="B15" s="229"/>
      <c r="C15" s="231"/>
      <c r="D15" s="241" t="s">
        <v>224</v>
      </c>
      <c r="E15" s="242"/>
      <c r="F15" s="242"/>
      <c r="G15" s="243"/>
      <c r="H15" s="17">
        <v>0</v>
      </c>
      <c r="I15" s="237"/>
    </row>
    <row r="16" spans="2:9" ht="15" customHeight="1">
      <c r="B16" s="244" t="s">
        <v>152</v>
      </c>
      <c r="C16" s="245" t="s">
        <v>243</v>
      </c>
      <c r="D16" s="232" t="s">
        <v>217</v>
      </c>
      <c r="E16" s="233"/>
      <c r="F16" s="233"/>
      <c r="G16" s="234"/>
      <c r="H16" s="68">
        <v>10</v>
      </c>
      <c r="I16" s="235">
        <f>ROUND(Wyniki!E79,0)</f>
        <v>0</v>
      </c>
    </row>
    <row r="17" spans="2:9" ht="15" customHeight="1">
      <c r="B17" s="228"/>
      <c r="C17" s="230"/>
      <c r="D17" s="238" t="s">
        <v>154</v>
      </c>
      <c r="E17" s="239"/>
      <c r="F17" s="239"/>
      <c r="G17" s="240"/>
      <c r="H17" s="18" t="s">
        <v>261</v>
      </c>
      <c r="I17" s="236"/>
    </row>
    <row r="18" spans="2:9" ht="15" customHeight="1">
      <c r="B18" s="229"/>
      <c r="C18" s="231"/>
      <c r="D18" s="241" t="s">
        <v>155</v>
      </c>
      <c r="E18" s="242"/>
      <c r="F18" s="242"/>
      <c r="G18" s="243"/>
      <c r="H18" s="65">
        <v>0</v>
      </c>
      <c r="I18" s="237"/>
    </row>
    <row r="19" spans="2:9" ht="15" customHeight="1">
      <c r="B19" s="244" t="s">
        <v>153</v>
      </c>
      <c r="C19" s="245" t="s">
        <v>244</v>
      </c>
      <c r="D19" s="232" t="s">
        <v>218</v>
      </c>
      <c r="E19" s="233"/>
      <c r="F19" s="233"/>
      <c r="G19" s="234"/>
      <c r="H19" s="14">
        <v>5</v>
      </c>
      <c r="I19" s="235">
        <f>ROUND(Wyniki!E80,0)</f>
        <v>0</v>
      </c>
    </row>
    <row r="20" spans="2:9" ht="15" customHeight="1">
      <c r="B20" s="228"/>
      <c r="C20" s="230"/>
      <c r="D20" s="238" t="s">
        <v>50</v>
      </c>
      <c r="E20" s="239"/>
      <c r="F20" s="239"/>
      <c r="G20" s="240"/>
      <c r="H20" s="16" t="s">
        <v>52</v>
      </c>
      <c r="I20" s="236"/>
    </row>
    <row r="21" spans="2:9" ht="15" customHeight="1">
      <c r="B21" s="229"/>
      <c r="C21" s="231"/>
      <c r="D21" s="241" t="s">
        <v>46</v>
      </c>
      <c r="E21" s="242"/>
      <c r="F21" s="242"/>
      <c r="G21" s="243"/>
      <c r="H21" s="15">
        <v>0</v>
      </c>
      <c r="I21" s="237"/>
    </row>
    <row r="22" spans="2:9" ht="15" customHeight="1">
      <c r="B22" s="244" t="s">
        <v>156</v>
      </c>
      <c r="C22" s="245" t="s">
        <v>245</v>
      </c>
      <c r="D22" s="232" t="s">
        <v>219</v>
      </c>
      <c r="E22" s="233"/>
      <c r="F22" s="233"/>
      <c r="G22" s="234"/>
      <c r="H22" s="14">
        <v>5</v>
      </c>
      <c r="I22" s="235">
        <f>ROUND(Wyniki!E81,0)</f>
        <v>0</v>
      </c>
    </row>
    <row r="23" spans="2:9" ht="15" customHeight="1">
      <c r="B23" s="228"/>
      <c r="C23" s="230"/>
      <c r="D23" s="238" t="s">
        <v>51</v>
      </c>
      <c r="E23" s="239"/>
      <c r="F23" s="239"/>
      <c r="G23" s="240"/>
      <c r="H23" s="19" t="s">
        <v>262</v>
      </c>
      <c r="I23" s="236"/>
    </row>
    <row r="24" spans="2:9" ht="15" customHeight="1">
      <c r="B24" s="229"/>
      <c r="C24" s="231"/>
      <c r="D24" s="241" t="s">
        <v>76</v>
      </c>
      <c r="E24" s="242"/>
      <c r="F24" s="242"/>
      <c r="G24" s="243"/>
      <c r="H24" s="15">
        <v>0</v>
      </c>
      <c r="I24" s="237"/>
    </row>
    <row r="25" spans="2:9" ht="15" customHeight="1">
      <c r="B25" s="235" t="s">
        <v>167</v>
      </c>
      <c r="C25" s="261" t="s">
        <v>246</v>
      </c>
      <c r="D25" s="263" t="s">
        <v>220</v>
      </c>
      <c r="E25" s="264"/>
      <c r="F25" s="264"/>
      <c r="G25" s="265"/>
      <c r="H25" s="66">
        <v>0</v>
      </c>
      <c r="I25" s="235">
        <f>IF(OR(ISNUMBER(Wyniki!E63),ISNUMBER(Wyniki!F63),ISNUMBER(Wyniki!G63)),Wyniki!E82,0)</f>
        <v>0</v>
      </c>
    </row>
    <row r="26" spans="2:9" ht="15" customHeight="1">
      <c r="B26" s="236"/>
      <c r="C26" s="262"/>
      <c r="D26" s="268" t="s">
        <v>74</v>
      </c>
      <c r="E26" s="269"/>
      <c r="F26" s="269"/>
      <c r="G26" s="270"/>
      <c r="H26" s="67" t="s">
        <v>28</v>
      </c>
      <c r="I26" s="236"/>
    </row>
    <row r="27" spans="2:9" ht="20.100000000000001" customHeight="1">
      <c r="B27" s="266" t="s">
        <v>168</v>
      </c>
      <c r="C27" s="250" t="s">
        <v>247</v>
      </c>
      <c r="D27" s="252" t="s">
        <v>221</v>
      </c>
      <c r="E27" s="253"/>
      <c r="F27" s="253"/>
      <c r="G27" s="254"/>
      <c r="H27" s="66">
        <v>10</v>
      </c>
      <c r="I27" s="235">
        <f>ROUND(Wyniki!E83,0)</f>
        <v>10</v>
      </c>
    </row>
    <row r="28" spans="2:9" ht="20.100000000000001" customHeight="1">
      <c r="B28" s="266"/>
      <c r="C28" s="250"/>
      <c r="D28" s="255" t="s">
        <v>9</v>
      </c>
      <c r="E28" s="256"/>
      <c r="F28" s="256"/>
      <c r="G28" s="257"/>
      <c r="H28" s="20" t="s">
        <v>261</v>
      </c>
      <c r="I28" s="236"/>
    </row>
    <row r="29" spans="2:9" ht="20.100000000000001" customHeight="1">
      <c r="B29" s="267"/>
      <c r="C29" s="251"/>
      <c r="D29" s="258" t="s">
        <v>29</v>
      </c>
      <c r="E29" s="259"/>
      <c r="F29" s="259"/>
      <c r="G29" s="260"/>
      <c r="H29" s="67">
        <v>0</v>
      </c>
      <c r="I29" s="236"/>
    </row>
    <row r="30" spans="2:9" ht="15" customHeight="1">
      <c r="B30" s="244" t="s">
        <v>182</v>
      </c>
      <c r="C30" s="245" t="s">
        <v>248</v>
      </c>
      <c r="D30" s="232" t="s">
        <v>77</v>
      </c>
      <c r="E30" s="233"/>
      <c r="F30" s="233"/>
      <c r="G30" s="234"/>
      <c r="H30" s="14">
        <v>10</v>
      </c>
      <c r="I30" s="246">
        <f>ROUND(Wyniki!E84,0)</f>
        <v>0</v>
      </c>
    </row>
    <row r="31" spans="2:9" ht="15" customHeight="1">
      <c r="B31" s="228"/>
      <c r="C31" s="230"/>
      <c r="D31" s="238" t="s">
        <v>90</v>
      </c>
      <c r="E31" s="239"/>
      <c r="F31" s="239"/>
      <c r="G31" s="240"/>
      <c r="H31" s="16" t="s">
        <v>28</v>
      </c>
      <c r="I31" s="236"/>
    </row>
    <row r="32" spans="2:9" ht="15" customHeight="1">
      <c r="B32" s="229"/>
      <c r="C32" s="231"/>
      <c r="D32" s="241" t="s">
        <v>78</v>
      </c>
      <c r="E32" s="242"/>
      <c r="F32" s="242"/>
      <c r="G32" s="243"/>
      <c r="H32" s="15">
        <v>0</v>
      </c>
      <c r="I32" s="237"/>
    </row>
    <row r="33" spans="2:9" ht="15" customHeight="1">
      <c r="B33" s="244" t="s">
        <v>188</v>
      </c>
      <c r="C33" s="245" t="s">
        <v>249</v>
      </c>
      <c r="D33" s="232" t="s">
        <v>217</v>
      </c>
      <c r="E33" s="233"/>
      <c r="F33" s="233"/>
      <c r="G33" s="234"/>
      <c r="H33" s="14">
        <v>5</v>
      </c>
      <c r="I33" s="235">
        <f>ROUND(E85,0)</f>
        <v>0</v>
      </c>
    </row>
    <row r="34" spans="2:9" ht="15" customHeight="1">
      <c r="B34" s="228"/>
      <c r="C34" s="230"/>
      <c r="D34" s="238" t="s">
        <v>27</v>
      </c>
      <c r="E34" s="239"/>
      <c r="F34" s="239"/>
      <c r="G34" s="240"/>
      <c r="H34" s="19" t="s">
        <v>262</v>
      </c>
      <c r="I34" s="236"/>
    </row>
    <row r="35" spans="2:9" ht="15" customHeight="1">
      <c r="B35" s="229"/>
      <c r="C35" s="231"/>
      <c r="D35" s="241" t="s">
        <v>75</v>
      </c>
      <c r="E35" s="242"/>
      <c r="F35" s="242"/>
      <c r="G35" s="243"/>
      <c r="H35" s="15">
        <v>0</v>
      </c>
      <c r="I35" s="237"/>
    </row>
    <row r="36" spans="2:9" ht="20.100000000000001" customHeight="1">
      <c r="B36" s="244" t="s">
        <v>189</v>
      </c>
      <c r="C36" s="245" t="s">
        <v>250</v>
      </c>
      <c r="D36" s="232" t="s">
        <v>53</v>
      </c>
      <c r="E36" s="233"/>
      <c r="F36" s="233"/>
      <c r="G36" s="234"/>
      <c r="H36" s="14">
        <v>5</v>
      </c>
      <c r="I36" s="235">
        <f>ROUND(Wyniki!E86,0)</f>
        <v>0</v>
      </c>
    </row>
    <row r="37" spans="2:9" ht="20.100000000000001" customHeight="1">
      <c r="B37" s="229"/>
      <c r="C37" s="231"/>
      <c r="D37" s="241" t="s">
        <v>54</v>
      </c>
      <c r="E37" s="242"/>
      <c r="F37" s="242"/>
      <c r="G37" s="243"/>
      <c r="H37" s="15">
        <v>0</v>
      </c>
      <c r="I37" s="237"/>
    </row>
    <row r="38" spans="2:9" ht="24.95" customHeight="1">
      <c r="B38" s="266" t="s">
        <v>36</v>
      </c>
      <c r="C38" s="245" t="s">
        <v>251</v>
      </c>
      <c r="D38" s="252" t="s">
        <v>221</v>
      </c>
      <c r="E38" s="253"/>
      <c r="F38" s="253"/>
      <c r="G38" s="254"/>
      <c r="H38" s="71">
        <v>10</v>
      </c>
      <c r="I38" s="246" t="str">
        <f>IF(ISNUMBER(E87),ROUND(Wyniki!E87,0),"0")</f>
        <v>0</v>
      </c>
    </row>
    <row r="39" spans="2:9" ht="24.95" customHeight="1">
      <c r="B39" s="266"/>
      <c r="C39" s="271"/>
      <c r="D39" s="255" t="s">
        <v>55</v>
      </c>
      <c r="E39" s="256"/>
      <c r="F39" s="256"/>
      <c r="G39" s="257"/>
      <c r="H39" s="21" t="s">
        <v>261</v>
      </c>
      <c r="I39" s="236"/>
    </row>
    <row r="40" spans="2:9" ht="24.95" customHeight="1">
      <c r="B40" s="266"/>
      <c r="C40" s="272"/>
      <c r="D40" s="258" t="s">
        <v>57</v>
      </c>
      <c r="E40" s="259"/>
      <c r="F40" s="259"/>
      <c r="G40" s="260"/>
      <c r="H40" s="22">
        <v>0</v>
      </c>
      <c r="I40" s="237"/>
    </row>
    <row r="41" spans="2:9" ht="30" customHeight="1">
      <c r="B41" s="276" t="s">
        <v>30</v>
      </c>
      <c r="C41" s="277"/>
      <c r="D41" s="277"/>
      <c r="E41" s="277"/>
      <c r="F41" s="277"/>
      <c r="G41" s="278"/>
      <c r="H41" s="23"/>
      <c r="I41" s="24">
        <f>SUM(I4:I40)</f>
        <v>10</v>
      </c>
    </row>
    <row r="42" spans="2:9" ht="30" customHeight="1">
      <c r="B42" s="279" t="s">
        <v>126</v>
      </c>
      <c r="C42" s="280"/>
      <c r="D42" s="280"/>
      <c r="E42" s="280"/>
      <c r="F42" s="280"/>
      <c r="G42" s="281"/>
      <c r="H42" s="274" t="str">
        <f>IF(I41&gt;75,"Wysoka",IF(I41&gt;59,"Dobra",IF(I41&gt;49,"Zadawalająca",IF(I41&gt;32,"Niska","Zła/trudności finansowe"))))</f>
        <v>Zła/trudności finansowe</v>
      </c>
      <c r="I42" s="275"/>
    </row>
    <row r="43" spans="2:9" ht="30" customHeight="1">
      <c r="B43" s="282" t="str">
        <f>IF('Dane finansowe'!B2="","",'Dane finansowe'!B2)</f>
        <v>Nazwa Beneficjenta:</v>
      </c>
      <c r="C43" s="283"/>
      <c r="D43" s="276" t="str">
        <f>IF('Dane finansowe'!E2="","",'Dane finansowe'!E2)</f>
        <v/>
      </c>
      <c r="E43" s="284"/>
      <c r="F43" s="284"/>
      <c r="G43" s="284"/>
      <c r="H43" s="284"/>
      <c r="I43" s="285"/>
    </row>
    <row r="44" spans="2:9" ht="30" customHeight="1">
      <c r="B44" s="282" t="str">
        <f>IF('Dane finansowe'!B4="","",'Dane finansowe'!B4)</f>
        <v xml:space="preserve">Nazwa Programu priorytowego/Komentarz </v>
      </c>
      <c r="C44" s="283"/>
      <c r="D44" s="276" t="str">
        <f>IF('Dane finansowe'!E4="","",'Dane finansowe'!E4)</f>
        <v/>
      </c>
      <c r="E44" s="284"/>
      <c r="F44" s="284"/>
      <c r="G44" s="284"/>
      <c r="H44" s="284"/>
      <c r="I44" s="285"/>
    </row>
    <row r="45" spans="2:9" ht="30" customHeight="1">
      <c r="B45" s="287" t="s">
        <v>56</v>
      </c>
      <c r="C45" s="288"/>
      <c r="D45" s="288"/>
      <c r="E45" s="288"/>
      <c r="F45" s="288"/>
      <c r="G45" s="288"/>
      <c r="H45" s="288"/>
      <c r="I45" s="289"/>
    </row>
    <row r="46" spans="2:9" s="27" customFormat="1" ht="20.100000000000001" customHeight="1">
      <c r="B46" s="25" t="s">
        <v>143</v>
      </c>
      <c r="C46" s="26" t="s">
        <v>126</v>
      </c>
      <c r="D46" s="290" t="s">
        <v>127</v>
      </c>
      <c r="E46" s="291"/>
      <c r="F46" s="291"/>
      <c r="G46" s="291"/>
      <c r="H46" s="291"/>
      <c r="I46" s="292"/>
    </row>
    <row r="47" spans="2:9" ht="20.100000000000001" customHeight="1">
      <c r="B47" s="4" t="s">
        <v>149</v>
      </c>
      <c r="C47" s="88" t="s">
        <v>158</v>
      </c>
      <c r="D47" s="286" t="s">
        <v>144</v>
      </c>
      <c r="E47" s="286"/>
      <c r="F47" s="286"/>
      <c r="G47" s="286"/>
      <c r="H47" s="286"/>
      <c r="I47" s="286"/>
    </row>
    <row r="48" spans="2:9" ht="20.100000000000001" customHeight="1">
      <c r="B48" s="4" t="s">
        <v>150</v>
      </c>
      <c r="C48" s="88" t="s">
        <v>159</v>
      </c>
      <c r="D48" s="286" t="s">
        <v>145</v>
      </c>
      <c r="E48" s="286"/>
      <c r="F48" s="286"/>
      <c r="G48" s="286"/>
      <c r="H48" s="286"/>
      <c r="I48" s="286"/>
    </row>
    <row r="49" spans="2:9" ht="20.100000000000001" customHeight="1">
      <c r="B49" s="4" t="s">
        <v>151</v>
      </c>
      <c r="C49" s="88" t="s">
        <v>160</v>
      </c>
      <c r="D49" s="286" t="s">
        <v>146</v>
      </c>
      <c r="E49" s="286"/>
      <c r="F49" s="286"/>
      <c r="G49" s="286"/>
      <c r="H49" s="286"/>
      <c r="I49" s="286"/>
    </row>
    <row r="50" spans="2:9" ht="20.100000000000001" customHeight="1">
      <c r="B50" s="4" t="s">
        <v>152</v>
      </c>
      <c r="C50" s="88" t="s">
        <v>161</v>
      </c>
      <c r="D50" s="286" t="s">
        <v>147</v>
      </c>
      <c r="E50" s="286"/>
      <c r="F50" s="286"/>
      <c r="G50" s="286"/>
      <c r="H50" s="286"/>
      <c r="I50" s="286"/>
    </row>
    <row r="51" spans="2:9" ht="20.100000000000001" customHeight="1">
      <c r="B51" s="4" t="s">
        <v>153</v>
      </c>
      <c r="C51" s="88" t="s">
        <v>162</v>
      </c>
      <c r="D51" s="286" t="s">
        <v>148</v>
      </c>
      <c r="E51" s="286"/>
      <c r="F51" s="286"/>
      <c r="G51" s="286"/>
      <c r="H51" s="286"/>
      <c r="I51" s="286"/>
    </row>
    <row r="52" spans="2:9" ht="15" customHeight="1">
      <c r="C52" s="12"/>
      <c r="D52" s="5"/>
      <c r="F52" s="28"/>
      <c r="G52" s="5"/>
    </row>
    <row r="53" spans="2:9" ht="20.100000000000001" customHeight="1">
      <c r="C53" s="12"/>
      <c r="D53" s="5"/>
      <c r="F53" s="28"/>
      <c r="G53" s="5"/>
    </row>
    <row r="54" spans="2:9" s="29" customFormat="1" ht="15" customHeight="1"/>
    <row r="55" spans="2:9" ht="30" customHeight="1">
      <c r="B55" s="293" t="s">
        <v>112</v>
      </c>
      <c r="C55" s="293"/>
      <c r="D55" s="293"/>
      <c r="E55" s="293"/>
      <c r="F55" s="293"/>
      <c r="G55" s="293"/>
      <c r="H55" s="293"/>
      <c r="I55" s="293"/>
    </row>
    <row r="56" spans="2:9" s="31" customFormat="1" ht="26.1" customHeight="1">
      <c r="B56" s="13" t="s">
        <v>143</v>
      </c>
      <c r="C56" s="30" t="s">
        <v>157</v>
      </c>
      <c r="D56" s="30" t="s">
        <v>1</v>
      </c>
      <c r="E56" s="30">
        <f>'Dane finansowe'!E22</f>
        <v>2019</v>
      </c>
      <c r="F56" s="30">
        <f>'Dane finansowe'!F22</f>
        <v>2020</v>
      </c>
      <c r="G56" s="30">
        <f>'Dane finansowe'!G22</f>
        <v>2021</v>
      </c>
      <c r="H56" s="274" t="s">
        <v>111</v>
      </c>
      <c r="I56" s="275"/>
    </row>
    <row r="57" spans="2:9" ht="26.1" customHeight="1">
      <c r="B57" s="72" t="s">
        <v>149</v>
      </c>
      <c r="C57" s="88" t="s">
        <v>192</v>
      </c>
      <c r="D57" s="4" t="str">
        <f>IF('Dane finansowe'!D7="","",'Dane finansowe'!D7)</f>
        <v>zł</v>
      </c>
      <c r="E57" s="158" t="str">
        <f>IF('Dane finansowe'!E23=0,"",('Dane finansowe'!E23))</f>
        <v/>
      </c>
      <c r="F57" s="158" t="str">
        <f>IF('Dane finansowe'!F23=0,"",('Dane finansowe'!F23))</f>
        <v/>
      </c>
      <c r="G57" s="158" t="str">
        <f>IF('Dane finansowe'!G23=0,"",('Dane finansowe'!G23))</f>
        <v/>
      </c>
      <c r="H57" s="266" t="s">
        <v>97</v>
      </c>
      <c r="I57" s="273"/>
    </row>
    <row r="58" spans="2:9" ht="26.1" customHeight="1">
      <c r="B58" s="72" t="s">
        <v>150</v>
      </c>
      <c r="C58" s="88" t="s">
        <v>193</v>
      </c>
      <c r="D58" s="66" t="s">
        <v>187</v>
      </c>
      <c r="E58" s="162" t="str">
        <f>IF('Dane finansowe'!E23=0,"",'Dane finansowe'!E26/'Dane finansowe'!E23)</f>
        <v/>
      </c>
      <c r="F58" s="162" t="str">
        <f>IF('Dane finansowe'!F23=0,"",'Dane finansowe'!F26/'Dane finansowe'!F23)</f>
        <v/>
      </c>
      <c r="G58" s="162" t="str">
        <f>IF('Dane finansowe'!G23=0,"",'Dane finansowe'!G26/'Dane finansowe'!G23)</f>
        <v/>
      </c>
      <c r="H58" s="266" t="s">
        <v>98</v>
      </c>
      <c r="I58" s="273"/>
    </row>
    <row r="59" spans="2:9" ht="26.1" customHeight="1">
      <c r="B59" s="72" t="s">
        <v>151</v>
      </c>
      <c r="C59" s="88" t="s">
        <v>194</v>
      </c>
      <c r="D59" s="4" t="s">
        <v>187</v>
      </c>
      <c r="E59" s="170" t="str">
        <f>IF('Dane finansowe'!E45=0,"",'Dane finansowe'!E30/'Dane finansowe'!E45)</f>
        <v/>
      </c>
      <c r="F59" s="170" t="str">
        <f>IF('Dane finansowe'!F45=0,"",'Dane finansowe'!F30/'Dane finansowe'!F45)</f>
        <v/>
      </c>
      <c r="G59" s="170" t="str">
        <f>IF('Dane finansowe'!G45=0,"",'Dane finansowe'!G30/'Dane finansowe'!G45)</f>
        <v/>
      </c>
      <c r="H59" s="266" t="s">
        <v>96</v>
      </c>
      <c r="I59" s="273"/>
    </row>
    <row r="60" spans="2:9" ht="26.1" customHeight="1">
      <c r="B60" s="72" t="s">
        <v>152</v>
      </c>
      <c r="C60" s="88" t="s">
        <v>195</v>
      </c>
      <c r="D60" s="4" t="s">
        <v>5</v>
      </c>
      <c r="E60" s="164" t="str">
        <f>IF(ISNUMBER('Dane finansowe'!E49),IF('Dane finansowe'!E49=0,1.1,('Dane finansowe'!E34-'Dane finansowe'!E35)/'Dane finansowe'!E49),"")</f>
        <v/>
      </c>
      <c r="F60" s="164" t="str">
        <f>IF(ISNUMBER('Dane finansowe'!F49),IF('Dane finansowe'!F49=0,1.1,('Dane finansowe'!F34-'Dane finansowe'!F35)/'Dane finansowe'!F49),"")</f>
        <v/>
      </c>
      <c r="G60" s="164" t="str">
        <f>IF(ISNUMBER('Dane finansowe'!G49),IF('Dane finansowe'!G49=0,1.1,('Dane finansowe'!G34-'Dane finansowe'!G35)/'Dane finansowe'!G49),"")</f>
        <v/>
      </c>
      <c r="H60" s="266" t="s">
        <v>99</v>
      </c>
      <c r="I60" s="273"/>
    </row>
    <row r="61" spans="2:9" ht="26.1" customHeight="1">
      <c r="B61" s="72" t="s">
        <v>153</v>
      </c>
      <c r="C61" s="88" t="s">
        <v>196</v>
      </c>
      <c r="D61" s="4" t="s">
        <v>187</v>
      </c>
      <c r="E61" s="170" t="str">
        <f>IF('Dane finansowe'!E46=0,"",'Dane finansowe'!E54/'Dane finansowe'!E46)</f>
        <v/>
      </c>
      <c r="F61" s="170" t="str">
        <f>IF('Dane finansowe'!F46=0,"",'Dane finansowe'!F54/'Dane finansowe'!F46)</f>
        <v/>
      </c>
      <c r="G61" s="170" t="str">
        <f>IF('Dane finansowe'!G46=0,"",'Dane finansowe'!G54/'Dane finansowe'!G46)</f>
        <v/>
      </c>
      <c r="H61" s="266" t="s">
        <v>100</v>
      </c>
      <c r="I61" s="273"/>
    </row>
    <row r="62" spans="2:9" ht="26.1" customHeight="1">
      <c r="B62" s="72" t="s">
        <v>156</v>
      </c>
      <c r="C62" s="88" t="s">
        <v>197</v>
      </c>
      <c r="D62" s="4" t="s">
        <v>187</v>
      </c>
      <c r="E62" s="170" t="str">
        <f>IF('Dane finansowe'!E42=0,"",'Dane finansowe'!E45/'Dane finansowe'!E42)</f>
        <v/>
      </c>
      <c r="F62" s="170" t="str">
        <f>IF('Dane finansowe'!F42=0,"",'Dane finansowe'!F45/'Dane finansowe'!F42)</f>
        <v/>
      </c>
      <c r="G62" s="170" t="str">
        <f>IF('Dane finansowe'!G42=0,"",'Dane finansowe'!G45/'Dane finansowe'!G42)</f>
        <v/>
      </c>
      <c r="H62" s="266" t="s">
        <v>101</v>
      </c>
      <c r="I62" s="273"/>
    </row>
    <row r="63" spans="2:9" ht="26.1" customHeight="1">
      <c r="B63" s="72" t="s">
        <v>167</v>
      </c>
      <c r="C63" s="88" t="s">
        <v>198</v>
      </c>
      <c r="D63" s="4" t="s">
        <v>5</v>
      </c>
      <c r="E63" s="158" t="str">
        <f>IF('Dane finansowe'!E42=0,"",('Dane finansowe'!E46-'Dane finansowe'!E50)/'Dane finansowe'!E42)</f>
        <v/>
      </c>
      <c r="F63" s="158" t="str">
        <f>IF('Dane finansowe'!F42=0,"",('Dane finansowe'!F46-'Dane finansowe'!F50)/'Dane finansowe'!F42)</f>
        <v/>
      </c>
      <c r="G63" s="158" t="str">
        <f>IF('Dane finansowe'!G42=0,"",('Dane finansowe'!G46-'Dane finansowe'!G50)/'Dane finansowe'!G42)</f>
        <v/>
      </c>
      <c r="H63" s="266" t="s">
        <v>102</v>
      </c>
      <c r="I63" s="273"/>
    </row>
    <row r="64" spans="2:9" ht="57.75" customHeight="1">
      <c r="B64" s="72" t="s">
        <v>168</v>
      </c>
      <c r="C64" s="88" t="s">
        <v>199</v>
      </c>
      <c r="D64" s="4" t="s">
        <v>73</v>
      </c>
      <c r="E64" s="173">
        <f t="shared" ref="E64:G64" si="0">IF(E184=0,2,IF(E184="","",E185))</f>
        <v>2</v>
      </c>
      <c r="F64" s="173">
        <f t="shared" si="0"/>
        <v>2</v>
      </c>
      <c r="G64" s="173">
        <f t="shared" si="0"/>
        <v>2</v>
      </c>
      <c r="H64" s="266" t="s">
        <v>103</v>
      </c>
      <c r="I64" s="273"/>
    </row>
    <row r="65" spans="2:9" ht="37.5" customHeight="1">
      <c r="B65" s="72" t="s">
        <v>182</v>
      </c>
      <c r="C65" s="69" t="s">
        <v>200</v>
      </c>
      <c r="D65" s="224"/>
      <c r="E65" s="225"/>
      <c r="F65" s="225"/>
      <c r="G65" s="226"/>
      <c r="H65" s="266" t="s">
        <v>104</v>
      </c>
      <c r="I65" s="273"/>
    </row>
    <row r="66" spans="2:9" ht="26.1" customHeight="1">
      <c r="B66" s="4" t="s">
        <v>91</v>
      </c>
      <c r="C66" s="88" t="s">
        <v>79</v>
      </c>
      <c r="D66" s="32" t="s">
        <v>35</v>
      </c>
      <c r="E66" s="174" t="str">
        <f>IF('Dane finansowe'!E23=0,"",(('Dane finansowe'!E35/'Dane finansowe'!E23)*365))</f>
        <v/>
      </c>
      <c r="F66" s="174" t="str">
        <f>IF('Dane finansowe'!F23=0,"",(('Dane finansowe'!F35/'Dane finansowe'!F23)*365))</f>
        <v/>
      </c>
      <c r="G66" s="174" t="str">
        <f>IF('Dane finansowe'!G23=0,"",(('Dane finansowe'!G35/'Dane finansowe'!G23)*365))</f>
        <v/>
      </c>
      <c r="H66" s="266" t="s">
        <v>108</v>
      </c>
      <c r="I66" s="273"/>
    </row>
    <row r="67" spans="2:9" ht="26.1" customHeight="1">
      <c r="B67" s="4" t="s">
        <v>92</v>
      </c>
      <c r="C67" s="88" t="s">
        <v>80</v>
      </c>
      <c r="D67" s="33" t="s">
        <v>35</v>
      </c>
      <c r="E67" s="175" t="str">
        <f>IF('Dane finansowe'!E23=0,"",(('Dane finansowe'!E36/'Dane finansowe'!E23)*365))</f>
        <v/>
      </c>
      <c r="F67" s="175" t="str">
        <f>IF('Dane finansowe'!F23=0,"",(('Dane finansowe'!F36/'Dane finansowe'!F23)*365))</f>
        <v/>
      </c>
      <c r="G67" s="175" t="str">
        <f>IF('Dane finansowe'!G23=0,"",(('Dane finansowe'!G36/'Dane finansowe'!G23)*365))</f>
        <v/>
      </c>
      <c r="H67" s="266" t="s">
        <v>109</v>
      </c>
      <c r="I67" s="273"/>
    </row>
    <row r="68" spans="2:9" ht="26.1" customHeight="1">
      <c r="B68" s="4" t="s">
        <v>93</v>
      </c>
      <c r="C68" s="88" t="s">
        <v>81</v>
      </c>
      <c r="D68" s="33" t="s">
        <v>35</v>
      </c>
      <c r="E68" s="175" t="str">
        <f>IF('Dane finansowe'!E23=0,"",(('Dane finansowe'!E49/'Dane finansowe'!E23)*365))</f>
        <v/>
      </c>
      <c r="F68" s="175" t="str">
        <f>IF('Dane finansowe'!F23=0,"",(('Dane finansowe'!F49/'Dane finansowe'!F23)*365))</f>
        <v/>
      </c>
      <c r="G68" s="175" t="str">
        <f>IF('Dane finansowe'!G23=0,"",(('Dane finansowe'!G49/'Dane finansowe'!G23)*365))</f>
        <v/>
      </c>
      <c r="H68" s="266" t="s">
        <v>110</v>
      </c>
      <c r="I68" s="273"/>
    </row>
    <row r="69" spans="2:9" ht="26.1" customHeight="1">
      <c r="B69" s="72" t="s">
        <v>188</v>
      </c>
      <c r="C69" s="88" t="s">
        <v>201</v>
      </c>
      <c r="D69" s="4" t="s">
        <v>5</v>
      </c>
      <c r="E69" s="164" t="str">
        <f>IF('Dane finansowe'!E33=0,"",'Dane finansowe'!E45/'Dane finansowe'!E33)</f>
        <v/>
      </c>
      <c r="F69" s="164" t="str">
        <f>IF('Dane finansowe'!F33=0,"",'Dane finansowe'!F45/'Dane finansowe'!F33)</f>
        <v/>
      </c>
      <c r="G69" s="164" t="str">
        <f>IF('Dane finansowe'!G33=0,"",'Dane finansowe'!G45/'Dane finansowe'!G33)</f>
        <v/>
      </c>
      <c r="H69" s="266" t="s">
        <v>105</v>
      </c>
      <c r="I69" s="273"/>
    </row>
    <row r="70" spans="2:9" ht="26.1" customHeight="1">
      <c r="B70" s="72" t="s">
        <v>189</v>
      </c>
      <c r="C70" s="88" t="s">
        <v>202</v>
      </c>
      <c r="D70" s="4" t="s">
        <v>0</v>
      </c>
      <c r="E70" s="176" t="str">
        <f>IF('Dane finansowe'!E42=0,"",IF(E59&gt;(('Dane finansowe'!E30+'Dane finansowe'!E28+'Dane finansowe'!E29)/'Dane finansowe'!E42),"TAK","NIE"))</f>
        <v/>
      </c>
      <c r="F70" s="176" t="str">
        <f>IF('Dane finansowe'!F42=0,"",IF(F59&gt;(('Dane finansowe'!F30+'Dane finansowe'!F28+'Dane finansowe'!F29)/'Dane finansowe'!F42),"TAK","NIE"))</f>
        <v/>
      </c>
      <c r="G70" s="176" t="str">
        <f>IF('Dane finansowe'!G42=0,"",IF(G59&gt;(('Dane finansowe'!G30+'Dane finansowe'!G28+'Dane finansowe'!G29)/'Dane finansowe'!G42),"TAK","NIE"))</f>
        <v/>
      </c>
      <c r="H70" s="266" t="s">
        <v>106</v>
      </c>
      <c r="I70" s="273"/>
    </row>
    <row r="71" spans="2:9" ht="26.1" customHeight="1">
      <c r="B71" s="72" t="s">
        <v>36</v>
      </c>
      <c r="C71" s="88" t="s">
        <v>203</v>
      </c>
      <c r="D71" s="4" t="s">
        <v>5</v>
      </c>
      <c r="E71" s="164" t="str">
        <f>IF(ISNUMBER(E268),E268,"")</f>
        <v/>
      </c>
      <c r="F71" s="164" t="str">
        <f>IF(ISNUMBER(F268),F268,"")</f>
        <v/>
      </c>
      <c r="G71" s="164" t="str">
        <f>IF(ISNUMBER(G268),G268,"")</f>
        <v/>
      </c>
      <c r="H71" s="266" t="s">
        <v>107</v>
      </c>
      <c r="I71" s="273"/>
    </row>
    <row r="72" spans="2:9" ht="15" customHeight="1">
      <c r="B72" s="306" t="s">
        <v>10</v>
      </c>
      <c r="C72" s="306"/>
      <c r="D72" s="306"/>
      <c r="G72" s="5"/>
    </row>
    <row r="73" spans="2:9" ht="15" customHeight="1"/>
    <row r="74" spans="2:9" ht="30" customHeight="1">
      <c r="B74" s="211" t="s">
        <v>186</v>
      </c>
      <c r="C74" s="212"/>
      <c r="D74" s="212"/>
      <c r="E74" s="212"/>
      <c r="F74" s="212"/>
      <c r="G74" s="227"/>
    </row>
    <row r="75" spans="2:9" s="31" customFormat="1" ht="26.1" customHeight="1">
      <c r="B75" s="13" t="s">
        <v>143</v>
      </c>
      <c r="C75" s="30" t="s">
        <v>157</v>
      </c>
      <c r="D75" s="30" t="s">
        <v>94</v>
      </c>
      <c r="E75" s="13" t="s">
        <v>41</v>
      </c>
      <c r="F75" s="13" t="s">
        <v>95</v>
      </c>
      <c r="G75" s="13"/>
      <c r="I75" s="5"/>
    </row>
    <row r="76" spans="2:9" ht="45" customHeight="1">
      <c r="B76" s="72" t="str">
        <f>B57</f>
        <v>1.</v>
      </c>
      <c r="C76" s="88" t="str">
        <f>C57</f>
        <v>Dynamika sprzedaży. Formuła: zmiana przychodów ze sprzedaży rok do roku</v>
      </c>
      <c r="D76" s="72" t="s">
        <v>2</v>
      </c>
      <c r="E76" s="4">
        <f>IF(AND(ISNUMBER('Dane finansowe'!E23),ISNUMBER('Dane finansowe'!F23),ISNUMBER('Dane finansowe'!G23)),IF(AND(Wyniki!E57&lt;Wyniki!F57,Wyniki!F57&lt;Wyniki!G57),10,IF(Wyniki!F57&lt;Wyniki!G57,6,2)),3)</f>
        <v>3</v>
      </c>
      <c r="F76" s="72" t="s">
        <v>118</v>
      </c>
      <c r="G76" s="72"/>
    </row>
    <row r="77" spans="2:9" ht="45" customHeight="1">
      <c r="B77" s="72" t="str">
        <f>B58</f>
        <v>2.</v>
      </c>
      <c r="C77" s="88" t="str">
        <f>C58</f>
        <v>Rentowność sprzedaży - wskaźnik rentowności sprzedaży. Formuła: wynik na sprzedaży / sprzedaż ogółem</v>
      </c>
      <c r="D77" s="72" t="s">
        <v>2</v>
      </c>
      <c r="E77" s="4">
        <f>IF(AND(E58&gt;=0,F58&gt;=0,G58&gt;=0,G58&gt;F58),10,IF(AND(E58&gt;=0,F58&gt;=0,G58&gt;=0,G58&lt;F58),8,IF(OR((AND(E58&lt;=0,F58&lt;=0,G58&lt;=0)),(AND(F58&lt;=0,G58&lt;=0))),0,5)))</f>
        <v>5</v>
      </c>
      <c r="F77" s="72" t="s">
        <v>118</v>
      </c>
      <c r="G77" s="72"/>
    </row>
    <row r="78" spans="2:9" ht="45" customHeight="1">
      <c r="B78" s="72" t="str">
        <f>B59</f>
        <v>3.</v>
      </c>
      <c r="C78" s="88" t="str">
        <f>C59</f>
        <v>Rentowność kapitału - wskaźnik ROE. Formuła: wynik netto / kapitały własne</v>
      </c>
      <c r="D78" s="72" t="s">
        <v>2</v>
      </c>
      <c r="E78" s="34">
        <f>IF(ISNUMBER(E101),E101,0)</f>
        <v>0</v>
      </c>
      <c r="F78" s="72" t="s">
        <v>119</v>
      </c>
      <c r="G78" s="72"/>
    </row>
    <row r="79" spans="2:9" ht="45" customHeight="1">
      <c r="B79" s="72" t="str">
        <f>B60</f>
        <v>4.</v>
      </c>
      <c r="C79" s="88" t="str">
        <f>C60</f>
        <v>Płynność finansowa - wskaźnik płynności finansowej II stopnia: Formuła: (aktywa bieżące - zapasy) / zobowiązania bieżące</v>
      </c>
      <c r="D79" s="72" t="s">
        <v>2</v>
      </c>
      <c r="E79" s="34">
        <f>IF(ISNUMBER(E116),E116,0)</f>
        <v>0</v>
      </c>
      <c r="F79" s="72" t="s">
        <v>119</v>
      </c>
      <c r="G79" s="72"/>
    </row>
    <row r="80" spans="2:9" ht="45" customHeight="1">
      <c r="B80" s="72" t="str">
        <f>B61</f>
        <v>5.</v>
      </c>
      <c r="C80" s="88" t="str">
        <f>C61</f>
        <v>Pokrycie zadłużenia - wskaźnik pokrycia obsługi długu z gotówki operacyjnej. Formuła: CF operacyjny / zadłużenie (zobowiązania ogółem)</v>
      </c>
      <c r="D80" s="72" t="s">
        <v>2</v>
      </c>
      <c r="E80" s="4">
        <f>IF(ISNUMBER(E130),E130,0)</f>
        <v>0</v>
      </c>
      <c r="F80" s="72" t="s">
        <v>119</v>
      </c>
      <c r="G80" s="72"/>
    </row>
    <row r="81" spans="2:23" ht="45" customHeight="1">
      <c r="B81" s="72" t="str">
        <f>B62</f>
        <v>6.</v>
      </c>
      <c r="C81" s="88" t="str">
        <f>C62</f>
        <v>Wypłacalność - wskaźnik pokrycia aktywów kapitałami własnymi. Formuła: kapitał własny / aktywa ogółem</v>
      </c>
      <c r="D81" s="72" t="s">
        <v>2</v>
      </c>
      <c r="E81" s="4">
        <f>IF(ISNUMBER(E145),E145,0)</f>
        <v>0</v>
      </c>
      <c r="F81" s="72" t="s">
        <v>119</v>
      </c>
      <c r="G81" s="72"/>
    </row>
    <row r="82" spans="2:23" ht="45" customHeight="1">
      <c r="B82" s="72" t="str">
        <f>B63</f>
        <v>7.</v>
      </c>
      <c r="C82" s="88" t="str">
        <f>C63</f>
        <v>Poziom zadłużenia - wskaźnik ogólnego zadłużenia. Formuła: (zobowiązania + rezerwy na zobowiązania) / aktywa ogółem</v>
      </c>
      <c r="D82" s="72" t="s">
        <v>2</v>
      </c>
      <c r="E82" s="4">
        <f>IF(ISNUMBER(E159),E159,0)</f>
        <v>0</v>
      </c>
      <c r="F82" s="72" t="s">
        <v>119</v>
      </c>
      <c r="G82" s="72"/>
    </row>
    <row r="83" spans="2:23" ht="45" customHeight="1">
      <c r="B83" s="72" t="str">
        <f>B64</f>
        <v>8.</v>
      </c>
      <c r="C83" s="88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D83" s="72" t="s">
        <v>2</v>
      </c>
      <c r="E83" s="4">
        <f>IF(ISNUMBER(E174),E174,0)</f>
        <v>10</v>
      </c>
      <c r="F83" s="72" t="s">
        <v>119</v>
      </c>
      <c r="G83" s="72"/>
    </row>
    <row r="84" spans="2:23" ht="45" customHeight="1">
      <c r="B84" s="72" t="str">
        <f>B65</f>
        <v>9.</v>
      </c>
      <c r="C84" s="88" t="str">
        <f>C65</f>
        <v>Sprawność działalnia - wskaźniki rotacji (zapasów, należności i zobowiązań). Formuła: (stan zapasów, należności, zobowiązań x liczba dni) / przychody netto ze sprzedaży</v>
      </c>
      <c r="D84" s="72" t="s">
        <v>2</v>
      </c>
      <c r="E84" s="34">
        <f>IF((AND(ISNUMBER(E199),ISNUMBER(E213),ISNUMBER(E227))),AVERAGE(E199,E213,E227),0)</f>
        <v>0</v>
      </c>
      <c r="F84" s="72" t="s">
        <v>121</v>
      </c>
      <c r="G84" s="72"/>
    </row>
    <row r="85" spans="2:23" ht="45" customHeight="1">
      <c r="B85" s="72" t="str">
        <f>B69</f>
        <v>10.</v>
      </c>
      <c r="C85" s="88" t="str">
        <f>C69</f>
        <v>Pokrycie aktywów stałych: kapitał własny / aktywa trwałe</v>
      </c>
      <c r="D85" s="72" t="s">
        <v>2</v>
      </c>
      <c r="E85" s="4">
        <f>IF(ISNUMBER(E242),E242,0)</f>
        <v>0</v>
      </c>
      <c r="F85" s="72" t="s">
        <v>119</v>
      </c>
      <c r="G85" s="72"/>
    </row>
    <row r="86" spans="2:23" ht="45" customHeight="1">
      <c r="B86" s="72" t="str">
        <f>B70</f>
        <v>11.</v>
      </c>
      <c r="C86" s="88" t="str">
        <f>C70</f>
        <v>Efekt dźwigni finansowej: ROE &gt; (wynik netto + koszty odsetek + podatek dochodowy) / aktywa ogółem</v>
      </c>
      <c r="D86" s="72" t="s">
        <v>2</v>
      </c>
      <c r="E86" s="4">
        <f>IF(Wyniki!G70="tak",5,0)</f>
        <v>0</v>
      </c>
      <c r="F86" s="72" t="s">
        <v>120</v>
      </c>
      <c r="G86" s="72"/>
    </row>
    <row r="87" spans="2:23" ht="45" customHeight="1">
      <c r="B87" s="72" t="str">
        <f>B71</f>
        <v>12.</v>
      </c>
      <c r="C87" s="88" t="str">
        <f>C71</f>
        <v>Analiza dyskryminacyjna - model prof. E. Mączyńskiej</v>
      </c>
      <c r="D87" s="72" t="s">
        <v>2</v>
      </c>
      <c r="E87" s="34" t="str">
        <f>IF(ISNUMBER(E256),E256,"brak danych")</f>
        <v>brak danych</v>
      </c>
      <c r="F87" s="72" t="s">
        <v>119</v>
      </c>
      <c r="G87" s="72"/>
    </row>
    <row r="88" spans="2:23"/>
    <row r="89" spans="2:23"/>
    <row r="90" spans="2:23" ht="14.1" customHeight="1">
      <c r="C90" s="35" t="str">
        <f>H59</f>
        <v>Kryterium nr 3</v>
      </c>
      <c r="E90" s="11"/>
    </row>
    <row r="91" spans="2:23" ht="30" customHeight="1">
      <c r="B91" s="301" t="str">
        <f>C59</f>
        <v>Rentowność kapitału - wskaźnik ROE. Formuła: wynik netto / kapitały własne</v>
      </c>
      <c r="C91" s="302"/>
      <c r="D91" s="302"/>
      <c r="E91" s="85"/>
      <c r="F91" s="85"/>
      <c r="G91" s="86"/>
      <c r="I91" s="76"/>
      <c r="J91" s="77"/>
      <c r="K91" s="78"/>
      <c r="L91" s="78"/>
      <c r="M91" s="78"/>
      <c r="N91" s="73"/>
      <c r="R91" s="73"/>
      <c r="S91" s="73"/>
      <c r="T91" s="73"/>
      <c r="U91" s="73"/>
      <c r="V91" s="73"/>
      <c r="W91" s="73"/>
    </row>
    <row r="92" spans="2:23" s="31" customFormat="1" ht="14.1" customHeight="1">
      <c r="B92" s="3" t="s">
        <v>143</v>
      </c>
      <c r="C92" s="30" t="s">
        <v>157</v>
      </c>
      <c r="D92" s="30" t="s">
        <v>1</v>
      </c>
      <c r="E92" s="36">
        <f>E56</f>
        <v>2019</v>
      </c>
      <c r="F92" s="36">
        <f>F56</f>
        <v>2020</v>
      </c>
      <c r="G92" s="36">
        <f>G56</f>
        <v>2021</v>
      </c>
      <c r="N92" s="73"/>
      <c r="R92" s="1"/>
      <c r="S92" s="1"/>
      <c r="T92" s="1"/>
      <c r="U92" s="1"/>
      <c r="V92" s="1"/>
      <c r="W92" s="1"/>
    </row>
    <row r="93" spans="2:23" ht="14.1" customHeight="1">
      <c r="B93" s="70" t="s">
        <v>149</v>
      </c>
      <c r="C93" s="88" t="s">
        <v>3</v>
      </c>
      <c r="D93" s="37"/>
      <c r="E93" s="38"/>
      <c r="F93" s="38"/>
      <c r="G93" s="39"/>
      <c r="N93" s="73"/>
      <c r="R93" s="1"/>
      <c r="S93" s="1"/>
      <c r="T93" s="1"/>
      <c r="U93" s="1"/>
      <c r="V93" s="1"/>
      <c r="W93" s="1"/>
    </row>
    <row r="94" spans="2:23" ht="14.1" customHeight="1">
      <c r="B94" s="4" t="s">
        <v>172</v>
      </c>
      <c r="C94" s="88" t="s">
        <v>4</v>
      </c>
      <c r="D94" s="40" t="s">
        <v>187</v>
      </c>
      <c r="E94" s="161">
        <v>0</v>
      </c>
      <c r="F94" s="161">
        <v>0</v>
      </c>
      <c r="G94" s="161">
        <v>0</v>
      </c>
      <c r="N94" s="73"/>
      <c r="R94" s="1"/>
      <c r="S94" s="1"/>
      <c r="T94" s="1"/>
      <c r="U94" s="1"/>
      <c r="V94" s="1"/>
      <c r="W94" s="1"/>
    </row>
    <row r="95" spans="2:23" ht="14.1" customHeight="1">
      <c r="B95" s="4" t="s">
        <v>172</v>
      </c>
      <c r="C95" s="88" t="s">
        <v>6</v>
      </c>
      <c r="D95" s="41" t="s">
        <v>187</v>
      </c>
      <c r="E95" s="162">
        <f>IF(Wyniki!E273="","",Wyniki!E273+Wyniki!E274)</f>
        <v>3.7128000000000001E-2</v>
      </c>
      <c r="F95" s="162">
        <f>IF(Wyniki!F273="","",Wyniki!F273+Wyniki!F274)</f>
        <v>3.7164000000000003E-2</v>
      </c>
      <c r="G95" s="162">
        <f>IF(Wyniki!G273="","",Wyniki!G273+Wyniki!G274)</f>
        <v>9.4242999999999993E-2</v>
      </c>
      <c r="N95" s="73"/>
      <c r="R95" s="1"/>
      <c r="S95" s="1"/>
      <c r="T95" s="1"/>
      <c r="U95" s="1"/>
      <c r="V95" s="1"/>
      <c r="W95" s="1"/>
    </row>
    <row r="96" spans="2:23" ht="14.1" customHeight="1">
      <c r="B96" s="70" t="s">
        <v>150</v>
      </c>
      <c r="C96" s="88" t="s">
        <v>7</v>
      </c>
      <c r="D96" s="37"/>
      <c r="E96" s="154"/>
      <c r="F96" s="154"/>
      <c r="G96" s="155"/>
      <c r="H96" s="10"/>
      <c r="N96" s="75"/>
      <c r="R96" s="1"/>
      <c r="S96" s="1"/>
      <c r="T96" s="1"/>
      <c r="U96" s="1"/>
      <c r="V96" s="1"/>
      <c r="W96" s="1"/>
    </row>
    <row r="97" spans="2:22" ht="14.1" customHeight="1">
      <c r="B97" s="4" t="s">
        <v>172</v>
      </c>
      <c r="C97" s="88" t="s">
        <v>4</v>
      </c>
      <c r="D97" s="42" t="s">
        <v>2</v>
      </c>
      <c r="E97" s="156">
        <v>0</v>
      </c>
      <c r="F97" s="156">
        <v>0</v>
      </c>
      <c r="G97" s="156">
        <v>0</v>
      </c>
      <c r="R97" s="79"/>
      <c r="S97" s="79"/>
      <c r="T97" s="79"/>
      <c r="U97" s="1"/>
      <c r="V97" s="1"/>
    </row>
    <row r="98" spans="2:22" ht="14.1" customHeight="1">
      <c r="B98" s="4" t="s">
        <v>172</v>
      </c>
      <c r="C98" s="88" t="s">
        <v>6</v>
      </c>
      <c r="D98" s="43" t="s">
        <v>2</v>
      </c>
      <c r="E98" s="157">
        <v>10</v>
      </c>
      <c r="F98" s="157">
        <v>10</v>
      </c>
      <c r="G98" s="157">
        <v>10</v>
      </c>
    </row>
    <row r="99" spans="2:22" ht="14.1" customHeight="1">
      <c r="B99" s="4" t="s">
        <v>151</v>
      </c>
      <c r="C99" s="88" t="s">
        <v>8</v>
      </c>
      <c r="D99" s="44" t="s">
        <v>187</v>
      </c>
      <c r="E99" s="163" t="str">
        <f>IF(ISNUMBER(E59),E59,"")</f>
        <v/>
      </c>
      <c r="F99" s="163" t="str">
        <f>IF(ISNUMBER(F59),F59,"")</f>
        <v/>
      </c>
      <c r="G99" s="163" t="str">
        <f>IF(ISNUMBER(G59),G59,"")</f>
        <v/>
      </c>
    </row>
    <row r="100" spans="2:22" ht="14.1" customHeight="1">
      <c r="B100" s="4" t="s">
        <v>152</v>
      </c>
      <c r="C100" s="89" t="s">
        <v>11</v>
      </c>
      <c r="D100" s="43" t="s">
        <v>2</v>
      </c>
      <c r="E100" s="159" t="str">
        <f>IF(AND('Dane finansowe'!E30&lt;0,'Dane finansowe'!E45&lt;0),0,IF(ISNUMBER(E59),IF(E99&lt;E94,E97,IF(E99&gt;E95,E98,IF(AND(E99&lt;=E95,E99&gt;=E94),IF(ISNUMBER(E99),ROUND(FORECAST(E99,E97:E98,E94:E95),0),"")))),""))</f>
        <v/>
      </c>
      <c r="F100" s="159" t="str">
        <f>IF(AND('Dane finansowe'!F30&lt;0,'Dane finansowe'!F45&lt;0),0,IF(ISNUMBER(F59),IF(F99&lt;F94,F97,IF(F99&gt;F95,F98,IF(AND(F99&lt;=F95,F99&gt;=F94),IF(ISNUMBER(F99),ROUND(FORECAST(F99,F97:F98,F94:F95),0),"")))),""))</f>
        <v/>
      </c>
      <c r="G100" s="159" t="str">
        <f>IF(AND('Dane finansowe'!G30&lt;0,'Dane finansowe'!G45&lt;0),0,IF(ISNUMBER(G59),IF(G99&lt;G94,G97,IF(G99&gt;G95,G98,IF(AND(G99&lt;=G95,G99&gt;=G94),IF(ISNUMBER(G99),ROUND(FORECAST(G99,G97:G98,G94:G95),0),"")))),""))</f>
        <v/>
      </c>
    </row>
    <row r="101" spans="2:22" s="27" customFormat="1" ht="14.1" customHeight="1">
      <c r="B101" s="13" t="s">
        <v>153</v>
      </c>
      <c r="C101" s="90" t="s">
        <v>37</v>
      </c>
      <c r="D101" s="45" t="s">
        <v>2</v>
      </c>
      <c r="E101" s="160" t="str">
        <f>IF(G100="","brak danych",ROUND(IF(ISNUMBER(E100),AVERAGE(E100:G100),IF(ISNUMBER(F100),AVERAGE(F100:G100),IF(ISNUMBER(G100),G100,"bd"))),0))</f>
        <v>brak danych</v>
      </c>
      <c r="F101" s="31"/>
      <c r="G101" s="31"/>
    </row>
    <row r="102" spans="2:22" ht="14.1" customHeight="1">
      <c r="E102" s="11"/>
    </row>
    <row r="103" spans="2:22" ht="14.1" customHeight="1">
      <c r="E103" s="11"/>
    </row>
    <row r="104" spans="2:22" ht="14.1" customHeight="1">
      <c r="C104" s="35" t="str">
        <f>H60</f>
        <v>Kryterium nr 4</v>
      </c>
      <c r="E104" s="11"/>
    </row>
    <row r="105" spans="2:22" ht="30" customHeight="1">
      <c r="B105" s="301" t="str">
        <f>C60</f>
        <v>Płynność finansowa - wskaźnik płynności finansowej II stopnia: Formuła: (aktywa bieżące - zapasy) / zobowiązania bieżące</v>
      </c>
      <c r="C105" s="302"/>
      <c r="D105" s="302"/>
      <c r="E105" s="85"/>
      <c r="F105" s="85"/>
      <c r="G105" s="86"/>
    </row>
    <row r="106" spans="2:22" s="31" customFormat="1" ht="14.1" customHeight="1">
      <c r="B106" s="3" t="s">
        <v>143</v>
      </c>
      <c r="C106" s="30" t="s">
        <v>157</v>
      </c>
      <c r="D106" s="30" t="s">
        <v>1</v>
      </c>
      <c r="E106" s="36">
        <f>E56</f>
        <v>2019</v>
      </c>
      <c r="F106" s="36">
        <f>F56</f>
        <v>2020</v>
      </c>
      <c r="G106" s="36">
        <f>G56</f>
        <v>2021</v>
      </c>
    </row>
    <row r="107" spans="2:22" ht="14.1" customHeight="1">
      <c r="B107" s="70" t="s">
        <v>149</v>
      </c>
      <c r="C107" s="88" t="s">
        <v>3</v>
      </c>
      <c r="D107" s="37"/>
      <c r="E107" s="38"/>
      <c r="F107" s="38"/>
      <c r="G107" s="39"/>
    </row>
    <row r="108" spans="2:22" ht="14.1" customHeight="1">
      <c r="B108" s="4" t="s">
        <v>172</v>
      </c>
      <c r="C108" s="88" t="s">
        <v>4</v>
      </c>
      <c r="D108" s="40" t="s">
        <v>5</v>
      </c>
      <c r="E108" s="152">
        <v>0.75</v>
      </c>
      <c r="F108" s="152">
        <v>0.75</v>
      </c>
      <c r="G108" s="152">
        <v>0.75</v>
      </c>
    </row>
    <row r="109" spans="2:22" ht="14.1" customHeight="1">
      <c r="B109" s="4" t="s">
        <v>172</v>
      </c>
      <c r="C109" s="88" t="s">
        <v>6</v>
      </c>
      <c r="D109" s="40" t="s">
        <v>5</v>
      </c>
      <c r="E109" s="153">
        <v>1.1000000000000001</v>
      </c>
      <c r="F109" s="153">
        <v>1.1000000000000001</v>
      </c>
      <c r="G109" s="153">
        <v>1.1000000000000001</v>
      </c>
    </row>
    <row r="110" spans="2:22" ht="14.1" customHeight="1">
      <c r="B110" s="70" t="s">
        <v>150</v>
      </c>
      <c r="C110" s="88" t="s">
        <v>7</v>
      </c>
      <c r="D110" s="37"/>
      <c r="E110" s="154"/>
      <c r="F110" s="154"/>
      <c r="G110" s="155"/>
    </row>
    <row r="111" spans="2:22" ht="14.1" customHeight="1">
      <c r="B111" s="151"/>
      <c r="C111" s="179" t="s">
        <v>4</v>
      </c>
      <c r="D111" s="180" t="s">
        <v>2</v>
      </c>
      <c r="E111" s="181">
        <v>0</v>
      </c>
      <c r="F111" s="181">
        <v>0</v>
      </c>
      <c r="G111" s="181">
        <v>0</v>
      </c>
    </row>
    <row r="112" spans="2:22" ht="14.1" customHeight="1">
      <c r="B112" s="4" t="s">
        <v>172</v>
      </c>
      <c r="C112" s="179" t="s">
        <v>264</v>
      </c>
      <c r="D112" s="180" t="s">
        <v>5</v>
      </c>
      <c r="E112" s="152">
        <v>0.75</v>
      </c>
      <c r="F112" s="152">
        <v>0.75</v>
      </c>
      <c r="G112" s="152">
        <v>0.75</v>
      </c>
    </row>
    <row r="113" spans="2:9" ht="14.1" customHeight="1">
      <c r="B113" s="4" t="s">
        <v>172</v>
      </c>
      <c r="C113" s="88" t="s">
        <v>6</v>
      </c>
      <c r="D113" s="43" t="s">
        <v>2</v>
      </c>
      <c r="E113" s="157">
        <v>10</v>
      </c>
      <c r="F113" s="157">
        <v>10</v>
      </c>
      <c r="G113" s="157">
        <v>10</v>
      </c>
    </row>
    <row r="114" spans="2:9" ht="14.1" customHeight="1">
      <c r="B114" s="4" t="s">
        <v>151</v>
      </c>
      <c r="C114" s="88" t="s">
        <v>8</v>
      </c>
      <c r="D114" s="44" t="s">
        <v>5</v>
      </c>
      <c r="E114" s="158" t="str">
        <f>IF(ISNUMBER(E60),E60,"")</f>
        <v/>
      </c>
      <c r="F114" s="158" t="str">
        <f>IF(ISNUMBER(F60),F60,"")</f>
        <v/>
      </c>
      <c r="G114" s="158" t="str">
        <f>IF(ISNUMBER(G60),G60,"")</f>
        <v/>
      </c>
    </row>
    <row r="115" spans="2:9" ht="14.1" customHeight="1">
      <c r="B115" s="4" t="s">
        <v>152</v>
      </c>
      <c r="C115" s="89" t="s">
        <v>11</v>
      </c>
      <c r="D115" s="43" t="s">
        <v>2</v>
      </c>
      <c r="E115" s="159" t="str">
        <f>IF(ISNUMBER(E60),IF(E114&lt;E108,E111,IF(E114&gt;E109,E113,IF(AND(E114&lt;=E109,E114&gt;=E108),IF(ISNUMBER(E114),ROUND(FORECAST(E114,E112:E113,E108:E109),0),"")))),"")</f>
        <v/>
      </c>
      <c r="F115" s="159" t="str">
        <f>IF(ISNUMBER(F60),IF(F114&lt;F108,F111,IF(F114&gt;F109,F113,IF(AND(F114&lt;=F109,F114&gt;=F108),IF(ISNUMBER(F114),ROUND(FORECAST(F114,F112:F113,F108:F109),0),"")))),"")</f>
        <v/>
      </c>
      <c r="G115" s="159" t="str">
        <f>IF(ISNUMBER(G60),IF(G114&lt;G108,G111,IF(G114&gt;G109,G113,IF(AND(G114&lt;=G109,G114&gt;=G108),IF(ISNUMBER(G114),ROUND(FORECAST(G114,G112:G113,G108:G109),0),"")))),"")</f>
        <v/>
      </c>
    </row>
    <row r="116" spans="2:9" s="27" customFormat="1" ht="14.1" customHeight="1">
      <c r="B116" s="13" t="s">
        <v>153</v>
      </c>
      <c r="C116" s="90" t="s">
        <v>37</v>
      </c>
      <c r="D116" s="45" t="s">
        <v>2</v>
      </c>
      <c r="E116" s="160" t="str">
        <f>IF(G115="","brak danych",ROUND(IF(ISNUMBER(E115),AVERAGE(E115:G115),IF(ISNUMBER(F115),AVERAGE(F115:G115),IF(ISNUMBER(G115),G115,"bd"))),0))</f>
        <v>brak danych</v>
      </c>
      <c r="F116" s="31"/>
      <c r="G116" s="31"/>
      <c r="H116" s="5"/>
    </row>
    <row r="117" spans="2:9" s="27" customFormat="1" ht="15" customHeight="1">
      <c r="B117" s="46"/>
      <c r="C117" s="28"/>
      <c r="D117" s="47"/>
      <c r="E117" s="31"/>
      <c r="F117" s="31"/>
      <c r="G117" s="31"/>
      <c r="H117" s="5"/>
    </row>
    <row r="118" spans="2:9" ht="15" customHeight="1">
      <c r="E118" s="11"/>
    </row>
    <row r="119" spans="2:9" ht="15" customHeight="1">
      <c r="C119" s="35" t="str">
        <f>H61</f>
        <v>Kryterium nr 5</v>
      </c>
      <c r="E119" s="11"/>
    </row>
    <row r="120" spans="2:9" ht="30" customHeight="1">
      <c r="B120" s="301" t="str">
        <f>C61</f>
        <v>Pokrycie zadłużenia - wskaźnik pokrycia obsługi długu z gotówki operacyjnej. Formuła: CF operacyjny / zadłużenie (zobowiązania ogółem)</v>
      </c>
      <c r="C120" s="302"/>
      <c r="D120" s="302"/>
      <c r="E120" s="85"/>
      <c r="F120" s="85"/>
      <c r="G120" s="86"/>
    </row>
    <row r="121" spans="2:9" s="31" customFormat="1" ht="15" customHeight="1">
      <c r="B121" s="3" t="s">
        <v>143</v>
      </c>
      <c r="C121" s="30" t="s">
        <v>157</v>
      </c>
      <c r="D121" s="30" t="s">
        <v>1</v>
      </c>
      <c r="E121" s="36">
        <f>E56</f>
        <v>2019</v>
      </c>
      <c r="F121" s="36">
        <f>F56</f>
        <v>2020</v>
      </c>
      <c r="G121" s="36">
        <f>G56</f>
        <v>2021</v>
      </c>
      <c r="I121" s="5"/>
    </row>
    <row r="122" spans="2:9" ht="15" customHeight="1">
      <c r="B122" s="70" t="s">
        <v>149</v>
      </c>
      <c r="C122" s="88" t="s">
        <v>3</v>
      </c>
      <c r="D122" s="37"/>
      <c r="E122" s="38"/>
      <c r="F122" s="38"/>
      <c r="G122" s="39"/>
    </row>
    <row r="123" spans="2:9" ht="15" customHeight="1">
      <c r="B123" s="4" t="s">
        <v>172</v>
      </c>
      <c r="C123" s="88" t="s">
        <v>4</v>
      </c>
      <c r="D123" s="40" t="s">
        <v>187</v>
      </c>
      <c r="E123" s="161">
        <v>0</v>
      </c>
      <c r="F123" s="161">
        <f t="shared" ref="F123:G124" si="1">E123</f>
        <v>0</v>
      </c>
      <c r="G123" s="161">
        <f t="shared" si="1"/>
        <v>0</v>
      </c>
    </row>
    <row r="124" spans="2:9" ht="15" customHeight="1">
      <c r="B124" s="4" t="s">
        <v>172</v>
      </c>
      <c r="C124" s="88" t="s">
        <v>6</v>
      </c>
      <c r="D124" s="41" t="s">
        <v>187</v>
      </c>
      <c r="E124" s="162">
        <v>0.3</v>
      </c>
      <c r="F124" s="162">
        <f t="shared" si="1"/>
        <v>0.3</v>
      </c>
      <c r="G124" s="162">
        <f t="shared" si="1"/>
        <v>0.3</v>
      </c>
    </row>
    <row r="125" spans="2:9" ht="15" customHeight="1">
      <c r="B125" s="70" t="s">
        <v>150</v>
      </c>
      <c r="C125" s="88" t="s">
        <v>7</v>
      </c>
      <c r="D125" s="37"/>
      <c r="E125" s="154"/>
      <c r="F125" s="154"/>
      <c r="G125" s="155"/>
    </row>
    <row r="126" spans="2:9" ht="15" customHeight="1">
      <c r="B126" s="4" t="s">
        <v>172</v>
      </c>
      <c r="C126" s="88" t="s">
        <v>4</v>
      </c>
      <c r="D126" s="42" t="s">
        <v>2</v>
      </c>
      <c r="E126" s="156">
        <v>0</v>
      </c>
      <c r="F126" s="156">
        <f t="shared" ref="F126:G127" si="2">E126</f>
        <v>0</v>
      </c>
      <c r="G126" s="156">
        <f t="shared" si="2"/>
        <v>0</v>
      </c>
    </row>
    <row r="127" spans="2:9" ht="15" customHeight="1">
      <c r="B127" s="4" t="s">
        <v>172</v>
      </c>
      <c r="C127" s="88" t="s">
        <v>6</v>
      </c>
      <c r="D127" s="43" t="s">
        <v>2</v>
      </c>
      <c r="E127" s="157">
        <v>5</v>
      </c>
      <c r="F127" s="157">
        <f t="shared" si="2"/>
        <v>5</v>
      </c>
      <c r="G127" s="157">
        <f t="shared" si="2"/>
        <v>5</v>
      </c>
    </row>
    <row r="128" spans="2:9" ht="15" customHeight="1">
      <c r="B128" s="4" t="s">
        <v>151</v>
      </c>
      <c r="C128" s="88" t="s">
        <v>8</v>
      </c>
      <c r="D128" s="44" t="s">
        <v>187</v>
      </c>
      <c r="E128" s="163" t="str">
        <f>IF(ISNUMBER(E61),E61,"")</f>
        <v/>
      </c>
      <c r="F128" s="163" t="str">
        <f>IF(ISNUMBER(F61),F61,"")</f>
        <v/>
      </c>
      <c r="G128" s="163" t="str">
        <f>IF(ISNUMBER(G61),G61,"")</f>
        <v/>
      </c>
    </row>
    <row r="129" spans="2:7" ht="15" customHeight="1">
      <c r="B129" s="4" t="s">
        <v>152</v>
      </c>
      <c r="C129" s="89" t="s">
        <v>11</v>
      </c>
      <c r="D129" s="43" t="s">
        <v>2</v>
      </c>
      <c r="E129" s="159" t="str">
        <f>IF(ISNUMBER(E61),IF(E128&lt;E123,E126,IF(E128&gt;E124,E127,IF(AND(E128&lt;=E124,E128&gt;=E123),IF(ISNUMBER(E128),ROUND(FORECAST(E128,E126:E127,E123:E124),0),"")))),"")</f>
        <v/>
      </c>
      <c r="F129" s="159" t="str">
        <f>IF(ISNUMBER(F61),IF(F128&lt;F123,F126,IF(F128&gt;F124,F127,IF(AND(F128&lt;=F124,F128&gt;=F123),IF(ISNUMBER(F128),ROUND(FORECAST(F128,F126:F127,F123:F124),0),"")))),"")</f>
        <v/>
      </c>
      <c r="G129" s="159" t="str">
        <f>IF(ISNUMBER(G61),IF(G128&lt;G123,G126,IF(G128&gt;G124,G127,IF(AND(G128&lt;=G124,G128&gt;=G123),IF(ISNUMBER(G128),ROUND(FORECAST(G128,G126:G127,G123:G124),0),"")))),"")</f>
        <v/>
      </c>
    </row>
    <row r="130" spans="2:7" s="27" customFormat="1" ht="15" customHeight="1">
      <c r="B130" s="13" t="s">
        <v>153</v>
      </c>
      <c r="C130" s="90" t="s">
        <v>37</v>
      </c>
      <c r="D130" s="45" t="s">
        <v>2</v>
      </c>
      <c r="E130" s="160" t="str">
        <f>IF(G129="","brak danych",ROUND(IF(ISNUMBER(E129),AVERAGE(E129:G129),IF(ISNUMBER(F129),AVERAGE(F129:G129),IF(ISNUMBER(G129),G129,"bd"))),0))</f>
        <v>brak danych</v>
      </c>
      <c r="F130" s="167"/>
      <c r="G130" s="167"/>
    </row>
    <row r="131" spans="2:7" ht="15" customHeight="1"/>
    <row r="132" spans="2:7" ht="15" customHeight="1">
      <c r="E132" s="11"/>
    </row>
    <row r="133" spans="2:7" ht="15" customHeight="1">
      <c r="C133" s="35" t="str">
        <f>H62</f>
        <v>Kryterium nr 6</v>
      </c>
      <c r="E133" s="11"/>
    </row>
    <row r="134" spans="2:7" ht="30" customHeight="1">
      <c r="B134" s="301" t="str">
        <f>C62</f>
        <v>Wypłacalność - wskaźnik pokrycia aktywów kapitałami własnymi. Formuła: kapitał własny / aktywa ogółem</v>
      </c>
      <c r="C134" s="302"/>
      <c r="D134" s="302"/>
      <c r="E134" s="85"/>
      <c r="F134" s="85"/>
      <c r="G134" s="86"/>
    </row>
    <row r="135" spans="2:7" s="31" customFormat="1" ht="15" customHeight="1">
      <c r="B135" s="3" t="s">
        <v>143</v>
      </c>
      <c r="C135" s="30" t="s">
        <v>157</v>
      </c>
      <c r="D135" s="30" t="s">
        <v>1</v>
      </c>
      <c r="E135" s="36">
        <f>E56</f>
        <v>2019</v>
      </c>
      <c r="F135" s="36">
        <f>F56</f>
        <v>2020</v>
      </c>
      <c r="G135" s="36">
        <f>G56</f>
        <v>2021</v>
      </c>
    </row>
    <row r="136" spans="2:7" ht="15" customHeight="1">
      <c r="B136" s="70" t="s">
        <v>149</v>
      </c>
      <c r="C136" s="88" t="s">
        <v>3</v>
      </c>
      <c r="D136" s="37"/>
      <c r="E136" s="38"/>
      <c r="F136" s="38"/>
      <c r="G136" s="39"/>
    </row>
    <row r="137" spans="2:7" ht="15" customHeight="1">
      <c r="B137" s="4" t="s">
        <v>172</v>
      </c>
      <c r="C137" s="88" t="s">
        <v>4</v>
      </c>
      <c r="D137" s="40" t="s">
        <v>187</v>
      </c>
      <c r="E137" s="161">
        <v>0.1</v>
      </c>
      <c r="F137" s="161">
        <f t="shared" ref="F137:G138" si="3">E137</f>
        <v>0.1</v>
      </c>
      <c r="G137" s="161">
        <f t="shared" si="3"/>
        <v>0.1</v>
      </c>
    </row>
    <row r="138" spans="2:7" ht="15" customHeight="1">
      <c r="B138" s="4" t="s">
        <v>172</v>
      </c>
      <c r="C138" s="88" t="s">
        <v>6</v>
      </c>
      <c r="D138" s="41" t="s">
        <v>187</v>
      </c>
      <c r="E138" s="162">
        <v>0.5</v>
      </c>
      <c r="F138" s="162">
        <f t="shared" si="3"/>
        <v>0.5</v>
      </c>
      <c r="G138" s="162">
        <f t="shared" si="3"/>
        <v>0.5</v>
      </c>
    </row>
    <row r="139" spans="2:7" ht="15" customHeight="1">
      <c r="B139" s="70" t="s">
        <v>150</v>
      </c>
      <c r="C139" s="88" t="s">
        <v>7</v>
      </c>
      <c r="D139" s="37"/>
      <c r="E139" s="154"/>
      <c r="F139" s="154"/>
      <c r="G139" s="155"/>
    </row>
    <row r="140" spans="2:7" ht="15" customHeight="1">
      <c r="B140" s="151"/>
      <c r="C140" s="179" t="s">
        <v>4</v>
      </c>
      <c r="D140" s="180" t="s">
        <v>2</v>
      </c>
      <c r="E140" s="181">
        <v>0</v>
      </c>
      <c r="F140" s="181">
        <v>0</v>
      </c>
      <c r="G140" s="181">
        <v>0</v>
      </c>
    </row>
    <row r="141" spans="2:7" ht="15" customHeight="1">
      <c r="B141" s="4" t="s">
        <v>172</v>
      </c>
      <c r="C141" s="179" t="s">
        <v>264</v>
      </c>
      <c r="D141" s="42" t="s">
        <v>2</v>
      </c>
      <c r="E141" s="156">
        <v>1</v>
      </c>
      <c r="F141" s="156">
        <v>1</v>
      </c>
      <c r="G141" s="156">
        <v>1</v>
      </c>
    </row>
    <row r="142" spans="2:7" ht="15" customHeight="1">
      <c r="B142" s="4" t="s">
        <v>172</v>
      </c>
      <c r="C142" s="88" t="s">
        <v>6</v>
      </c>
      <c r="D142" s="43" t="s">
        <v>2</v>
      </c>
      <c r="E142" s="157">
        <v>5</v>
      </c>
      <c r="F142" s="157">
        <v>5</v>
      </c>
      <c r="G142" s="157">
        <v>5</v>
      </c>
    </row>
    <row r="143" spans="2:7" ht="15" customHeight="1">
      <c r="B143" s="4" t="s">
        <v>151</v>
      </c>
      <c r="C143" s="88" t="s">
        <v>8</v>
      </c>
      <c r="D143" s="44" t="s">
        <v>187</v>
      </c>
      <c r="E143" s="163" t="str">
        <f>IF(ISNUMBER(E62),E62,"")</f>
        <v/>
      </c>
      <c r="F143" s="163" t="str">
        <f>IF(ISNUMBER(F62),F62,"")</f>
        <v/>
      </c>
      <c r="G143" s="163" t="str">
        <f>IF(ISNUMBER(G62),G62,"")</f>
        <v/>
      </c>
    </row>
    <row r="144" spans="2:7" ht="15" customHeight="1">
      <c r="B144" s="4" t="s">
        <v>152</v>
      </c>
      <c r="C144" s="89" t="s">
        <v>11</v>
      </c>
      <c r="D144" s="43" t="s">
        <v>2</v>
      </c>
      <c r="E144" s="159" t="str">
        <f>IF(ISNUMBER(E62),IF(E143&lt;E137,E140,IF(E143&gt;E138,E142,IF(AND(E143&lt;=E138,E143&gt;=E137),IF(ISNUMBER(E143),ROUND(FORECAST(E143,E141:E142,E137:E138),0),"")))),"")</f>
        <v/>
      </c>
      <c r="F144" s="159" t="str">
        <f>IF(ISNUMBER(F62),IF(F143&lt;F137,F140,IF(F143&gt;F138,F142,IF(AND(F143&lt;=F138,F143&gt;=F137),IF(ISNUMBER(F143),ROUND(FORECAST(F143,F141:F142,F137:F138),0),"")))),"")</f>
        <v/>
      </c>
      <c r="G144" s="159" t="str">
        <f>IF(ISNUMBER(G62),IF(G143&lt;G137,G140,IF(G143&gt;G138,G142,IF(AND(G143&lt;=G138,G143&gt;=G137),IF(ISNUMBER(G143),ROUND(FORECAST(G143,G141:G142,G137:G138),0),"")))),"")</f>
        <v/>
      </c>
    </row>
    <row r="145" spans="2:8" s="27" customFormat="1" ht="15" customHeight="1">
      <c r="B145" s="13" t="s">
        <v>153</v>
      </c>
      <c r="C145" s="90" t="s">
        <v>37</v>
      </c>
      <c r="D145" s="45" t="s">
        <v>2</v>
      </c>
      <c r="E145" s="160" t="str">
        <f>IF(G144="","brak danych",ROUND(IF(ISNUMBER(E144),AVERAGE(E144:G144),IF(ISNUMBER(F144),AVERAGE(F144:G144),IF(ISNUMBER(G144),G144,"bd"))),0))</f>
        <v>brak danych</v>
      </c>
      <c r="F145" s="31"/>
      <c r="G145" s="31"/>
    </row>
    <row r="146" spans="2:8" s="27" customFormat="1" ht="15" customHeight="1">
      <c r="B146" s="31"/>
    </row>
    <row r="147" spans="2:8" ht="15" customHeight="1">
      <c r="E147" s="11"/>
    </row>
    <row r="148" spans="2:8" ht="15" customHeight="1">
      <c r="C148" s="35" t="str">
        <f>H63</f>
        <v>Kryterium nr 7</v>
      </c>
      <c r="E148" s="11"/>
    </row>
    <row r="149" spans="2:8" ht="30" customHeight="1">
      <c r="B149" s="301" t="str">
        <f>C63</f>
        <v>Poziom zadłużenia - wskaźnik ogólnego zadłużenia. Formuła: (zobowiązania + rezerwy na zobowiązania) / aktywa ogółem</v>
      </c>
      <c r="C149" s="302"/>
      <c r="D149" s="302"/>
      <c r="E149" s="85"/>
      <c r="F149" s="85"/>
      <c r="G149" s="86"/>
    </row>
    <row r="150" spans="2:8" s="31" customFormat="1" ht="15" customHeight="1">
      <c r="B150" s="3" t="s">
        <v>143</v>
      </c>
      <c r="C150" s="30" t="s">
        <v>157</v>
      </c>
      <c r="D150" s="30" t="s">
        <v>1</v>
      </c>
      <c r="E150" s="36">
        <f>E56</f>
        <v>2019</v>
      </c>
      <c r="F150" s="36">
        <f>F56</f>
        <v>2020</v>
      </c>
      <c r="G150" s="36">
        <f>G56</f>
        <v>2021</v>
      </c>
    </row>
    <row r="151" spans="2:8" ht="15" customHeight="1">
      <c r="B151" s="70" t="s">
        <v>149</v>
      </c>
      <c r="C151" s="88" t="s">
        <v>3</v>
      </c>
      <c r="D151" s="37"/>
      <c r="E151" s="38"/>
      <c r="F151" s="38"/>
      <c r="G151" s="39"/>
    </row>
    <row r="152" spans="2:8" ht="15" customHeight="1">
      <c r="B152" s="4" t="s">
        <v>172</v>
      </c>
      <c r="C152" s="88" t="s">
        <v>4</v>
      </c>
      <c r="D152" s="40" t="s">
        <v>5</v>
      </c>
      <c r="E152" s="152">
        <v>0</v>
      </c>
      <c r="F152" s="152">
        <v>0</v>
      </c>
      <c r="G152" s="152">
        <v>0</v>
      </c>
    </row>
    <row r="153" spans="2:8" ht="15" customHeight="1">
      <c r="B153" s="4" t="s">
        <v>172</v>
      </c>
      <c r="C153" s="88" t="s">
        <v>6</v>
      </c>
      <c r="D153" s="40" t="s">
        <v>5</v>
      </c>
      <c r="E153" s="153">
        <v>0.67</v>
      </c>
      <c r="F153" s="153">
        <v>0.67</v>
      </c>
      <c r="G153" s="153">
        <v>0.67</v>
      </c>
    </row>
    <row r="154" spans="2:8" ht="15" customHeight="1">
      <c r="B154" s="70" t="s">
        <v>150</v>
      </c>
      <c r="C154" s="88" t="s">
        <v>7</v>
      </c>
      <c r="D154" s="37"/>
      <c r="E154" s="154"/>
      <c r="F154" s="154"/>
      <c r="G154" s="155"/>
    </row>
    <row r="155" spans="2:8" ht="15" customHeight="1">
      <c r="B155" s="4" t="s">
        <v>172</v>
      </c>
      <c r="C155" s="88" t="s">
        <v>4</v>
      </c>
      <c r="D155" s="42" t="s">
        <v>2</v>
      </c>
      <c r="E155" s="156">
        <v>10</v>
      </c>
      <c r="F155" s="156">
        <v>10</v>
      </c>
      <c r="G155" s="156">
        <v>10</v>
      </c>
    </row>
    <row r="156" spans="2:8" ht="15" customHeight="1">
      <c r="B156" s="4" t="s">
        <v>172</v>
      </c>
      <c r="C156" s="88" t="s">
        <v>6</v>
      </c>
      <c r="D156" s="43" t="s">
        <v>2</v>
      </c>
      <c r="E156" s="157">
        <v>0</v>
      </c>
      <c r="F156" s="157">
        <v>0</v>
      </c>
      <c r="G156" s="157">
        <v>0</v>
      </c>
    </row>
    <row r="157" spans="2:8" ht="15" customHeight="1">
      <c r="B157" s="4" t="s">
        <v>151</v>
      </c>
      <c r="C157" s="88" t="s">
        <v>8</v>
      </c>
      <c r="D157" s="44" t="s">
        <v>5</v>
      </c>
      <c r="E157" s="158" t="str">
        <f>IF(ISNUMBER(E63),E63,"")</f>
        <v/>
      </c>
      <c r="F157" s="158" t="str">
        <f>IF(ISNUMBER(F63),F63,"")</f>
        <v/>
      </c>
      <c r="G157" s="158" t="str">
        <f>IF(ISNUMBER(G63),G63,"")</f>
        <v/>
      </c>
    </row>
    <row r="158" spans="2:8" ht="15" customHeight="1">
      <c r="B158" s="4" t="s">
        <v>152</v>
      </c>
      <c r="C158" s="89" t="s">
        <v>11</v>
      </c>
      <c r="D158" s="43" t="s">
        <v>2</v>
      </c>
      <c r="E158" s="159" t="str">
        <f>IF(ISNUMBER(E63),IF(E157&lt;E152,E155,IF(E157&gt;E153,E156,IF(AND(E157&lt;=E153,E157&gt;=E152),IF(ISNUMBER(E157),ROUND(FORECAST(E157,E155:E156,E152:E153),0),"")))),"")</f>
        <v/>
      </c>
      <c r="F158" s="159" t="str">
        <f>IF(ISNUMBER(F63),IF(F157&lt;F152,F155,IF(F157&gt;F153,F156,IF(AND(F157&lt;=F153,F157&gt;=F152),IF(ISNUMBER(F157),ROUND(FORECAST(F157,F155:F156,F152:F153),0),"")))),"")</f>
        <v/>
      </c>
      <c r="G158" s="159" t="str">
        <f>IF(ISNUMBER(G63),IF(G157&lt;G152,G155,IF(G157&gt;G153,G156,IF(AND(G157&lt;=G153,G157&gt;=G152),IF(ISNUMBER(G157),ROUND(FORECAST(G157,G155:G156,G152:G153),0),"")))),"")</f>
        <v/>
      </c>
    </row>
    <row r="159" spans="2:8" s="27" customFormat="1" ht="15" customHeight="1">
      <c r="B159" s="13" t="s">
        <v>153</v>
      </c>
      <c r="C159" s="90" t="s">
        <v>37</v>
      </c>
      <c r="D159" s="45" t="s">
        <v>2</v>
      </c>
      <c r="E159" s="160" t="str">
        <f>IF(G158="","brak danych",ROUND(IF(ISNUMBER(E158),AVERAGE(E158:G158),IF(ISNUMBER(F158),AVERAGE(F158:G158),IF(ISNUMBER(G158),G158,"bd"))),0))</f>
        <v>brak danych</v>
      </c>
      <c r="F159" s="31"/>
      <c r="G159" s="31"/>
      <c r="H159" s="5"/>
    </row>
    <row r="160" spans="2:8" s="27" customFormat="1" ht="15" customHeight="1">
      <c r="B160" s="46"/>
      <c r="C160" s="28"/>
      <c r="D160" s="47"/>
      <c r="E160" s="31"/>
      <c r="F160" s="31"/>
      <c r="G160" s="31"/>
      <c r="H160" s="5"/>
    </row>
    <row r="161" spans="2:7" ht="15" customHeight="1">
      <c r="B161" s="48"/>
      <c r="C161" s="49"/>
      <c r="D161" s="2"/>
      <c r="E161" s="50"/>
      <c r="F161" s="50"/>
      <c r="G161" s="50"/>
    </row>
    <row r="162" spans="2:7" ht="15" customHeight="1">
      <c r="C162" s="35" t="str">
        <f>H64</f>
        <v>Kryterium nr 8</v>
      </c>
    </row>
    <row r="163" spans="2:7" ht="45" customHeight="1">
      <c r="B163" s="301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63" s="302"/>
      <c r="D163" s="302"/>
      <c r="E163" s="85"/>
      <c r="F163" s="85"/>
      <c r="G163" s="86"/>
    </row>
    <row r="164" spans="2:7" s="31" customFormat="1" ht="15" customHeight="1">
      <c r="B164" s="3" t="s">
        <v>143</v>
      </c>
      <c r="C164" s="30" t="s">
        <v>157</v>
      </c>
      <c r="D164" s="30" t="s">
        <v>1</v>
      </c>
      <c r="E164" s="36">
        <f>E56</f>
        <v>2019</v>
      </c>
      <c r="F164" s="36">
        <f>F56</f>
        <v>2020</v>
      </c>
      <c r="G164" s="36">
        <f>G56</f>
        <v>2021</v>
      </c>
    </row>
    <row r="165" spans="2:7" ht="15" customHeight="1">
      <c r="B165" s="70" t="s">
        <v>149</v>
      </c>
      <c r="C165" s="88" t="s">
        <v>3</v>
      </c>
      <c r="D165" s="37"/>
      <c r="E165" s="38"/>
      <c r="F165" s="38"/>
      <c r="G165" s="39"/>
    </row>
    <row r="166" spans="2:7" ht="15" customHeight="1">
      <c r="B166" s="4" t="s">
        <v>172</v>
      </c>
      <c r="C166" s="88" t="s">
        <v>4</v>
      </c>
      <c r="D166" s="40" t="s">
        <v>5</v>
      </c>
      <c r="E166" s="152">
        <v>1</v>
      </c>
      <c r="F166" s="152">
        <f t="shared" ref="F166:G167" si="4">E166</f>
        <v>1</v>
      </c>
      <c r="G166" s="152">
        <f t="shared" si="4"/>
        <v>1</v>
      </c>
    </row>
    <row r="167" spans="2:7" ht="15" customHeight="1">
      <c r="B167" s="4" t="s">
        <v>172</v>
      </c>
      <c r="C167" s="88" t="s">
        <v>6</v>
      </c>
      <c r="D167" s="40" t="s">
        <v>5</v>
      </c>
      <c r="E167" s="153">
        <v>2</v>
      </c>
      <c r="F167" s="153">
        <f t="shared" si="4"/>
        <v>2</v>
      </c>
      <c r="G167" s="153">
        <f t="shared" si="4"/>
        <v>2</v>
      </c>
    </row>
    <row r="168" spans="2:7" ht="15" customHeight="1">
      <c r="B168" s="70" t="s">
        <v>150</v>
      </c>
      <c r="C168" s="88" t="s">
        <v>7</v>
      </c>
      <c r="D168" s="37"/>
      <c r="E168" s="154"/>
      <c r="F168" s="154"/>
      <c r="G168" s="155"/>
    </row>
    <row r="169" spans="2:7" ht="15" customHeight="1">
      <c r="B169" s="151"/>
      <c r="C169" s="179" t="s">
        <v>4</v>
      </c>
      <c r="D169" s="180" t="s">
        <v>2</v>
      </c>
      <c r="E169" s="181">
        <v>0</v>
      </c>
      <c r="F169" s="181">
        <v>0</v>
      </c>
      <c r="G169" s="181">
        <v>0</v>
      </c>
    </row>
    <row r="170" spans="2:7" ht="15" customHeight="1">
      <c r="B170" s="4" t="s">
        <v>172</v>
      </c>
      <c r="C170" s="179" t="s">
        <v>264</v>
      </c>
      <c r="D170" s="182" t="s">
        <v>5</v>
      </c>
      <c r="E170" s="181">
        <v>1</v>
      </c>
      <c r="F170" s="181">
        <v>1</v>
      </c>
      <c r="G170" s="181">
        <v>1</v>
      </c>
    </row>
    <row r="171" spans="2:7" ht="15" customHeight="1">
      <c r="B171" s="4" t="s">
        <v>172</v>
      </c>
      <c r="C171" s="179" t="s">
        <v>6</v>
      </c>
      <c r="D171" s="184" t="s">
        <v>2</v>
      </c>
      <c r="E171" s="185">
        <v>10</v>
      </c>
      <c r="F171" s="185">
        <v>10</v>
      </c>
      <c r="G171" s="185">
        <v>10</v>
      </c>
    </row>
    <row r="172" spans="2:7" ht="15" customHeight="1">
      <c r="B172" s="4" t="s">
        <v>151</v>
      </c>
      <c r="C172" s="88" t="s">
        <v>8</v>
      </c>
      <c r="D172" s="44" t="s">
        <v>5</v>
      </c>
      <c r="E172" s="164">
        <f>IF(ISNUMBER(E64),E64,"")</f>
        <v>2</v>
      </c>
      <c r="F172" s="164">
        <f>IF(ISNUMBER(F64),F64,"")</f>
        <v>2</v>
      </c>
      <c r="G172" s="164">
        <f>IF(ISNUMBER(G64),G64,"")</f>
        <v>2</v>
      </c>
    </row>
    <row r="173" spans="2:7" ht="15" customHeight="1">
      <c r="B173" s="4" t="s">
        <v>152</v>
      </c>
      <c r="C173" s="89" t="s">
        <v>11</v>
      </c>
      <c r="D173" s="43" t="s">
        <v>2</v>
      </c>
      <c r="E173" s="159">
        <f>IF(ISNUMBER(E64),IF(E172&lt;E166,E169,IF(E172&gt;E167,E171,IF(AND(E172&lt;=E167,E172&gt;=E166),IF(ISNUMBER(E172),ROUND(FORECAST(E172,E170:E171,E166:E167),0),"")))),"")</f>
        <v>10</v>
      </c>
      <c r="F173" s="159">
        <f>IF(ISNUMBER(F64),IF(F172&lt;F166,F169,IF(F172&gt;F167,F171,IF(AND(F172&lt;=F167,F172&gt;=F166),IF(ISNUMBER(F172),ROUND(FORECAST(F172,F170:F171,F166:F167),0),"")))),"")</f>
        <v>10</v>
      </c>
      <c r="G173" s="159">
        <f>IF(ISNUMBER(G64),IF(G172&lt;G166,G169,IF(G172&gt;G167,G171,IF(AND(G172&lt;=G167,G172&gt;=G166),IF(ISNUMBER(G172),ROUND(FORECAST(G172,G170:G171,G166:G167),0),"")))),"")</f>
        <v>10</v>
      </c>
    </row>
    <row r="174" spans="2:7" s="27" customFormat="1" ht="15" customHeight="1">
      <c r="B174" s="13" t="s">
        <v>153</v>
      </c>
      <c r="C174" s="90" t="s">
        <v>37</v>
      </c>
      <c r="D174" s="45" t="s">
        <v>2</v>
      </c>
      <c r="E174" s="160">
        <f>IF(G173="","brak danych",ROUND(IF(ISNUMBER(E173),AVERAGE(E173:G173),IF(ISNUMBER(F173),AVERAGE(F173:G173),IF(ISNUMBER(G173),G173,"bd"))),0))</f>
        <v>10</v>
      </c>
    </row>
    <row r="175" spans="2:7" ht="15" customHeight="1">
      <c r="B175" s="51" t="s">
        <v>10</v>
      </c>
      <c r="C175" s="52"/>
      <c r="D175" s="5"/>
      <c r="G175" s="5"/>
    </row>
    <row r="176" spans="2:7" ht="15" customHeight="1">
      <c r="B176" s="48"/>
      <c r="C176" s="49"/>
      <c r="D176" s="2"/>
      <c r="E176" s="50"/>
      <c r="F176" s="50"/>
      <c r="G176" s="50"/>
    </row>
    <row r="177" spans="2:12" ht="15" customHeight="1">
      <c r="B177" s="48"/>
      <c r="C177" s="35" t="str">
        <f>H64</f>
        <v>Kryterium nr 8</v>
      </c>
      <c r="D177" s="2"/>
      <c r="E177" s="50"/>
      <c r="F177" s="50"/>
      <c r="G177" s="50"/>
    </row>
    <row r="178" spans="2:12" ht="30" customHeight="1">
      <c r="B178" s="301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78" s="302"/>
      <c r="D178" s="302"/>
      <c r="E178" s="83"/>
      <c r="F178" s="83"/>
      <c r="G178" s="84"/>
    </row>
    <row r="179" spans="2:12" ht="15" customHeight="1">
      <c r="B179" s="13" t="s">
        <v>143</v>
      </c>
      <c r="C179" s="13" t="s">
        <v>157</v>
      </c>
      <c r="D179" s="13" t="str">
        <f>D261</f>
        <v>Jedn./Lata</v>
      </c>
      <c r="E179" s="13">
        <f>E56</f>
        <v>2019</v>
      </c>
      <c r="F179" s="13">
        <f>F56</f>
        <v>2020</v>
      </c>
      <c r="G179" s="13">
        <f>G56</f>
        <v>2021</v>
      </c>
    </row>
    <row r="180" spans="2:12" ht="15" customHeight="1">
      <c r="B180" s="4" t="s">
        <v>149</v>
      </c>
      <c r="C180" s="89" t="s">
        <v>32</v>
      </c>
      <c r="D180" s="4" t="str">
        <f>'Dane finansowe'!$D$7</f>
        <v>zł</v>
      </c>
      <c r="E180" s="165" t="str">
        <f>IF(ISNUMBER('Dane finansowe'!E54),'Dane finansowe'!E54,"")</f>
        <v/>
      </c>
      <c r="F180" s="165" t="str">
        <f>IF(ISNUMBER('Dane finansowe'!F54),'Dane finansowe'!F54,"")</f>
        <v/>
      </c>
      <c r="G180" s="165" t="str">
        <f>IF(ISNUMBER('Dane finansowe'!G54),'Dane finansowe'!G54,"")</f>
        <v/>
      </c>
    </row>
    <row r="181" spans="2:12" ht="15" customHeight="1">
      <c r="B181" s="4" t="s">
        <v>150</v>
      </c>
      <c r="C181" s="89" t="s">
        <v>39</v>
      </c>
      <c r="D181" s="4" t="str">
        <f>'Dane finansowe'!$D$7</f>
        <v>zł</v>
      </c>
      <c r="E181" s="165" t="str">
        <f>IF(ISNUMBER('Dane finansowe'!E55),'Dane finansowe'!E55,"")</f>
        <v/>
      </c>
      <c r="F181" s="165" t="str">
        <f>IF(ISNUMBER('Dane finansowe'!F55),'Dane finansowe'!F55,"")</f>
        <v/>
      </c>
      <c r="G181" s="165" t="str">
        <f>IF(ISNUMBER('Dane finansowe'!G55),'Dane finansowe'!G55,"")</f>
        <v/>
      </c>
    </row>
    <row r="182" spans="2:12" ht="15" customHeight="1">
      <c r="B182" s="4" t="s">
        <v>151</v>
      </c>
      <c r="C182" s="88" t="s">
        <v>33</v>
      </c>
      <c r="D182" s="4" t="str">
        <f>'Dane finansowe'!$D$7</f>
        <v>zł</v>
      </c>
      <c r="E182" s="165" t="str">
        <f>IF(ISNUMBER('Dane finansowe'!E57),'Dane finansowe'!E57,"")</f>
        <v/>
      </c>
      <c r="F182" s="165" t="str">
        <f>IF(ISNUMBER('Dane finansowe'!F57),'Dane finansowe'!F57,"")</f>
        <v/>
      </c>
      <c r="G182" s="165" t="str">
        <f>IF(ISNUMBER('Dane finansowe'!G57),'Dane finansowe'!G57,"")</f>
        <v/>
      </c>
    </row>
    <row r="183" spans="2:12" ht="15" customHeight="1">
      <c r="B183" s="4" t="s">
        <v>152</v>
      </c>
      <c r="C183" s="88" t="s">
        <v>184</v>
      </c>
      <c r="D183" s="4" t="str">
        <f>'Dane finansowe'!$D$7</f>
        <v>zł</v>
      </c>
      <c r="E183" s="165" t="str">
        <f>IF(ISNUMBER('Dane finansowe'!E63),'Dane finansowe'!E63,"")</f>
        <v/>
      </c>
      <c r="F183" s="165" t="str">
        <f>IF(ISNUMBER('Dane finansowe'!F63),'Dane finansowe'!F63,"")</f>
        <v/>
      </c>
      <c r="G183" s="165" t="str">
        <f>IF(ISNUMBER('Dane finansowe'!G63),'Dane finansowe'!G63,"")</f>
        <v/>
      </c>
    </row>
    <row r="184" spans="2:12" ht="15" customHeight="1">
      <c r="B184" s="4" t="s">
        <v>153</v>
      </c>
      <c r="C184" s="88" t="s">
        <v>34</v>
      </c>
      <c r="D184" s="4" t="str">
        <f>'Dane finansowe'!$D$7</f>
        <v>zł</v>
      </c>
      <c r="E184" s="165">
        <f>IF(ISNUMBER('Dane finansowe'!E58),'Dane finansowe'!E58,0)</f>
        <v>0</v>
      </c>
      <c r="F184" s="165">
        <f>IF(ISNUMBER('Dane finansowe'!F58),'Dane finansowe'!F58,0)</f>
        <v>0</v>
      </c>
      <c r="G184" s="165">
        <f>IF(ISNUMBER('Dane finansowe'!G58),'Dane finansowe'!G58,0)</f>
        <v>0</v>
      </c>
    </row>
    <row r="185" spans="2:12" s="27" customFormat="1" ht="15" customHeight="1">
      <c r="B185" s="13" t="s">
        <v>156</v>
      </c>
      <c r="C185" s="90" t="s">
        <v>40</v>
      </c>
      <c r="D185" s="13" t="s">
        <v>5</v>
      </c>
      <c r="E185" s="166" t="str">
        <f>IF(AND(ISNUMBER(E180),ISNUMBER(E181),ISNUMBER(E182),ISNUMBER(E183),ISNUMBER(E184)),IF(E184=0,"",(E180+E181+E182+E183)/E184),"")</f>
        <v/>
      </c>
      <c r="F185" s="166" t="str">
        <f>IF(AND(ISNUMBER(F180),ISNUMBER(F181),ISNUMBER(F182),ISNUMBER(F183),ISNUMBER(F184)),IF(F184=0,"",(F180+F181+F182+F183)/F184),"")</f>
        <v/>
      </c>
      <c r="G185" s="166" t="str">
        <f>IF(AND(ISNUMBER(G180),ISNUMBER(G181),ISNUMBER(G182),ISNUMBER(G183),ISNUMBER(G184)),IF(G184=0,"",(G180+G181+G182+G183)/G184),"")</f>
        <v/>
      </c>
    </row>
    <row r="186" spans="2:12" ht="15" customHeight="1"/>
    <row r="187" spans="2:12" ht="15" customHeight="1">
      <c r="E187" s="11"/>
    </row>
    <row r="188" spans="2:12" ht="15" customHeight="1">
      <c r="C188" s="35" t="str">
        <f>H66</f>
        <v>Kryterium nr 9.1</v>
      </c>
    </row>
    <row r="189" spans="2:12" ht="30" customHeight="1">
      <c r="B189" s="211" t="str">
        <f>C66</f>
        <v>Wskaźnik rotacji zapasów</v>
      </c>
      <c r="C189" s="212"/>
      <c r="D189" s="85"/>
      <c r="E189" s="85"/>
      <c r="F189" s="85"/>
      <c r="G189" s="86"/>
      <c r="I189" s="81" t="str">
        <f>B189</f>
        <v>Wskaźnik rotacji zapasów</v>
      </c>
      <c r="J189" s="83"/>
      <c r="K189" s="83"/>
      <c r="L189" s="84"/>
    </row>
    <row r="190" spans="2:12" s="31" customFormat="1" ht="15" customHeight="1">
      <c r="B190" s="3" t="s">
        <v>143</v>
      </c>
      <c r="C190" s="30" t="s">
        <v>157</v>
      </c>
      <c r="D190" s="30" t="s">
        <v>1</v>
      </c>
      <c r="E190" s="36">
        <f>E56</f>
        <v>2019</v>
      </c>
      <c r="F190" s="36">
        <f>F56</f>
        <v>2020</v>
      </c>
      <c r="G190" s="36">
        <f>G56</f>
        <v>2021</v>
      </c>
      <c r="I190" s="53" t="s">
        <v>157</v>
      </c>
      <c r="J190" s="13">
        <f>E56</f>
        <v>2019</v>
      </c>
      <c r="K190" s="13">
        <f>F56</f>
        <v>2020</v>
      </c>
      <c r="L190" s="13">
        <f>G56</f>
        <v>2021</v>
      </c>
    </row>
    <row r="191" spans="2:12" ht="15" customHeight="1">
      <c r="B191" s="70" t="s">
        <v>149</v>
      </c>
      <c r="C191" s="88" t="s">
        <v>3</v>
      </c>
      <c r="D191" s="37"/>
      <c r="E191" s="38"/>
      <c r="F191" s="38"/>
      <c r="G191" s="39"/>
      <c r="I191" s="89" t="s">
        <v>113</v>
      </c>
      <c r="J191" s="176">
        <f>'Dane finansowe'!E23</f>
        <v>0</v>
      </c>
      <c r="K191" s="176">
        <f>'Dane finansowe'!F23</f>
        <v>0</v>
      </c>
      <c r="L191" s="176">
        <f>'Dane finansowe'!G23</f>
        <v>0</v>
      </c>
    </row>
    <row r="192" spans="2:12" ht="15" customHeight="1">
      <c r="B192" s="4" t="s">
        <v>172</v>
      </c>
      <c r="C192" s="88" t="s">
        <v>4</v>
      </c>
      <c r="D192" s="40" t="s">
        <v>35</v>
      </c>
      <c r="E192" s="152">
        <v>15</v>
      </c>
      <c r="F192" s="152">
        <v>15</v>
      </c>
      <c r="G192" s="152">
        <v>15</v>
      </c>
      <c r="I192" s="89" t="s">
        <v>117</v>
      </c>
      <c r="J192" s="176">
        <f>'Dane finansowe'!E35</f>
        <v>0</v>
      </c>
      <c r="K192" s="176">
        <f>'Dane finansowe'!F35</f>
        <v>0</v>
      </c>
      <c r="L192" s="176">
        <f>'Dane finansowe'!G35</f>
        <v>0</v>
      </c>
    </row>
    <row r="193" spans="2:17" ht="15" customHeight="1">
      <c r="B193" s="4" t="s">
        <v>172</v>
      </c>
      <c r="C193" s="88" t="s">
        <v>6</v>
      </c>
      <c r="D193" s="40" t="s">
        <v>35</v>
      </c>
      <c r="E193" s="153">
        <v>30</v>
      </c>
      <c r="F193" s="153">
        <v>30</v>
      </c>
      <c r="G193" s="153">
        <v>30</v>
      </c>
      <c r="I193" s="89" t="s">
        <v>115</v>
      </c>
      <c r="J193" s="176" t="str">
        <f>IF(J192=0,"",J191/J192)</f>
        <v/>
      </c>
      <c r="K193" s="176" t="str">
        <f>IF(K192=0,"",K191/K192)</f>
        <v/>
      </c>
      <c r="L193" s="176" t="str">
        <f>IF(L192=0,"",L191/L192)</f>
        <v/>
      </c>
    </row>
    <row r="194" spans="2:17" ht="15" customHeight="1">
      <c r="B194" s="70" t="s">
        <v>150</v>
      </c>
      <c r="C194" s="88" t="s">
        <v>7</v>
      </c>
      <c r="D194" s="37"/>
      <c r="E194" s="154"/>
      <c r="F194" s="154"/>
      <c r="G194" s="155"/>
    </row>
    <row r="195" spans="2:17" ht="15" customHeight="1">
      <c r="B195" s="4" t="s">
        <v>172</v>
      </c>
      <c r="C195" s="88" t="s">
        <v>4</v>
      </c>
      <c r="D195" s="42" t="s">
        <v>2</v>
      </c>
      <c r="E195" s="156">
        <v>10</v>
      </c>
      <c r="F195" s="156">
        <v>10</v>
      </c>
      <c r="G195" s="156">
        <v>10</v>
      </c>
    </row>
    <row r="196" spans="2:17" ht="15" customHeight="1">
      <c r="B196" s="4" t="s">
        <v>172</v>
      </c>
      <c r="C196" s="88" t="s">
        <v>6</v>
      </c>
      <c r="D196" s="43" t="s">
        <v>2</v>
      </c>
      <c r="E196" s="157">
        <v>0</v>
      </c>
      <c r="F196" s="157">
        <v>0</v>
      </c>
      <c r="G196" s="157">
        <v>0</v>
      </c>
    </row>
    <row r="197" spans="2:17" ht="15" customHeight="1">
      <c r="B197" s="4" t="s">
        <v>151</v>
      </c>
      <c r="C197" s="88" t="s">
        <v>8</v>
      </c>
      <c r="D197" s="44" t="s">
        <v>5</v>
      </c>
      <c r="E197" s="164" t="str">
        <f>IF(ISNUMBER(E66),E66,"")</f>
        <v/>
      </c>
      <c r="F197" s="164" t="str">
        <f>IF(ISNUMBER(F66),F66,"")</f>
        <v/>
      </c>
      <c r="G197" s="164" t="str">
        <f>IF(ISNUMBER(G66),G66,"")</f>
        <v/>
      </c>
    </row>
    <row r="198" spans="2:17" ht="15" customHeight="1">
      <c r="B198" s="4" t="s">
        <v>152</v>
      </c>
      <c r="C198" s="89" t="s">
        <v>11</v>
      </c>
      <c r="D198" s="43" t="s">
        <v>2</v>
      </c>
      <c r="E198" s="159" t="str">
        <f>IF(ISNUMBER(E66),IF(E197&lt;E192,E195,IF(E197&gt;E193,E196,IF(AND(E197&lt;=E193,E197&gt;=E192),IF(ISNUMBER(E197),ROUND(FORECAST(E197,E195:E196,E192:E193),0),"")))),"")</f>
        <v/>
      </c>
      <c r="F198" s="159" t="str">
        <f>IF(ISNUMBER(F66),IF(F197&lt;F192,F195,IF(F197&gt;F193,F196,IF(AND(F197&lt;=F193,F197&gt;=F192),IF(ISNUMBER(F197),ROUND(FORECAST(F197,F195:F196,F192:F193),0),"")))),"")</f>
        <v/>
      </c>
      <c r="G198" s="159" t="str">
        <f>IF(ISNUMBER(G66),IF(G197&lt;G192,G195,IF(G197&gt;G193,G196,IF(AND(G197&lt;=G193,G197&gt;=G192),IF(ISNUMBER(G197),ROUND(FORECAST(G197,G195:G196,G192:G193),0),"")))),"")</f>
        <v/>
      </c>
    </row>
    <row r="199" spans="2:17" s="27" customFormat="1" ht="15" customHeight="1">
      <c r="B199" s="13" t="s">
        <v>153</v>
      </c>
      <c r="C199" s="90" t="s">
        <v>37</v>
      </c>
      <c r="D199" s="45" t="s">
        <v>2</v>
      </c>
      <c r="E199" s="160" t="str">
        <f>IF(G198="","brak danych",ROUND(IF(ISNUMBER(E198),AVERAGE(E198:G198),IF(ISNUMBER(F198),AVERAGE(F198:G198),IF(ISNUMBER(G198),G198,"bd"))),0))</f>
        <v>brak danych</v>
      </c>
      <c r="F199" s="167"/>
      <c r="G199" s="167"/>
    </row>
    <row r="200" spans="2:17" s="27" customFormat="1" ht="15" customHeight="1">
      <c r="B200" s="46"/>
      <c r="C200" s="28"/>
      <c r="D200" s="47"/>
      <c r="E200" s="31"/>
      <c r="F200" s="31"/>
      <c r="G200" s="31"/>
    </row>
    <row r="201" spans="2:17" s="27" customFormat="1" ht="15" customHeight="1">
      <c r="B201" s="46"/>
      <c r="C201" s="28"/>
      <c r="D201" s="47"/>
      <c r="E201" s="31"/>
      <c r="F201" s="31"/>
      <c r="G201" s="31"/>
    </row>
    <row r="202" spans="2:17" ht="30" customHeight="1">
      <c r="C202" s="35" t="str">
        <f>H67</f>
        <v>Kryterium nr 9.2</v>
      </c>
      <c r="E202" s="11"/>
    </row>
    <row r="203" spans="2:17" ht="30" customHeight="1">
      <c r="B203" s="211" t="str">
        <f>C67</f>
        <v>Wskaźnik rotacji należności</v>
      </c>
      <c r="C203" s="300"/>
      <c r="D203" s="85"/>
      <c r="E203" s="85"/>
      <c r="F203" s="85"/>
      <c r="G203" s="86"/>
      <c r="I203" s="81" t="str">
        <f>B203</f>
        <v>Wskaźnik rotacji należności</v>
      </c>
      <c r="J203" s="82"/>
      <c r="K203" s="82"/>
      <c r="L203" s="87"/>
    </row>
    <row r="204" spans="2:17" s="56" customFormat="1" ht="15" customHeight="1">
      <c r="B204" s="54" t="s">
        <v>143</v>
      </c>
      <c r="C204" s="53" t="s">
        <v>157</v>
      </c>
      <c r="D204" s="53" t="s">
        <v>1</v>
      </c>
      <c r="E204" s="55">
        <f>E56</f>
        <v>2019</v>
      </c>
      <c r="F204" s="55">
        <f>F56</f>
        <v>2020</v>
      </c>
      <c r="G204" s="55">
        <f>G56</f>
        <v>2021</v>
      </c>
      <c r="I204" s="53" t="s">
        <v>157</v>
      </c>
      <c r="J204" s="57">
        <f>E56</f>
        <v>2019</v>
      </c>
      <c r="K204" s="57">
        <f>F56</f>
        <v>2020</v>
      </c>
      <c r="L204" s="57">
        <f>G56</f>
        <v>2021</v>
      </c>
      <c r="N204" s="5"/>
    </row>
    <row r="205" spans="2:17" ht="15" customHeight="1">
      <c r="B205" s="70" t="s">
        <v>149</v>
      </c>
      <c r="C205" s="88" t="s">
        <v>3</v>
      </c>
      <c r="D205" s="37"/>
      <c r="E205" s="38"/>
      <c r="F205" s="38"/>
      <c r="G205" s="39"/>
      <c r="I205" s="89" t="s">
        <v>113</v>
      </c>
      <c r="J205" s="176">
        <f>'Dane finansowe'!E23</f>
        <v>0</v>
      </c>
      <c r="K205" s="176">
        <f>'Dane finansowe'!F23</f>
        <v>0</v>
      </c>
      <c r="L205" s="176">
        <f>'Dane finansowe'!G23</f>
        <v>0</v>
      </c>
    </row>
    <row r="206" spans="2:17" ht="15" customHeight="1">
      <c r="B206" s="4" t="s">
        <v>172</v>
      </c>
      <c r="C206" s="88" t="s">
        <v>4</v>
      </c>
      <c r="D206" s="40" t="s">
        <v>35</v>
      </c>
      <c r="E206" s="152">
        <v>30</v>
      </c>
      <c r="F206" s="152">
        <v>30</v>
      </c>
      <c r="G206" s="152">
        <v>30</v>
      </c>
      <c r="I206" s="89" t="s">
        <v>114</v>
      </c>
      <c r="J206" s="176">
        <f>'Dane finansowe'!E36</f>
        <v>0</v>
      </c>
      <c r="K206" s="176">
        <f>'Dane finansowe'!F36</f>
        <v>0</v>
      </c>
      <c r="L206" s="176">
        <f>'Dane finansowe'!G36</f>
        <v>0</v>
      </c>
      <c r="Q206" s="58"/>
    </row>
    <row r="207" spans="2:17" ht="15" customHeight="1">
      <c r="B207" s="4" t="s">
        <v>172</v>
      </c>
      <c r="C207" s="88" t="s">
        <v>6</v>
      </c>
      <c r="D207" s="40" t="s">
        <v>35</v>
      </c>
      <c r="E207" s="153">
        <v>90</v>
      </c>
      <c r="F207" s="153">
        <v>90</v>
      </c>
      <c r="G207" s="153">
        <v>90</v>
      </c>
      <c r="I207" s="89" t="s">
        <v>115</v>
      </c>
      <c r="J207" s="176" t="str">
        <f>IF(J206=0,"",J205/J206)</f>
        <v/>
      </c>
      <c r="K207" s="176" t="str">
        <f>IF(K206=0,"",K205/K206)</f>
        <v/>
      </c>
      <c r="L207" s="176" t="str">
        <f>IF(L206=0,"",L205/L206)</f>
        <v/>
      </c>
    </row>
    <row r="208" spans="2:17" ht="15" customHeight="1">
      <c r="B208" s="70" t="s">
        <v>150</v>
      </c>
      <c r="C208" s="88" t="s">
        <v>7</v>
      </c>
      <c r="D208" s="37"/>
      <c r="E208" s="154"/>
      <c r="F208" s="154"/>
      <c r="G208" s="155"/>
    </row>
    <row r="209" spans="2:12" ht="15" customHeight="1">
      <c r="B209" s="4" t="s">
        <v>172</v>
      </c>
      <c r="C209" s="88" t="s">
        <v>4</v>
      </c>
      <c r="D209" s="42" t="s">
        <v>2</v>
      </c>
      <c r="E209" s="156">
        <v>10</v>
      </c>
      <c r="F209" s="156">
        <v>10</v>
      </c>
      <c r="G209" s="156">
        <v>10</v>
      </c>
    </row>
    <row r="210" spans="2:12" ht="15" customHeight="1">
      <c r="B210" s="4" t="s">
        <v>172</v>
      </c>
      <c r="C210" s="88" t="s">
        <v>6</v>
      </c>
      <c r="D210" s="43" t="s">
        <v>2</v>
      </c>
      <c r="E210" s="157">
        <v>0</v>
      </c>
      <c r="F210" s="157">
        <v>0</v>
      </c>
      <c r="G210" s="157">
        <v>0</v>
      </c>
    </row>
    <row r="211" spans="2:12" ht="15" customHeight="1">
      <c r="B211" s="4" t="s">
        <v>151</v>
      </c>
      <c r="C211" s="88" t="s">
        <v>8</v>
      </c>
      <c r="D211" s="44" t="s">
        <v>5</v>
      </c>
      <c r="E211" s="164" t="str">
        <f>IF(ISNUMBER(E67),E67,"")</f>
        <v/>
      </c>
      <c r="F211" s="164" t="str">
        <f>IF(ISNUMBER(F67),F67,"")</f>
        <v/>
      </c>
      <c r="G211" s="164" t="str">
        <f>IF(ISNUMBER(G67),G67,"")</f>
        <v/>
      </c>
    </row>
    <row r="212" spans="2:12" ht="15" customHeight="1">
      <c r="B212" s="4" t="s">
        <v>152</v>
      </c>
      <c r="C212" s="89" t="s">
        <v>11</v>
      </c>
      <c r="D212" s="43" t="s">
        <v>2</v>
      </c>
      <c r="E212" s="159" t="str">
        <f>IF(ISNUMBER(E67),IF(E211&lt;E206,E209,IF(E211&gt;E207,E210,IF(AND(E211&lt;=E207,E211&gt;=E206),IF(ISNUMBER(E211),ROUND(FORECAST(E211,E209:E210,E206:E207),0),"")))),"")</f>
        <v/>
      </c>
      <c r="F212" s="159" t="str">
        <f>IF(ISNUMBER(F67),IF(F211&lt;F206,F209,IF(F211&gt;F207,F210,IF(AND(F211&lt;=F207,F211&gt;=F206),IF(ISNUMBER(F211),ROUND(FORECAST(F211,F209:F210,F206:F207),0),"")))),"")</f>
        <v/>
      </c>
      <c r="G212" s="159" t="str">
        <f>IF(ISNUMBER(G67),IF(G211&lt;G206,G209,IF(G211&gt;G207,G210,IF(AND(G211&lt;=G207,G211&gt;=G206),IF(ISNUMBER(G211),ROUND(FORECAST(G211,G209:G210,G206:G207),0),"")))),"")</f>
        <v/>
      </c>
    </row>
    <row r="213" spans="2:12" s="27" customFormat="1" ht="15" customHeight="1">
      <c r="B213" s="13" t="s">
        <v>153</v>
      </c>
      <c r="C213" s="90" t="s">
        <v>37</v>
      </c>
      <c r="D213" s="45" t="s">
        <v>2</v>
      </c>
      <c r="E213" s="160" t="str">
        <f>IF(G212="","brak danych",ROUND(IF(ISNUMBER(E212),AVERAGE(E212:G212),IF(ISNUMBER(F212),AVERAGE(F212:G212),IF(ISNUMBER(G212),G212,"bd"))),0))</f>
        <v>brak danych</v>
      </c>
      <c r="F213" s="167"/>
      <c r="G213" s="167"/>
    </row>
    <row r="214" spans="2:12" s="27" customFormat="1" ht="15" customHeight="1">
      <c r="B214" s="46"/>
      <c r="C214" s="28"/>
      <c r="D214" s="47"/>
      <c r="E214" s="31"/>
      <c r="F214" s="31"/>
      <c r="G214" s="31"/>
    </row>
    <row r="215" spans="2:12" s="27" customFormat="1" ht="15" customHeight="1">
      <c r="B215" s="46"/>
      <c r="C215" s="28"/>
      <c r="D215" s="47"/>
      <c r="E215" s="31"/>
      <c r="F215" s="31"/>
      <c r="G215" s="31"/>
    </row>
    <row r="216" spans="2:12" ht="15" customHeight="1">
      <c r="C216" s="35" t="str">
        <f>H68</f>
        <v>Kryterium nr 9.3</v>
      </c>
    </row>
    <row r="217" spans="2:12" ht="30" customHeight="1">
      <c r="B217" s="211" t="str">
        <f>C68</f>
        <v>Wskaźnik rotacji zobowiązań krótkoterminowych</v>
      </c>
      <c r="C217" s="212"/>
      <c r="D217" s="85"/>
      <c r="E217" s="85"/>
      <c r="F217" s="85"/>
      <c r="G217" s="86"/>
      <c r="I217" s="81" t="str">
        <f>B217</f>
        <v>Wskaźnik rotacji zobowiązań krótkoterminowych</v>
      </c>
      <c r="J217" s="82"/>
      <c r="K217" s="82"/>
      <c r="L217" s="87"/>
    </row>
    <row r="218" spans="2:12" s="56" customFormat="1" ht="15" customHeight="1">
      <c r="B218" s="54" t="s">
        <v>143</v>
      </c>
      <c r="C218" s="53" t="s">
        <v>157</v>
      </c>
      <c r="D218" s="53" t="s">
        <v>1</v>
      </c>
      <c r="E218" s="55">
        <f>E56</f>
        <v>2019</v>
      </c>
      <c r="F218" s="55">
        <f>F56</f>
        <v>2020</v>
      </c>
      <c r="G218" s="55">
        <f>G56</f>
        <v>2021</v>
      </c>
      <c r="I218" s="53" t="s">
        <v>157</v>
      </c>
      <c r="J218" s="57">
        <f>E56</f>
        <v>2019</v>
      </c>
      <c r="K218" s="57">
        <f>F56</f>
        <v>2020</v>
      </c>
      <c r="L218" s="57">
        <f>G56</f>
        <v>2021</v>
      </c>
    </row>
    <row r="219" spans="2:12" ht="15" customHeight="1">
      <c r="B219" s="70" t="s">
        <v>149</v>
      </c>
      <c r="C219" s="88" t="s">
        <v>3</v>
      </c>
      <c r="D219" s="37"/>
      <c r="E219" s="38"/>
      <c r="F219" s="38"/>
      <c r="G219" s="39"/>
      <c r="I219" s="89" t="s">
        <v>113</v>
      </c>
      <c r="J219" s="176">
        <f>'Dane finansowe'!E23</f>
        <v>0</v>
      </c>
      <c r="K219" s="176">
        <f>'Dane finansowe'!F23</f>
        <v>0</v>
      </c>
      <c r="L219" s="176">
        <f>'Dane finansowe'!G23</f>
        <v>0</v>
      </c>
    </row>
    <row r="220" spans="2:12" ht="15" customHeight="1">
      <c r="B220" s="4" t="s">
        <v>172</v>
      </c>
      <c r="C220" s="88" t="s">
        <v>4</v>
      </c>
      <c r="D220" s="40" t="s">
        <v>35</v>
      </c>
      <c r="E220" s="152">
        <v>30</v>
      </c>
      <c r="F220" s="152">
        <v>30</v>
      </c>
      <c r="G220" s="152">
        <v>30</v>
      </c>
      <c r="I220" s="89" t="s">
        <v>116</v>
      </c>
      <c r="J220" s="176">
        <f>'Dane finansowe'!E49</f>
        <v>0</v>
      </c>
      <c r="K220" s="176">
        <f>'Dane finansowe'!F49</f>
        <v>0</v>
      </c>
      <c r="L220" s="176">
        <f>'Dane finansowe'!G49</f>
        <v>0</v>
      </c>
    </row>
    <row r="221" spans="2:12" ht="15" customHeight="1">
      <c r="B221" s="4" t="s">
        <v>172</v>
      </c>
      <c r="C221" s="88" t="s">
        <v>6</v>
      </c>
      <c r="D221" s="40" t="s">
        <v>35</v>
      </c>
      <c r="E221" s="153">
        <v>90</v>
      </c>
      <c r="F221" s="153">
        <v>90</v>
      </c>
      <c r="G221" s="153">
        <v>90</v>
      </c>
      <c r="I221" s="89" t="s">
        <v>115</v>
      </c>
      <c r="J221" s="176" t="str">
        <f>IF(J220=0,"",J219/J220)</f>
        <v/>
      </c>
      <c r="K221" s="176" t="str">
        <f>IF(K220=0,"",K219/K220)</f>
        <v/>
      </c>
      <c r="L221" s="176" t="str">
        <f>IF(L220=0,"",L219/L220)</f>
        <v/>
      </c>
    </row>
    <row r="222" spans="2:12" ht="15" customHeight="1">
      <c r="B222" s="70" t="s">
        <v>150</v>
      </c>
      <c r="C222" s="88" t="s">
        <v>7</v>
      </c>
      <c r="D222" s="37"/>
      <c r="E222" s="154"/>
      <c r="F222" s="154"/>
      <c r="G222" s="155"/>
      <c r="I222" s="91"/>
    </row>
    <row r="223" spans="2:12" ht="15" customHeight="1">
      <c r="B223" s="4" t="s">
        <v>172</v>
      </c>
      <c r="C223" s="88" t="s">
        <v>4</v>
      </c>
      <c r="D223" s="42" t="s">
        <v>2</v>
      </c>
      <c r="E223" s="156">
        <v>10</v>
      </c>
      <c r="F223" s="156">
        <v>10</v>
      </c>
      <c r="G223" s="156">
        <v>10</v>
      </c>
    </row>
    <row r="224" spans="2:12" ht="15" customHeight="1">
      <c r="B224" s="4" t="s">
        <v>172</v>
      </c>
      <c r="C224" s="88" t="s">
        <v>6</v>
      </c>
      <c r="D224" s="43" t="s">
        <v>2</v>
      </c>
      <c r="E224" s="157">
        <v>0</v>
      </c>
      <c r="F224" s="157">
        <v>0</v>
      </c>
      <c r="G224" s="157">
        <v>0</v>
      </c>
    </row>
    <row r="225" spans="2:7" ht="15" customHeight="1">
      <c r="B225" s="4" t="s">
        <v>151</v>
      </c>
      <c r="C225" s="88" t="s">
        <v>8</v>
      </c>
      <c r="D225" s="44" t="s">
        <v>5</v>
      </c>
      <c r="E225" s="164" t="str">
        <f>IF(ISNUMBER(E68),E68,"")</f>
        <v/>
      </c>
      <c r="F225" s="164" t="str">
        <f>IF(ISNUMBER(F68),F68,"")</f>
        <v/>
      </c>
      <c r="G225" s="164" t="str">
        <f>IF(ISNUMBER(G68),G68,"")</f>
        <v/>
      </c>
    </row>
    <row r="226" spans="2:7" ht="15" customHeight="1">
      <c r="B226" s="4" t="s">
        <v>152</v>
      </c>
      <c r="C226" s="89" t="s">
        <v>11</v>
      </c>
      <c r="D226" s="43" t="s">
        <v>2</v>
      </c>
      <c r="E226" s="159" t="str">
        <f>IF(ISNUMBER(E68),IF(E225&lt;E220,E223,IF(E225&gt;E221,E224,IF(AND(E225&lt;=E221,E225&gt;=E220),IF(ISNUMBER(E225),ROUND(FORECAST(E225,E223:E224,E220:E221),0),"")))),"")</f>
        <v/>
      </c>
      <c r="F226" s="159" t="str">
        <f>IF(ISNUMBER(F68),IF(F225&lt;F220,F223,IF(F225&gt;F221,F224,IF(AND(F225&lt;=F221,F225&gt;=F220),IF(ISNUMBER(F225),ROUND(FORECAST(F225,F223:F224,F220:F221),0),"")))),"")</f>
        <v/>
      </c>
      <c r="G226" s="159" t="str">
        <f>IF(ISNUMBER(G68),IF(G225&lt;G220,G223,IF(G225&gt;G221,G224,IF(AND(G225&lt;=G221,G225&gt;=G220),IF(ISNUMBER(G225),ROUND(FORECAST(G225,G223:G224,G220:G221),0),"")))),"")</f>
        <v/>
      </c>
    </row>
    <row r="227" spans="2:7" s="27" customFormat="1" ht="15" customHeight="1">
      <c r="B227" s="13" t="s">
        <v>153</v>
      </c>
      <c r="C227" s="90" t="s">
        <v>37</v>
      </c>
      <c r="D227" s="45" t="s">
        <v>2</v>
      </c>
      <c r="E227" s="160" t="str">
        <f>IF(G226="","brak danych",ROUND(IF(ISNUMBER(E226),AVERAGE(E226:G226),IF(ISNUMBER(F226),AVERAGE(F226:G226),IF(ISNUMBER(G226),G226,"bd"))),0))</f>
        <v>brak danych</v>
      </c>
      <c r="F227" s="167"/>
      <c r="G227" s="167"/>
    </row>
    <row r="228" spans="2:7" ht="15" customHeight="1"/>
    <row r="229" spans="2:7" ht="15" customHeight="1">
      <c r="E229" s="11"/>
    </row>
    <row r="230" spans="2:7" ht="15" customHeight="1">
      <c r="C230" s="35" t="str">
        <f>H69</f>
        <v>Kryterium nr 10</v>
      </c>
      <c r="E230" s="11"/>
    </row>
    <row r="231" spans="2:7" ht="30" customHeight="1">
      <c r="B231" s="211" t="str">
        <f>C69</f>
        <v>Pokrycie aktywów stałych: kapitał własny / aktywa trwałe</v>
      </c>
      <c r="C231" s="212"/>
      <c r="D231" s="85"/>
      <c r="E231" s="85"/>
      <c r="F231" s="85"/>
      <c r="G231" s="86"/>
    </row>
    <row r="232" spans="2:7" s="31" customFormat="1" ht="15" customHeight="1">
      <c r="B232" s="3" t="s">
        <v>143</v>
      </c>
      <c r="C232" s="30" t="s">
        <v>157</v>
      </c>
      <c r="D232" s="30" t="s">
        <v>1</v>
      </c>
      <c r="E232" s="36">
        <f>E56</f>
        <v>2019</v>
      </c>
      <c r="F232" s="36">
        <f>F56</f>
        <v>2020</v>
      </c>
      <c r="G232" s="36">
        <f>G56</f>
        <v>2021</v>
      </c>
    </row>
    <row r="233" spans="2:7" ht="15" customHeight="1">
      <c r="B233" s="70" t="s">
        <v>149</v>
      </c>
      <c r="C233" s="88" t="s">
        <v>3</v>
      </c>
      <c r="D233" s="37"/>
      <c r="E233" s="38"/>
      <c r="F233" s="38"/>
      <c r="G233" s="39"/>
    </row>
    <row r="234" spans="2:7" ht="15" customHeight="1">
      <c r="B234" s="4" t="s">
        <v>172</v>
      </c>
      <c r="C234" s="88" t="s">
        <v>4</v>
      </c>
      <c r="D234" s="40" t="s">
        <v>5</v>
      </c>
      <c r="E234" s="183">
        <v>0.8</v>
      </c>
      <c r="F234" s="183">
        <v>0.8</v>
      </c>
      <c r="G234" s="183">
        <v>0.8</v>
      </c>
    </row>
    <row r="235" spans="2:7" ht="15" customHeight="1">
      <c r="B235" s="4" t="s">
        <v>172</v>
      </c>
      <c r="C235" s="88" t="s">
        <v>6</v>
      </c>
      <c r="D235" s="40" t="s">
        <v>5</v>
      </c>
      <c r="E235" s="186">
        <v>1.1000000000000001</v>
      </c>
      <c r="F235" s="186">
        <v>1.1000000000000001</v>
      </c>
      <c r="G235" s="186">
        <v>1.1000000000000001</v>
      </c>
    </row>
    <row r="236" spans="2:7" ht="15" customHeight="1">
      <c r="B236" s="70" t="s">
        <v>150</v>
      </c>
      <c r="C236" s="88" t="s">
        <v>7</v>
      </c>
      <c r="D236" s="37"/>
      <c r="E236" s="154"/>
      <c r="F236" s="154"/>
      <c r="G236" s="155"/>
    </row>
    <row r="237" spans="2:7" ht="15" customHeight="1">
      <c r="B237" s="151"/>
      <c r="C237" s="179" t="s">
        <v>4</v>
      </c>
      <c r="D237" s="180" t="s">
        <v>2</v>
      </c>
      <c r="E237" s="181">
        <v>0</v>
      </c>
      <c r="F237" s="181">
        <v>0</v>
      </c>
      <c r="G237" s="181">
        <v>0</v>
      </c>
    </row>
    <row r="238" spans="2:7" ht="15" customHeight="1">
      <c r="B238" s="4" t="s">
        <v>172</v>
      </c>
      <c r="C238" s="179" t="s">
        <v>264</v>
      </c>
      <c r="D238" s="182" t="s">
        <v>5</v>
      </c>
      <c r="E238" s="183">
        <v>1.1000000000000001</v>
      </c>
      <c r="F238" s="183">
        <v>1.1000000000000001</v>
      </c>
      <c r="G238" s="183">
        <v>1.1000000000000001</v>
      </c>
    </row>
    <row r="239" spans="2:7" ht="15" customHeight="1">
      <c r="B239" s="4" t="s">
        <v>172</v>
      </c>
      <c r="C239" s="179" t="s">
        <v>6</v>
      </c>
      <c r="D239" s="184" t="s">
        <v>2</v>
      </c>
      <c r="E239" s="185">
        <v>5</v>
      </c>
      <c r="F239" s="185">
        <v>5</v>
      </c>
      <c r="G239" s="185">
        <v>5</v>
      </c>
    </row>
    <row r="240" spans="2:7" ht="15" customHeight="1">
      <c r="B240" s="4" t="s">
        <v>151</v>
      </c>
      <c r="C240" s="88" t="s">
        <v>8</v>
      </c>
      <c r="D240" s="44" t="s">
        <v>5</v>
      </c>
      <c r="E240" s="158" t="str">
        <f>IF(ISNUMBER(E69),E69,"")</f>
        <v/>
      </c>
      <c r="F240" s="158" t="str">
        <f>IF(ISNUMBER(F69),F69,"")</f>
        <v/>
      </c>
      <c r="G240" s="158" t="str">
        <f>IF(ISNUMBER(G69),G69,"")</f>
        <v/>
      </c>
    </row>
    <row r="241" spans="2:7" ht="15" customHeight="1">
      <c r="B241" s="4" t="s">
        <v>152</v>
      </c>
      <c r="C241" s="89" t="s">
        <v>11</v>
      </c>
      <c r="D241" s="43" t="s">
        <v>2</v>
      </c>
      <c r="E241" s="159" t="str">
        <f>IF(ISNUMBER(E69),IF(E240&lt;E234,E237,IF(E240&gt;E235,E239,IF(AND(E240&lt;=E235,E240&gt;=E234),IF(ISNUMBER(E240),ROUND(FORECAST(E240,E238:E239,E234:E235),0),"")))),"")</f>
        <v/>
      </c>
      <c r="F241" s="159" t="str">
        <f>IF(ISNUMBER(F69),IF(F240&lt;F234,F237,IF(F240&gt;F235,F239,IF(AND(F240&lt;=F235,F240&gt;=F234),IF(ISNUMBER(F240),ROUND(FORECAST(F240,F238:F239,F234:F235),0),"")))),"")</f>
        <v/>
      </c>
      <c r="G241" s="159" t="str">
        <f>IF(ISNUMBER(G69),IF(G240&lt;G234,G237,IF(G240&gt;G235,G239,IF(AND(G240&lt;=G235,G240&gt;=G234),IF(ISNUMBER(G240),ROUND(FORECAST(G240,G238:G239,G234:G235),0),"")))),"")</f>
        <v/>
      </c>
    </row>
    <row r="242" spans="2:7" s="27" customFormat="1" ht="15" customHeight="1">
      <c r="B242" s="13" t="s">
        <v>153</v>
      </c>
      <c r="C242" s="90" t="s">
        <v>37</v>
      </c>
      <c r="D242" s="45" t="s">
        <v>2</v>
      </c>
      <c r="E242" s="160" t="str">
        <f>IF(G241="","brak danych",ROUND(IF(ISNUMBER(E241),AVERAGE(E241:G241),IF(ISNUMBER(F241),AVERAGE(F241:G241),IF(ISNUMBER(G241),G241,"bd"))),0))</f>
        <v>brak danych</v>
      </c>
      <c r="F242" s="167"/>
      <c r="G242" s="167"/>
    </row>
    <row r="243" spans="2:7" ht="15" customHeight="1">
      <c r="E243" s="11"/>
    </row>
    <row r="244" spans="2:7" ht="15" customHeight="1"/>
    <row r="245" spans="2:7" ht="15" customHeight="1">
      <c r="C245" s="35" t="str">
        <f>H71</f>
        <v>Kryterium nr 12</v>
      </c>
      <c r="E245" s="11"/>
    </row>
    <row r="246" spans="2:7" ht="30" customHeight="1">
      <c r="B246" s="211" t="str">
        <f>C71</f>
        <v>Analiza dyskryminacyjna - model prof. E. Mączyńskiej</v>
      </c>
      <c r="C246" s="212"/>
      <c r="D246" s="85"/>
      <c r="E246" s="85"/>
      <c r="F246" s="85"/>
      <c r="G246" s="86"/>
    </row>
    <row r="247" spans="2:7" s="31" customFormat="1" ht="15" customHeight="1">
      <c r="B247" s="3" t="s">
        <v>143</v>
      </c>
      <c r="C247" s="30" t="s">
        <v>157</v>
      </c>
      <c r="D247" s="30" t="s">
        <v>1</v>
      </c>
      <c r="E247" s="36">
        <f>E56</f>
        <v>2019</v>
      </c>
      <c r="F247" s="36">
        <f>F56</f>
        <v>2020</v>
      </c>
      <c r="G247" s="36">
        <f>G56</f>
        <v>2021</v>
      </c>
    </row>
    <row r="248" spans="2:7" ht="15" customHeight="1">
      <c r="B248" s="70" t="s">
        <v>149</v>
      </c>
      <c r="C248" s="88" t="s">
        <v>3</v>
      </c>
      <c r="D248" s="37"/>
      <c r="E248" s="38"/>
      <c r="F248" s="38"/>
      <c r="G248" s="39"/>
    </row>
    <row r="249" spans="2:7" ht="15" customHeight="1">
      <c r="B249" s="4" t="s">
        <v>172</v>
      </c>
      <c r="C249" s="88" t="s">
        <v>4</v>
      </c>
      <c r="D249" s="40" t="s">
        <v>5</v>
      </c>
      <c r="E249" s="152">
        <v>0</v>
      </c>
      <c r="F249" s="152">
        <v>0</v>
      </c>
      <c r="G249" s="152">
        <v>0</v>
      </c>
    </row>
    <row r="250" spans="2:7" ht="15" customHeight="1">
      <c r="B250" s="4" t="s">
        <v>172</v>
      </c>
      <c r="C250" s="88" t="s">
        <v>6</v>
      </c>
      <c r="D250" s="40" t="s">
        <v>5</v>
      </c>
      <c r="E250" s="153">
        <v>2</v>
      </c>
      <c r="F250" s="153">
        <v>2</v>
      </c>
      <c r="G250" s="153">
        <v>2</v>
      </c>
    </row>
    <row r="251" spans="2:7" ht="15" customHeight="1">
      <c r="B251" s="70" t="s">
        <v>150</v>
      </c>
      <c r="C251" s="88" t="s">
        <v>7</v>
      </c>
      <c r="D251" s="37"/>
      <c r="E251" s="154"/>
      <c r="F251" s="154"/>
      <c r="G251" s="155"/>
    </row>
    <row r="252" spans="2:7" ht="15" customHeight="1">
      <c r="B252" s="4" t="s">
        <v>172</v>
      </c>
      <c r="C252" s="88" t="s">
        <v>4</v>
      </c>
      <c r="D252" s="42" t="s">
        <v>2</v>
      </c>
      <c r="E252" s="156">
        <v>0</v>
      </c>
      <c r="F252" s="156">
        <v>0</v>
      </c>
      <c r="G252" s="156">
        <v>0</v>
      </c>
    </row>
    <row r="253" spans="2:7" ht="15" customHeight="1">
      <c r="B253" s="4" t="s">
        <v>172</v>
      </c>
      <c r="C253" s="88" t="s">
        <v>6</v>
      </c>
      <c r="D253" s="43" t="s">
        <v>2</v>
      </c>
      <c r="E253" s="157">
        <v>10</v>
      </c>
      <c r="F253" s="157">
        <v>10</v>
      </c>
      <c r="G253" s="157">
        <v>10</v>
      </c>
    </row>
    <row r="254" spans="2:7" ht="15" customHeight="1">
      <c r="B254" s="4" t="s">
        <v>151</v>
      </c>
      <c r="C254" s="88" t="s">
        <v>8</v>
      </c>
      <c r="D254" s="44" t="s">
        <v>5</v>
      </c>
      <c r="E254" s="158" t="str">
        <f>IF(ISNUMBER(E71),E71,"")</f>
        <v/>
      </c>
      <c r="F254" s="158" t="str">
        <f>IF(ISNUMBER(F71),F71,"")</f>
        <v/>
      </c>
      <c r="G254" s="158" t="str">
        <f>IF(ISNUMBER(G71),G71,"")</f>
        <v/>
      </c>
    </row>
    <row r="255" spans="2:7" ht="15" customHeight="1">
      <c r="B255" s="4" t="s">
        <v>152</v>
      </c>
      <c r="C255" s="89" t="s">
        <v>11</v>
      </c>
      <c r="D255" s="43" t="s">
        <v>2</v>
      </c>
      <c r="E255" s="159" t="str">
        <f>IF(ISNUMBER(E71),IF(E254&lt;E249,E252,IF(E254&gt;E250,E253,IF(AND(E254&lt;=E250,E254&gt;=E249),IF(ISNUMBER(E254),ROUND(FORECAST(E254,E252:E253,E249:E250),0),"")))),"")</f>
        <v/>
      </c>
      <c r="F255" s="159" t="str">
        <f>IF(ISNUMBER(F71),IF(F254&lt;F249,F252,IF(F254&gt;F250,F253,IF(AND(F254&lt;=F250,F254&gt;=F249),IF(ISNUMBER(F254),ROUND(FORECAST(F254,F252:F253,F249:F250),0),"")))),"")</f>
        <v/>
      </c>
      <c r="G255" s="159" t="str">
        <f>IF(ISNUMBER(G71),IF(G254&lt;G249,G252,IF(G254&gt;G250,G253,IF(AND(G254&lt;=G250,G254&gt;=G249),IF(ISNUMBER(G254),ROUND(FORECAST(G254,G252:G253,G249:G250),0),"")))),"")</f>
        <v/>
      </c>
    </row>
    <row r="256" spans="2:7" s="27" customFormat="1" ht="15" customHeight="1">
      <c r="B256" s="13" t="s">
        <v>153</v>
      </c>
      <c r="C256" s="90" t="s">
        <v>37</v>
      </c>
      <c r="D256" s="45" t="s">
        <v>2</v>
      </c>
      <c r="E256" s="160" t="str">
        <f>IF(G255="","brak danych",ROUND(IF(ISNUMBER(E255),AVERAGE(E255:G255),IF(ISNUMBER(F255),AVERAGE(F255:G255),IF(ISNUMBER(G255),G255,"bd"))),0))</f>
        <v>brak danych</v>
      </c>
      <c r="F256" s="167"/>
      <c r="G256" s="167"/>
    </row>
    <row r="257" spans="2:13" ht="15" customHeight="1">
      <c r="E257" s="11"/>
    </row>
    <row r="258" spans="2:13" s="27" customFormat="1" ht="15" customHeight="1">
      <c r="B258" s="31"/>
    </row>
    <row r="259" spans="2:13" ht="15" customHeight="1">
      <c r="C259" s="35" t="str">
        <f>H71</f>
        <v>Kryterium nr 12</v>
      </c>
    </row>
    <row r="260" spans="2:13" ht="30" customHeight="1">
      <c r="B260" s="211" t="str">
        <f>C71</f>
        <v>Analiza dyskryminacyjna - model prof. E. Mączyńskiej</v>
      </c>
      <c r="C260" s="212"/>
      <c r="D260" s="83"/>
      <c r="E260" s="83"/>
      <c r="F260" s="83"/>
      <c r="G260" s="84"/>
    </row>
    <row r="261" spans="2:13" ht="15" customHeight="1">
      <c r="B261" s="13" t="str">
        <f>B56</f>
        <v>Lp.</v>
      </c>
      <c r="C261" s="13" t="str">
        <f>C56</f>
        <v>Wyszczególnienie</v>
      </c>
      <c r="D261" s="13" t="str">
        <f>D56</f>
        <v>Jedn./Lata</v>
      </c>
      <c r="E261" s="13">
        <f>E56</f>
        <v>2019</v>
      </c>
      <c r="F261" s="13">
        <f>F56</f>
        <v>2020</v>
      </c>
      <c r="G261" s="13">
        <f>G56</f>
        <v>2021</v>
      </c>
      <c r="I261" s="303"/>
      <c r="J261" s="304"/>
      <c r="K261" s="305"/>
      <c r="L261" s="1"/>
      <c r="M261" s="1"/>
    </row>
    <row r="262" spans="2:13" ht="15" customHeight="1">
      <c r="B262" s="4" t="s">
        <v>149</v>
      </c>
      <c r="C262" s="92" t="s">
        <v>17</v>
      </c>
      <c r="D262" s="33" t="s">
        <v>5</v>
      </c>
      <c r="E262" s="168">
        <f>IF('Dane finansowe'!E46=0,0,('Dane finansowe'!E30+'Dane finansowe'!E25)/'Dane finansowe'!E46)</f>
        <v>0</v>
      </c>
      <c r="F262" s="168">
        <f>IF('Dane finansowe'!F46=0,0,('Dane finansowe'!F30+'Dane finansowe'!F25)/'Dane finansowe'!F46)</f>
        <v>0</v>
      </c>
      <c r="G262" s="168">
        <f>IF('Dane finansowe'!G46=0,0,('Dane finansowe'!G30+'Dane finansowe'!G25)/'Dane finansowe'!G46)</f>
        <v>0</v>
      </c>
      <c r="I262" s="294" t="s">
        <v>12</v>
      </c>
      <c r="J262" s="295"/>
      <c r="K262" s="296"/>
      <c r="L262" s="1"/>
      <c r="M262" s="1"/>
    </row>
    <row r="263" spans="2:13" ht="15" customHeight="1">
      <c r="B263" s="4" t="s">
        <v>150</v>
      </c>
      <c r="C263" s="92" t="s">
        <v>18</v>
      </c>
      <c r="D263" s="33" t="s">
        <v>5</v>
      </c>
      <c r="E263" s="168">
        <f>IF('Dane finansowe'!E46=0,0,'Dane finansowe'!E42/'Dane finansowe'!E46)</f>
        <v>0</v>
      </c>
      <c r="F263" s="168">
        <f>IF('Dane finansowe'!F46=0,0,'Dane finansowe'!F42/'Dane finansowe'!F46)</f>
        <v>0</v>
      </c>
      <c r="G263" s="168">
        <f>IF('Dane finansowe'!G46=0,0,'Dane finansowe'!G42/'Dane finansowe'!G46)</f>
        <v>0</v>
      </c>
      <c r="I263" s="294" t="s">
        <v>13</v>
      </c>
      <c r="J263" s="295"/>
      <c r="K263" s="296"/>
      <c r="L263" s="1"/>
      <c r="M263" s="1"/>
    </row>
    <row r="264" spans="2:13" ht="15" customHeight="1">
      <c r="B264" s="4" t="s">
        <v>151</v>
      </c>
      <c r="C264" s="90" t="s">
        <v>19</v>
      </c>
      <c r="D264" s="33" t="s">
        <v>5</v>
      </c>
      <c r="E264" s="168">
        <f>IF('Dane finansowe'!E42=0,0,'Dane finansowe'!E27/'Dane finansowe'!E42)</f>
        <v>0</v>
      </c>
      <c r="F264" s="168">
        <f>IF('Dane finansowe'!F42=0,0,'Dane finansowe'!F27/'Dane finansowe'!F42)</f>
        <v>0</v>
      </c>
      <c r="G264" s="168">
        <f>IF('Dane finansowe'!G42=0,0,'Dane finansowe'!G27/'Dane finansowe'!G42)</f>
        <v>0</v>
      </c>
      <c r="I264" s="294" t="s">
        <v>14</v>
      </c>
      <c r="J264" s="295"/>
      <c r="K264" s="296"/>
      <c r="L264" s="1"/>
      <c r="M264" s="1"/>
    </row>
    <row r="265" spans="2:13" ht="15" customHeight="1">
      <c r="B265" s="4" t="s">
        <v>152</v>
      </c>
      <c r="C265" s="92" t="s">
        <v>20</v>
      </c>
      <c r="D265" s="33" t="s">
        <v>5</v>
      </c>
      <c r="E265" s="168" t="str">
        <f>IF(E180="","",IF(E180=0,0,'Dane finansowe'!E27/'Dane finansowe'!E23))</f>
        <v/>
      </c>
      <c r="F265" s="168" t="str">
        <f>IF(F180="","",IF(F180=0,0,'Dane finansowe'!F27/'Dane finansowe'!F23))</f>
        <v/>
      </c>
      <c r="G265" s="168" t="str">
        <f>IF(G180="","",IF(G180=0,0,'Dane finansowe'!G27/'Dane finansowe'!G23))</f>
        <v/>
      </c>
      <c r="I265" s="294" t="s">
        <v>15</v>
      </c>
      <c r="J265" s="295"/>
      <c r="K265" s="296"/>
      <c r="L265" s="1"/>
      <c r="M265" s="1"/>
    </row>
    <row r="266" spans="2:13" ht="15" customHeight="1">
      <c r="B266" s="4" t="s">
        <v>153</v>
      </c>
      <c r="C266" s="92" t="s">
        <v>21</v>
      </c>
      <c r="D266" s="33" t="s">
        <v>5</v>
      </c>
      <c r="E266" s="168">
        <f>IF('Dane finansowe'!E23=0,0,'Dane finansowe'!E35/'Dane finansowe'!E23)</f>
        <v>0</v>
      </c>
      <c r="F266" s="168">
        <f>IF('Dane finansowe'!F23=0,0,'Dane finansowe'!F35/'Dane finansowe'!F23)</f>
        <v>0</v>
      </c>
      <c r="G266" s="168">
        <f>IF('Dane finansowe'!G23=0,0,'Dane finansowe'!G35/'Dane finansowe'!G23)</f>
        <v>0</v>
      </c>
      <c r="I266" s="294" t="s">
        <v>16</v>
      </c>
      <c r="J266" s="295"/>
      <c r="K266" s="296"/>
      <c r="L266" s="1"/>
      <c r="M266" s="1"/>
    </row>
    <row r="267" spans="2:13" ht="15" customHeight="1">
      <c r="B267" s="4" t="s">
        <v>156</v>
      </c>
      <c r="C267" s="92" t="s">
        <v>22</v>
      </c>
      <c r="D267" s="33" t="s">
        <v>5</v>
      </c>
      <c r="E267" s="168">
        <f>IF('Dane finansowe'!E42=0,0,'Dane finansowe'!E23/'Dane finansowe'!E42)</f>
        <v>0</v>
      </c>
      <c r="F267" s="168">
        <f>IF('Dane finansowe'!F42=0,0,'Dane finansowe'!F23/'Dane finansowe'!F42)</f>
        <v>0</v>
      </c>
      <c r="G267" s="168">
        <f>IF('Dane finansowe'!G42=0,0,'Dane finansowe'!G23/'Dane finansowe'!G42)</f>
        <v>0</v>
      </c>
      <c r="I267" s="297"/>
      <c r="J267" s="298"/>
      <c r="K267" s="299"/>
      <c r="L267" s="1"/>
      <c r="M267" s="1"/>
    </row>
    <row r="268" spans="2:13" s="27" customFormat="1" ht="15" customHeight="1">
      <c r="B268" s="13" t="s">
        <v>167</v>
      </c>
      <c r="C268" s="90" t="s">
        <v>38</v>
      </c>
      <c r="D268" s="59" t="s">
        <v>5</v>
      </c>
      <c r="E268" s="169" t="str">
        <f>IF(E265="","brak danych",(1.5*E262)+(0.08*E263)+(10*E264)+(5*E265)+(0.3*E266)+(0.1*E267))</f>
        <v>brak danych</v>
      </c>
      <c r="F268" s="169" t="str">
        <f>IF(F265="","brak danych",(1.5*F262)+(0.08*F263)+(10*F264)+(5*F265)+(0.3*F266)+(0.1*F267))</f>
        <v>brak danych</v>
      </c>
      <c r="G268" s="169" t="str">
        <f>IF(G265="","brak danych",(1.5*G262)+(0.08*G263)+(10*G264)+(5*G265)+(0.3*G266)+(0.1*G267))</f>
        <v>brak danych</v>
      </c>
    </row>
    <row r="269" spans="2:13" ht="15" customHeight="1">
      <c r="B269" s="48"/>
      <c r="C269" s="49"/>
      <c r="D269" s="2"/>
      <c r="E269" s="50"/>
      <c r="F269" s="50"/>
      <c r="G269" s="50"/>
    </row>
    <row r="270" spans="2:13" ht="15" customHeight="1"/>
    <row r="271" spans="2:13" ht="30" customHeight="1">
      <c r="B271" s="81" t="s">
        <v>191</v>
      </c>
      <c r="C271" s="83"/>
      <c r="D271" s="83"/>
      <c r="E271" s="83"/>
      <c r="F271" s="83"/>
      <c r="G271" s="84"/>
    </row>
    <row r="272" spans="2:13" ht="15" customHeight="1">
      <c r="B272" s="3" t="s">
        <v>143</v>
      </c>
      <c r="C272" s="3" t="s">
        <v>157</v>
      </c>
      <c r="D272" s="13" t="str">
        <f>D261</f>
        <v>Jedn./Lata</v>
      </c>
      <c r="E272" s="13">
        <f>IF('Dane finansowe'!$G$22="","",F272-1)</f>
        <v>2019</v>
      </c>
      <c r="F272" s="13">
        <f>IF('Dane finansowe'!$G$22="","",G272-1)</f>
        <v>2020</v>
      </c>
      <c r="G272" s="13">
        <f>IF('Dane finansowe'!$G$22="","",'Dane finansowe'!$G$22)</f>
        <v>2021</v>
      </c>
    </row>
    <row r="273" spans="2:7" ht="15" customHeight="1">
      <c r="B273" s="4" t="s">
        <v>149</v>
      </c>
      <c r="C273" s="89" t="s">
        <v>228</v>
      </c>
      <c r="D273" s="33" t="s">
        <v>5</v>
      </c>
      <c r="E273" s="178">
        <f>IF(E272="","",IF(E272=2017,E281,E282))</f>
        <v>7.1279999999999998E-3</v>
      </c>
      <c r="F273" s="171">
        <f>IF(F272="","",IF(F272=2018,E282,E283))</f>
        <v>7.1640000000000002E-3</v>
      </c>
      <c r="G273" s="171">
        <f>IF(G272="","",IF(G272=2019,E283,E284))</f>
        <v>6.4242999999999995E-2</v>
      </c>
    </row>
    <row r="274" spans="2:7" ht="15" customHeight="1">
      <c r="B274" s="4" t="s">
        <v>150</v>
      </c>
      <c r="C274" s="89" t="s">
        <v>190</v>
      </c>
      <c r="D274" s="33" t="s">
        <v>5</v>
      </c>
      <c r="E274" s="170">
        <v>0.03</v>
      </c>
      <c r="F274" s="170">
        <f>E274</f>
        <v>0.03</v>
      </c>
      <c r="G274" s="170">
        <f>F274</f>
        <v>0.03</v>
      </c>
    </row>
    <row r="275" spans="2:7" ht="15" customHeight="1">
      <c r="B275" s="4" t="s">
        <v>151</v>
      </c>
      <c r="C275" s="89" t="s">
        <v>252</v>
      </c>
      <c r="D275" s="33" t="s">
        <v>5</v>
      </c>
      <c r="E275" s="170">
        <f>SUM(E273:E274)</f>
        <v>3.7128000000000001E-2</v>
      </c>
      <c r="F275" s="170">
        <f t="shared" ref="F275:G275" si="5">SUM(F273:F274)</f>
        <v>3.7164000000000003E-2</v>
      </c>
      <c r="G275" s="170">
        <f t="shared" si="5"/>
        <v>9.4242999999999993E-2</v>
      </c>
    </row>
    <row r="276" spans="2:7" ht="15" customHeight="1">
      <c r="D276" s="5"/>
    </row>
    <row r="277" spans="2:7" ht="15" customHeight="1"/>
    <row r="278" spans="2:7" ht="15" customHeight="1">
      <c r="B278" s="215" t="s">
        <v>143</v>
      </c>
      <c r="C278" s="218" t="s">
        <v>228</v>
      </c>
      <c r="D278" s="214" t="s">
        <v>254</v>
      </c>
      <c r="E278" s="221" t="s">
        <v>253</v>
      </c>
      <c r="F278" s="214" t="s">
        <v>223</v>
      </c>
      <c r="G278" s="5"/>
    </row>
    <row r="279" spans="2:7" ht="15" customHeight="1">
      <c r="B279" s="216"/>
      <c r="C279" s="219"/>
      <c r="D279" s="214"/>
      <c r="E279" s="222"/>
      <c r="F279" s="214"/>
      <c r="G279" s="5"/>
    </row>
    <row r="280" spans="2:7" ht="15" customHeight="1">
      <c r="B280" s="217"/>
      <c r="C280" s="220"/>
      <c r="D280" s="214"/>
      <c r="E280" s="223"/>
      <c r="F280" s="214"/>
      <c r="G280" s="5"/>
    </row>
    <row r="281" spans="2:7" ht="15" customHeight="1">
      <c r="B281" s="4" t="s">
        <v>149</v>
      </c>
      <c r="C281" s="177" t="s">
        <v>255</v>
      </c>
      <c r="D281" s="33" t="s">
        <v>187</v>
      </c>
      <c r="E281" s="171">
        <v>1.8575000000000001E-2</v>
      </c>
      <c r="F281" s="172">
        <v>43830</v>
      </c>
      <c r="G281" s="5"/>
    </row>
    <row r="282" spans="2:7" ht="15" customHeight="1">
      <c r="B282" s="4" t="s">
        <v>150</v>
      </c>
      <c r="C282" s="177" t="s">
        <v>256</v>
      </c>
      <c r="D282" s="33" t="s">
        <v>187</v>
      </c>
      <c r="E282" s="171">
        <v>7.1279999999999998E-3</v>
      </c>
      <c r="F282" s="172">
        <v>44196</v>
      </c>
      <c r="G282" s="5"/>
    </row>
    <row r="283" spans="2:7" ht="15" customHeight="1">
      <c r="B283" s="4" t="s">
        <v>151</v>
      </c>
      <c r="C283" s="177" t="s">
        <v>257</v>
      </c>
      <c r="D283" s="33" t="s">
        <v>187</v>
      </c>
      <c r="E283" s="171">
        <v>7.1640000000000002E-3</v>
      </c>
      <c r="F283" s="172">
        <v>44561</v>
      </c>
      <c r="G283" s="5"/>
    </row>
    <row r="284" spans="2:7" ht="15" customHeight="1">
      <c r="B284" s="4" t="s">
        <v>152</v>
      </c>
      <c r="C284" s="177" t="s">
        <v>263</v>
      </c>
      <c r="D284" s="33" t="s">
        <v>187</v>
      </c>
      <c r="E284" s="171">
        <v>6.4242999999999995E-2</v>
      </c>
      <c r="F284" s="172">
        <v>44926</v>
      </c>
      <c r="G284" s="5"/>
    </row>
    <row r="285" spans="2:7" ht="15" customHeight="1">
      <c r="C285" s="62" t="s">
        <v>214</v>
      </c>
      <c r="D285" s="5"/>
    </row>
    <row r="286" spans="2:7" ht="15" customHeight="1"/>
    <row r="287" spans="2:7" ht="15" customHeight="1"/>
    <row r="288" spans="2:7" hidden="1"/>
    <row r="289" hidden="1"/>
    <row r="290" hidden="1"/>
    <row r="291"/>
  </sheetData>
  <sheetProtection algorithmName="SHA-512" hashValue="zT34Ep33QbyT5NXJlBTNiwKLFfhk5S3u3UXdIG6joFh8d6dkEsZdWgD3Q62wNkxqBUM1/H+OZP4IqbC0iQiA2A==" saltValue="h62dMCgOsT8z3JGVRa6ang==" spinCount="100000" sheet="1" selectLockedCells="1" selectUnlockedCells="1"/>
  <protectedRanges>
    <protectedRange sqref="B6:F6 B4:F4" name="Zakres1_1"/>
  </protectedRanges>
  <mergeCells count="134">
    <mergeCell ref="B74:G74"/>
    <mergeCell ref="B72:D72"/>
    <mergeCell ref="B134:D134"/>
    <mergeCell ref="B149:D149"/>
    <mergeCell ref="B163:D163"/>
    <mergeCell ref="B178:D178"/>
    <mergeCell ref="B189:C189"/>
    <mergeCell ref="B91:D91"/>
    <mergeCell ref="B105:D105"/>
    <mergeCell ref="B120:D120"/>
    <mergeCell ref="I261:K261"/>
    <mergeCell ref="I264:K264"/>
    <mergeCell ref="I265:K265"/>
    <mergeCell ref="I266:K266"/>
    <mergeCell ref="I267:K267"/>
    <mergeCell ref="B231:C231"/>
    <mergeCell ref="B246:C246"/>
    <mergeCell ref="B260:C260"/>
    <mergeCell ref="B203:C203"/>
    <mergeCell ref="B217:C217"/>
    <mergeCell ref="I262:K262"/>
    <mergeCell ref="I263:K263"/>
    <mergeCell ref="H71:I71"/>
    <mergeCell ref="H66:I66"/>
    <mergeCell ref="H67:I67"/>
    <mergeCell ref="H68:I68"/>
    <mergeCell ref="H69:I69"/>
    <mergeCell ref="H70:I70"/>
    <mergeCell ref="H62:I62"/>
    <mergeCell ref="H63:I63"/>
    <mergeCell ref="H64:I64"/>
    <mergeCell ref="H65:I65"/>
    <mergeCell ref="H57:I57"/>
    <mergeCell ref="H58:I58"/>
    <mergeCell ref="H59:I59"/>
    <mergeCell ref="H60:I60"/>
    <mergeCell ref="H61:I61"/>
    <mergeCell ref="H56:I56"/>
    <mergeCell ref="B41:G41"/>
    <mergeCell ref="B42:G42"/>
    <mergeCell ref="H42:I42"/>
    <mergeCell ref="B43:C43"/>
    <mergeCell ref="D43:I43"/>
    <mergeCell ref="D49:I49"/>
    <mergeCell ref="D50:I50"/>
    <mergeCell ref="D51:I51"/>
    <mergeCell ref="B45:I45"/>
    <mergeCell ref="D46:I46"/>
    <mergeCell ref="D47:I47"/>
    <mergeCell ref="D48:I48"/>
    <mergeCell ref="B44:C44"/>
    <mergeCell ref="D44:I44"/>
    <mergeCell ref="B55:I55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D15:G15"/>
    <mergeCell ref="B8:B11"/>
    <mergeCell ref="C8:C11"/>
    <mergeCell ref="D8:G8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D14:G14"/>
    <mergeCell ref="D278:D280"/>
    <mergeCell ref="B278:B280"/>
    <mergeCell ref="C278:C280"/>
    <mergeCell ref="E278:E280"/>
    <mergeCell ref="F278:F280"/>
    <mergeCell ref="D65:G65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</mergeCells>
  <phoneticPr fontId="3" type="noConversion"/>
  <conditionalFormatting sqref="I54 I49:I52 AG37:AN61 I38:I39 I41:I47 E37:G54 E56:G61">
    <cfRule type="expression" dxfId="0" priority="3" stopIfTrue="1">
      <formula>"g10"</formula>
    </cfRule>
  </conditionalFormatting>
  <printOptions horizontalCentered="1"/>
  <pageMargins left="0.36" right="0.21" top="0.78740157480314965" bottom="0.78740157480314965" header="0.39370078740157483" footer="0.39370078740157483"/>
  <pageSetup paperSize="9" scale="1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</vt:lpstr>
      <vt:lpstr>Dane finansowe</vt:lpstr>
      <vt:lpstr>Wyniki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Muszyński Michał</cp:lastModifiedBy>
  <cp:lastPrinted>2015-03-02T06:46:09Z</cp:lastPrinted>
  <dcterms:created xsi:type="dcterms:W3CDTF">2009-08-21T08:15:19Z</dcterms:created>
  <dcterms:modified xsi:type="dcterms:W3CDTF">2023-03-06T07:21:24Z</dcterms:modified>
</cp:coreProperties>
</file>