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19C3A408-9BAC-4AB5-8CF0-A7A46097C5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4" l="1"/>
  <c r="C119" i="4"/>
  <c r="C118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K70" i="4" s="1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56" i="4"/>
  <c r="H56" i="4"/>
  <c r="G56" i="4"/>
  <c r="F56" i="4"/>
  <c r="E56" i="4"/>
  <c r="D56" i="4"/>
  <c r="C56" i="4"/>
  <c r="C57" i="4" s="1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K32" i="4" s="1"/>
  <c r="C32" i="4"/>
  <c r="D31" i="4"/>
  <c r="C31" i="4"/>
  <c r="D30" i="4"/>
  <c r="C30" i="4"/>
  <c r="D29" i="4"/>
  <c r="J29" i="4" s="1"/>
  <c r="C29" i="4"/>
  <c r="D28" i="4"/>
  <c r="C28" i="4"/>
  <c r="D27" i="4"/>
  <c r="C27" i="4"/>
  <c r="D26" i="4"/>
  <c r="C26" i="4"/>
  <c r="D25" i="4"/>
  <c r="C25" i="4"/>
  <c r="K25" i="4" s="1"/>
  <c r="D24" i="4"/>
  <c r="C24" i="4"/>
  <c r="K24" i="4" s="1"/>
  <c r="I20" i="4"/>
  <c r="H20" i="4"/>
  <c r="G20" i="4"/>
  <c r="F20" i="4"/>
  <c r="E20" i="4"/>
  <c r="D20" i="4"/>
  <c r="J20" i="4" s="1"/>
  <c r="C20" i="4"/>
  <c r="I19" i="4"/>
  <c r="H19" i="4"/>
  <c r="G19" i="4"/>
  <c r="F19" i="4"/>
  <c r="E19" i="4"/>
  <c r="D19" i="4"/>
  <c r="C19" i="4"/>
  <c r="K19" i="4" s="1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J15" i="4" s="1"/>
  <c r="C15" i="4"/>
  <c r="I14" i="4"/>
  <c r="H14" i="4"/>
  <c r="G14" i="4"/>
  <c r="F14" i="4"/>
  <c r="E14" i="4"/>
  <c r="D14" i="4"/>
  <c r="C14" i="4"/>
  <c r="K14" i="4" s="1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H69" i="4"/>
  <c r="H75" i="4"/>
  <c r="K34" i="4"/>
  <c r="K10" i="4"/>
  <c r="C76" i="4"/>
  <c r="K6" i="4"/>
  <c r="C55" i="4"/>
  <c r="C46" i="4"/>
  <c r="K47" i="4"/>
  <c r="J100" i="4"/>
  <c r="J101" i="4"/>
  <c r="J98" i="4"/>
  <c r="J99" i="4"/>
  <c r="J103" i="4"/>
  <c r="J102" i="4"/>
  <c r="J18" i="4"/>
  <c r="J34" i="4"/>
  <c r="J42" i="4"/>
  <c r="J51" i="4"/>
  <c r="D76" i="4"/>
  <c r="J48" i="4"/>
  <c r="J35" i="4"/>
  <c r="J40" i="4"/>
  <c r="J31" i="4"/>
  <c r="J28" i="4"/>
  <c r="J43" i="4"/>
  <c r="J17" i="4"/>
  <c r="J39" i="4"/>
  <c r="J53" i="4"/>
  <c r="J37" i="4"/>
  <c r="J11" i="4"/>
  <c r="J16" i="4"/>
  <c r="J49" i="4"/>
  <c r="J14" i="4"/>
  <c r="J8" i="4"/>
  <c r="J10" i="4"/>
  <c r="D55" i="4"/>
  <c r="J38" i="4"/>
  <c r="J27" i="4"/>
  <c r="J19" i="4"/>
  <c r="J45" i="4"/>
  <c r="J30" i="4"/>
  <c r="J24" i="4"/>
  <c r="J9" i="4"/>
  <c r="J50" i="4"/>
  <c r="J25" i="4"/>
  <c r="J52" i="4"/>
  <c r="J41" i="4"/>
  <c r="J36" i="4"/>
  <c r="J6" i="4"/>
  <c r="J12" i="4"/>
  <c r="J33" i="4"/>
  <c r="J26" i="4"/>
  <c r="J47" i="4"/>
  <c r="J44" i="4"/>
  <c r="J13" i="4"/>
  <c r="D46" i="4"/>
  <c r="G7" i="4"/>
  <c r="G55" i="4"/>
  <c r="G57" i="4"/>
  <c r="K48" i="4"/>
  <c r="K102" i="4"/>
  <c r="K37" i="4"/>
  <c r="K90" i="4"/>
  <c r="K40" i="4"/>
  <c r="G69" i="4"/>
  <c r="G75" i="4"/>
  <c r="H7" i="4"/>
  <c r="H55" i="4"/>
  <c r="H57" i="4"/>
  <c r="K95" i="4"/>
  <c r="K81" i="4"/>
  <c r="K31" i="4"/>
  <c r="K101" i="4"/>
  <c r="K68" i="4"/>
  <c r="K17" i="4"/>
  <c r="K50" i="4"/>
  <c r="K89" i="4"/>
  <c r="K11" i="4"/>
  <c r="K35" i="4"/>
  <c r="K53" i="4"/>
  <c r="K12" i="4"/>
  <c r="K28" i="4"/>
  <c r="K41" i="4"/>
  <c r="E69" i="4"/>
  <c r="E75" i="4"/>
  <c r="K71" i="4"/>
  <c r="J80" i="4"/>
  <c r="J81" i="4"/>
  <c r="D82" i="4"/>
  <c r="K82" i="4" s="1"/>
  <c r="J82" i="4"/>
  <c r="K43" i="4"/>
  <c r="F69" i="4"/>
  <c r="F75" i="4"/>
  <c r="I82" i="4"/>
  <c r="K96" i="4"/>
  <c r="I69" i="4"/>
  <c r="I75" i="4"/>
  <c r="K73" i="4"/>
  <c r="K91" i="4"/>
  <c r="K97" i="4"/>
  <c r="K103" i="4"/>
  <c r="E7" i="4"/>
  <c r="E55" i="4"/>
  <c r="E57" i="4"/>
  <c r="K9" i="4"/>
  <c r="C23" i="4"/>
  <c r="C22" i="4" s="1"/>
  <c r="K30" i="4"/>
  <c r="K36" i="4"/>
  <c r="K42" i="4"/>
  <c r="K49" i="4"/>
  <c r="K67" i="4"/>
  <c r="F55" i="4"/>
  <c r="F57" i="4"/>
  <c r="F7" i="4"/>
  <c r="F21" i="4" s="1"/>
  <c r="K16" i="4"/>
  <c r="K80" i="4"/>
  <c r="C82" i="4"/>
  <c r="K92" i="4"/>
  <c r="K98" i="4"/>
  <c r="K99" i="4"/>
  <c r="D118" i="4"/>
  <c r="B1" i="4" s="1"/>
  <c r="K8" i="4"/>
  <c r="K66" i="4"/>
  <c r="C69" i="4"/>
  <c r="K69" i="4" s="1"/>
  <c r="G82" i="4"/>
  <c r="K88" i="4"/>
  <c r="K94" i="4"/>
  <c r="K100" i="4"/>
  <c r="K18" i="4"/>
  <c r="E82" i="4"/>
  <c r="K87" i="4"/>
  <c r="K93" i="4"/>
  <c r="I55" i="4"/>
  <c r="I57" i="4"/>
  <c r="I7" i="4"/>
  <c r="K13" i="4"/>
  <c r="K26" i="4"/>
  <c r="K38" i="4"/>
  <c r="K44" i="4"/>
  <c r="K51" i="4"/>
  <c r="K72" i="4"/>
  <c r="F82" i="4"/>
  <c r="J96" i="4"/>
  <c r="J91" i="4"/>
  <c r="J90" i="4"/>
  <c r="J97" i="4"/>
  <c r="J89" i="4"/>
  <c r="J94" i="4"/>
  <c r="J93" i="4"/>
  <c r="J95" i="4"/>
  <c r="J88" i="4"/>
  <c r="J92" i="4"/>
  <c r="J87" i="4"/>
  <c r="K15" i="4"/>
  <c r="K27" i="4"/>
  <c r="K33" i="4"/>
  <c r="K39" i="4"/>
  <c r="K45" i="4"/>
  <c r="K52" i="4"/>
  <c r="J68" i="4"/>
  <c r="D69" i="4"/>
  <c r="D75" i="4"/>
  <c r="J66" i="4"/>
  <c r="J74" i="4"/>
  <c r="J72" i="4"/>
  <c r="J71" i="4"/>
  <c r="J73" i="4"/>
  <c r="J67" i="4"/>
  <c r="J75" i="4"/>
  <c r="J69" i="4"/>
  <c r="J70" i="4"/>
  <c r="K74" i="4"/>
  <c r="H82" i="4"/>
  <c r="K55" i="4"/>
  <c r="J56" i="4"/>
  <c r="D57" i="4"/>
  <c r="D77" i="4"/>
  <c r="J57" i="4"/>
  <c r="J55" i="4"/>
  <c r="K46" i="4" l="1"/>
  <c r="E21" i="4"/>
  <c r="I21" i="4"/>
  <c r="H21" i="4"/>
  <c r="C7" i="4"/>
  <c r="B59" i="4"/>
  <c r="B83" i="4"/>
  <c r="C77" i="4"/>
  <c r="C75" i="4"/>
  <c r="K75" i="4" s="1"/>
  <c r="K56" i="4"/>
  <c r="J46" i="4"/>
  <c r="J32" i="4"/>
  <c r="D23" i="4"/>
  <c r="D22" i="4" s="1"/>
  <c r="K29" i="4"/>
  <c r="D7" i="4"/>
  <c r="L11" i="4" s="1"/>
  <c r="J22" i="4"/>
  <c r="K22" i="4"/>
  <c r="J23" i="4"/>
  <c r="K23" i="4"/>
  <c r="K20" i="4"/>
  <c r="C21" i="4"/>
  <c r="G21" i="4"/>
  <c r="K57" i="4"/>
  <c r="L17" i="4" l="1"/>
  <c r="L20" i="4"/>
  <c r="L19" i="4"/>
  <c r="L18" i="4"/>
  <c r="L10" i="4"/>
  <c r="L12" i="4"/>
  <c r="L15" i="4"/>
  <c r="K7" i="4"/>
  <c r="L16" i="4"/>
  <c r="L8" i="4"/>
  <c r="L9" i="4"/>
  <c r="L13" i="4"/>
  <c r="D21" i="4"/>
  <c r="L21" i="4" s="1"/>
  <c r="J7" i="4"/>
  <c r="L14" i="4"/>
  <c r="L7" i="4"/>
  <c r="K21" i="4" l="1"/>
  <c r="J21" i="4"/>
</calcChain>
</file>

<file path=xl/sharedStrings.xml><?xml version="1.0" encoding="utf-8"?>
<sst xmlns="http://schemas.openxmlformats.org/spreadsheetml/2006/main" count="371" uniqueCount="116">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</sst>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5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20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7" t="str">
        <f>CONCATENATE("Informacja z wykonania budżetów jednostek samorządu terytorialnego za ",$D$118," ",$C$119," roku")</f>
        <v>Informacja z wykonania budżetów jednostek samorządu terytorialnego za IV Kwartały 2024 roku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.75" customHeight="1" x14ac:dyDescent="0.2"/>
    <row r="3" spans="2:13" ht="66.75" customHeight="1" x14ac:dyDescent="0.2">
      <c r="B3" s="119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19"/>
      <c r="C4" s="120" t="s">
        <v>78</v>
      </c>
      <c r="D4" s="121"/>
      <c r="E4" s="121"/>
      <c r="F4" s="121"/>
      <c r="G4" s="121"/>
      <c r="H4" s="121"/>
      <c r="I4" s="122"/>
      <c r="J4" s="101" t="s">
        <v>4</v>
      </c>
      <c r="K4" s="101"/>
      <c r="L4" s="101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7" t="s">
        <v>5</v>
      </c>
      <c r="C6" s="58">
        <f>437037528157.71</f>
        <v>437037528157.71002</v>
      </c>
      <c r="D6" s="58">
        <f>431411403054.8</f>
        <v>431411403054.79999</v>
      </c>
      <c r="E6" s="58">
        <f>6697401431.9</f>
        <v>6697401431.8999996</v>
      </c>
      <c r="F6" s="58">
        <f>925468008.53</f>
        <v>925468008.52999997</v>
      </c>
      <c r="G6" s="58">
        <f>123252186.93</f>
        <v>123252186.93000001</v>
      </c>
      <c r="H6" s="58">
        <f>184131629.88</f>
        <v>184131629.88</v>
      </c>
      <c r="I6" s="58">
        <f>9050910.9</f>
        <v>9050910.9000000004</v>
      </c>
      <c r="J6" s="59">
        <f t="shared" ref="J6:J53" si="0">IF($D$6=0,"",100*$D6/$D$6)</f>
        <v>100</v>
      </c>
      <c r="K6" s="59">
        <f t="shared" ref="K6:K51" si="1">IF(C6=0,"",100*D6/C6)</f>
        <v>98.712667736652634</v>
      </c>
      <c r="L6" s="59"/>
    </row>
    <row r="7" spans="2:13" ht="27.95" customHeight="1" x14ac:dyDescent="0.2">
      <c r="B7" s="76" t="s">
        <v>59</v>
      </c>
      <c r="C7" s="25">
        <f>C6-C22-C46</f>
        <v>216648862751.59003</v>
      </c>
      <c r="D7" s="25">
        <f>D6-D22-D46</f>
        <v>217654831230.81</v>
      </c>
      <c r="E7" s="25">
        <f>E6</f>
        <v>6697401431.8999996</v>
      </c>
      <c r="F7" s="25">
        <f>F6</f>
        <v>925468008.52999997</v>
      </c>
      <c r="G7" s="25">
        <f>G6</f>
        <v>123252186.93000001</v>
      </c>
      <c r="H7" s="25">
        <f>H6</f>
        <v>184131629.88</v>
      </c>
      <c r="I7" s="25">
        <f>I6</f>
        <v>9050910.9000000004</v>
      </c>
      <c r="J7" s="34">
        <f t="shared" si="0"/>
        <v>50.451803009750861</v>
      </c>
      <c r="K7" s="34">
        <f t="shared" si="1"/>
        <v>100.46433129924777</v>
      </c>
      <c r="L7" s="34">
        <f t="shared" ref="L7:L21" si="2">IF($D$7=0,"",100*$D7/$D$7)</f>
        <v>100</v>
      </c>
    </row>
    <row r="8" spans="2:13" ht="23.1" customHeight="1" outlineLevel="1" x14ac:dyDescent="0.2">
      <c r="B8" s="31" t="s">
        <v>34</v>
      </c>
      <c r="C8" s="23">
        <f>26370399836.4</f>
        <v>26370399836.400002</v>
      </c>
      <c r="D8" s="23">
        <f>26370288965</f>
        <v>26370288965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6.1125618790494318</v>
      </c>
      <c r="K8" s="35">
        <f t="shared" si="1"/>
        <v>99.999579561172041</v>
      </c>
      <c r="L8" s="35">
        <f t="shared" si="2"/>
        <v>12.115646051079784</v>
      </c>
    </row>
    <row r="9" spans="2:13" ht="23.1" customHeight="1" outlineLevel="1" x14ac:dyDescent="0.2">
      <c r="B9" s="31" t="s">
        <v>19</v>
      </c>
      <c r="C9" s="23">
        <f>79784554395.76</f>
        <v>79784554395.759995</v>
      </c>
      <c r="D9" s="23">
        <f>80609011932</f>
        <v>80609011932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18.684951617229423</v>
      </c>
      <c r="K9" s="35">
        <f t="shared" si="1"/>
        <v>101.03335481721237</v>
      </c>
      <c r="L9" s="35">
        <f t="shared" si="2"/>
        <v>37.035250481768053</v>
      </c>
    </row>
    <row r="10" spans="2:13" ht="12.95" customHeight="1" outlineLevel="1" x14ac:dyDescent="0.2">
      <c r="B10" s="31" t="s">
        <v>20</v>
      </c>
      <c r="C10" s="23">
        <f>2263843926.5</f>
        <v>2263843926.5</v>
      </c>
      <c r="D10" s="23">
        <f>2229962525.5</f>
        <v>2229962525.5</v>
      </c>
      <c r="E10" s="23">
        <f>455816307.99</f>
        <v>455816307.99000001</v>
      </c>
      <c r="F10" s="23">
        <f>2219237.06</f>
        <v>2219237.06</v>
      </c>
      <c r="G10" s="23">
        <f>3108700.96</f>
        <v>3108700.96</v>
      </c>
      <c r="H10" s="23">
        <f>1080208.58</f>
        <v>1080208.58</v>
      </c>
      <c r="I10" s="24">
        <f>5203.51</f>
        <v>5203.51</v>
      </c>
      <c r="J10" s="35">
        <f t="shared" si="0"/>
        <v>0.51689930069297196</v>
      </c>
      <c r="K10" s="35">
        <f t="shared" si="1"/>
        <v>98.503368513907134</v>
      </c>
      <c r="L10" s="35">
        <f t="shared" si="2"/>
        <v>1.0245407891429974</v>
      </c>
    </row>
    <row r="11" spans="2:13" ht="12.95" customHeight="1" outlineLevel="1" x14ac:dyDescent="0.2">
      <c r="B11" s="31" t="s">
        <v>21</v>
      </c>
      <c r="C11" s="23">
        <f>34624998618.69</f>
        <v>34624998618.690002</v>
      </c>
      <c r="D11" s="23">
        <f>34932475206.69</f>
        <v>34932475206.690002</v>
      </c>
      <c r="E11" s="23">
        <f>4237258520.31</f>
        <v>4237258520.3099999</v>
      </c>
      <c r="F11" s="23">
        <f>914570409.73</f>
        <v>914570409.73000002</v>
      </c>
      <c r="G11" s="23">
        <f>90354409.04</f>
        <v>90354409.040000007</v>
      </c>
      <c r="H11" s="23">
        <f>138568373.66</f>
        <v>138568373.66</v>
      </c>
      <c r="I11" s="24">
        <f>7040185.27</f>
        <v>7040185.2699999996</v>
      </c>
      <c r="J11" s="35">
        <f t="shared" si="0"/>
        <v>8.0972535633817504</v>
      </c>
      <c r="K11" s="35">
        <f t="shared" si="1"/>
        <v>100.88801906214093</v>
      </c>
      <c r="L11" s="35">
        <f t="shared" si="2"/>
        <v>16.049483031987556</v>
      </c>
    </row>
    <row r="12" spans="2:13" ht="12.95" customHeight="1" outlineLevel="1" x14ac:dyDescent="0.2">
      <c r="B12" s="31" t="s">
        <v>22</v>
      </c>
      <c r="C12" s="23">
        <f>507953328.23</f>
        <v>507953328.23000002</v>
      </c>
      <c r="D12" s="23">
        <f>506559824.06</f>
        <v>506559824.06</v>
      </c>
      <c r="E12" s="23">
        <f>3535313.74</f>
        <v>3535313.74</v>
      </c>
      <c r="F12" s="23">
        <f>971303.34</f>
        <v>971303.34</v>
      </c>
      <c r="G12" s="23">
        <f>150465.8</f>
        <v>150465.79999999999</v>
      </c>
      <c r="H12" s="23">
        <f>30805.59</f>
        <v>30805.59</v>
      </c>
      <c r="I12" s="24">
        <f>0</f>
        <v>0</v>
      </c>
      <c r="J12" s="35">
        <f t="shared" si="0"/>
        <v>0.11741920136395985</v>
      </c>
      <c r="K12" s="35">
        <f t="shared" si="1"/>
        <v>99.725662951189676</v>
      </c>
      <c r="L12" s="35">
        <f t="shared" si="2"/>
        <v>0.23273539171883736</v>
      </c>
    </row>
    <row r="13" spans="2:13" ht="12.95" customHeight="1" outlineLevel="1" x14ac:dyDescent="0.2">
      <c r="B13" s="31" t="s">
        <v>23</v>
      </c>
      <c r="C13" s="23">
        <f>1530409772.11</f>
        <v>1530409772.1099999</v>
      </c>
      <c r="D13" s="23">
        <f>1505574927.66</f>
        <v>1505574927.6600001</v>
      </c>
      <c r="E13" s="23">
        <f>1973646530</f>
        <v>1973646530</v>
      </c>
      <c r="F13" s="23">
        <f>4413015.52</f>
        <v>4413015.5199999996</v>
      </c>
      <c r="G13" s="23">
        <f>3021710.39</f>
        <v>3021710.39</v>
      </c>
      <c r="H13" s="23">
        <f>3996864.04</f>
        <v>3996864.04</v>
      </c>
      <c r="I13" s="24">
        <f>7624</f>
        <v>7624</v>
      </c>
      <c r="J13" s="35">
        <f t="shared" si="0"/>
        <v>0.3489882087026695</v>
      </c>
      <c r="K13" s="35">
        <f t="shared" si="1"/>
        <v>98.377242167255659</v>
      </c>
      <c r="L13" s="35">
        <f t="shared" si="2"/>
        <v>0.69172594017149447</v>
      </c>
    </row>
    <row r="14" spans="2:13" ht="33" customHeight="1" outlineLevel="1" x14ac:dyDescent="0.2">
      <c r="B14" s="31" t="s">
        <v>43</v>
      </c>
      <c r="C14" s="23">
        <f>185555991.47</f>
        <v>185555991.47</v>
      </c>
      <c r="D14" s="23">
        <f>194658735.28</f>
        <v>194658735.28</v>
      </c>
      <c r="E14" s="23">
        <f>0</f>
        <v>0</v>
      </c>
      <c r="F14" s="23">
        <f>0</f>
        <v>0</v>
      </c>
      <c r="G14" s="23">
        <f>101018.15</f>
        <v>101018.15</v>
      </c>
      <c r="H14" s="23">
        <f>315449.91</f>
        <v>315449.90999999997</v>
      </c>
      <c r="I14" s="24">
        <f>0</f>
        <v>0</v>
      </c>
      <c r="J14" s="35">
        <f t="shared" si="0"/>
        <v>4.5121369973448171E-2</v>
      </c>
      <c r="K14" s="35">
        <f t="shared" si="1"/>
        <v>104.90565879219896</v>
      </c>
      <c r="L14" s="35">
        <f t="shared" si="2"/>
        <v>8.9434603486276854E-2</v>
      </c>
    </row>
    <row r="15" spans="2:13" ht="12.95" customHeight="1" outlineLevel="1" x14ac:dyDescent="0.2">
      <c r="B15" s="31" t="s">
        <v>28</v>
      </c>
      <c r="C15" s="23">
        <f>524925560.13</f>
        <v>524925560.13</v>
      </c>
      <c r="D15" s="23">
        <f>600063328.61</f>
        <v>600063328.61000001</v>
      </c>
      <c r="E15" s="23">
        <f>0</f>
        <v>0</v>
      </c>
      <c r="F15" s="23">
        <f>0</f>
        <v>0</v>
      </c>
      <c r="G15" s="23">
        <f>5958080.38</f>
        <v>5958080.3799999999</v>
      </c>
      <c r="H15" s="23">
        <f>15967489.31</f>
        <v>15967489.310000001</v>
      </c>
      <c r="I15" s="24">
        <f>0</f>
        <v>0</v>
      </c>
      <c r="J15" s="35">
        <f t="shared" si="0"/>
        <v>0.13909306160221663</v>
      </c>
      <c r="K15" s="35">
        <f t="shared" si="1"/>
        <v>114.31398548422595</v>
      </c>
      <c r="L15" s="35">
        <f t="shared" si="2"/>
        <v>0.27569492724637412</v>
      </c>
    </row>
    <row r="16" spans="2:13" ht="23.1" customHeight="1" outlineLevel="1" x14ac:dyDescent="0.2">
      <c r="B16" s="31" t="s">
        <v>29</v>
      </c>
      <c r="C16" s="23">
        <f>3714891132.35</f>
        <v>3714891132.3499999</v>
      </c>
      <c r="D16" s="23">
        <f>4102895917.37</f>
        <v>4102895917.3699999</v>
      </c>
      <c r="E16" s="23">
        <f>0</f>
        <v>0</v>
      </c>
      <c r="F16" s="23">
        <f>0</f>
        <v>0</v>
      </c>
      <c r="G16" s="23">
        <f>139451.79</f>
        <v>139451.79</v>
      </c>
      <c r="H16" s="23">
        <f>1066823.66</f>
        <v>1066823.6599999999</v>
      </c>
      <c r="I16" s="24">
        <f>0</f>
        <v>0</v>
      </c>
      <c r="J16" s="35">
        <f t="shared" si="0"/>
        <v>0.95104021087936563</v>
      </c>
      <c r="K16" s="35">
        <f t="shared" si="1"/>
        <v>110.44458023658294</v>
      </c>
      <c r="L16" s="35">
        <f t="shared" si="2"/>
        <v>1.8850470233849865</v>
      </c>
    </row>
    <row r="17" spans="2:12" ht="12.95" customHeight="1" outlineLevel="1" x14ac:dyDescent="0.2">
      <c r="B17" s="31" t="s">
        <v>30</v>
      </c>
      <c r="C17" s="23">
        <f>611566362.75</f>
        <v>611566362.75</v>
      </c>
      <c r="D17" s="23">
        <f>659220050.44</f>
        <v>659220050.44000006</v>
      </c>
      <c r="E17" s="23">
        <f>0</f>
        <v>0</v>
      </c>
      <c r="F17" s="23">
        <f>0</f>
        <v>0</v>
      </c>
      <c r="G17" s="23">
        <f>3687.64</f>
        <v>3687.64</v>
      </c>
      <c r="H17" s="23">
        <f>111</f>
        <v>111</v>
      </c>
      <c r="I17" s="24">
        <f>0</f>
        <v>0</v>
      </c>
      <c r="J17" s="35">
        <f t="shared" si="0"/>
        <v>0.1528054302162854</v>
      </c>
      <c r="K17" s="35">
        <f t="shared" si="1"/>
        <v>107.79207140754409</v>
      </c>
      <c r="L17" s="35">
        <f t="shared" si="2"/>
        <v>0.30287407208569445</v>
      </c>
    </row>
    <row r="18" spans="2:12" ht="12.95" customHeight="1" outlineLevel="1" x14ac:dyDescent="0.2">
      <c r="B18" s="31" t="s">
        <v>31</v>
      </c>
      <c r="C18" s="23">
        <f>485270392.33</f>
        <v>485270392.32999998</v>
      </c>
      <c r="D18" s="23">
        <f>474606769.41</f>
        <v>474606769.41000003</v>
      </c>
      <c r="E18" s="23">
        <f>0</f>
        <v>0</v>
      </c>
      <c r="F18" s="23">
        <f>3294042.88</f>
        <v>3294042.88</v>
      </c>
      <c r="G18" s="23">
        <f>38863.25</f>
        <v>38863.25</v>
      </c>
      <c r="H18" s="23">
        <f>3359459.54</f>
        <v>3359459.54</v>
      </c>
      <c r="I18" s="24">
        <f>0</f>
        <v>0</v>
      </c>
      <c r="J18" s="35">
        <f t="shared" si="0"/>
        <v>0.1100125694521137</v>
      </c>
      <c r="K18" s="35">
        <f t="shared" si="1"/>
        <v>97.802539967707659</v>
      </c>
      <c r="L18" s="35">
        <f t="shared" si="2"/>
        <v>0.21805478276138412</v>
      </c>
    </row>
    <row r="19" spans="2:12" ht="12.95" customHeight="1" outlineLevel="1" x14ac:dyDescent="0.2">
      <c r="B19" s="31" t="s">
        <v>32</v>
      </c>
      <c r="C19" s="23">
        <f>130757514.01</f>
        <v>130757514.01000001</v>
      </c>
      <c r="D19" s="23">
        <f>124791456.16</f>
        <v>124791456.16</v>
      </c>
      <c r="E19" s="23">
        <f>2616112.45</f>
        <v>2616112.4500000002</v>
      </c>
      <c r="F19" s="23">
        <f>0</f>
        <v>0</v>
      </c>
      <c r="G19" s="23">
        <f>0</f>
        <v>0</v>
      </c>
      <c r="H19" s="23">
        <f>35732.69</f>
        <v>35732.69</v>
      </c>
      <c r="I19" s="24">
        <f>0</f>
        <v>0</v>
      </c>
      <c r="J19" s="35">
        <f t="shared" si="0"/>
        <v>2.8926323058769122E-2</v>
      </c>
      <c r="K19" s="35">
        <f t="shared" si="1"/>
        <v>95.437311656488262</v>
      </c>
      <c r="L19" s="35">
        <f t="shared" si="2"/>
        <v>5.733456751422443E-2</v>
      </c>
    </row>
    <row r="20" spans="2:12" ht="12.95" customHeight="1" outlineLevel="1" x14ac:dyDescent="0.2">
      <c r="B20" s="31" t="s">
        <v>24</v>
      </c>
      <c r="C20" s="23">
        <f>11261731028.31</f>
        <v>11261731028.309999</v>
      </c>
      <c r="D20" s="23">
        <f>10357374242.03</f>
        <v>10357374242.030001</v>
      </c>
      <c r="E20" s="23">
        <f>0</f>
        <v>0</v>
      </c>
      <c r="F20" s="23">
        <f>0</f>
        <v>0</v>
      </c>
      <c r="G20" s="23">
        <f>1393.2</f>
        <v>1393.2</v>
      </c>
      <c r="H20" s="23">
        <f>9177.78</f>
        <v>9177.7800000000007</v>
      </c>
      <c r="I20" s="24">
        <f>538000</f>
        <v>538000</v>
      </c>
      <c r="J20" s="35">
        <f t="shared" si="0"/>
        <v>2.4008114223893977</v>
      </c>
      <c r="K20" s="35">
        <f t="shared" si="1"/>
        <v>91.96964672654137</v>
      </c>
      <c r="L20" s="35">
        <f t="shared" si="2"/>
        <v>4.7586236351660034</v>
      </c>
    </row>
    <row r="21" spans="2:12" ht="12.95" customHeight="1" outlineLevel="1" x14ac:dyDescent="0.2">
      <c r="B21" s="31" t="s">
        <v>25</v>
      </c>
      <c r="C21" s="23">
        <f>C7-C8-C9-C10-C11-C12-C13-C14-C15-C16-C17-C18-C19-C20</f>
        <v>54652004892.550034</v>
      </c>
      <c r="D21" s="23">
        <f t="shared" ref="D21:I21" si="3">D7-D8-D9-D10-D11-D12-D13-D14-D15-D16-D17-D18-D19-D20</f>
        <v>54987347350.599983</v>
      </c>
      <c r="E21" s="23">
        <f t="shared" si="3"/>
        <v>24528647.409999896</v>
      </c>
      <c r="F21" s="23">
        <f t="shared" si="3"/>
        <v>1.0244548320770264E-8</v>
      </c>
      <c r="G21" s="23">
        <f t="shared" si="3"/>
        <v>20374406.330000009</v>
      </c>
      <c r="H21" s="23">
        <f t="shared" si="3"/>
        <v>19701134.119999982</v>
      </c>
      <c r="I21" s="24">
        <f t="shared" si="3"/>
        <v>1459898.120000001</v>
      </c>
      <c r="J21" s="35">
        <f t="shared" si="0"/>
        <v>12.745918851759052</v>
      </c>
      <c r="K21" s="35">
        <f t="shared" si="1"/>
        <v>100.61359589407425</v>
      </c>
      <c r="L21" s="35">
        <f t="shared" si="2"/>
        <v>25.263554702486328</v>
      </c>
    </row>
    <row r="22" spans="2:12" ht="27.95" customHeight="1" x14ac:dyDescent="0.2">
      <c r="B22" s="77" t="s">
        <v>103</v>
      </c>
      <c r="C22" s="58">
        <f>C23+C42+C44</f>
        <v>101297903348.66</v>
      </c>
      <c r="D22" s="58">
        <f>D23+D42+D44</f>
        <v>94027535648.990005</v>
      </c>
      <c r="E22" s="60" t="s">
        <v>58</v>
      </c>
      <c r="F22" s="60" t="s">
        <v>58</v>
      </c>
      <c r="G22" s="60" t="s">
        <v>58</v>
      </c>
      <c r="H22" s="60" t="s">
        <v>58</v>
      </c>
      <c r="I22" s="60" t="s">
        <v>58</v>
      </c>
      <c r="J22" s="59">
        <f t="shared" si="0"/>
        <v>21.795329234041169</v>
      </c>
      <c r="K22" s="59">
        <f t="shared" si="1"/>
        <v>92.822785606286516</v>
      </c>
      <c r="L22" s="61"/>
    </row>
    <row r="23" spans="2:12" ht="27.95" customHeight="1" outlineLevel="1" x14ac:dyDescent="0.2">
      <c r="B23" s="82" t="s">
        <v>60</v>
      </c>
      <c r="C23" s="58">
        <f>C24+C26+C28+C30+C32+C34+C36+C38+C40</f>
        <v>87263731121.930008</v>
      </c>
      <c r="D23" s="58">
        <f>D24+D26+D28+D30+D32+D34+D36+D38+D40</f>
        <v>81541360802.990005</v>
      </c>
      <c r="E23" s="60" t="s">
        <v>58</v>
      </c>
      <c r="F23" s="60" t="s">
        <v>58</v>
      </c>
      <c r="G23" s="60" t="s">
        <v>58</v>
      </c>
      <c r="H23" s="60" t="s">
        <v>58</v>
      </c>
      <c r="I23" s="60" t="s">
        <v>58</v>
      </c>
      <c r="J23" s="59">
        <f t="shared" si="0"/>
        <v>18.901067571603392</v>
      </c>
      <c r="K23" s="59">
        <f t="shared" si="1"/>
        <v>93.442441383873032</v>
      </c>
      <c r="L23" s="61"/>
    </row>
    <row r="24" spans="2:12" ht="24.95" customHeight="1" outlineLevel="1" x14ac:dyDescent="0.2">
      <c r="B24" s="81" t="s">
        <v>9</v>
      </c>
      <c r="C24" s="24">
        <f>34170372520.43</f>
        <v>34170372520.43</v>
      </c>
      <c r="D24" s="24">
        <f>33569283647.29</f>
        <v>33569283647.290001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7.7812694355290057</v>
      </c>
      <c r="K24" s="35">
        <f t="shared" si="1"/>
        <v>98.240906291610912</v>
      </c>
      <c r="L24" s="30"/>
    </row>
    <row r="25" spans="2:12" ht="12.95" customHeight="1" outlineLevel="1" x14ac:dyDescent="0.2">
      <c r="B25" s="83" t="s">
        <v>6</v>
      </c>
      <c r="C25" s="24">
        <f>291631235.18</f>
        <v>291631235.18000001</v>
      </c>
      <c r="D25" s="24">
        <f>285666693.76</f>
        <v>285666693.75999999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6.6216769361498132E-2</v>
      </c>
      <c r="K25" s="35">
        <f t="shared" si="1"/>
        <v>97.954765916511448</v>
      </c>
      <c r="L25" s="30"/>
    </row>
    <row r="26" spans="2:12" ht="12.95" customHeight="1" outlineLevel="1" x14ac:dyDescent="0.2">
      <c r="B26" s="81" t="s">
        <v>7</v>
      </c>
      <c r="C26" s="24">
        <f>11541666672.16</f>
        <v>11541666672.16</v>
      </c>
      <c r="D26" s="24">
        <f>11007681421.8</f>
        <v>11007681421.799999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2.5515508732164296</v>
      </c>
      <c r="K26" s="35">
        <f t="shared" si="1"/>
        <v>95.373412995472819</v>
      </c>
      <c r="L26" s="30"/>
    </row>
    <row r="27" spans="2:12" ht="12.95" customHeight="1" outlineLevel="1" x14ac:dyDescent="0.2">
      <c r="B27" s="83" t="s">
        <v>6</v>
      </c>
      <c r="C27" s="24">
        <f>1334965133.29</f>
        <v>1334965133.29</v>
      </c>
      <c r="D27" s="24">
        <f>1152350182.9</f>
        <v>1152350182.9000001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0.26711166527826408</v>
      </c>
      <c r="K27" s="35">
        <f t="shared" si="1"/>
        <v>86.320620229237875</v>
      </c>
      <c r="L27" s="30"/>
    </row>
    <row r="28" spans="2:12" ht="33" customHeight="1" outlineLevel="1" x14ac:dyDescent="0.2">
      <c r="B28" s="81" t="s">
        <v>10</v>
      </c>
      <c r="C28" s="24">
        <f>382308577.44</f>
        <v>382308577.44</v>
      </c>
      <c r="D28" s="24">
        <f>341749425.88</f>
        <v>341749425.88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7.9216595449283778E-2</v>
      </c>
      <c r="K28" s="35">
        <f t="shared" si="1"/>
        <v>89.39099095510997</v>
      </c>
      <c r="L28" s="30"/>
    </row>
    <row r="29" spans="2:12" ht="12.95" customHeight="1" outlineLevel="1" x14ac:dyDescent="0.2">
      <c r="B29" s="83" t="s">
        <v>6</v>
      </c>
      <c r="C29" s="24">
        <f>46551036.36</f>
        <v>46551036.359999999</v>
      </c>
      <c r="D29" s="24">
        <f>37232670.57</f>
        <v>37232670.57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8.6304326465080766E-3</v>
      </c>
      <c r="K29" s="35">
        <f t="shared" si="1"/>
        <v>79.98247403572951</v>
      </c>
      <c r="L29" s="30"/>
    </row>
    <row r="30" spans="2:12" ht="27.95" customHeight="1" outlineLevel="1" x14ac:dyDescent="0.2">
      <c r="B30" s="81" t="s">
        <v>11</v>
      </c>
      <c r="C30" s="24">
        <f>2219840015.42</f>
        <v>2219840015.4200001</v>
      </c>
      <c r="D30" s="24">
        <f>2169008152.65</f>
        <v>2169008152.6500001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0.50277024141953008</v>
      </c>
      <c r="K30" s="35">
        <f t="shared" si="1"/>
        <v>97.710111430693232</v>
      </c>
      <c r="L30" s="30"/>
    </row>
    <row r="31" spans="2:12" ht="12.95" customHeight="1" outlineLevel="1" x14ac:dyDescent="0.2">
      <c r="B31" s="83" t="s">
        <v>6</v>
      </c>
      <c r="C31" s="24">
        <f>388213337.23</f>
        <v>388213337.23000002</v>
      </c>
      <c r="D31" s="24">
        <f>362479818.83</f>
        <v>362479818.82999998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8.4021844639084797E-2</v>
      </c>
      <c r="K31" s="35">
        <f t="shared" si="1"/>
        <v>93.371294612489322</v>
      </c>
      <c r="L31" s="30"/>
    </row>
    <row r="32" spans="2:12" ht="33.75" outlineLevel="1" x14ac:dyDescent="0.2">
      <c r="B32" s="81" t="s">
        <v>79</v>
      </c>
      <c r="C32" s="24">
        <f>2794719971.28</f>
        <v>2794719971.2800002</v>
      </c>
      <c r="D32" s="24">
        <f>2552457336.11</f>
        <v>2552457336.1100001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0.59165272823949311</v>
      </c>
      <c r="K32" s="35">
        <f t="shared" si="1"/>
        <v>91.331416468926491</v>
      </c>
      <c r="L32" s="30"/>
    </row>
    <row r="33" spans="2:12" ht="12.95" customHeight="1" outlineLevel="1" x14ac:dyDescent="0.2">
      <c r="B33" s="83" t="s">
        <v>6</v>
      </c>
      <c r="C33" s="24">
        <f>2125680013.1</f>
        <v>2125680013.0999999</v>
      </c>
      <c r="D33" s="24">
        <f>1906654403.21</f>
        <v>1906654403.21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0.44195734969198469</v>
      </c>
      <c r="K33" s="35">
        <f t="shared" si="1"/>
        <v>89.696209752163853</v>
      </c>
      <c r="L33" s="30"/>
    </row>
    <row r="34" spans="2:12" ht="12.95" customHeight="1" outlineLevel="1" x14ac:dyDescent="0.2">
      <c r="B34" s="81" t="s">
        <v>8</v>
      </c>
      <c r="C34" s="24">
        <f>873449061.58</f>
        <v>873449061.58000004</v>
      </c>
      <c r="D34" s="24">
        <f>725491824.1</f>
        <v>725491824.10000002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0.16816704866001062</v>
      </c>
      <c r="K34" s="35">
        <f t="shared" si="1"/>
        <v>83.060576284510844</v>
      </c>
      <c r="L34" s="30"/>
    </row>
    <row r="35" spans="2:12" ht="12.95" customHeight="1" outlineLevel="1" x14ac:dyDescent="0.2">
      <c r="B35" s="83" t="s">
        <v>6</v>
      </c>
      <c r="C35" s="24">
        <f>734289374.54</f>
        <v>734289374.53999996</v>
      </c>
      <c r="D35" s="24">
        <f>587655090.52</f>
        <v>587655090.51999998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0.13621686546967632</v>
      </c>
      <c r="K35" s="35">
        <f t="shared" si="1"/>
        <v>80.030449969147398</v>
      </c>
      <c r="L35" s="30"/>
    </row>
    <row r="36" spans="2:12" ht="67.5" outlineLevel="1" x14ac:dyDescent="0.2">
      <c r="B36" s="81" t="s">
        <v>96</v>
      </c>
      <c r="C36" s="24">
        <f>10171046.66</f>
        <v>10171046.66</v>
      </c>
      <c r="D36" s="24">
        <f>9430929.01</f>
        <v>9430929.0099999998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2.1860639156081919E-3</v>
      </c>
      <c r="K36" s="35">
        <f t="shared" si="1"/>
        <v>92.723289207681205</v>
      </c>
      <c r="L36" s="30"/>
    </row>
    <row r="37" spans="2:12" ht="12.95" customHeight="1" outlineLevel="1" x14ac:dyDescent="0.2">
      <c r="B37" s="83" t="s">
        <v>94</v>
      </c>
      <c r="C37" s="24">
        <f>8696281.02</f>
        <v>8696281.0199999996</v>
      </c>
      <c r="D37" s="24">
        <f>7876904.5</f>
        <v>7876904.5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1.8258452243552397E-3</v>
      </c>
      <c r="K37" s="35">
        <f t="shared" si="1"/>
        <v>90.577851404346646</v>
      </c>
      <c r="L37" s="30"/>
    </row>
    <row r="38" spans="2:12" ht="45" outlineLevel="1" x14ac:dyDescent="0.2">
      <c r="B38" s="84" t="s">
        <v>93</v>
      </c>
      <c r="C38" s="24">
        <f>31064909169.85</f>
        <v>31064909169.849998</v>
      </c>
      <c r="D38" s="24">
        <f>27034927007.02</f>
        <v>27034927007.02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6.2666231851052601</v>
      </c>
      <c r="K38" s="35">
        <f t="shared" si="1"/>
        <v>87.027220518187477</v>
      </c>
      <c r="L38" s="30"/>
    </row>
    <row r="39" spans="2:12" ht="12.95" customHeight="1" outlineLevel="1" x14ac:dyDescent="0.2">
      <c r="B39" s="85" t="s">
        <v>6</v>
      </c>
      <c r="C39" s="24">
        <f>30756818077.16</f>
        <v>30756818077.16</v>
      </c>
      <c r="D39" s="24">
        <f>26766689509.31</f>
        <v>26766689509.310001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6.2044464563932644</v>
      </c>
      <c r="K39" s="35">
        <f t="shared" si="1"/>
        <v>87.026848623157576</v>
      </c>
      <c r="L39" s="30"/>
    </row>
    <row r="40" spans="2:12" ht="22.5" outlineLevel="1" x14ac:dyDescent="0.2">
      <c r="B40" s="84" t="s">
        <v>105</v>
      </c>
      <c r="C40" s="24">
        <f>4206294087.11</f>
        <v>4206294087.1100001</v>
      </c>
      <c r="D40" s="24">
        <f>4131331059.13</f>
        <v>4131331059.1300001</v>
      </c>
      <c r="E40" s="24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35">
        <f t="shared" si="0"/>
        <v>0.95763140006876868</v>
      </c>
      <c r="K40" s="35">
        <f t="shared" si="1"/>
        <v>98.217836736387</v>
      </c>
      <c r="L40" s="30"/>
    </row>
    <row r="41" spans="2:12" ht="12.95" customHeight="1" outlineLevel="1" x14ac:dyDescent="0.2">
      <c r="B41" s="85" t="s">
        <v>6</v>
      </c>
      <c r="C41" s="24">
        <f>1818248.81</f>
        <v>1818248.81</v>
      </c>
      <c r="D41" s="24">
        <f>4206649.84</f>
        <v>4206649.84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9.7509009039004253E-4</v>
      </c>
      <c r="K41" s="35">
        <f t="shared" si="1"/>
        <v>231.35721672767104</v>
      </c>
      <c r="L41" s="30"/>
    </row>
    <row r="42" spans="2:12" ht="14.1" customHeight="1" outlineLevel="1" x14ac:dyDescent="0.2">
      <c r="B42" s="82" t="s">
        <v>71</v>
      </c>
      <c r="C42" s="58">
        <f>1809267774.31</f>
        <v>1809267774.3099999</v>
      </c>
      <c r="D42" s="58">
        <f>1434274372.76</f>
        <v>1434274372.76</v>
      </c>
      <c r="E42" s="60" t="s">
        <v>58</v>
      </c>
      <c r="F42" s="60" t="s">
        <v>58</v>
      </c>
      <c r="G42" s="60" t="s">
        <v>58</v>
      </c>
      <c r="H42" s="60" t="s">
        <v>58</v>
      </c>
      <c r="I42" s="60" t="s">
        <v>58</v>
      </c>
      <c r="J42" s="59">
        <f t="shared" si="0"/>
        <v>0.33246093232677287</v>
      </c>
      <c r="K42" s="59">
        <f t="shared" si="1"/>
        <v>79.273747818063526</v>
      </c>
      <c r="L42" s="30"/>
    </row>
    <row r="43" spans="2:12" ht="12.95" customHeight="1" outlineLevel="1" x14ac:dyDescent="0.2">
      <c r="B43" s="88" t="s">
        <v>72</v>
      </c>
      <c r="C43" s="23">
        <f>952918843.13</f>
        <v>952918843.13</v>
      </c>
      <c r="D43" s="23">
        <f>693835806.91</f>
        <v>693835806.90999997</v>
      </c>
      <c r="E43" s="23" t="s">
        <v>58</v>
      </c>
      <c r="F43" s="23" t="s">
        <v>58</v>
      </c>
      <c r="G43" s="23" t="s">
        <v>58</v>
      </c>
      <c r="H43" s="23" t="s">
        <v>58</v>
      </c>
      <c r="I43" s="23" t="s">
        <v>58</v>
      </c>
      <c r="J43" s="35">
        <f t="shared" si="0"/>
        <v>0.16082926923048105</v>
      </c>
      <c r="K43" s="35">
        <f t="shared" si="1"/>
        <v>72.811636784408179</v>
      </c>
      <c r="L43" s="30"/>
    </row>
    <row r="44" spans="2:12" ht="14.1" customHeight="1" outlineLevel="1" x14ac:dyDescent="0.2">
      <c r="B44" s="82" t="s">
        <v>84</v>
      </c>
      <c r="C44" s="58">
        <f>12224904452.42</f>
        <v>12224904452.42</v>
      </c>
      <c r="D44" s="58">
        <f>11051900473.24</f>
        <v>11051900473.24</v>
      </c>
      <c r="E44" s="60" t="s">
        <v>58</v>
      </c>
      <c r="F44" s="60" t="s">
        <v>58</v>
      </c>
      <c r="G44" s="60" t="s">
        <v>58</v>
      </c>
      <c r="H44" s="60" t="s">
        <v>58</v>
      </c>
      <c r="I44" s="60" t="s">
        <v>58</v>
      </c>
      <c r="J44" s="59">
        <f t="shared" si="0"/>
        <v>2.5618007301110057</v>
      </c>
      <c r="K44" s="59">
        <f t="shared" si="1"/>
        <v>90.404800432220995</v>
      </c>
      <c r="L44" s="30"/>
    </row>
    <row r="45" spans="2:12" ht="12.95" customHeight="1" outlineLevel="1" x14ac:dyDescent="0.2">
      <c r="B45" s="88" t="s">
        <v>85</v>
      </c>
      <c r="C45" s="23">
        <f>8610685778.28</f>
        <v>8610685778.2800007</v>
      </c>
      <c r="D45" s="23">
        <f>7742621322.88</f>
        <v>7742621322.8800001</v>
      </c>
      <c r="E45" s="23" t="s">
        <v>58</v>
      </c>
      <c r="F45" s="23" t="s">
        <v>58</v>
      </c>
      <c r="G45" s="23" t="s">
        <v>58</v>
      </c>
      <c r="H45" s="23" t="s">
        <v>58</v>
      </c>
      <c r="I45" s="23" t="s">
        <v>58</v>
      </c>
      <c r="J45" s="35">
        <f t="shared" si="0"/>
        <v>1.7947187459707676</v>
      </c>
      <c r="K45" s="35">
        <f t="shared" si="1"/>
        <v>89.918753537730439</v>
      </c>
      <c r="L45" s="30"/>
    </row>
    <row r="46" spans="2:12" ht="27.95" customHeight="1" x14ac:dyDescent="0.2">
      <c r="B46" s="77" t="s">
        <v>61</v>
      </c>
      <c r="C46" s="58">
        <f>C47+C48+C49+C50+C51+C52+C53</f>
        <v>119090762057.46001</v>
      </c>
      <c r="D46" s="58">
        <f>D47+D48+D49+D50+D51+D52+D53</f>
        <v>119729036175</v>
      </c>
      <c r="E46" s="60" t="s">
        <v>58</v>
      </c>
      <c r="F46" s="60" t="s">
        <v>58</v>
      </c>
      <c r="G46" s="60" t="s">
        <v>58</v>
      </c>
      <c r="H46" s="60" t="s">
        <v>58</v>
      </c>
      <c r="I46" s="60" t="s">
        <v>58</v>
      </c>
      <c r="J46" s="59">
        <f t="shared" si="0"/>
        <v>27.752867756207973</v>
      </c>
      <c r="K46" s="59">
        <f t="shared" si="1"/>
        <v>100.53595602758175</v>
      </c>
      <c r="L46" s="30"/>
    </row>
    <row r="47" spans="2:12" ht="15" customHeight="1" outlineLevel="1" x14ac:dyDescent="0.2">
      <c r="B47" s="31" t="s">
        <v>47</v>
      </c>
      <c r="C47" s="23">
        <f>21005872231</f>
        <v>21005872231</v>
      </c>
      <c r="D47" s="23">
        <f>20997815405</f>
        <v>20997815405</v>
      </c>
      <c r="E47" s="23" t="s">
        <v>58</v>
      </c>
      <c r="F47" s="23" t="s">
        <v>58</v>
      </c>
      <c r="G47" s="23" t="s">
        <v>58</v>
      </c>
      <c r="H47" s="23" t="s">
        <v>58</v>
      </c>
      <c r="I47" s="23" t="s">
        <v>58</v>
      </c>
      <c r="J47" s="35">
        <f t="shared" si="0"/>
        <v>4.867236993810466</v>
      </c>
      <c r="K47" s="35">
        <f t="shared" si="1"/>
        <v>99.96164488714679</v>
      </c>
      <c r="L47" s="30"/>
    </row>
    <row r="48" spans="2:12" ht="15" customHeight="1" outlineLevel="1" x14ac:dyDescent="0.2">
      <c r="B48" s="31" t="s">
        <v>46</v>
      </c>
      <c r="C48" s="23">
        <f>87863740652.35</f>
        <v>87863740652.350006</v>
      </c>
      <c r="D48" s="23">
        <f>87988985444</f>
        <v>87988985444</v>
      </c>
      <c r="E48" s="23" t="s">
        <v>58</v>
      </c>
      <c r="F48" s="23" t="s">
        <v>58</v>
      </c>
      <c r="G48" s="23" t="s">
        <v>58</v>
      </c>
      <c r="H48" s="23" t="s">
        <v>58</v>
      </c>
      <c r="I48" s="23" t="s">
        <v>58</v>
      </c>
      <c r="J48" s="35">
        <f t="shared" si="0"/>
        <v>20.395609578456881</v>
      </c>
      <c r="K48" s="35">
        <f t="shared" si="1"/>
        <v>100.14254434277451</v>
      </c>
      <c r="L48" s="30"/>
    </row>
    <row r="49" spans="1:26" ht="15" customHeight="1" outlineLevel="1" x14ac:dyDescent="0.2">
      <c r="B49" s="31" t="s">
        <v>45</v>
      </c>
      <c r="C49" s="23">
        <f>6267483</f>
        <v>6267483</v>
      </c>
      <c r="D49" s="23">
        <f>5668807</f>
        <v>5668807</v>
      </c>
      <c r="E49" s="23" t="s">
        <v>58</v>
      </c>
      <c r="F49" s="23" t="s">
        <v>58</v>
      </c>
      <c r="G49" s="23" t="s">
        <v>58</v>
      </c>
      <c r="H49" s="23" t="s">
        <v>58</v>
      </c>
      <c r="I49" s="23" t="s">
        <v>58</v>
      </c>
      <c r="J49" s="35">
        <f t="shared" si="0"/>
        <v>1.3140141776178133E-3</v>
      </c>
      <c r="K49" s="35">
        <f t="shared" si="1"/>
        <v>90.447903887413815</v>
      </c>
      <c r="L49" s="30"/>
    </row>
    <row r="50" spans="1:26" ht="15" customHeight="1" outlineLevel="1" x14ac:dyDescent="0.2">
      <c r="B50" s="31" t="s">
        <v>44</v>
      </c>
      <c r="C50" s="23">
        <f>3104491250</f>
        <v>3104491250</v>
      </c>
      <c r="D50" s="23">
        <f>3104491250</f>
        <v>3104491250</v>
      </c>
      <c r="E50" s="23" t="s">
        <v>58</v>
      </c>
      <c r="F50" s="23" t="s">
        <v>58</v>
      </c>
      <c r="G50" s="23" t="s">
        <v>58</v>
      </c>
      <c r="H50" s="23" t="s">
        <v>58</v>
      </c>
      <c r="I50" s="23" t="s">
        <v>58</v>
      </c>
      <c r="J50" s="35">
        <f t="shared" si="0"/>
        <v>0.7196127010128317</v>
      </c>
      <c r="K50" s="35">
        <f t="shared" si="1"/>
        <v>100</v>
      </c>
      <c r="L50" s="30"/>
    </row>
    <row r="51" spans="1:26" ht="15" customHeight="1" outlineLevel="1" x14ac:dyDescent="0.2">
      <c r="B51" s="31" t="s">
        <v>57</v>
      </c>
      <c r="C51" s="23">
        <f>1257099546</f>
        <v>1257099546</v>
      </c>
      <c r="D51" s="23">
        <f>1257099546</f>
        <v>1257099546</v>
      </c>
      <c r="E51" s="23" t="s">
        <v>58</v>
      </c>
      <c r="F51" s="23" t="s">
        <v>58</v>
      </c>
      <c r="G51" s="23" t="s">
        <v>58</v>
      </c>
      <c r="H51" s="23" t="s">
        <v>58</v>
      </c>
      <c r="I51" s="23" t="s">
        <v>58</v>
      </c>
      <c r="J51" s="35">
        <f t="shared" si="0"/>
        <v>0.29139228520584959</v>
      </c>
      <c r="K51" s="35">
        <f t="shared" si="1"/>
        <v>100</v>
      </c>
      <c r="L51" s="30"/>
    </row>
    <row r="52" spans="1:26" ht="15" customHeight="1" outlineLevel="1" x14ac:dyDescent="0.2">
      <c r="B52" s="31" t="s">
        <v>115</v>
      </c>
      <c r="C52" s="23">
        <f>3227943726.51</f>
        <v>3227943726.5100002</v>
      </c>
      <c r="D52" s="23">
        <f>3231000000</f>
        <v>3231000000</v>
      </c>
      <c r="E52" s="23" t="s">
        <v>58</v>
      </c>
      <c r="F52" s="23" t="s">
        <v>58</v>
      </c>
      <c r="G52" s="23" t="s">
        <v>58</v>
      </c>
      <c r="H52" s="23" t="s">
        <v>58</v>
      </c>
      <c r="I52" s="23" t="s">
        <v>58</v>
      </c>
      <c r="J52" s="35">
        <f t="shared" si="0"/>
        <v>0.7489370881533195</v>
      </c>
      <c r="K52" s="35">
        <f>IF(C52=0,"",100*D52/C52)</f>
        <v>100.09468174630491</v>
      </c>
      <c r="L52" s="30"/>
    </row>
    <row r="53" spans="1:26" ht="15" customHeight="1" outlineLevel="1" x14ac:dyDescent="0.2">
      <c r="B53" s="31" t="s">
        <v>42</v>
      </c>
      <c r="C53" s="23">
        <f>2625347168.6</f>
        <v>2625347168.5999999</v>
      </c>
      <c r="D53" s="23">
        <f>3143975723</f>
        <v>3143975723</v>
      </c>
      <c r="E53" s="23" t="s">
        <v>58</v>
      </c>
      <c r="F53" s="23" t="s">
        <v>58</v>
      </c>
      <c r="G53" s="23" t="s">
        <v>58</v>
      </c>
      <c r="H53" s="23" t="s">
        <v>58</v>
      </c>
      <c r="I53" s="23" t="s">
        <v>58</v>
      </c>
      <c r="J53" s="35">
        <f t="shared" si="0"/>
        <v>0.7287650953910082</v>
      </c>
      <c r="K53" s="35">
        <f>IF(C53=0,"",100*D53/C53)</f>
        <v>119.75466561538852</v>
      </c>
      <c r="L53" s="30"/>
    </row>
    <row r="54" spans="1:26" s="6" customFormat="1" ht="13.5" customHeight="1" x14ac:dyDescent="0.2">
      <c r="A54" s="3"/>
      <c r="B54" s="21"/>
      <c r="C54" s="8"/>
      <c r="D54" s="9"/>
      <c r="E54" s="16"/>
      <c r="F54" s="16"/>
      <c r="G54" s="16"/>
      <c r="H54" s="16"/>
      <c r="I54" s="16"/>
      <c r="J54" s="10"/>
      <c r="K54" s="10"/>
      <c r="L54" s="4"/>
    </row>
    <row r="55" spans="1:26" s="6" customFormat="1" ht="18.75" customHeight="1" x14ac:dyDescent="0.2">
      <c r="A55" s="3"/>
      <c r="B55" s="62" t="s">
        <v>5</v>
      </c>
      <c r="C55" s="63">
        <f t="shared" ref="C55:I55" si="4">+C6</f>
        <v>437037528157.71002</v>
      </c>
      <c r="D55" s="63">
        <f t="shared" si="4"/>
        <v>431411403054.79999</v>
      </c>
      <c r="E55" s="63">
        <f t="shared" si="4"/>
        <v>6697401431.8999996</v>
      </c>
      <c r="F55" s="63">
        <f t="shared" si="4"/>
        <v>925468008.52999997</v>
      </c>
      <c r="G55" s="63">
        <f t="shared" si="4"/>
        <v>123252186.93000001</v>
      </c>
      <c r="H55" s="63">
        <f t="shared" si="4"/>
        <v>184131629.88</v>
      </c>
      <c r="I55" s="63">
        <f t="shared" si="4"/>
        <v>9050910.9000000004</v>
      </c>
      <c r="J55" s="64">
        <f>IF($D$55=0,"",100*$D55/$D$55)</f>
        <v>100</v>
      </c>
      <c r="K55" s="64">
        <f>IF(C55=0,"",100*D55/C55)</f>
        <v>98.712667736652634</v>
      </c>
      <c r="L55" s="4"/>
    </row>
    <row r="56" spans="1:26" s="6" customFormat="1" ht="20.100000000000001" customHeight="1" x14ac:dyDescent="0.2">
      <c r="A56" s="3"/>
      <c r="B56" s="55" t="s">
        <v>74</v>
      </c>
      <c r="C56" s="56">
        <f>59784028438.73</f>
        <v>59784028438.730003</v>
      </c>
      <c r="D56" s="56">
        <f>53069558018.45</f>
        <v>53069558018.449997</v>
      </c>
      <c r="E56" s="56">
        <f>0</f>
        <v>0</v>
      </c>
      <c r="F56" s="56">
        <f>0</f>
        <v>0</v>
      </c>
      <c r="G56" s="56">
        <f>0</f>
        <v>0</v>
      </c>
      <c r="H56" s="56">
        <f>0</f>
        <v>0</v>
      </c>
      <c r="I56" s="56">
        <f>538000</f>
        <v>538000</v>
      </c>
      <c r="J56" s="36">
        <f>IF($D$55=0,"",100*$D56/$D$55)</f>
        <v>12.301380455562239</v>
      </c>
      <c r="K56" s="36">
        <f>IF(C56=0,"",100*D56/C56)</f>
        <v>88.768788929703248</v>
      </c>
      <c r="L56" s="4"/>
    </row>
    <row r="57" spans="1:26" s="6" customFormat="1" ht="20.100000000000001" customHeight="1" x14ac:dyDescent="0.2">
      <c r="A57" s="3"/>
      <c r="B57" s="55" t="s">
        <v>75</v>
      </c>
      <c r="C57" s="56">
        <f>+C55-C56</f>
        <v>377253499718.98004</v>
      </c>
      <c r="D57" s="56">
        <f t="shared" ref="D57:I57" si="5">+D55-D56</f>
        <v>378341845036.34998</v>
      </c>
      <c r="E57" s="56">
        <f t="shared" si="5"/>
        <v>6697401431.8999996</v>
      </c>
      <c r="F57" s="56">
        <f t="shared" si="5"/>
        <v>925468008.52999997</v>
      </c>
      <c r="G57" s="56">
        <f t="shared" si="5"/>
        <v>123252186.93000001</v>
      </c>
      <c r="H57" s="56">
        <f t="shared" si="5"/>
        <v>184131629.88</v>
      </c>
      <c r="I57" s="56">
        <f t="shared" si="5"/>
        <v>8512910.9000000004</v>
      </c>
      <c r="J57" s="36">
        <f>IF($D$55=0,"",100*$D57/$D$55)</f>
        <v>87.698619544437761</v>
      </c>
      <c r="K57" s="36">
        <f>IF(C57=0,"",100*D57/C57)</f>
        <v>100.28849177494196</v>
      </c>
      <c r="L57" s="4"/>
    </row>
    <row r="58" spans="1:26" s="6" customFormat="1" ht="13.5" customHeight="1" x14ac:dyDescent="0.2">
      <c r="A58" s="3"/>
      <c r="B58" s="92" t="s">
        <v>106</v>
      </c>
      <c r="C58" s="92"/>
      <c r="D58" s="92"/>
      <c r="E58" s="92"/>
      <c r="F58" s="92"/>
      <c r="G58" s="16"/>
      <c r="H58" s="16"/>
      <c r="I58" s="16"/>
      <c r="J58" s="16"/>
      <c r="K58" s="10"/>
      <c r="L58" s="10"/>
      <c r="M58" s="4"/>
    </row>
    <row r="59" spans="1:26" ht="27" customHeight="1" x14ac:dyDescent="0.2">
      <c r="B59" s="87" t="str">
        <f>CONCATENATE("Informacja z wykonania budżetów jednostek samorządu terytorialnego za ",$D$118," ",$C$119," roku")</f>
        <v>Informacja z wykonania budżetów jednostek samorządu terytorialnego za IV Kwartały 2024 roku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spans="1:26" s="6" customFormat="1" ht="9.75" customHeight="1" x14ac:dyDescent="0.2">
      <c r="B60" s="7"/>
      <c r="C60" s="8"/>
      <c r="D60" s="9"/>
      <c r="E60" s="9"/>
      <c r="F60" s="5"/>
      <c r="G60" s="5"/>
      <c r="H60" s="5"/>
      <c r="I60" s="5"/>
      <c r="J60" s="5"/>
      <c r="K60" s="10"/>
      <c r="L60" s="10"/>
      <c r="M60" s="4"/>
    </row>
    <row r="61" spans="1:26" ht="29.25" customHeight="1" x14ac:dyDescent="0.2">
      <c r="B61" s="119" t="s">
        <v>0</v>
      </c>
      <c r="C61" s="108" t="s">
        <v>53</v>
      </c>
      <c r="D61" s="108" t="s">
        <v>55</v>
      </c>
      <c r="E61" s="108" t="s">
        <v>54</v>
      </c>
      <c r="F61" s="108" t="s">
        <v>12</v>
      </c>
      <c r="G61" s="108"/>
      <c r="H61" s="108"/>
      <c r="I61" s="105" t="s">
        <v>86</v>
      </c>
      <c r="J61" s="105" t="s">
        <v>2</v>
      </c>
      <c r="K61" s="102" t="s">
        <v>18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customHeight="1" x14ac:dyDescent="0.2">
      <c r="B62" s="119"/>
      <c r="C62" s="108"/>
      <c r="D62" s="108"/>
      <c r="E62" s="108"/>
      <c r="F62" s="94" t="s">
        <v>56</v>
      </c>
      <c r="G62" s="109" t="s">
        <v>33</v>
      </c>
      <c r="H62" s="96"/>
      <c r="I62" s="106"/>
      <c r="J62" s="106"/>
      <c r="K62" s="103"/>
      <c r="L62" s="12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66.75" customHeight="1" x14ac:dyDescent="0.2">
      <c r="B63" s="119"/>
      <c r="C63" s="108"/>
      <c r="D63" s="108"/>
      <c r="E63" s="108"/>
      <c r="F63" s="96"/>
      <c r="G63" s="18" t="s">
        <v>51</v>
      </c>
      <c r="H63" s="18" t="s">
        <v>52</v>
      </c>
      <c r="I63" s="107"/>
      <c r="J63" s="107"/>
      <c r="K63" s="104"/>
      <c r="L63" s="12"/>
      <c r="M63" s="11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3.5" customHeight="1" x14ac:dyDescent="0.2">
      <c r="B64" s="119"/>
      <c r="C64" s="120" t="s">
        <v>78</v>
      </c>
      <c r="D64" s="121"/>
      <c r="E64" s="121"/>
      <c r="F64" s="121"/>
      <c r="G64" s="121"/>
      <c r="H64" s="122"/>
      <c r="I64" s="72"/>
      <c r="J64" s="101" t="s">
        <v>4</v>
      </c>
      <c r="K64" s="101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 ht="11.25" customHeight="1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1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 ht="27" customHeight="1" x14ac:dyDescent="0.2">
      <c r="B66" s="57" t="s">
        <v>62</v>
      </c>
      <c r="C66" s="63">
        <f>466017732789.96</f>
        <v>466017732789.96002</v>
      </c>
      <c r="D66" s="63">
        <f>432230693163.66</f>
        <v>432230693163.65997</v>
      </c>
      <c r="E66" s="63">
        <f>432586889941.55</f>
        <v>432586889941.54999</v>
      </c>
      <c r="F66" s="63">
        <f>19141169711.85</f>
        <v>19141169711.849998</v>
      </c>
      <c r="G66" s="63">
        <f>2627636.82</f>
        <v>2627636.8199999998</v>
      </c>
      <c r="H66" s="63">
        <f>30268410.01</f>
        <v>30268410.010000002</v>
      </c>
      <c r="I66" s="69">
        <f>1336887155.29</f>
        <v>1336887155.29</v>
      </c>
      <c r="J66" s="50">
        <f>IF($D$66=0,"",100*$D66/$D$66)</f>
        <v>100</v>
      </c>
      <c r="K66" s="50">
        <f>IF(C66=0,"",100*D66/C66)</f>
        <v>92.749838203790361</v>
      </c>
    </row>
    <row r="67" spans="2:26" ht="16.5" customHeight="1" x14ac:dyDescent="0.2">
      <c r="B67" s="76" t="s">
        <v>14</v>
      </c>
      <c r="C67" s="27">
        <f>101761289158.19</f>
        <v>101761289158.19</v>
      </c>
      <c r="D67" s="27">
        <f>86517444807.5398</f>
        <v>86517444807.539795</v>
      </c>
      <c r="E67" s="27">
        <f>86701427077.7298</f>
        <v>86701427077.729797</v>
      </c>
      <c r="F67" s="27">
        <f>1830258033.34</f>
        <v>1830258033.3399999</v>
      </c>
      <c r="G67" s="27">
        <f>137786.99</f>
        <v>137786.99</v>
      </c>
      <c r="H67" s="27">
        <f>5400052.55</f>
        <v>5400052.5499999998</v>
      </c>
      <c r="I67" s="70">
        <f>1181200933.65</f>
        <v>1181200933.6500001</v>
      </c>
      <c r="J67" s="50">
        <f t="shared" ref="J67:J75" si="6">IF($D$66=0,"",100*$D67/$D$66)</f>
        <v>20.016497249254996</v>
      </c>
      <c r="K67" s="50">
        <f t="shared" ref="K67:K75" si="7">IF(C67=0,"",100*D67/C67)</f>
        <v>85.019996821233917</v>
      </c>
    </row>
    <row r="68" spans="2:26" ht="18" customHeight="1" outlineLevel="1" x14ac:dyDescent="0.2">
      <c r="B68" s="31" t="s">
        <v>13</v>
      </c>
      <c r="C68" s="23">
        <f>96788717764.1899</f>
        <v>96788717764.189896</v>
      </c>
      <c r="D68" s="23">
        <f>81850609230.8998</f>
        <v>81850609230.899796</v>
      </c>
      <c r="E68" s="23">
        <f>82034590600.7298</f>
        <v>82034590600.729797</v>
      </c>
      <c r="F68" s="23">
        <f>1805477041.63</f>
        <v>1805477041.6300001</v>
      </c>
      <c r="G68" s="23">
        <f>137786.99</f>
        <v>137786.99</v>
      </c>
      <c r="H68" s="23">
        <f>2450052.55</f>
        <v>2450052.5499999998</v>
      </c>
      <c r="I68" s="71">
        <f>1181200933.65</f>
        <v>1181200933.6500001</v>
      </c>
      <c r="J68" s="50">
        <f t="shared" si="6"/>
        <v>18.936787813888046</v>
      </c>
      <c r="K68" s="50">
        <f t="shared" si="7"/>
        <v>84.566270864663792</v>
      </c>
    </row>
    <row r="69" spans="2:26" ht="27" customHeight="1" x14ac:dyDescent="0.2">
      <c r="B69" s="77" t="s">
        <v>63</v>
      </c>
      <c r="C69" s="63">
        <f t="shared" ref="C69:I69" si="8">C66-C67</f>
        <v>364256443631.77002</v>
      </c>
      <c r="D69" s="63">
        <f t="shared" si="8"/>
        <v>345713248356.12018</v>
      </c>
      <c r="E69" s="63">
        <f t="shared" si="8"/>
        <v>345885462863.82019</v>
      </c>
      <c r="F69" s="63">
        <f t="shared" si="8"/>
        <v>17310911678.509998</v>
      </c>
      <c r="G69" s="63">
        <f t="shared" si="8"/>
        <v>2489849.83</v>
      </c>
      <c r="H69" s="63">
        <f t="shared" si="8"/>
        <v>24868357.460000001</v>
      </c>
      <c r="I69" s="69">
        <f t="shared" si="8"/>
        <v>155686221.63999987</v>
      </c>
      <c r="J69" s="50">
        <f t="shared" si="6"/>
        <v>79.983502750745004</v>
      </c>
      <c r="K69" s="50">
        <f t="shared" si="7"/>
        <v>94.909302059074818</v>
      </c>
    </row>
    <row r="70" spans="2:26" ht="23.1" customHeight="1" outlineLevel="1" x14ac:dyDescent="0.2">
      <c r="B70" s="31" t="s">
        <v>101</v>
      </c>
      <c r="C70" s="23">
        <f>163720284111.94</f>
        <v>163720284111.94</v>
      </c>
      <c r="D70" s="23">
        <f>159366574513.011</f>
        <v>159366574513.01099</v>
      </c>
      <c r="E70" s="23">
        <f>159435802234.431</f>
        <v>159435802234.431</v>
      </c>
      <c r="F70" s="23">
        <f>13259042779.64</f>
        <v>13259042779.639999</v>
      </c>
      <c r="G70" s="23">
        <f>799818.66</f>
        <v>799818.66</v>
      </c>
      <c r="H70" s="23">
        <f>5556965.83</f>
        <v>5556965.8300000001</v>
      </c>
      <c r="I70" s="71">
        <f>562402.47</f>
        <v>562402.47</v>
      </c>
      <c r="J70" s="50">
        <f t="shared" si="6"/>
        <v>36.870721360981264</v>
      </c>
      <c r="K70" s="50">
        <f t="shared" si="7"/>
        <v>97.340763471951789</v>
      </c>
    </row>
    <row r="71" spans="2:26" ht="18" customHeight="1" outlineLevel="1" x14ac:dyDescent="0.2">
      <c r="B71" s="31" t="s">
        <v>50</v>
      </c>
      <c r="C71" s="23">
        <f>47639203744.19</f>
        <v>47639203744.190002</v>
      </c>
      <c r="D71" s="23">
        <f>46634804949.07</f>
        <v>46634804949.07</v>
      </c>
      <c r="E71" s="23">
        <f>46641461552.13</f>
        <v>46641461552.129997</v>
      </c>
      <c r="F71" s="23">
        <f>64010120.91</f>
        <v>64010120.909999996</v>
      </c>
      <c r="G71" s="23">
        <f>0</f>
        <v>0</v>
      </c>
      <c r="H71" s="23">
        <f>251593.2</f>
        <v>251593.2</v>
      </c>
      <c r="I71" s="71">
        <f>2122339.82</f>
        <v>2122339.8199999998</v>
      </c>
      <c r="J71" s="50">
        <f t="shared" si="6"/>
        <v>10.78933210590211</v>
      </c>
      <c r="K71" s="50">
        <f t="shared" si="7"/>
        <v>97.891654947649087</v>
      </c>
    </row>
    <row r="72" spans="2:26" ht="18" customHeight="1" outlineLevel="1" x14ac:dyDescent="0.2">
      <c r="B72" s="31" t="s">
        <v>49</v>
      </c>
      <c r="C72" s="23">
        <f>6745109495.04</f>
        <v>6745109495.04</v>
      </c>
      <c r="D72" s="23">
        <f>6305193446.33</f>
        <v>6305193446.3299999</v>
      </c>
      <c r="E72" s="23">
        <f>6308893709.57</f>
        <v>6308893709.5699997</v>
      </c>
      <c r="F72" s="23">
        <f>159366329.8</f>
        <v>159366329.80000001</v>
      </c>
      <c r="G72" s="23">
        <f>0</f>
        <v>0</v>
      </c>
      <c r="H72" s="23">
        <f>0</f>
        <v>0</v>
      </c>
      <c r="I72" s="71">
        <f>0</f>
        <v>0</v>
      </c>
      <c r="J72" s="50">
        <f t="shared" si="6"/>
        <v>1.4587565265622169</v>
      </c>
      <c r="K72" s="50">
        <f t="shared" si="7"/>
        <v>93.4779998896461</v>
      </c>
    </row>
    <row r="73" spans="2:26" ht="23.1" customHeight="1" outlineLevel="1" x14ac:dyDescent="0.2">
      <c r="B73" s="31" t="s">
        <v>69</v>
      </c>
      <c r="C73" s="23">
        <f>301380333.58</f>
        <v>301380333.57999998</v>
      </c>
      <c r="D73" s="23">
        <f>46662345.39</f>
        <v>46662345.390000001</v>
      </c>
      <c r="E73" s="23">
        <f>46663202.77</f>
        <v>46663202.770000003</v>
      </c>
      <c r="F73" s="23">
        <f>76279.89</f>
        <v>76279.89</v>
      </c>
      <c r="G73" s="23">
        <f>0</f>
        <v>0</v>
      </c>
      <c r="H73" s="23">
        <f>0</f>
        <v>0</v>
      </c>
      <c r="I73" s="71">
        <f>0</f>
        <v>0</v>
      </c>
      <c r="J73" s="50">
        <f t="shared" si="6"/>
        <v>1.0795703805405545E-2</v>
      </c>
      <c r="K73" s="50">
        <f t="shared" si="7"/>
        <v>15.482876681339162</v>
      </c>
    </row>
    <row r="74" spans="2:26" ht="23.1" customHeight="1" outlineLevel="1" x14ac:dyDescent="0.2">
      <c r="B74" s="31" t="s">
        <v>70</v>
      </c>
      <c r="C74" s="23">
        <f>29076847572.49</f>
        <v>29076847572.490002</v>
      </c>
      <c r="D74" s="23">
        <f>28099772822.63</f>
        <v>28099772822.630001</v>
      </c>
      <c r="E74" s="23">
        <f>28107798915.58</f>
        <v>28107798915.580002</v>
      </c>
      <c r="F74" s="23">
        <f>302294848.97</f>
        <v>302294848.97000003</v>
      </c>
      <c r="G74" s="23">
        <f>35342.33</f>
        <v>35342.33</v>
      </c>
      <c r="H74" s="23">
        <f>842615.55</f>
        <v>842615.55</v>
      </c>
      <c r="I74" s="71">
        <f>0</f>
        <v>0</v>
      </c>
      <c r="J74" s="50">
        <f t="shared" si="6"/>
        <v>6.5011053742984171</v>
      </c>
      <c r="K74" s="50">
        <f t="shared" si="7"/>
        <v>96.639681287924674</v>
      </c>
    </row>
    <row r="75" spans="2:26" ht="18" customHeight="1" outlineLevel="1" x14ac:dyDescent="0.2">
      <c r="B75" s="31" t="s">
        <v>48</v>
      </c>
      <c r="C75" s="23">
        <f t="shared" ref="C75:I75" si="9">C69-C70-C71-C72-C73-C74</f>
        <v>116773618374.53001</v>
      </c>
      <c r="D75" s="23">
        <f t="shared" si="9"/>
        <v>105260240279.68918</v>
      </c>
      <c r="E75" s="23">
        <f t="shared" si="9"/>
        <v>105344843249.33917</v>
      </c>
      <c r="F75" s="23">
        <f t="shared" si="9"/>
        <v>3526121319.2999992</v>
      </c>
      <c r="G75" s="23">
        <f t="shared" si="9"/>
        <v>1654688.8399999999</v>
      </c>
      <c r="H75" s="23">
        <f t="shared" si="9"/>
        <v>18217182.880000003</v>
      </c>
      <c r="I75" s="71">
        <f t="shared" si="9"/>
        <v>153001479.34999987</v>
      </c>
      <c r="J75" s="50">
        <f t="shared" si="6"/>
        <v>24.352791679195583</v>
      </c>
      <c r="K75" s="50">
        <f t="shared" si="7"/>
        <v>90.140428758562763</v>
      </c>
    </row>
    <row r="76" spans="2:26" ht="18.75" customHeight="1" x14ac:dyDescent="0.2">
      <c r="B76" s="20" t="s">
        <v>15</v>
      </c>
      <c r="C76" s="27">
        <f>C6-C66</f>
        <v>-28980204632.25</v>
      </c>
      <c r="D76" s="27">
        <f>D6-D66</f>
        <v>-819290108.85998535</v>
      </c>
      <c r="E76" s="29"/>
      <c r="F76" s="29"/>
      <c r="G76" s="14"/>
    </row>
    <row r="77" spans="2:26" ht="38.25" x14ac:dyDescent="0.2">
      <c r="B77" s="51" t="s">
        <v>104</v>
      </c>
      <c r="C77" s="52">
        <f>+C57-C69</f>
        <v>12997056087.210022</v>
      </c>
      <c r="D77" s="52">
        <f>+D57-D69</f>
        <v>32628596680.229797</v>
      </c>
      <c r="E77" s="29"/>
      <c r="F77" s="29"/>
      <c r="G77" s="14"/>
    </row>
    <row r="78" spans="2:26" ht="12" customHeight="1" x14ac:dyDescent="0.2">
      <c r="B78" s="53"/>
      <c r="C78" s="54"/>
      <c r="D78" s="54"/>
      <c r="E78" s="54"/>
      <c r="F78" s="2"/>
      <c r="G78" s="2"/>
      <c r="H78" s="2"/>
      <c r="I78" s="2"/>
      <c r="L78" s="11"/>
      <c r="M78" s="11"/>
    </row>
    <row r="79" spans="2:26" ht="12" customHeight="1" x14ac:dyDescent="0.2">
      <c r="B79" s="90" t="s">
        <v>107</v>
      </c>
      <c r="C79" s="54"/>
      <c r="D79" s="54"/>
      <c r="E79" s="54"/>
      <c r="F79" s="2"/>
      <c r="G79" s="2"/>
      <c r="H79" s="2"/>
      <c r="I79" s="2"/>
      <c r="L79" s="11"/>
      <c r="M79" s="11"/>
    </row>
    <row r="80" spans="2:26" ht="27.95" customHeight="1" x14ac:dyDescent="0.2">
      <c r="B80" s="91" t="s">
        <v>73</v>
      </c>
      <c r="C80" s="63">
        <f>15101415431.27</f>
        <v>15101415431.27</v>
      </c>
      <c r="D80" s="63">
        <f>11482186556.7801</f>
        <v>11482186556.7801</v>
      </c>
      <c r="E80" s="63">
        <f>11507591776.6701</f>
        <v>11507591776.670099</v>
      </c>
      <c r="F80" s="63">
        <f>332950042.62</f>
        <v>332950042.62</v>
      </c>
      <c r="G80" s="63">
        <f>0</f>
        <v>0</v>
      </c>
      <c r="H80" s="63">
        <f>3450.6</f>
        <v>3450.6</v>
      </c>
      <c r="I80" s="69">
        <f>71459587.63</f>
        <v>71459587.629999995</v>
      </c>
      <c r="J80" s="50">
        <f>IF($D$80=0,"",100*$D80/$D$80)</f>
        <v>100</v>
      </c>
      <c r="K80" s="50">
        <f>IF(C80=0,"",100*D80/C80)</f>
        <v>76.033843377385125</v>
      </c>
      <c r="L80" s="11"/>
    </row>
    <row r="81" spans="2:13" ht="20.100000000000001" customHeight="1" x14ac:dyDescent="0.2">
      <c r="B81" s="55" t="s">
        <v>76</v>
      </c>
      <c r="C81" s="65">
        <f>9947180448.11</f>
        <v>9947180448.1100006</v>
      </c>
      <c r="D81" s="65">
        <f>7814394690.57999</f>
        <v>7814394690.5799904</v>
      </c>
      <c r="E81" s="65">
        <f>7829005706.88</f>
        <v>7829005706.8800001</v>
      </c>
      <c r="F81" s="65">
        <f>247622422.13</f>
        <v>247622422.13</v>
      </c>
      <c r="G81" s="65">
        <f>0</f>
        <v>0</v>
      </c>
      <c r="H81" s="65">
        <f>0</f>
        <v>0</v>
      </c>
      <c r="I81" s="74">
        <f>69366009.68</f>
        <v>69366009.680000007</v>
      </c>
      <c r="J81" s="50">
        <f>IF($D$80=0,"",100*$D81/$D$80)</f>
        <v>68.056677636592482</v>
      </c>
      <c r="K81" s="50">
        <f>IF(C81=0,"",100*D81/C81)</f>
        <v>78.55889145013704</v>
      </c>
      <c r="L81" s="11"/>
    </row>
    <row r="82" spans="2:13" ht="20.100000000000001" customHeight="1" x14ac:dyDescent="0.2">
      <c r="B82" s="55" t="s">
        <v>77</v>
      </c>
      <c r="C82" s="65">
        <f t="shared" ref="C82:I82" si="10">C80-C81</f>
        <v>5154234983.1599998</v>
      </c>
      <c r="D82" s="65">
        <f t="shared" si="10"/>
        <v>3667791866.2001095</v>
      </c>
      <c r="E82" s="65">
        <f t="shared" si="10"/>
        <v>3678586069.7900991</v>
      </c>
      <c r="F82" s="65">
        <f t="shared" si="10"/>
        <v>85327620.49000001</v>
      </c>
      <c r="G82" s="65">
        <f t="shared" si="10"/>
        <v>0</v>
      </c>
      <c r="H82" s="65">
        <f t="shared" si="10"/>
        <v>3450.6</v>
      </c>
      <c r="I82" s="74">
        <f t="shared" si="10"/>
        <v>2093577.9499999881</v>
      </c>
      <c r="J82" s="50">
        <f>IF($D$80=0,"",100*$D82/$D$80)</f>
        <v>31.943322363407518</v>
      </c>
      <c r="K82" s="50">
        <f>IF(C82=0,"",100*D82/C82)</f>
        <v>71.160742150553446</v>
      </c>
    </row>
    <row r="83" spans="2:13" ht="20.25" x14ac:dyDescent="0.2">
      <c r="B83" s="87" t="str">
        <f>CONCATENATE("Informacja z wykonania budżetów jednostek samorządu terytorialnego za ",$D$118," ",$C$119," roku")</f>
        <v>Informacja z wykonania budżetów jednostek samorządu terytorialnego za IV Kwartały 2024 roku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</row>
    <row r="84" spans="2:13" ht="18" customHeight="1" x14ac:dyDescent="0.2">
      <c r="B84" s="41" t="s">
        <v>16</v>
      </c>
      <c r="C84" s="73" t="s">
        <v>17</v>
      </c>
      <c r="D84" s="73" t="s">
        <v>1</v>
      </c>
      <c r="E84" s="110" t="s">
        <v>58</v>
      </c>
      <c r="F84" s="111"/>
      <c r="G84" s="111"/>
      <c r="H84" s="111"/>
      <c r="I84" s="112"/>
      <c r="J84" s="19" t="s">
        <v>26</v>
      </c>
      <c r="K84" s="19" t="s">
        <v>27</v>
      </c>
    </row>
    <row r="85" spans="2:13" x14ac:dyDescent="0.2">
      <c r="B85" s="41"/>
      <c r="C85" s="94" t="s">
        <v>78</v>
      </c>
      <c r="D85" s="95"/>
      <c r="E85" s="113"/>
      <c r="F85" s="114"/>
      <c r="G85" s="114"/>
      <c r="H85" s="114"/>
      <c r="I85" s="115"/>
      <c r="J85" s="99" t="s">
        <v>4</v>
      </c>
      <c r="K85" s="100"/>
    </row>
    <row r="86" spans="2:13" x14ac:dyDescent="0.2">
      <c r="B86" s="39">
        <v>1</v>
      </c>
      <c r="C86" s="73">
        <v>2</v>
      </c>
      <c r="D86" s="73">
        <v>3</v>
      </c>
      <c r="E86" s="116"/>
      <c r="F86" s="117"/>
      <c r="G86" s="117"/>
      <c r="H86" s="117"/>
      <c r="I86" s="118"/>
      <c r="J86" s="40">
        <v>4</v>
      </c>
      <c r="K86" s="40">
        <v>5</v>
      </c>
    </row>
    <row r="87" spans="2:13" ht="25.5" x14ac:dyDescent="0.2">
      <c r="B87" s="38" t="s">
        <v>64</v>
      </c>
      <c r="C87" s="43">
        <f>44169542922.81</f>
        <v>44169542922.809998</v>
      </c>
      <c r="D87" s="43">
        <f>53299811788.87</f>
        <v>53299811788.870003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42">
        <f>IF($D$87=0,"",100*$D87/$D$87)</f>
        <v>100</v>
      </c>
      <c r="K87" s="37">
        <f t="shared" ref="K87:K102" si="11">IF(C87=0,"",100*D87/C87)</f>
        <v>120.67096071611137</v>
      </c>
    </row>
    <row r="88" spans="2:13" ht="33.75" x14ac:dyDescent="0.2">
      <c r="B88" s="78" t="s">
        <v>108</v>
      </c>
      <c r="C88" s="44">
        <f>23465273259.5</f>
        <v>23465273259.5</v>
      </c>
      <c r="D88" s="44">
        <f>19596275861.14</f>
        <v>19596275861.139999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48">
        <f t="shared" ref="J88:J97" si="12">IF($D$87=0,"",100*$D88/$D$87)</f>
        <v>36.7661258144106</v>
      </c>
      <c r="K88" s="49">
        <f t="shared" si="11"/>
        <v>83.511816139649582</v>
      </c>
    </row>
    <row r="89" spans="2:13" ht="22.5" x14ac:dyDescent="0.2">
      <c r="B89" s="79" t="s">
        <v>87</v>
      </c>
      <c r="C89" s="67">
        <f>1993420236.09</f>
        <v>1993420236.0899999</v>
      </c>
      <c r="D89" s="67">
        <f>1930483000</f>
        <v>1930483000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8">
        <f t="shared" si="12"/>
        <v>3.6219321142201872</v>
      </c>
      <c r="K89" s="66">
        <f t="shared" si="11"/>
        <v>96.84275121971028</v>
      </c>
    </row>
    <row r="90" spans="2:13" x14ac:dyDescent="0.2">
      <c r="B90" s="32" t="s">
        <v>88</v>
      </c>
      <c r="C90" s="67">
        <f>346967420.96</f>
        <v>346967420.95999998</v>
      </c>
      <c r="D90" s="67">
        <f>297710963.01</f>
        <v>297710963.00999999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8">
        <f t="shared" si="12"/>
        <v>0.55855912622972459</v>
      </c>
      <c r="K90" s="66">
        <f t="shared" si="11"/>
        <v>85.803722489645935</v>
      </c>
    </row>
    <row r="91" spans="2:13" ht="48" customHeight="1" x14ac:dyDescent="0.2">
      <c r="B91" s="32" t="s">
        <v>97</v>
      </c>
      <c r="C91" s="67">
        <f>3996780496.53</f>
        <v>3996780496.5300002</v>
      </c>
      <c r="D91" s="67">
        <f>9212421416.36</f>
        <v>9212421416.3600006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8">
        <f t="shared" si="12"/>
        <v>17.28415374683129</v>
      </c>
      <c r="K91" s="66">
        <f t="shared" si="11"/>
        <v>230.49605612212662</v>
      </c>
    </row>
    <row r="92" spans="2:13" ht="33.75" x14ac:dyDescent="0.2">
      <c r="B92" s="32" t="s">
        <v>98</v>
      </c>
      <c r="C92" s="67">
        <f>4242270149.45</f>
        <v>4242270149.4499998</v>
      </c>
      <c r="D92" s="67">
        <f>5598535122.71</f>
        <v>5598535122.71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68">
        <f t="shared" si="12"/>
        <v>10.503855332335487</v>
      </c>
      <c r="K92" s="66">
        <f t="shared" si="11"/>
        <v>131.97026416235744</v>
      </c>
    </row>
    <row r="93" spans="2:13" x14ac:dyDescent="0.2">
      <c r="B93" s="32" t="s">
        <v>89</v>
      </c>
      <c r="C93" s="67">
        <f>0</f>
        <v>0</v>
      </c>
      <c r="D93" s="67">
        <f>0</f>
        <v>0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68">
        <f t="shared" si="12"/>
        <v>0</v>
      </c>
      <c r="K93" s="66" t="str">
        <f t="shared" si="11"/>
        <v/>
      </c>
    </row>
    <row r="94" spans="2:13" ht="33.75" x14ac:dyDescent="0.2">
      <c r="B94" s="32" t="s">
        <v>90</v>
      </c>
      <c r="C94" s="67">
        <f>11113040796.64</f>
        <v>11113040796.639999</v>
      </c>
      <c r="D94" s="67">
        <f>17613429426.57</f>
        <v>17613429426.57</v>
      </c>
      <c r="E94" s="43" t="s">
        <v>58</v>
      </c>
      <c r="F94" s="43" t="s">
        <v>58</v>
      </c>
      <c r="G94" s="43" t="s">
        <v>58</v>
      </c>
      <c r="H94" s="43" t="s">
        <v>58</v>
      </c>
      <c r="I94" s="43" t="s">
        <v>58</v>
      </c>
      <c r="J94" s="68">
        <f t="shared" si="12"/>
        <v>33.045950511682697</v>
      </c>
      <c r="K94" s="66">
        <f t="shared" si="11"/>
        <v>158.49333903188204</v>
      </c>
    </row>
    <row r="95" spans="2:13" ht="56.25" x14ac:dyDescent="0.2">
      <c r="B95" s="32" t="s">
        <v>109</v>
      </c>
      <c r="C95" s="67">
        <f>0</f>
        <v>0</v>
      </c>
      <c r="D95" s="67">
        <f>11092622.7</f>
        <v>11092622.699999999</v>
      </c>
      <c r="E95" s="43"/>
      <c r="F95" s="43"/>
      <c r="G95" s="43"/>
      <c r="H95" s="43"/>
      <c r="I95" s="43"/>
      <c r="J95" s="68">
        <f>IF($D$87=0,"",100*$D95/$D$87)</f>
        <v>2.0811748349018274E-2</v>
      </c>
      <c r="K95" s="66" t="str">
        <f>IF(C95=0,"",100*D95/C95)</f>
        <v/>
      </c>
    </row>
    <row r="96" spans="2:13" x14ac:dyDescent="0.2">
      <c r="B96" s="32" t="s">
        <v>110</v>
      </c>
      <c r="C96" s="67">
        <f>1005210799.73</f>
        <v>1005210799.73</v>
      </c>
      <c r="D96" s="67">
        <f>970346376.38</f>
        <v>970346376.38</v>
      </c>
      <c r="E96" s="43"/>
      <c r="F96" s="43"/>
      <c r="G96" s="43"/>
      <c r="H96" s="43"/>
      <c r="I96" s="43"/>
      <c r="J96" s="48">
        <f t="shared" si="12"/>
        <v>1.8205437201611778</v>
      </c>
      <c r="K96" s="49">
        <f>IF(C96=0,"",100*D96/C96)</f>
        <v>96.531630643108429</v>
      </c>
    </row>
    <row r="97" spans="2:11" ht="22.5" x14ac:dyDescent="0.2">
      <c r="B97" s="79" t="s">
        <v>111</v>
      </c>
      <c r="C97" s="67">
        <f>677221866.94</f>
        <v>677221866.94000006</v>
      </c>
      <c r="D97" s="67">
        <f>675114471.73</f>
        <v>675114471.73000002</v>
      </c>
      <c r="E97" s="43" t="s">
        <v>58</v>
      </c>
      <c r="F97" s="43" t="s">
        <v>58</v>
      </c>
      <c r="G97" s="43" t="s">
        <v>58</v>
      </c>
      <c r="H97" s="43" t="s">
        <v>58</v>
      </c>
      <c r="I97" s="43" t="s">
        <v>58</v>
      </c>
      <c r="J97" s="68">
        <f t="shared" si="12"/>
        <v>1.2666357517438298</v>
      </c>
      <c r="K97" s="66">
        <f>IF(C97=0,"",100*D97/C97)</f>
        <v>99.688817607216052</v>
      </c>
    </row>
    <row r="98" spans="2:11" ht="25.5" x14ac:dyDescent="0.2">
      <c r="B98" s="38" t="s">
        <v>65</v>
      </c>
      <c r="C98" s="26">
        <f>14266899763.74</f>
        <v>14266899763.74</v>
      </c>
      <c r="D98" s="26">
        <f>13478136952.33</f>
        <v>13478136952.33</v>
      </c>
      <c r="E98" s="43" t="s">
        <v>58</v>
      </c>
      <c r="F98" s="43" t="s">
        <v>58</v>
      </c>
      <c r="G98" s="43" t="s">
        <v>58</v>
      </c>
      <c r="H98" s="43" t="s">
        <v>58</v>
      </c>
      <c r="I98" s="43" t="s">
        <v>58</v>
      </c>
      <c r="J98" s="42">
        <f t="shared" ref="J98:J103" si="13">IF($D$98=0,"",100*$D98/$D$98)</f>
        <v>100</v>
      </c>
      <c r="K98" s="37">
        <f t="shared" si="11"/>
        <v>94.471379034885501</v>
      </c>
    </row>
    <row r="99" spans="2:11" ht="22.5" x14ac:dyDescent="0.2">
      <c r="B99" s="78" t="s">
        <v>91</v>
      </c>
      <c r="C99" s="67">
        <f>10608998207.75</f>
        <v>10608998207.75</v>
      </c>
      <c r="D99" s="67">
        <f>10519258843.9</f>
        <v>10519258843.9</v>
      </c>
      <c r="E99" s="43" t="s">
        <v>58</v>
      </c>
      <c r="F99" s="43" t="s">
        <v>58</v>
      </c>
      <c r="G99" s="43" t="s">
        <v>58</v>
      </c>
      <c r="H99" s="43" t="s">
        <v>58</v>
      </c>
      <c r="I99" s="43" t="s">
        <v>58</v>
      </c>
      <c r="J99" s="48">
        <f t="shared" si="13"/>
        <v>78.046831554723951</v>
      </c>
      <c r="K99" s="49">
        <f t="shared" si="11"/>
        <v>99.154120284567071</v>
      </c>
    </row>
    <row r="100" spans="2:11" x14ac:dyDescent="0.2">
      <c r="B100" s="79" t="s">
        <v>92</v>
      </c>
      <c r="C100" s="67">
        <f>508767753.2</f>
        <v>508767753.19999999</v>
      </c>
      <c r="D100" s="67">
        <f>508360150.15</f>
        <v>508360150.14999998</v>
      </c>
      <c r="E100" s="43" t="s">
        <v>58</v>
      </c>
      <c r="F100" s="43" t="s">
        <v>58</v>
      </c>
      <c r="G100" s="43" t="s">
        <v>58</v>
      </c>
      <c r="H100" s="43" t="s">
        <v>58</v>
      </c>
      <c r="I100" s="43" t="s">
        <v>58</v>
      </c>
      <c r="J100" s="68">
        <f t="shared" si="13"/>
        <v>3.7717390166607445</v>
      </c>
      <c r="K100" s="66">
        <f t="shared" si="11"/>
        <v>99.919884260070276</v>
      </c>
    </row>
    <row r="101" spans="2:11" x14ac:dyDescent="0.2">
      <c r="B101" s="32" t="s">
        <v>99</v>
      </c>
      <c r="C101" s="67">
        <f>614382382</f>
        <v>614382382</v>
      </c>
      <c r="D101" s="67">
        <f>557186360.99</f>
        <v>557186360.99000001</v>
      </c>
      <c r="E101" s="43" t="s">
        <v>58</v>
      </c>
      <c r="F101" s="43" t="s">
        <v>58</v>
      </c>
      <c r="G101" s="43" t="s">
        <v>58</v>
      </c>
      <c r="H101" s="43" t="s">
        <v>58</v>
      </c>
      <c r="I101" s="43" t="s">
        <v>58</v>
      </c>
      <c r="J101" s="68">
        <f t="shared" si="13"/>
        <v>4.1340013309011363</v>
      </c>
      <c r="K101" s="66">
        <f t="shared" si="11"/>
        <v>90.690484837177507</v>
      </c>
    </row>
    <row r="102" spans="2:11" x14ac:dyDescent="0.2">
      <c r="B102" s="80" t="s">
        <v>112</v>
      </c>
      <c r="C102" s="67">
        <f>3043519173.99</f>
        <v>3043519173.9899998</v>
      </c>
      <c r="D102" s="67">
        <f>2401691747.44</f>
        <v>2401691747.4400001</v>
      </c>
      <c r="E102" s="43" t="s">
        <v>58</v>
      </c>
      <c r="F102" s="43" t="s">
        <v>58</v>
      </c>
      <c r="G102" s="43" t="s">
        <v>58</v>
      </c>
      <c r="H102" s="43" t="s">
        <v>58</v>
      </c>
      <c r="I102" s="43" t="s">
        <v>58</v>
      </c>
      <c r="J102" s="48">
        <f t="shared" si="13"/>
        <v>17.81916711437491</v>
      </c>
      <c r="K102" s="49">
        <f t="shared" si="11"/>
        <v>78.911668044181383</v>
      </c>
    </row>
    <row r="103" spans="2:11" ht="22.5" x14ac:dyDescent="0.2">
      <c r="B103" s="93" t="s">
        <v>113</v>
      </c>
      <c r="C103" s="67">
        <f>2171678170.43</f>
        <v>2171678170.4299998</v>
      </c>
      <c r="D103" s="67">
        <f>1848810350.23</f>
        <v>1848810350.23</v>
      </c>
      <c r="E103" s="43" t="s">
        <v>58</v>
      </c>
      <c r="F103" s="43" t="s">
        <v>58</v>
      </c>
      <c r="G103" s="43" t="s">
        <v>58</v>
      </c>
      <c r="H103" s="43" t="s">
        <v>58</v>
      </c>
      <c r="I103" s="43" t="s">
        <v>58</v>
      </c>
      <c r="J103" s="48">
        <f t="shared" si="13"/>
        <v>13.717106130980451</v>
      </c>
      <c r="K103" s="49">
        <f>IF(C103=0,"",100*D103/C103)</f>
        <v>85.132796166751035</v>
      </c>
    </row>
    <row r="105" spans="2:11" ht="18" customHeight="1" x14ac:dyDescent="0.2">
      <c r="B105" s="41" t="s">
        <v>16</v>
      </c>
      <c r="C105" s="73" t="s">
        <v>17</v>
      </c>
      <c r="D105" s="19" t="s">
        <v>1</v>
      </c>
    </row>
    <row r="106" spans="2:11" x14ac:dyDescent="0.2">
      <c r="B106" s="41"/>
      <c r="C106" s="94" t="s">
        <v>78</v>
      </c>
      <c r="D106" s="95"/>
    </row>
    <row r="107" spans="2:11" x14ac:dyDescent="0.2">
      <c r="B107" s="39">
        <v>1</v>
      </c>
      <c r="C107" s="73">
        <v>2</v>
      </c>
      <c r="D107" s="19">
        <v>3</v>
      </c>
    </row>
    <row r="108" spans="2:11" ht="33.75" x14ac:dyDescent="0.2">
      <c r="B108" s="47" t="s">
        <v>114</v>
      </c>
      <c r="C108" s="45">
        <f>30287772611.33</f>
        <v>30287772611.330002</v>
      </c>
      <c r="D108" s="28">
        <f>10650971470.4</f>
        <v>10650971470.4</v>
      </c>
    </row>
    <row r="109" spans="2:11" ht="33.75" x14ac:dyDescent="0.2">
      <c r="B109" s="86" t="s">
        <v>80</v>
      </c>
      <c r="C109" s="46">
        <f>1244067844.73</f>
        <v>1244067844.73</v>
      </c>
      <c r="D109" s="75">
        <f>544409822.54</f>
        <v>544409822.53999996</v>
      </c>
    </row>
    <row r="110" spans="2:11" x14ac:dyDescent="0.2">
      <c r="B110" s="86" t="s">
        <v>81</v>
      </c>
      <c r="C110" s="46">
        <f>15181781834.16</f>
        <v>15181781834.16</v>
      </c>
      <c r="D110" s="75">
        <f>5949217641.5</f>
        <v>5949217641.5</v>
      </c>
    </row>
    <row r="111" spans="2:11" ht="22.5" x14ac:dyDescent="0.2">
      <c r="B111" s="86" t="s">
        <v>82</v>
      </c>
      <c r="C111" s="46">
        <f>0</f>
        <v>0</v>
      </c>
      <c r="D111" s="75">
        <f>0</f>
        <v>0</v>
      </c>
    </row>
    <row r="112" spans="2:11" ht="56.25" x14ac:dyDescent="0.2">
      <c r="B112" s="86" t="s">
        <v>100</v>
      </c>
      <c r="C112" s="46">
        <f>2765436696.81</f>
        <v>2765436696.8099999</v>
      </c>
      <c r="D112" s="75">
        <f>610383884.65</f>
        <v>610383884.64999998</v>
      </c>
    </row>
    <row r="113" spans="2:4" ht="78.75" x14ac:dyDescent="0.2">
      <c r="B113" s="86" t="s">
        <v>83</v>
      </c>
      <c r="C113" s="46">
        <f>6880958079.86</f>
        <v>6880958079.8599997</v>
      </c>
      <c r="D113" s="75">
        <f>1528386997.62</f>
        <v>1528386997.6199999</v>
      </c>
    </row>
    <row r="114" spans="2:4" ht="146.25" x14ac:dyDescent="0.2">
      <c r="B114" s="86" t="s">
        <v>102</v>
      </c>
      <c r="C114" s="46">
        <f>3740306986.66</f>
        <v>3740306986.6599998</v>
      </c>
      <c r="D114" s="75">
        <f>1799802315.81</f>
        <v>1799802315.8099999</v>
      </c>
    </row>
    <row r="115" spans="2:4" ht="22.5" x14ac:dyDescent="0.2">
      <c r="B115" s="86" t="s">
        <v>95</v>
      </c>
      <c r="C115" s="46">
        <f>71863708.16</f>
        <v>71863708.159999996</v>
      </c>
      <c r="D115" s="75">
        <f>19576650.16</f>
        <v>19576650.16</v>
      </c>
    </row>
    <row r="116" spans="2:4" ht="22.5" x14ac:dyDescent="0.2">
      <c r="B116" s="86" t="s">
        <v>111</v>
      </c>
      <c r="C116" s="46">
        <f>403357460.95</f>
        <v>403357460.94999999</v>
      </c>
      <c r="D116" s="75">
        <f>199194158.12</f>
        <v>199194158.12</v>
      </c>
    </row>
    <row r="118" spans="2:4" x14ac:dyDescent="0.2">
      <c r="B118" s="33" t="s">
        <v>66</v>
      </c>
      <c r="C118" s="33">
        <f>4</f>
        <v>4</v>
      </c>
      <c r="D118" s="33" t="str">
        <f>IF(C118=1,"I Kwartał",IF(C118=2,"II Kwartały",IF(C118=3,"III Kwartały",IF(C118=4,"IV Kwartały",IF(C118="M1","Styczeń",IF(C118="M11","Listopad",IF(C118="M12","Grudzień","-")))))))</f>
        <v>IV Kwartały</v>
      </c>
    </row>
    <row r="119" spans="2:4" x14ac:dyDescent="0.2">
      <c r="B119" s="33" t="s">
        <v>67</v>
      </c>
      <c r="C119" s="89">
        <f>2024</f>
        <v>2024</v>
      </c>
    </row>
    <row r="120" spans="2:4" x14ac:dyDescent="0.2">
      <c r="B120" s="33" t="s">
        <v>68</v>
      </c>
      <c r="C120" s="97" t="str">
        <f>"Mar 18 2025 12:00AM"</f>
        <v>Mar 18 2025 12:00AM</v>
      </c>
      <c r="D120" s="98"/>
    </row>
  </sheetData>
  <mergeCells count="20">
    <mergeCell ref="B3:B4"/>
    <mergeCell ref="J4:L4"/>
    <mergeCell ref="B61:B64"/>
    <mergeCell ref="C4:I4"/>
    <mergeCell ref="D61:D63"/>
    <mergeCell ref="E61:E63"/>
    <mergeCell ref="C64:H64"/>
    <mergeCell ref="C85:D85"/>
    <mergeCell ref="F62:F63"/>
    <mergeCell ref="C120:D120"/>
    <mergeCell ref="C106:D106"/>
    <mergeCell ref="J85:K85"/>
    <mergeCell ref="J64:K64"/>
    <mergeCell ref="K61:K63"/>
    <mergeCell ref="I61:I63"/>
    <mergeCell ref="J61:J63"/>
    <mergeCell ref="F61:H61"/>
    <mergeCell ref="C61:C63"/>
    <mergeCell ref="G62:H62"/>
    <mergeCell ref="E84:I86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8" max="16383" man="1"/>
    <brk id="8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2025-03-28T13:58:18Z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2025-03-28T14:58:17.4437180+01:00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GRN-4e39548f-1af2-42c6-b142-4cc4b2f0f8ba</vt:lpwstr>
  </property>
  <property fmtid="{D5CDD505-2E9C-101B-9397-08002B2CF9AE}" pid="7" name="MFHash">
    <vt:lpwstr>e8sOsAZftYIPgFcSwYV282WUGSQ6CZR891RN6JmZ5S4=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